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7.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harts/chart30.xml" ContentType="application/vnd.openxmlformats-officedocument.drawingml.chart+xml"/>
  <Override PartName="/xl/charts/style2.xml" ContentType="application/vnd.ms-office.chartstyle+xml"/>
  <Override PartName="/xl/charts/colors2.xml" ContentType="application/vnd.ms-office.chartcolorstyle+xml"/>
  <Override PartName="/xl/charts/chart3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harts/chart3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harts/chart33.xml" ContentType="application/vnd.openxmlformats-officedocument.drawingml.chart+xml"/>
  <Override PartName="/xl/drawings/drawing10.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11.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2.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3.xml" ContentType="application/vnd.openxmlformats-officedocument.drawing+xml"/>
  <Override PartName="/xl/ctrlProps/ctrlProp60.xml" ContentType="application/vnd.ms-excel.controlproperties+xml"/>
  <Override PartName="/xl/drawings/drawing14.xml" ContentType="application/vnd.openxmlformats-officedocument.drawing+xml"/>
  <Override PartName="/xl/charts/chart3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xl/richData/rdRichValueTypes.xml" ContentType="application/vnd.ms-excel.rdrichvaluetypes+xml"/>
  <Override PartName="/xl/richData/rdrichvalue.xml" ContentType="application/vnd.ms-excel.rdrichvalue+xml"/>
  <Override PartName="/xl/richData/rdrichvaluestructure.xml" ContentType="application/vnd.ms-excel.rdrichvaluestruc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codeName="{51196F13-6AD0-C1B8-E2B4-A1F9AE17003E}"/>
  <workbookPr codeName="ThisWorkbook"/>
  <mc:AlternateContent xmlns:mc="http://schemas.openxmlformats.org/markup-compatibility/2006">
    <mc:Choice Requires="x15">
      <x15ac:absPath xmlns:x15ac="http://schemas.microsoft.com/office/spreadsheetml/2010/11/ac" url="C:\Users\RituBhandari.NT-ECONOMIST\Desktop\NEC Digital Cities\Final workbook\"/>
    </mc:Choice>
  </mc:AlternateContent>
  <bookViews>
    <workbookView minimized="1" showSheetTabs="0" xWindow="0" yWindow="0" windowWidth="28800" windowHeight="12630" tabRatio="831" firstSheet="3" activeTab="3"/>
  </bookViews>
  <sheets>
    <sheet name="Home" sheetId="189" r:id="rId1"/>
    <sheet name="Contents" sheetId="460" r:id="rId2"/>
    <sheet name="Summary1" sheetId="452" r:id="rId3"/>
    <sheet name="Indicator_Ranking" sheetId="431" r:id="rId4"/>
    <sheet name="CProfile" sheetId="433" r:id="rId5"/>
    <sheet name="CtyScoreCard" sheetId="457" r:id="rId6"/>
    <sheet name="CCompare" sheetId="435" r:id="rId7"/>
    <sheet name="RegionCompare" sheetId="454" r:id="rId8"/>
    <sheet name="Scatter" sheetId="447" r:id="rId9"/>
    <sheet name="Correlations" sheetId="448" r:id="rId10"/>
    <sheet name="Scores" sheetId="420" r:id="rId11"/>
    <sheet name="Weights" sheetId="27" r:id="rId12"/>
    <sheet name="INPUTS" sheetId="456" state="veryHidden" r:id="rId13"/>
    <sheet name="tblIndicators" sheetId="234" state="veryHidden" r:id="rId14"/>
    <sheet name="uxb_works" sheetId="2" state="veryHidden" r:id="rId15"/>
    <sheet name="tblIndiSets" sheetId="5" state="veryHidden" r:id="rId16"/>
    <sheet name="iIndiRank" sheetId="432" state="veryHidden" r:id="rId17"/>
    <sheet name="iSummary1" sheetId="453" state="veryHidden" r:id="rId18"/>
    <sheet name="iCSCtbl" sheetId="458" state="veryHidden" r:id="rId19"/>
    <sheet name="iCntyScoreCard" sheetId="459" state="veryHidden" r:id="rId20"/>
    <sheet name="iRegionComp" sheetId="455" state="veryHidden" r:id="rId21"/>
    <sheet name="iCountryComp_Scatter" sheetId="436" state="veryHidden" r:id="rId22"/>
    <sheet name="iCComp" sheetId="437" state="veryHidden" r:id="rId23"/>
    <sheet name="iScatterZoom" sheetId="449" state="veryHidden" r:id="rId24"/>
    <sheet name="iScatter" sheetId="450" state="veryHidden" r:id="rId25"/>
    <sheet name="iCorrel1" sheetId="451" state="veryHidden" r:id="rId26"/>
    <sheet name="iCP_Chart" sheetId="434" state="veryHidden" r:id="rId27"/>
    <sheet name="tblNavHist" sheetId="191" state="veryHidden" r:id="rId28"/>
    <sheet name="SheetNames" sheetId="190" state="veryHidden" r:id="rId29"/>
    <sheet name="tblCategories" sheetId="108" state="veryHidden" r:id="rId30"/>
    <sheet name="tblTerritories" sheetId="238" state="veryHidden" r:id="rId31"/>
    <sheet name="iWeights1" sheetId="26" state="veryHidden" r:id="rId32"/>
    <sheet name="iScores" sheetId="236" state="veryHidden" r:id="rId33"/>
    <sheet name="iData" sheetId="235" state="veryHidden" r:id="rId34"/>
  </sheets>
  <functionGroups builtInGroupCount="18"/>
  <definedNames>
    <definedName name="aAverages" hidden="1">iScores!$CD$6:$CQ$75</definedName>
    <definedName name="aData" hidden="1">iData!$K$6:$AN$81</definedName>
    <definedName name="aPercentile" hidden="1">iScores!$BA$6:$BD$132</definedName>
    <definedName name="aRef" hidden="1">INPUTS!$BF$2:$CI$71</definedName>
    <definedName name="aScores" hidden="1">iScores!$R$6:$AU$81</definedName>
    <definedName name="aScoresRounded" hidden="1">iScores!$AY$6:$CB$81</definedName>
    <definedName name="Bold_Text" hidden="1">OFFSET(tblIndiSets!$C$282,0,0,tblIndiSets!$C$281,1)</definedName>
    <definedName name="CC_Indi" hidden="1">OFFSET(CCompare!$V$16,0,0,CCompare!$S$14,1)</definedName>
    <definedName name="CP_Indi2" hidden="1">OFFSET(CProfile!$C$15,0,0,CProfile!$B$13,1)</definedName>
    <definedName name="CP_Set_Colour" hidden="1">iCP_Chart!$AX$24</definedName>
    <definedName name="CPC_25" hidden="1">OFFSET(CtyScoreCard!$G$41,0,0,CtyScoreCard!$F$40,1)</definedName>
    <definedName name="CPC_75" hidden="1">OFFSET(CtyScoreCard!$C$41,0,0,CtyScoreCard!$B$40,1)</definedName>
    <definedName name="CREL1" hidden="1">OFFSET(Correlations!$F$27,0,0,Correlations!$G$26,1)</definedName>
    <definedName name="CREL2" hidden="1">OFFSET(Correlations!$K$27,0,0,Correlations!$L$26,1)</definedName>
    <definedName name="FilterRegion" hidden="1">CtyScoreCard!$C$11</definedName>
    <definedName name="iJustification" hidden="1">iData!$Q$6:$U$31</definedName>
    <definedName name="Indi_Rank_range" hidden="1">OFFSET(Indicator_Ranking!$F$13,0,0,Indicator_Ranking!$C$12,1)</definedName>
    <definedName name="IR_Country_G1" hidden="1">OFFSET(Indicator_Ranking!$N$17,0,0,Indicator_Ranking!$K$14,1)</definedName>
    <definedName name="IR_Country_G2" hidden="1">OFFSET(Indicator_Ranking!$W$17,0,0,Indicator_Ranking!$V$14,1)</definedName>
    <definedName name="IR_Country_G3" hidden="1">OFFSET(Indicator_Ranking!$Z$17,0,0,Indicator_Ranking!$Y$14,1)</definedName>
    <definedName name="IR_Country_G4" hidden="1">OFFSET(Indicator_Ranking!$AC$17,0,0,Indicator_Ranking!$AB$14,1)</definedName>
    <definedName name="IR_Country_G5" hidden="1">OFFSET(Indicator_Ranking!$AF$17,0,0,Indicator_Ranking!$AE$14,1)</definedName>
    <definedName name="IR_Country_G6" hidden="1">OFFSET(Indicator_Ranking!$AI$17,0,0,Indicator_Ranking!$AH$14,1)</definedName>
    <definedName name="iRef" hidden="1">iData!$CL$6:$DJ$68</definedName>
    <definedName name="limcount" hidden="1">1</definedName>
    <definedName name="lu_comp_regions" hidden="1">OFFSET(luCities,0,1)</definedName>
    <definedName name="lu_Filter_Extra" hidden="1">tblTerritories!$AV$3:$AV$6</definedName>
    <definedName name="lu_Filter_Income" hidden="1">OFFSET(tblTerritories!$AU$3,0,0,tblTerritories!$AU$2,1)</definedName>
    <definedName name="lu_Filter_Pop" hidden="1">tblTerritories!$AS$3:$AS$7</definedName>
    <definedName name="lu_Filter_Region" hidden="1">tblTerritories!$AR$3:$AR$8</definedName>
    <definedName name="lu_Filter_Var" hidden="1">OFFSET(tblTerritories!$AR$3,0,0,tblTerritories!$AR$2,1)</definedName>
    <definedName name="lu_Filter_Var_Average" hidden="1">OFFSET(tblTerritories!#REF!,0,0,tblTerritories!#REF!,1)</definedName>
    <definedName name="lu_Highlight" hidden="1">tblTerritories!$AW$3:$AW$15</definedName>
    <definedName name="lu_indicode" hidden="1">tblIndicators!$G$2:$G$71</definedName>
    <definedName name="lu_Scatter_X" hidden="1">tblIndiSets!$C$193:$C$219</definedName>
    <definedName name="lu_Scatter_Y" hidden="1">OFFSET(tblIndiSets!$C$225,0,0,tblIndiSets!$D$224,1)</definedName>
    <definedName name="luCities" hidden="1">tblTerritories!$J$3:$J$32</definedName>
    <definedName name="luCity_Status" hidden="1">OFFSET(luCountries,0,1)</definedName>
    <definedName name="LuCityPlusNone" hidden="1">OFFSET(tblTerritories!$C$2,0,0,tblTerritories!$B$2+1,1)</definedName>
    <definedName name="LuCountry" hidden="1">OFFSET(tblTerritories!$C$3,0,0,tblTerritories!$B$2,1)</definedName>
    <definedName name="luCountry_Status" hidden="1">OFFSET(luCountries,0,1)</definedName>
    <definedName name="LuCountryPlusNone" hidden="1">OFFSET(tblTerritories!$C$2,0,0,tblTerritories!$B$2+1,1)</definedName>
    <definedName name="luIndicators" hidden="1">tblIndiSets!$E$12:$E$81</definedName>
    <definedName name="luIndicators_Scatter" hidden="1">tblIndiSets!$C$5:$C$10</definedName>
    <definedName name="luIndiDetail" hidden="1">OFFSET(tblIndiSets!$E$680,0,0,tblIndiSets!$A$679,1)</definedName>
    <definedName name="LuIndiVar" hidden="1">OFFSET(tblIndiSets!$AB$4,0,0,tblIndiSets!$AA$2,1)</definedName>
    <definedName name="LuIndiVar_RC" hidden="1">OFFSET(tblIndiSets!$AX$4,0,0,tblIndiSets!$AR$3,1)</definedName>
    <definedName name="LuIndiVar_SC" hidden="1">OFFSET(tblIndiSets!$AS$4,0,0,tblIndiSets!#REF!,1)</definedName>
    <definedName name="LuRegion" hidden="1">OFFSET(tblIndiSets!#REF!,0,0,tblIndiSets!#REF!,1)</definedName>
    <definedName name="luRegionPlusNone" hidden="1">OFFSET(tblIndiSets!#REF!,0,0,tblIndiSets!#REF!+1,1)</definedName>
    <definedName name="luRegions" hidden="1">tblTerritories!$AU$4:$AU$13</definedName>
    <definedName name="luSectors" hidden="1">tblIndiSets!$B$267:$B$267</definedName>
    <definedName name="LuWeights" hidden="1">tblIndiSets!$B$256:$B$263</definedName>
    <definedName name="RC_Select_1" hidden="1">RegionCompare!$D$14:$E$18</definedName>
    <definedName name="RC_Select_2" hidden="1">OFFSET(RegionCompare!$E$28,0,0,RegionCompare!$B$27,1)</definedName>
    <definedName name="S_Country_Select" hidden="1">OFFSET(Summary1!$F$15,0,0,Summary1!$B$13,1),OFFSET(Summary1!$M$15,0,0,Summary1!$B$13,1),OFFSET(Summary1!$T$15,0,0,Summary1!$B$13,1),OFFSET(Summary1!$AA$15,0,0,Summary1!$B$13,1)</definedName>
    <definedName name="tblGroups" hidden="1">iScores!$AY$86:$CB$102</definedName>
    <definedName name="Weight_Change" hidden="1">Weights!$G$13:$G$16,Weights!$G$20:$G$22,Weights!$G$24:$G$29,Weights!$G$31:$G$34,Weights!$G$36:$G$39,Weights!$G$43:$G$106</definedName>
    <definedName name="WeightsValues" hidden="1">OFFSET(WeightsCode,0,4)</definedName>
  </definedNames>
  <calcPr calcId="162913"/>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U43" i="26" l="1"/>
  <c r="V43" i="26"/>
  <c r="W43" i="26" s="1"/>
  <c r="U44" i="26"/>
  <c r="V44" i="26"/>
  <c r="W44" i="26" s="1"/>
  <c r="U45" i="26"/>
  <c r="V45" i="26"/>
  <c r="W45" i="26" s="1"/>
  <c r="U46" i="26"/>
  <c r="V46" i="26"/>
  <c r="W46" i="26" s="1"/>
  <c r="U47" i="26"/>
  <c r="V47" i="26"/>
  <c r="W47" i="26" s="1"/>
  <c r="U48" i="26"/>
  <c r="V48" i="26"/>
  <c r="W48" i="26" s="1"/>
  <c r="U49" i="26"/>
  <c r="V49" i="26"/>
  <c r="W49" i="26" s="1"/>
  <c r="U50" i="26"/>
  <c r="V50" i="26"/>
  <c r="W50" i="26" s="1"/>
  <c r="U51" i="26"/>
  <c r="V51" i="26"/>
  <c r="W51" i="26" s="1"/>
  <c r="U52" i="26"/>
  <c r="V52" i="26"/>
  <c r="W52" i="26" s="1"/>
  <c r="U53" i="26"/>
  <c r="V53" i="26"/>
  <c r="W53" i="26" s="1"/>
  <c r="U54" i="26"/>
  <c r="V54" i="26"/>
  <c r="W54" i="26" s="1"/>
  <c r="U55" i="26"/>
  <c r="V55" i="26"/>
  <c r="W55" i="26" s="1"/>
  <c r="U56" i="26"/>
  <c r="V56" i="26"/>
  <c r="W56" i="26" s="1"/>
  <c r="U57" i="26"/>
  <c r="V57" i="26"/>
  <c r="W57" i="26" s="1"/>
  <c r="U58" i="26"/>
  <c r="V58" i="26"/>
  <c r="W58" i="26" s="1"/>
  <c r="U59" i="26"/>
  <c r="V59" i="26"/>
  <c r="U60" i="26"/>
  <c r="V60" i="26"/>
  <c r="W60" i="26" s="1"/>
  <c r="U61" i="26"/>
  <c r="V61" i="26"/>
  <c r="W61" i="26" s="1"/>
  <c r="U62" i="26"/>
  <c r="V62" i="26"/>
  <c r="W62" i="26" s="1"/>
  <c r="U63" i="26"/>
  <c r="V63" i="26"/>
  <c r="U64" i="26"/>
  <c r="V64" i="26"/>
  <c r="W64" i="26" s="1"/>
  <c r="U65" i="26"/>
  <c r="V65" i="26"/>
  <c r="W65" i="26" s="1"/>
  <c r="U66" i="26"/>
  <c r="V66" i="26"/>
  <c r="W66" i="26" s="1"/>
  <c r="U67" i="26"/>
  <c r="V67" i="26"/>
  <c r="U68" i="26"/>
  <c r="V68" i="26"/>
  <c r="W68" i="26" s="1"/>
  <c r="U69" i="26"/>
  <c r="V69" i="26"/>
  <c r="W69" i="26" s="1"/>
  <c r="U70" i="26"/>
  <c r="V70" i="26"/>
  <c r="W70" i="26" s="1"/>
  <c r="U71" i="26"/>
  <c r="V71" i="26"/>
  <c r="U72" i="26"/>
  <c r="V72" i="26"/>
  <c r="W72" i="26" s="1"/>
  <c r="U73" i="26"/>
  <c r="V73" i="26"/>
  <c r="W73" i="26" s="1"/>
  <c r="U74" i="26"/>
  <c r="V74" i="26"/>
  <c r="W74" i="26" s="1"/>
  <c r="U75" i="26"/>
  <c r="V75" i="26"/>
  <c r="U76" i="26"/>
  <c r="V76" i="26"/>
  <c r="W76" i="26" s="1"/>
  <c r="U77" i="26"/>
  <c r="V77" i="26"/>
  <c r="W77" i="26" s="1"/>
  <c r="U78" i="26"/>
  <c r="V78" i="26"/>
  <c r="W78" i="26" s="1"/>
  <c r="U79" i="26"/>
  <c r="V79" i="26"/>
  <c r="U80" i="26"/>
  <c r="V80" i="26"/>
  <c r="W80" i="26" s="1"/>
  <c r="U81" i="26"/>
  <c r="V81" i="26"/>
  <c r="W81" i="26" s="1"/>
  <c r="U82" i="26"/>
  <c r="V82" i="26"/>
  <c r="W82" i="26" s="1"/>
  <c r="U83" i="26"/>
  <c r="V83" i="26"/>
  <c r="U84" i="26"/>
  <c r="V84" i="26"/>
  <c r="W84" i="26" s="1"/>
  <c r="U85" i="26"/>
  <c r="V85" i="26"/>
  <c r="W85" i="26" s="1"/>
  <c r="U86" i="26"/>
  <c r="V86" i="26"/>
  <c r="W86" i="26" s="1"/>
  <c r="U87" i="26"/>
  <c r="V87" i="26"/>
  <c r="U88" i="26"/>
  <c r="V88" i="26"/>
  <c r="W88" i="26" s="1"/>
  <c r="U89" i="26"/>
  <c r="V89" i="26"/>
  <c r="W89" i="26" s="1"/>
  <c r="U90" i="26"/>
  <c r="V90" i="26"/>
  <c r="W90" i="26" s="1"/>
  <c r="U91" i="26"/>
  <c r="V91" i="26"/>
  <c r="U92" i="26"/>
  <c r="V92" i="26"/>
  <c r="W92" i="26" s="1"/>
  <c r="U93" i="26"/>
  <c r="V93" i="26"/>
  <c r="W93" i="26" s="1"/>
  <c r="U94" i="26"/>
  <c r="V94" i="26"/>
  <c r="W94" i="26" s="1"/>
  <c r="U95" i="26"/>
  <c r="V95" i="26"/>
  <c r="U96" i="26"/>
  <c r="V96" i="26"/>
  <c r="W96" i="26" s="1"/>
  <c r="U97" i="26"/>
  <c r="V97" i="26"/>
  <c r="W97" i="26" s="1"/>
  <c r="U98" i="26"/>
  <c r="V98" i="26"/>
  <c r="W98" i="26" s="1"/>
  <c r="U99" i="26"/>
  <c r="V99" i="26"/>
  <c r="U100" i="26"/>
  <c r="V100" i="26"/>
  <c r="W100" i="26" s="1"/>
  <c r="U101" i="26"/>
  <c r="V101" i="26"/>
  <c r="W101" i="26" s="1"/>
  <c r="U102" i="26"/>
  <c r="V102" i="26"/>
  <c r="W102" i="26" s="1"/>
  <c r="U103" i="26"/>
  <c r="V103" i="26"/>
  <c r="U104" i="26"/>
  <c r="V104" i="26"/>
  <c r="W104" i="26" s="1"/>
  <c r="U105" i="26"/>
  <c r="V105" i="26"/>
  <c r="W105" i="26" s="1"/>
  <c r="U106" i="26"/>
  <c r="V106" i="26"/>
  <c r="W106" i="26" s="1"/>
  <c r="P54" i="456"/>
  <c r="B48" i="456"/>
  <c r="B49" i="456"/>
  <c r="B50" i="456"/>
  <c r="B51" i="456"/>
  <c r="B52" i="456"/>
  <c r="B53" i="456"/>
  <c r="B54" i="456"/>
  <c r="B55" i="456"/>
  <c r="E57" i="420"/>
  <c r="L57" i="420"/>
  <c r="K57" i="420" s="1"/>
  <c r="E58" i="420"/>
  <c r="L58" i="420"/>
  <c r="K58" i="420" s="1"/>
  <c r="E59" i="420"/>
  <c r="E60" i="420"/>
  <c r="E61" i="420"/>
  <c r="L61" i="420"/>
  <c r="K61" i="420" s="1"/>
  <c r="E62" i="420"/>
  <c r="L62" i="420"/>
  <c r="K62" i="420" s="1"/>
  <c r="E63" i="420"/>
  <c r="L63" i="420"/>
  <c r="K63" i="420" s="1"/>
  <c r="E64" i="420"/>
  <c r="L64" i="420"/>
  <c r="K64" i="420" s="1"/>
  <c r="Q29" i="436"/>
  <c r="Q30" i="436"/>
  <c r="Q31" i="436"/>
  <c r="Q32" i="436"/>
  <c r="Q33" i="436"/>
  <c r="Q34" i="436"/>
  <c r="Q35" i="436"/>
  <c r="Q36" i="436"/>
  <c r="Q37" i="436"/>
  <c r="Q38" i="436"/>
  <c r="Q39" i="436"/>
  <c r="Q40" i="436"/>
  <c r="Q41" i="436"/>
  <c r="Q42" i="436"/>
  <c r="Q43" i="436"/>
  <c r="Q44" i="436"/>
  <c r="Q45" i="436"/>
  <c r="Q46" i="436"/>
  <c r="Q47" i="436"/>
  <c r="Q48" i="436"/>
  <c r="Q49" i="436"/>
  <c r="Q50" i="436"/>
  <c r="Q51" i="436"/>
  <c r="Q52" i="436"/>
  <c r="Q53" i="436"/>
  <c r="Q54" i="436"/>
  <c r="Q55" i="436"/>
  <c r="Q56" i="436"/>
  <c r="Q57" i="436"/>
  <c r="Q58" i="436"/>
  <c r="Q59" i="436"/>
  <c r="Q60" i="436"/>
  <c r="Q61" i="436"/>
  <c r="Q62" i="436"/>
  <c r="Q63" i="436"/>
  <c r="Q64" i="436"/>
  <c r="Q65" i="436"/>
  <c r="Q66" i="436"/>
  <c r="Q67" i="436"/>
  <c r="Q68" i="436"/>
  <c r="Q69" i="436"/>
  <c r="Q70" i="436"/>
  <c r="Q71" i="436"/>
  <c r="Q72" i="436"/>
  <c r="Q73" i="436"/>
  <c r="Q74" i="436"/>
  <c r="Q75" i="436"/>
  <c r="Q76" i="436"/>
  <c r="Q77" i="436"/>
  <c r="Q78" i="436"/>
  <c r="Q79" i="436"/>
  <c r="Q80" i="436"/>
  <c r="Q81" i="436"/>
  <c r="Q82" i="436"/>
  <c r="Q83" i="436"/>
  <c r="Q84" i="436"/>
  <c r="Q85" i="436"/>
  <c r="Q86" i="436"/>
  <c r="Q87" i="436"/>
  <c r="Q88" i="436"/>
  <c r="Q89" i="436"/>
  <c r="Q90" i="436"/>
  <c r="Q91" i="436"/>
  <c r="DL52" i="434"/>
  <c r="DL53" i="434"/>
  <c r="DL54" i="434"/>
  <c r="DL55" i="434"/>
  <c r="DL56" i="434"/>
  <c r="DL57" i="434"/>
  <c r="DL58" i="434"/>
  <c r="DL59" i="434"/>
  <c r="DL60" i="434"/>
  <c r="DL61" i="434"/>
  <c r="DL62" i="434"/>
  <c r="DL63" i="434"/>
  <c r="DL64" i="434"/>
  <c r="DL65" i="434"/>
  <c r="DL66" i="434"/>
  <c r="DL67" i="434"/>
  <c r="DL68" i="434"/>
  <c r="DL69" i="434"/>
  <c r="DL70" i="434"/>
  <c r="DL71" i="434"/>
  <c r="DL72" i="434"/>
  <c r="DL73" i="434"/>
  <c r="DL74" i="434"/>
  <c r="DL75" i="434"/>
  <c r="DL76" i="434"/>
  <c r="DL77" i="434"/>
  <c r="DL78" i="434"/>
  <c r="DL79" i="434"/>
  <c r="DL80" i="434"/>
  <c r="DL81" i="434"/>
  <c r="DL82" i="434"/>
  <c r="DL83" i="434"/>
  <c r="DL84" i="434"/>
  <c r="DL85" i="434"/>
  <c r="DL86" i="434"/>
  <c r="DL87" i="434"/>
  <c r="DL88" i="434"/>
  <c r="DL89" i="434"/>
  <c r="DL90" i="434"/>
  <c r="DL91" i="434"/>
  <c r="DL92" i="434"/>
  <c r="DL93" i="434"/>
  <c r="DL94" i="434"/>
  <c r="DL95" i="434"/>
  <c r="DL96" i="434"/>
  <c r="DL97" i="434"/>
  <c r="DL98" i="434"/>
  <c r="DL99" i="434"/>
  <c r="DL100" i="434"/>
  <c r="DL101" i="434"/>
  <c r="DL102" i="434"/>
  <c r="DL103" i="434"/>
  <c r="DL104" i="434"/>
  <c r="DL105" i="434"/>
  <c r="DL106" i="434"/>
  <c r="DL107" i="434"/>
  <c r="DL108" i="434"/>
  <c r="DL109" i="434"/>
  <c r="DL110" i="434"/>
  <c r="B57" i="108"/>
  <c r="B51" i="108"/>
  <c r="C90" i="26"/>
  <c r="C90" i="27" s="1"/>
  <c r="A161" i="5"/>
  <c r="A162" i="5"/>
  <c r="A155" i="5"/>
  <c r="A156" i="5"/>
  <c r="C85" i="26" s="1"/>
  <c r="A157" i="5"/>
  <c r="A76" i="5"/>
  <c r="A77" i="5"/>
  <c r="A78" i="5"/>
  <c r="A79" i="5"/>
  <c r="A80" i="5"/>
  <c r="A81" i="5"/>
  <c r="A51" i="5"/>
  <c r="A52" i="5"/>
  <c r="A53" i="5"/>
  <c r="A54" i="5"/>
  <c r="A55" i="5"/>
  <c r="A56" i="5"/>
  <c r="A57" i="5"/>
  <c r="A58" i="5"/>
  <c r="A59" i="5"/>
  <c r="A60" i="5"/>
  <c r="A61" i="5"/>
  <c r="A62" i="5"/>
  <c r="A63" i="5"/>
  <c r="A64" i="5"/>
  <c r="A65" i="5"/>
  <c r="A66" i="5"/>
  <c r="A67" i="5"/>
  <c r="A68" i="5"/>
  <c r="A69" i="5"/>
  <c r="A70" i="5"/>
  <c r="A71" i="5"/>
  <c r="A72" i="5"/>
  <c r="A73" i="5"/>
  <c r="A74" i="5"/>
  <c r="A75" i="5"/>
  <c r="AE75" i="5"/>
  <c r="AE76" i="5"/>
  <c r="AE77" i="5"/>
  <c r="AE78" i="5"/>
  <c r="AE74" i="5"/>
  <c r="AE50" i="5"/>
  <c r="AE51" i="5"/>
  <c r="AE52" i="5"/>
  <c r="AE53" i="5"/>
  <c r="AE54" i="5"/>
  <c r="AE55" i="5"/>
  <c r="AE56" i="5"/>
  <c r="AE57" i="5"/>
  <c r="AE58" i="5"/>
  <c r="AE59" i="5"/>
  <c r="AE60" i="5"/>
  <c r="AE61" i="5"/>
  <c r="AE62" i="5"/>
  <c r="AE63" i="5"/>
  <c r="AE64" i="5"/>
  <c r="AE65" i="5"/>
  <c r="AE66" i="5"/>
  <c r="AE67" i="5"/>
  <c r="AE68" i="5"/>
  <c r="AE69" i="5"/>
  <c r="AE70" i="5"/>
  <c r="AE71" i="5"/>
  <c r="AE72" i="5"/>
  <c r="AE73" i="5"/>
  <c r="C58" i="236"/>
  <c r="F58" i="236"/>
  <c r="H58" i="236"/>
  <c r="I58" i="236"/>
  <c r="J58" i="236"/>
  <c r="C52" i="236"/>
  <c r="F52" i="236"/>
  <c r="H52" i="236"/>
  <c r="I52" i="236"/>
  <c r="J52" i="236"/>
  <c r="D58" i="235"/>
  <c r="E58" i="235"/>
  <c r="G58" i="235"/>
  <c r="AP58" i="235"/>
  <c r="AQ58" i="235"/>
  <c r="AR58" i="235"/>
  <c r="AS58" i="235"/>
  <c r="AT58" i="235"/>
  <c r="AU58" i="235"/>
  <c r="AV58" i="235"/>
  <c r="AW58" i="235"/>
  <c r="AX58" i="235"/>
  <c r="AY58" i="235"/>
  <c r="AZ58" i="235"/>
  <c r="BA58" i="235"/>
  <c r="BB58" i="235"/>
  <c r="BC58" i="235"/>
  <c r="BD58" i="235"/>
  <c r="BE58" i="235"/>
  <c r="BF58" i="235"/>
  <c r="BG58" i="235"/>
  <c r="BH58" i="235"/>
  <c r="BI58" i="235"/>
  <c r="BJ58" i="235"/>
  <c r="BK58" i="235"/>
  <c r="BL58" i="235"/>
  <c r="BM58" i="235"/>
  <c r="BN58" i="235"/>
  <c r="BO58" i="235"/>
  <c r="BP58" i="235"/>
  <c r="BQ58" i="235"/>
  <c r="BR58" i="235"/>
  <c r="BS58" i="235"/>
  <c r="D52" i="235"/>
  <c r="E52" i="235"/>
  <c r="G52" i="235"/>
  <c r="AP52" i="235"/>
  <c r="AQ52" i="235"/>
  <c r="AR52" i="235"/>
  <c r="AS52" i="235"/>
  <c r="AT52" i="235"/>
  <c r="AU52" i="235"/>
  <c r="AV52" i="235"/>
  <c r="AW52" i="235"/>
  <c r="AX52" i="235"/>
  <c r="AY52" i="235"/>
  <c r="AZ52" i="235"/>
  <c r="BA52" i="235"/>
  <c r="BB52" i="235"/>
  <c r="BC52" i="235"/>
  <c r="BD52" i="235"/>
  <c r="BE52" i="235"/>
  <c r="BF52" i="235"/>
  <c r="BG52" i="235"/>
  <c r="BH52" i="235"/>
  <c r="BI52" i="235"/>
  <c r="BJ52" i="235"/>
  <c r="BK52" i="235"/>
  <c r="BL52" i="235"/>
  <c r="BM52" i="235"/>
  <c r="BN52" i="235"/>
  <c r="BO52" i="235"/>
  <c r="BP52" i="235"/>
  <c r="BQ52" i="235"/>
  <c r="BR52" i="235"/>
  <c r="BS52" i="235"/>
  <c r="C54" i="234"/>
  <c r="E54" i="234"/>
  <c r="D58" i="236" s="1"/>
  <c r="I54" i="234"/>
  <c r="AL54" i="234" s="1"/>
  <c r="D57" i="108" s="1"/>
  <c r="E57" i="108" s="1"/>
  <c r="J54" i="234"/>
  <c r="AM54" i="234" s="1"/>
  <c r="N58" i="236" s="1"/>
  <c r="N63" i="420" s="1"/>
  <c r="K54" i="234"/>
  <c r="M54" i="234"/>
  <c r="O54" i="234" s="1"/>
  <c r="P54" i="234"/>
  <c r="S54" i="234"/>
  <c r="W54" i="234"/>
  <c r="Z54" i="234"/>
  <c r="AA54" i="234"/>
  <c r="AB54" i="234"/>
  <c r="AF54" i="234" s="1"/>
  <c r="G58" i="236" s="1"/>
  <c r="AD54" i="234"/>
  <c r="C58" i="235" s="1"/>
  <c r="AN54" i="234"/>
  <c r="AT54" i="234"/>
  <c r="AU54" i="234"/>
  <c r="AV54" i="234"/>
  <c r="AW54" i="234"/>
  <c r="AX54" i="234"/>
  <c r="C48" i="234"/>
  <c r="E48" i="234"/>
  <c r="D52" i="236" s="1"/>
  <c r="I48" i="234"/>
  <c r="AL48" i="234" s="1"/>
  <c r="D51" i="108" s="1"/>
  <c r="E51" i="108" s="1"/>
  <c r="J48" i="234"/>
  <c r="AM48" i="234" s="1"/>
  <c r="N52" i="236" s="1"/>
  <c r="N57" i="420" s="1"/>
  <c r="K48" i="234"/>
  <c r="M48" i="234"/>
  <c r="O48" i="234" s="1"/>
  <c r="P48" i="234"/>
  <c r="S48" i="234"/>
  <c r="V48" i="234"/>
  <c r="W48" i="234"/>
  <c r="Z48" i="234"/>
  <c r="AA48" i="234"/>
  <c r="AB48" i="234"/>
  <c r="AF48" i="234" s="1"/>
  <c r="G52" i="236" s="1"/>
  <c r="AD48" i="234"/>
  <c r="AN48" i="234"/>
  <c r="AT48" i="234"/>
  <c r="AU48" i="234"/>
  <c r="AV48" i="234"/>
  <c r="AW48" i="234"/>
  <c r="AX48" i="234"/>
  <c r="P48" i="456"/>
  <c r="AF69" i="234"/>
  <c r="AF67" i="234"/>
  <c r="AF63" i="234"/>
  <c r="AF59" i="234"/>
  <c r="AF58" i="234"/>
  <c r="AF55" i="234"/>
  <c r="AF49" i="234"/>
  <c r="AF43" i="234"/>
  <c r="AF39" i="234"/>
  <c r="AF38" i="234"/>
  <c r="AF35" i="234"/>
  <c r="AF33" i="234"/>
  <c r="AF29" i="234"/>
  <c r="AF26" i="234"/>
  <c r="AF22" i="234"/>
  <c r="AF18" i="234"/>
  <c r="AF17" i="234"/>
  <c r="AF14" i="234"/>
  <c r="AF9" i="234"/>
  <c r="AF4" i="234"/>
  <c r="AF3" i="234"/>
  <c r="AF2" i="234"/>
  <c r="S77" i="234"/>
  <c r="S76" i="234"/>
  <c r="S75" i="234"/>
  <c r="S74" i="234"/>
  <c r="S73" i="234"/>
  <c r="S72" i="234"/>
  <c r="S71" i="234"/>
  <c r="S70" i="234"/>
  <c r="S69" i="234"/>
  <c r="S68" i="234"/>
  <c r="S67" i="234"/>
  <c r="S66" i="234"/>
  <c r="S65" i="234"/>
  <c r="S64" i="234"/>
  <c r="S63" i="234"/>
  <c r="S62" i="234"/>
  <c r="S61" i="234"/>
  <c r="S60" i="234"/>
  <c r="S59" i="234"/>
  <c r="S58" i="234"/>
  <c r="S57" i="234"/>
  <c r="S56" i="234"/>
  <c r="S55" i="234"/>
  <c r="S53" i="234"/>
  <c r="S52" i="234"/>
  <c r="S51" i="234"/>
  <c r="S50" i="234"/>
  <c r="S49" i="234"/>
  <c r="S47" i="234"/>
  <c r="S46" i="234"/>
  <c r="S45" i="234"/>
  <c r="S44" i="234"/>
  <c r="S43" i="234"/>
  <c r="S42" i="234"/>
  <c r="S41" i="234"/>
  <c r="S40" i="234"/>
  <c r="S39" i="234"/>
  <c r="S38" i="234"/>
  <c r="S37" i="234"/>
  <c r="S36" i="234"/>
  <c r="S35" i="234"/>
  <c r="S34" i="234"/>
  <c r="S33" i="234"/>
  <c r="S32" i="234"/>
  <c r="S31" i="234"/>
  <c r="S30" i="234"/>
  <c r="S29" i="234"/>
  <c r="S28" i="234"/>
  <c r="S27" i="234"/>
  <c r="S26" i="234"/>
  <c r="S25" i="234"/>
  <c r="S24" i="234"/>
  <c r="S23" i="234"/>
  <c r="S22" i="234"/>
  <c r="S21" i="234"/>
  <c r="S20" i="234"/>
  <c r="S19" i="234"/>
  <c r="S18" i="234"/>
  <c r="S17" i="234"/>
  <c r="S16" i="234"/>
  <c r="S15" i="234"/>
  <c r="S14" i="234"/>
  <c r="S13" i="234"/>
  <c r="S12" i="234"/>
  <c r="S11" i="234"/>
  <c r="S10" i="234"/>
  <c r="S9" i="234"/>
  <c r="S8" i="234"/>
  <c r="S7" i="234"/>
  <c r="S6" i="234"/>
  <c r="S5" i="234"/>
  <c r="S4" i="234"/>
  <c r="S3" i="234"/>
  <c r="S2" i="234"/>
  <c r="I58" i="235" l="1"/>
  <c r="I52" i="235"/>
  <c r="A93" i="434"/>
  <c r="A74" i="437"/>
  <c r="C57" i="108"/>
  <c r="A87" i="434"/>
  <c r="A68" i="437"/>
  <c r="C51" i="108"/>
  <c r="C84" i="26"/>
  <c r="C84" i="27" s="1"/>
  <c r="C91" i="26"/>
  <c r="L60" i="420"/>
  <c r="K60" i="420" s="1"/>
  <c r="F63" i="420"/>
  <c r="F57" i="420"/>
  <c r="L59" i="420"/>
  <c r="K59" i="420" s="1"/>
  <c r="W91" i="26"/>
  <c r="W75" i="26"/>
  <c r="W59" i="26"/>
  <c r="W71" i="26"/>
  <c r="W103" i="26"/>
  <c r="W95" i="26"/>
  <c r="W87" i="26"/>
  <c r="W99" i="26"/>
  <c r="W83" i="26"/>
  <c r="W67" i="26"/>
  <c r="W79" i="26"/>
  <c r="W63" i="26"/>
  <c r="AC54" i="234"/>
  <c r="H63" i="420" s="1"/>
  <c r="V58" i="235"/>
  <c r="AK58" i="235"/>
  <c r="AG58" i="235"/>
  <c r="AC58" i="235"/>
  <c r="O58" i="235"/>
  <c r="W58" i="235"/>
  <c r="AE58" i="235"/>
  <c r="AM58" i="235"/>
  <c r="R58" i="235"/>
  <c r="Z58" i="235"/>
  <c r="AH58" i="235"/>
  <c r="K58" i="235"/>
  <c r="S58" i="235"/>
  <c r="AA58" i="235"/>
  <c r="AI58" i="235"/>
  <c r="N58" i="235"/>
  <c r="AL58" i="235"/>
  <c r="Y58" i="235"/>
  <c r="U58" i="235"/>
  <c r="Q58" i="235"/>
  <c r="M58" i="235"/>
  <c r="AD58" i="235"/>
  <c r="AN58" i="235"/>
  <c r="AJ58" i="235"/>
  <c r="AF58" i="235"/>
  <c r="AB58" i="235"/>
  <c r="X58" i="235"/>
  <c r="T58" i="235"/>
  <c r="P58" i="235"/>
  <c r="L58" i="235"/>
  <c r="AC48" i="234"/>
  <c r="H57" i="420" s="1"/>
  <c r="C52" i="235"/>
  <c r="AN52" i="235" s="1"/>
  <c r="H58" i="235"/>
  <c r="H52" i="235"/>
  <c r="F14" i="460"/>
  <c r="P6" i="456"/>
  <c r="P7" i="456"/>
  <c r="P8" i="456"/>
  <c r="P9" i="456"/>
  <c r="P10" i="456"/>
  <c r="P11" i="456"/>
  <c r="P12" i="456"/>
  <c r="P13" i="456"/>
  <c r="P14" i="456"/>
  <c r="P15" i="456"/>
  <c r="P16" i="456"/>
  <c r="P17" i="456"/>
  <c r="P18" i="456"/>
  <c r="P19" i="456"/>
  <c r="P20" i="456"/>
  <c r="P21" i="456"/>
  <c r="P22" i="456"/>
  <c r="P23" i="456"/>
  <c r="P24" i="456"/>
  <c r="P25" i="456"/>
  <c r="P26" i="456"/>
  <c r="P27" i="456"/>
  <c r="P28" i="456"/>
  <c r="P29" i="456"/>
  <c r="P30" i="456"/>
  <c r="P31" i="456"/>
  <c r="P32" i="456"/>
  <c r="P33" i="456"/>
  <c r="P34" i="456"/>
  <c r="P35" i="456"/>
  <c r="P36" i="456"/>
  <c r="P37" i="456"/>
  <c r="P38" i="456"/>
  <c r="P39" i="456"/>
  <c r="P40" i="456"/>
  <c r="P41" i="456"/>
  <c r="P42" i="456"/>
  <c r="P43" i="456"/>
  <c r="P44" i="456"/>
  <c r="P45" i="456"/>
  <c r="P46" i="456"/>
  <c r="P47" i="456"/>
  <c r="P49" i="456"/>
  <c r="P50" i="456"/>
  <c r="P51" i="456"/>
  <c r="P52" i="456"/>
  <c r="P53" i="456"/>
  <c r="P55" i="456"/>
  <c r="P56" i="456"/>
  <c r="P57" i="456"/>
  <c r="P58" i="456"/>
  <c r="P59" i="456"/>
  <c r="P60" i="456"/>
  <c r="P61" i="456"/>
  <c r="P62" i="456"/>
  <c r="P63" i="456"/>
  <c r="P64" i="456"/>
  <c r="P65" i="456"/>
  <c r="P66" i="456"/>
  <c r="P67" i="456"/>
  <c r="P68" i="456"/>
  <c r="P69" i="456"/>
  <c r="P70" i="456"/>
  <c r="P71" i="456"/>
  <c r="P72" i="456"/>
  <c r="P73" i="456"/>
  <c r="P74" i="456"/>
  <c r="P75" i="456"/>
  <c r="P76" i="456"/>
  <c r="P77" i="456"/>
  <c r="P5" i="456"/>
  <c r="AP4" i="5"/>
  <c r="AN4" i="5"/>
  <c r="AN5" i="5" s="1"/>
  <c r="AN6" i="5" s="1"/>
  <c r="AN7" i="5" s="1"/>
  <c r="AN8" i="5" s="1"/>
  <c r="AN9" i="5" s="1"/>
  <c r="AN10" i="5" s="1"/>
  <c r="AN11" i="5" s="1"/>
  <c r="AN12" i="5" s="1"/>
  <c r="AN13" i="5" s="1"/>
  <c r="AN14" i="5" s="1"/>
  <c r="AN15" i="5" s="1"/>
  <c r="AN16" i="5" s="1"/>
  <c r="AN17" i="5" s="1"/>
  <c r="AN18" i="5" s="1"/>
  <c r="AN19" i="5" s="1"/>
  <c r="AN20" i="5" s="1"/>
  <c r="AN21" i="5" s="1"/>
  <c r="AN22" i="5" s="1"/>
  <c r="AN23" i="5" s="1"/>
  <c r="AN24" i="5" s="1"/>
  <c r="AN25" i="5" s="1"/>
  <c r="AN26" i="5" s="1"/>
  <c r="AN27" i="5" s="1"/>
  <c r="AN28" i="5" s="1"/>
  <c r="AN29" i="5" s="1"/>
  <c r="AN30" i="5" s="1"/>
  <c r="AN31" i="5" s="1"/>
  <c r="AN32" i="5" s="1"/>
  <c r="AN33" i="5" s="1"/>
  <c r="AN34" i="5" s="1"/>
  <c r="AN35" i="5" s="1"/>
  <c r="AN36" i="5" s="1"/>
  <c r="AN37" i="5" s="1"/>
  <c r="AN38" i="5" s="1"/>
  <c r="AN39" i="5" s="1"/>
  <c r="AN40" i="5" s="1"/>
  <c r="AN41" i="5" s="1"/>
  <c r="AN42" i="5" s="1"/>
  <c r="AN43" i="5" s="1"/>
  <c r="AN44" i="5" s="1"/>
  <c r="AN45" i="5" s="1"/>
  <c r="AN46" i="5" s="1"/>
  <c r="AN47" i="5" s="1"/>
  <c r="AN48" i="5" s="1"/>
  <c r="AN49" i="5" s="1"/>
  <c r="AN50" i="5" s="1"/>
  <c r="AN51" i="5" s="1"/>
  <c r="AN52" i="5" s="1"/>
  <c r="AN53" i="5" s="1"/>
  <c r="AN54" i="5" s="1"/>
  <c r="AN55" i="5" s="1"/>
  <c r="AN56" i="5" s="1"/>
  <c r="AN57" i="5" s="1"/>
  <c r="AN58" i="5" s="1"/>
  <c r="AN59" i="5" s="1"/>
  <c r="AN60" i="5" s="1"/>
  <c r="AN61" i="5" s="1"/>
  <c r="AN62" i="5" s="1"/>
  <c r="AN63" i="5" s="1"/>
  <c r="AN64" i="5" s="1"/>
  <c r="AN65" i="5" s="1"/>
  <c r="AN66" i="5" s="1"/>
  <c r="AN67" i="5" s="1"/>
  <c r="AN68" i="5" s="1"/>
  <c r="AN69" i="5" s="1"/>
  <c r="AN70" i="5" s="1"/>
  <c r="AN71" i="5" s="1"/>
  <c r="AN72" i="5" s="1"/>
  <c r="AN73" i="5" s="1"/>
  <c r="AN74" i="5" s="1"/>
  <c r="AN75" i="5" s="1"/>
  <c r="AN76" i="5" s="1"/>
  <c r="AN77" i="5" s="1"/>
  <c r="AN78" i="5" s="1"/>
  <c r="AN79" i="5" s="1"/>
  <c r="AN80" i="5" s="1"/>
  <c r="AN81" i="5" s="1"/>
  <c r="AN82" i="5" s="1"/>
  <c r="AN83" i="5" s="1"/>
  <c r="AN84" i="5" s="1"/>
  <c r="AN85" i="5" s="1"/>
  <c r="AN86" i="5" s="1"/>
  <c r="AN87" i="5" s="1"/>
  <c r="AN88" i="5" s="1"/>
  <c r="AN89" i="5" s="1"/>
  <c r="AN90" i="5" s="1"/>
  <c r="AN91" i="5" s="1"/>
  <c r="AN92" i="5" s="1"/>
  <c r="AN93" i="5" s="1"/>
  <c r="AN94" i="5" s="1"/>
  <c r="AN95" i="5" s="1"/>
  <c r="AN96" i="5" s="1"/>
  <c r="AN97" i="5" s="1"/>
  <c r="AN98" i="5" s="1"/>
  <c r="AN99" i="5" s="1"/>
  <c r="AN100" i="5" s="1"/>
  <c r="AN101" i="5" s="1"/>
  <c r="AN102" i="5" s="1"/>
  <c r="AN103" i="5" s="1"/>
  <c r="AN104" i="5" s="1"/>
  <c r="AN105" i="5" s="1"/>
  <c r="AN106" i="5" s="1"/>
  <c r="AM4" i="5"/>
  <c r="AM5" i="5" s="1"/>
  <c r="AM6" i="5" s="1"/>
  <c r="AM7" i="5" s="1"/>
  <c r="AM8" i="5" s="1"/>
  <c r="AM9" i="5" s="1"/>
  <c r="AM10" i="5" s="1"/>
  <c r="AM11" i="5" s="1"/>
  <c r="AM12" i="5" s="1"/>
  <c r="AM13" i="5" s="1"/>
  <c r="AM14" i="5" s="1"/>
  <c r="AM15" i="5" s="1"/>
  <c r="AM16" i="5" s="1"/>
  <c r="AM17" i="5" s="1"/>
  <c r="AM18" i="5" s="1"/>
  <c r="AM19" i="5" s="1"/>
  <c r="AM20" i="5" s="1"/>
  <c r="AM21" i="5" s="1"/>
  <c r="AM22" i="5" s="1"/>
  <c r="AM23" i="5" s="1"/>
  <c r="AM24" i="5" s="1"/>
  <c r="AM25" i="5" s="1"/>
  <c r="AM26" i="5" s="1"/>
  <c r="AM27" i="5" s="1"/>
  <c r="AM28" i="5" s="1"/>
  <c r="AM29" i="5" s="1"/>
  <c r="AM30" i="5" s="1"/>
  <c r="AM31" i="5" s="1"/>
  <c r="AM32" i="5" s="1"/>
  <c r="AM33" i="5" s="1"/>
  <c r="AM34" i="5" s="1"/>
  <c r="AM35" i="5" s="1"/>
  <c r="AM36" i="5" s="1"/>
  <c r="AM37" i="5" s="1"/>
  <c r="AM38" i="5" s="1"/>
  <c r="AM39" i="5" s="1"/>
  <c r="AM40" i="5" s="1"/>
  <c r="AM41" i="5" s="1"/>
  <c r="AM42" i="5" s="1"/>
  <c r="AM43" i="5" s="1"/>
  <c r="AM44" i="5" s="1"/>
  <c r="AM45" i="5" s="1"/>
  <c r="AM46" i="5" s="1"/>
  <c r="AM47" i="5" s="1"/>
  <c r="AM48" i="5" s="1"/>
  <c r="AM49" i="5" s="1"/>
  <c r="AM50" i="5" s="1"/>
  <c r="AM51" i="5" s="1"/>
  <c r="AM52" i="5" s="1"/>
  <c r="AM53" i="5" s="1"/>
  <c r="AM54" i="5" s="1"/>
  <c r="AM55" i="5" s="1"/>
  <c r="AM56" i="5" s="1"/>
  <c r="AM57" i="5" s="1"/>
  <c r="AM58" i="5" s="1"/>
  <c r="AM59" i="5" s="1"/>
  <c r="AM60" i="5" s="1"/>
  <c r="AM61" i="5" s="1"/>
  <c r="AM62" i="5" s="1"/>
  <c r="AM63" i="5" s="1"/>
  <c r="AM64" i="5" s="1"/>
  <c r="AM65" i="5" s="1"/>
  <c r="AM66" i="5" s="1"/>
  <c r="AM67" i="5" s="1"/>
  <c r="AM68" i="5" s="1"/>
  <c r="AM69" i="5" s="1"/>
  <c r="AM70" i="5" s="1"/>
  <c r="AM71" i="5" s="1"/>
  <c r="AM72" i="5" s="1"/>
  <c r="AM73" i="5" s="1"/>
  <c r="AM74" i="5" s="1"/>
  <c r="AM75" i="5" s="1"/>
  <c r="AM76" i="5" s="1"/>
  <c r="AM77" i="5" s="1"/>
  <c r="AM78" i="5" s="1"/>
  <c r="AM79" i="5" s="1"/>
  <c r="AM80" i="5" s="1"/>
  <c r="AM81" i="5" s="1"/>
  <c r="AM82" i="5" s="1"/>
  <c r="AM83" i="5" s="1"/>
  <c r="AM84" i="5" s="1"/>
  <c r="AM85" i="5" s="1"/>
  <c r="AM86" i="5" s="1"/>
  <c r="AM87" i="5" s="1"/>
  <c r="AM88" i="5" s="1"/>
  <c r="AM89" i="5" s="1"/>
  <c r="AM90" i="5" s="1"/>
  <c r="AM91" i="5" s="1"/>
  <c r="AM92" i="5" s="1"/>
  <c r="AM93" i="5" s="1"/>
  <c r="AM94" i="5" s="1"/>
  <c r="AM95" i="5" s="1"/>
  <c r="AM96" i="5" s="1"/>
  <c r="AM97" i="5" s="1"/>
  <c r="AM98" i="5" s="1"/>
  <c r="AM99" i="5" s="1"/>
  <c r="AM100" i="5" s="1"/>
  <c r="AM101" i="5" s="1"/>
  <c r="AM102" i="5" s="1"/>
  <c r="AM103" i="5" s="1"/>
  <c r="AM104" i="5" s="1"/>
  <c r="AM105" i="5" s="1"/>
  <c r="AM106" i="5" s="1"/>
  <c r="Q52" i="235" l="1"/>
  <c r="X52" i="235"/>
  <c r="L58" i="236" a="1"/>
  <c r="L58" i="236" s="1"/>
  <c r="M58" i="236" s="1"/>
  <c r="AR58" i="236" s="1" a="1"/>
  <c r="AR58" i="236" s="1"/>
  <c r="BY58" i="236" s="1"/>
  <c r="K58" i="236" a="1"/>
  <c r="K58" i="236" s="1"/>
  <c r="T58" i="236" s="1" a="1"/>
  <c r="T58" i="236" s="1"/>
  <c r="BA58" i="236" s="1"/>
  <c r="O52" i="235"/>
  <c r="R52" i="235"/>
  <c r="Z52" i="235"/>
  <c r="AH52" i="235"/>
  <c r="K52" i="235"/>
  <c r="S52" i="235"/>
  <c r="AA52" i="235"/>
  <c r="AI52" i="235"/>
  <c r="N52" i="235"/>
  <c r="AE52" i="235"/>
  <c r="V52" i="235"/>
  <c r="W52" i="235"/>
  <c r="AL52" i="235"/>
  <c r="AM52" i="235"/>
  <c r="AD52" i="235"/>
  <c r="L52" i="235"/>
  <c r="AB52" i="235"/>
  <c r="U52" i="235"/>
  <c r="P52" i="235"/>
  <c r="AF52" i="235"/>
  <c r="AC52" i="235"/>
  <c r="Y52" i="235"/>
  <c r="T52" i="235"/>
  <c r="AJ52" i="235"/>
  <c r="M52" i="235"/>
  <c r="AG52" i="235"/>
  <c r="AK52" i="235"/>
  <c r="AP5" i="5"/>
  <c r="Y58" i="236" l="1" a="1"/>
  <c r="Y58" i="236" s="1"/>
  <c r="BF58" i="236" s="1"/>
  <c r="AK58" i="236" a="1"/>
  <c r="AK58" i="236" s="1"/>
  <c r="BR58" i="236" s="1"/>
  <c r="AG58" i="236" a="1"/>
  <c r="AG58" i="236" s="1"/>
  <c r="BN58" i="236" s="1"/>
  <c r="AI58" i="236" a="1"/>
  <c r="AI58" i="236" s="1"/>
  <c r="BP58" i="236" s="1"/>
  <c r="AP58" i="236" a="1"/>
  <c r="AP58" i="236" s="1"/>
  <c r="BW58" i="236" s="1"/>
  <c r="AE58" i="236" a="1"/>
  <c r="AE58" i="236" s="1"/>
  <c r="BL58" i="236" s="1"/>
  <c r="AQ58" i="236" a="1"/>
  <c r="AQ58" i="236" s="1"/>
  <c r="BX58" i="236" s="1"/>
  <c r="Z58" i="236" a="1"/>
  <c r="Z58" i="236" s="1"/>
  <c r="BG58" i="236" s="1"/>
  <c r="AM58" i="236" a="1"/>
  <c r="AM58" i="236" s="1"/>
  <c r="BT58" i="236" s="1"/>
  <c r="AH58" i="236" a="1"/>
  <c r="AH58" i="236" s="1"/>
  <c r="BO58" i="236" s="1"/>
  <c r="S58" i="236" a="1"/>
  <c r="S58" i="236" s="1"/>
  <c r="AZ58" i="236" s="1"/>
  <c r="AN58" i="236" a="1"/>
  <c r="AN58" i="236" s="1"/>
  <c r="BU58" i="236" s="1"/>
  <c r="AT58" i="236" a="1"/>
  <c r="AT58" i="236" s="1"/>
  <c r="CA58" i="236" s="1"/>
  <c r="U58" i="236" a="1"/>
  <c r="U58" i="236" s="1"/>
  <c r="BB58" i="236" s="1"/>
  <c r="AA58" i="236" a="1"/>
  <c r="AA58" i="236" s="1"/>
  <c r="BH58" i="236" s="1"/>
  <c r="AJ58" i="236" a="1"/>
  <c r="AJ58" i="236" s="1"/>
  <c r="BQ58" i="236" s="1"/>
  <c r="AS58" i="236" a="1"/>
  <c r="AS58" i="236" s="1"/>
  <c r="BZ58" i="236" s="1"/>
  <c r="W58" i="236" a="1"/>
  <c r="W58" i="236" s="1"/>
  <c r="BD58" i="236" s="1"/>
  <c r="AB58" i="236" a="1"/>
  <c r="AB58" i="236" s="1"/>
  <c r="BI58" i="236" s="1"/>
  <c r="AL58" i="236" a="1"/>
  <c r="AL58" i="236" s="1"/>
  <c r="BS58" i="236" s="1"/>
  <c r="X58" i="236" a="1"/>
  <c r="X58" i="236" s="1"/>
  <c r="BE58" i="236" s="1"/>
  <c r="V58" i="236" a="1"/>
  <c r="V58" i="236" s="1"/>
  <c r="BC58" i="236" s="1"/>
  <c r="AF58" i="236" a="1"/>
  <c r="AF58" i="236" s="1"/>
  <c r="BM58" i="236" s="1"/>
  <c r="AD58" i="236" a="1"/>
  <c r="AD58" i="236" s="1"/>
  <c r="BK58" i="236" s="1"/>
  <c r="AC58" i="236" a="1"/>
  <c r="AC58" i="236" s="1"/>
  <c r="BJ58" i="236" s="1"/>
  <c r="AO58" i="236" a="1"/>
  <c r="AO58" i="236" s="1"/>
  <c r="BV58" i="236" s="1"/>
  <c r="AU58" i="236" a="1"/>
  <c r="AU58" i="236" s="1"/>
  <c r="CB58" i="236" s="1"/>
  <c r="R58" i="236" a="1"/>
  <c r="R58" i="236" s="1"/>
  <c r="AY58" i="236" s="1"/>
  <c r="L52" i="236" a="1"/>
  <c r="L52" i="236" s="1"/>
  <c r="K52" i="236" a="1"/>
  <c r="K52" i="236" s="1"/>
  <c r="AP6" i="5"/>
  <c r="M52" i="236" l="1"/>
  <c r="AR52" i="236" s="1" a="1"/>
  <c r="AR52" i="236" s="1"/>
  <c r="BY52" i="236" s="1"/>
  <c r="AB52" i="236" a="1"/>
  <c r="AB52" i="236" s="1"/>
  <c r="BI52" i="236" s="1"/>
  <c r="X52" i="236" a="1"/>
  <c r="X52" i="236" s="1"/>
  <c r="BE52" i="236" s="1"/>
  <c r="AJ52" i="236" a="1"/>
  <c r="AJ52" i="236" s="1"/>
  <c r="BQ52" i="236" s="1"/>
  <c r="Y52" i="236" a="1"/>
  <c r="Y52" i="236" s="1"/>
  <c r="BF52" i="236" s="1"/>
  <c r="AH52" i="236" a="1"/>
  <c r="AH52" i="236" s="1"/>
  <c r="BO52" i="236" s="1"/>
  <c r="AF52" i="236" a="1"/>
  <c r="AF52" i="236" s="1"/>
  <c r="BM52" i="236" s="1"/>
  <c r="AC52" i="236" a="1"/>
  <c r="AC52" i="236" s="1"/>
  <c r="BJ52" i="236" s="1"/>
  <c r="V52" i="236" a="1"/>
  <c r="V52" i="236" s="1"/>
  <c r="BC52" i="236" s="1"/>
  <c r="AL52" i="236" a="1"/>
  <c r="AL52" i="236" s="1"/>
  <c r="BS52" i="236" s="1"/>
  <c r="AT52" i="236" a="1"/>
  <c r="AT52" i="236" s="1"/>
  <c r="CA52" i="236" s="1"/>
  <c r="AG52" i="236" a="1"/>
  <c r="AG52" i="236" s="1"/>
  <c r="BN52" i="236" s="1"/>
  <c r="AO52" i="236" a="1"/>
  <c r="AO52" i="236" s="1"/>
  <c r="BV52" i="236" s="1"/>
  <c r="AM52" i="236" a="1"/>
  <c r="AM52" i="236" s="1"/>
  <c r="BT52" i="236" s="1"/>
  <c r="AQ52" i="236" a="1"/>
  <c r="AQ52" i="236" s="1"/>
  <c r="BX52" i="236" s="1"/>
  <c r="T52" i="236" a="1"/>
  <c r="T52" i="236" s="1"/>
  <c r="BA52" i="236" s="1"/>
  <c r="AP7" i="5"/>
  <c r="AP52" i="236" l="1" a="1"/>
  <c r="AP52" i="236" s="1"/>
  <c r="BW52" i="236" s="1"/>
  <c r="R52" i="236" a="1"/>
  <c r="R52" i="236" s="1"/>
  <c r="AY52" i="236" s="1"/>
  <c r="AK52" i="236" a="1"/>
  <c r="AK52" i="236" s="1"/>
  <c r="BR52" i="236" s="1"/>
  <c r="AD52" i="236" a="1"/>
  <c r="AD52" i="236" s="1"/>
  <c r="BK52" i="236" s="1"/>
  <c r="Z52" i="236" a="1"/>
  <c r="Z52" i="236" s="1"/>
  <c r="BG52" i="236" s="1"/>
  <c r="U52" i="236" a="1"/>
  <c r="U52" i="236" s="1"/>
  <c r="BB52" i="236" s="1"/>
  <c r="AU52" i="236" a="1"/>
  <c r="AU52" i="236" s="1"/>
  <c r="CB52" i="236" s="1"/>
  <c r="AI52" i="236" a="1"/>
  <c r="AI52" i="236" s="1"/>
  <c r="BP52" i="236" s="1"/>
  <c r="W52" i="236" a="1"/>
  <c r="W52" i="236" s="1"/>
  <c r="BD52" i="236" s="1"/>
  <c r="AN52" i="236" a="1"/>
  <c r="AN52" i="236" s="1"/>
  <c r="BU52" i="236" s="1"/>
  <c r="AS52" i="236" a="1"/>
  <c r="AS52" i="236" s="1"/>
  <c r="BZ52" i="236" s="1"/>
  <c r="AA52" i="236" a="1"/>
  <c r="AA52" i="236" s="1"/>
  <c r="BH52" i="236" s="1"/>
  <c r="S52" i="236" a="1"/>
  <c r="S52" i="236" s="1"/>
  <c r="AZ52" i="236" s="1"/>
  <c r="AE52" i="236" a="1"/>
  <c r="AE52" i="236" s="1"/>
  <c r="BL52" i="236" s="1"/>
  <c r="AP8" i="5"/>
  <c r="AP9" i="5" l="1"/>
  <c r="AP10" i="5" l="1"/>
  <c r="AP11" i="5" l="1"/>
  <c r="AP12" i="5" l="1"/>
  <c r="AP13" i="5" l="1"/>
  <c r="AP14" i="5" l="1"/>
  <c r="AP15" i="5" l="1"/>
  <c r="AP16" i="5" l="1"/>
  <c r="AP17" i="5" l="1"/>
  <c r="AP18" i="5" l="1"/>
  <c r="AP19" i="5" l="1"/>
  <c r="AP20" i="5" l="1"/>
  <c r="AP21" i="5" l="1"/>
  <c r="AP22" i="5" l="1"/>
  <c r="AP23" i="5" l="1"/>
  <c r="AP24" i="5" l="1"/>
  <c r="AP25" i="5" l="1"/>
  <c r="AP26" i="5" l="1"/>
  <c r="AP27" i="5" l="1"/>
  <c r="AP28" i="5" l="1"/>
  <c r="AP29" i="5" l="1"/>
  <c r="AP30" i="5" l="1"/>
  <c r="AP31" i="5" l="1"/>
  <c r="AP32" i="5" l="1"/>
  <c r="AP33" i="5" l="1"/>
  <c r="AP34" i="5" l="1"/>
  <c r="AP35" i="5" l="1"/>
  <c r="AP36" i="5" l="1"/>
  <c r="AP37" i="5" l="1"/>
  <c r="AP38" i="5" l="1"/>
  <c r="AP39" i="5" l="1"/>
  <c r="AP40" i="5" l="1"/>
  <c r="AP41" i="5" l="1"/>
  <c r="AP42" i="5" l="1"/>
  <c r="AP43" i="5" l="1"/>
  <c r="AP44" i="5" l="1"/>
  <c r="AP45" i="5" l="1"/>
  <c r="AP46" i="5" l="1"/>
  <c r="AP47" i="5" l="1"/>
  <c r="AP48" i="5" l="1"/>
  <c r="AP49" i="5" l="1"/>
  <c r="AP50" i="5" l="1"/>
  <c r="AP51" i="5" l="1"/>
  <c r="AP52" i="5" l="1"/>
  <c r="AP53" i="5" l="1"/>
  <c r="AP54" i="5" l="1"/>
  <c r="AP55" i="5" l="1"/>
  <c r="AP56" i="5" l="1"/>
  <c r="AP57" i="5" l="1"/>
  <c r="AP58" i="5" l="1"/>
  <c r="AP59" i="5" l="1"/>
  <c r="AP60" i="5" l="1"/>
  <c r="AP61" i="5" l="1"/>
  <c r="AP62" i="5" l="1"/>
  <c r="AP63" i="5" l="1"/>
  <c r="AP64" i="5" l="1"/>
  <c r="AP65" i="5" l="1"/>
  <c r="AP66" i="5" l="1"/>
  <c r="AP67" i="5" l="1"/>
  <c r="AP68" i="5" l="1"/>
  <c r="AQ68" i="5" l="1"/>
  <c r="AP69" i="5"/>
  <c r="AP70" i="5" l="1"/>
  <c r="AQ69" i="5"/>
  <c r="AP71" i="5" l="1"/>
  <c r="AQ70" i="5"/>
  <c r="AQ71" i="5" l="1"/>
  <c r="AP72" i="5"/>
  <c r="AQ72" i="5" l="1"/>
  <c r="AP73" i="5"/>
  <c r="AP74" i="5" l="1"/>
  <c r="AQ73" i="5"/>
  <c r="AP75" i="5" l="1"/>
  <c r="AQ74" i="5"/>
  <c r="AQ75" i="5" l="1"/>
  <c r="AP76" i="5"/>
  <c r="AQ76" i="5" l="1"/>
  <c r="AP77" i="5"/>
  <c r="AP78" i="5" l="1"/>
  <c r="AQ77" i="5"/>
  <c r="AP79" i="5" l="1"/>
  <c r="AQ78" i="5"/>
  <c r="AQ79" i="5" l="1"/>
  <c r="AP80" i="5"/>
  <c r="AQ80" i="5" l="1"/>
  <c r="AP81" i="5"/>
  <c r="AP82" i="5" l="1"/>
  <c r="AQ81" i="5"/>
  <c r="AP83" i="5" l="1"/>
  <c r="AQ82" i="5"/>
  <c r="AQ83" i="5" l="1"/>
  <c r="AP84" i="5"/>
  <c r="AQ84" i="5" l="1"/>
  <c r="AP85" i="5"/>
  <c r="AP86" i="5" l="1"/>
  <c r="AQ85" i="5"/>
  <c r="AP87" i="5" l="1"/>
  <c r="AQ86" i="5"/>
  <c r="AQ87" i="5" l="1"/>
  <c r="AP88" i="5"/>
  <c r="AQ88" i="5" l="1"/>
  <c r="AP89" i="5"/>
  <c r="AP90" i="5" l="1"/>
  <c r="AQ89" i="5"/>
  <c r="AP91" i="5" l="1"/>
  <c r="AQ90" i="5"/>
  <c r="AQ91" i="5" l="1"/>
  <c r="AP92" i="5"/>
  <c r="AQ92" i="5" l="1"/>
  <c r="AP93" i="5"/>
  <c r="AP94" i="5" l="1"/>
  <c r="AQ93" i="5"/>
  <c r="AP95" i="5" l="1"/>
  <c r="AQ94" i="5"/>
  <c r="AQ95" i="5" l="1"/>
  <c r="AP96" i="5"/>
  <c r="AQ96" i="5" l="1"/>
  <c r="AP97" i="5"/>
  <c r="AP98" i="5" l="1"/>
  <c r="AQ97" i="5"/>
  <c r="AP99" i="5" l="1"/>
  <c r="AQ98" i="5"/>
  <c r="AQ99" i="5" l="1"/>
  <c r="AP100" i="5"/>
  <c r="AQ100" i="5" l="1"/>
  <c r="AP101" i="5"/>
  <c r="AP102" i="5" l="1"/>
  <c r="AQ101" i="5"/>
  <c r="AP103" i="5" l="1"/>
  <c r="AQ102" i="5"/>
  <c r="AQ103" i="5" l="1"/>
  <c r="AP104" i="5"/>
  <c r="AQ104" i="5" l="1"/>
  <c r="AP105" i="5"/>
  <c r="AP106" i="5" l="1"/>
  <c r="AQ106" i="5" s="1"/>
  <c r="AQ105" i="5"/>
  <c r="W71" i="234" l="1"/>
  <c r="W70" i="234"/>
  <c r="W69" i="234"/>
  <c r="W68" i="234"/>
  <c r="W67" i="234"/>
  <c r="W66" i="234"/>
  <c r="W65" i="234"/>
  <c r="W64" i="234"/>
  <c r="W63" i="234"/>
  <c r="W62" i="234"/>
  <c r="W61" i="234"/>
  <c r="W60" i="234"/>
  <c r="W59" i="234"/>
  <c r="W58" i="234"/>
  <c r="W57" i="234"/>
  <c r="W56" i="234"/>
  <c r="W55" i="234"/>
  <c r="W53" i="234"/>
  <c r="W52" i="234"/>
  <c r="W51" i="234"/>
  <c r="W50" i="234"/>
  <c r="W49" i="234"/>
  <c r="W47" i="234"/>
  <c r="W46" i="234"/>
  <c r="W45" i="234"/>
  <c r="W44" i="234"/>
  <c r="W43" i="234"/>
  <c r="W42" i="234"/>
  <c r="W41" i="234"/>
  <c r="W40" i="234"/>
  <c r="W39" i="234"/>
  <c r="W38" i="234"/>
  <c r="W37" i="234"/>
  <c r="W36" i="234"/>
  <c r="W35" i="234"/>
  <c r="W34" i="234"/>
  <c r="W33" i="234"/>
  <c r="W32" i="234"/>
  <c r="W31" i="234"/>
  <c r="W30" i="234"/>
  <c r="W29" i="234"/>
  <c r="W28" i="234"/>
  <c r="W27" i="234"/>
  <c r="W26" i="234"/>
  <c r="W25" i="234"/>
  <c r="W24" i="234"/>
  <c r="W23" i="234"/>
  <c r="W22" i="234"/>
  <c r="W21" i="234"/>
  <c r="W20" i="234"/>
  <c r="W19" i="234"/>
  <c r="W18" i="234"/>
  <c r="W17" i="234"/>
  <c r="W16" i="234"/>
  <c r="W15" i="234"/>
  <c r="W14" i="234"/>
  <c r="W13" i="234"/>
  <c r="W12" i="234"/>
  <c r="W11" i="234"/>
  <c r="W10" i="234"/>
  <c r="W9" i="234"/>
  <c r="W8" i="234"/>
  <c r="W7" i="234"/>
  <c r="W6" i="234"/>
  <c r="W5" i="234"/>
  <c r="W4" i="234"/>
  <c r="W3" i="234"/>
  <c r="W2" i="234"/>
  <c r="U16" i="26"/>
  <c r="V16" i="26"/>
  <c r="W16" i="26" s="1"/>
  <c r="U17" i="26"/>
  <c r="V17" i="26"/>
  <c r="U18" i="26"/>
  <c r="V18" i="26"/>
  <c r="W18" i="26" s="1"/>
  <c r="U19" i="26"/>
  <c r="V19" i="26"/>
  <c r="W19" i="26" s="1"/>
  <c r="U20" i="26"/>
  <c r="V20" i="26"/>
  <c r="U21" i="26"/>
  <c r="V21" i="26"/>
  <c r="U22" i="26"/>
  <c r="V22" i="26"/>
  <c r="W22" i="26" s="1"/>
  <c r="U23" i="26"/>
  <c r="V23" i="26"/>
  <c r="W23" i="26" s="1"/>
  <c r="U24" i="26"/>
  <c r="V24" i="26"/>
  <c r="U25" i="26"/>
  <c r="V25" i="26"/>
  <c r="U26" i="26"/>
  <c r="V26" i="26"/>
  <c r="U27" i="26"/>
  <c r="V27" i="26"/>
  <c r="U28" i="26"/>
  <c r="V28" i="26"/>
  <c r="U29" i="26"/>
  <c r="V29" i="26"/>
  <c r="U30" i="26"/>
  <c r="V30" i="26"/>
  <c r="U31" i="26"/>
  <c r="V31" i="26"/>
  <c r="U32" i="26"/>
  <c r="V32" i="26"/>
  <c r="U33" i="26"/>
  <c r="V33" i="26"/>
  <c r="U34" i="26"/>
  <c r="V34" i="26"/>
  <c r="U35" i="26"/>
  <c r="V35" i="26"/>
  <c r="U36" i="26"/>
  <c r="V36" i="26"/>
  <c r="U37" i="26"/>
  <c r="V37" i="26"/>
  <c r="U38" i="26"/>
  <c r="V38" i="26"/>
  <c r="U39" i="26"/>
  <c r="V39" i="26"/>
  <c r="U40" i="26"/>
  <c r="V40" i="26"/>
  <c r="U41" i="26"/>
  <c r="V41" i="26"/>
  <c r="U42" i="26"/>
  <c r="V42" i="26"/>
  <c r="F55" i="234"/>
  <c r="F58" i="234"/>
  <c r="F59" i="234"/>
  <c r="F63" i="234"/>
  <c r="F67" i="234"/>
  <c r="F69" i="234"/>
  <c r="F73" i="234"/>
  <c r="F74" i="234"/>
  <c r="F75" i="234"/>
  <c r="F76" i="234"/>
  <c r="F77" i="234"/>
  <c r="AT20" i="234"/>
  <c r="AU20" i="234"/>
  <c r="AV20" i="234"/>
  <c r="AW20" i="234"/>
  <c r="AX20" i="234"/>
  <c r="E54" i="448"/>
  <c r="F54" i="448"/>
  <c r="G54" i="448"/>
  <c r="J54" i="448"/>
  <c r="K54" i="448"/>
  <c r="L54" i="448"/>
  <c r="E55" i="448"/>
  <c r="F55" i="448"/>
  <c r="G55" i="448"/>
  <c r="J55" i="448"/>
  <c r="K55" i="448"/>
  <c r="L55" i="448"/>
  <c r="E56" i="448"/>
  <c r="F56" i="448"/>
  <c r="G56" i="448"/>
  <c r="J56" i="448"/>
  <c r="K56" i="448"/>
  <c r="L56" i="448"/>
  <c r="E57" i="448"/>
  <c r="F57" i="448"/>
  <c r="G57" i="448"/>
  <c r="J57" i="448"/>
  <c r="K57" i="448"/>
  <c r="L57" i="448"/>
  <c r="E58" i="448"/>
  <c r="F58" i="448"/>
  <c r="G58" i="448"/>
  <c r="J58" i="448"/>
  <c r="K58" i="448"/>
  <c r="L58" i="448"/>
  <c r="Q28" i="436"/>
  <c r="DL44" i="434"/>
  <c r="DK45" i="434"/>
  <c r="DL45" i="434"/>
  <c r="DK46" i="434"/>
  <c r="DL46" i="434"/>
  <c r="DL47" i="434"/>
  <c r="DL48" i="434"/>
  <c r="DL49" i="434"/>
  <c r="DL50" i="434"/>
  <c r="DL51" i="434"/>
  <c r="E22" i="420"/>
  <c r="L22" i="420" s="1"/>
  <c r="K22" i="420" s="1"/>
  <c r="E23" i="420"/>
  <c r="L23" i="420" s="1"/>
  <c r="K23" i="420" s="1"/>
  <c r="B16" i="108"/>
  <c r="A122" i="5"/>
  <c r="A123" i="5"/>
  <c r="A23" i="5"/>
  <c r="A24" i="5"/>
  <c r="AQ65" i="5"/>
  <c r="AQ66" i="5"/>
  <c r="AQ67" i="5"/>
  <c r="AQ26" i="5"/>
  <c r="AQ27" i="5"/>
  <c r="AQ28" i="5"/>
  <c r="AQ29" i="5"/>
  <c r="AQ30" i="5"/>
  <c r="AQ31" i="5"/>
  <c r="AQ32" i="5"/>
  <c r="AQ33" i="5"/>
  <c r="AQ34" i="5"/>
  <c r="AQ35" i="5"/>
  <c r="AQ36" i="5"/>
  <c r="AQ37" i="5"/>
  <c r="AQ38" i="5"/>
  <c r="AQ39" i="5"/>
  <c r="AQ40" i="5"/>
  <c r="AQ41" i="5"/>
  <c r="AQ42" i="5"/>
  <c r="AQ43" i="5"/>
  <c r="AQ44" i="5"/>
  <c r="AQ45" i="5"/>
  <c r="AQ46" i="5"/>
  <c r="AQ47" i="5"/>
  <c r="AQ48" i="5"/>
  <c r="AQ49" i="5"/>
  <c r="AQ50" i="5"/>
  <c r="AQ51" i="5"/>
  <c r="AQ52" i="5"/>
  <c r="AQ53" i="5"/>
  <c r="AQ54" i="5"/>
  <c r="AQ55" i="5"/>
  <c r="AQ56" i="5"/>
  <c r="AQ57" i="5"/>
  <c r="AQ58" i="5"/>
  <c r="AQ59" i="5"/>
  <c r="AQ60" i="5"/>
  <c r="AQ61" i="5"/>
  <c r="AQ62" i="5"/>
  <c r="AQ63" i="5"/>
  <c r="AQ64" i="5"/>
  <c r="AE9" i="5"/>
  <c r="AE10" i="5"/>
  <c r="AE11" i="5"/>
  <c r="AE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C17" i="236"/>
  <c r="F17" i="236"/>
  <c r="H17" i="236"/>
  <c r="I17" i="236"/>
  <c r="J17" i="236"/>
  <c r="D17" i="235"/>
  <c r="E17" i="235"/>
  <c r="G17" i="235"/>
  <c r="AP17" i="235"/>
  <c r="AQ17" i="235"/>
  <c r="AR17" i="235"/>
  <c r="AS17" i="235"/>
  <c r="AT17" i="235"/>
  <c r="AU17" i="235"/>
  <c r="AV17" i="235"/>
  <c r="AW17" i="235"/>
  <c r="AX17" i="235"/>
  <c r="AY17" i="235"/>
  <c r="AZ17" i="235"/>
  <c r="BA17" i="235"/>
  <c r="BB17" i="235"/>
  <c r="BC17" i="235"/>
  <c r="BD17" i="235"/>
  <c r="BE17" i="235"/>
  <c r="BF17" i="235"/>
  <c r="BG17" i="235"/>
  <c r="BH17" i="235"/>
  <c r="BI17" i="235"/>
  <c r="BJ17" i="235"/>
  <c r="BK17" i="235"/>
  <c r="BL17" i="235"/>
  <c r="BM17" i="235"/>
  <c r="BN17" i="235"/>
  <c r="BO17" i="235"/>
  <c r="BP17" i="235"/>
  <c r="BQ17" i="235"/>
  <c r="BR17" i="235"/>
  <c r="BS17" i="235"/>
  <c r="B13" i="456"/>
  <c r="C13" i="234"/>
  <c r="E13" i="234"/>
  <c r="D17" i="236" s="1"/>
  <c r="I13" i="234"/>
  <c r="AL13" i="234" s="1"/>
  <c r="D16" i="108" s="1"/>
  <c r="E16" i="108" s="1"/>
  <c r="J13" i="234"/>
  <c r="AM13" i="234" s="1"/>
  <c r="N17" i="236" s="1"/>
  <c r="N22" i="420" s="1"/>
  <c r="K13" i="234"/>
  <c r="AN13" i="234" s="1"/>
  <c r="M13" i="234"/>
  <c r="O13" i="234" s="1"/>
  <c r="P13" i="234"/>
  <c r="V13" i="234"/>
  <c r="Z13" i="234"/>
  <c r="I17" i="235" s="1"/>
  <c r="AA13" i="234"/>
  <c r="AB13" i="234"/>
  <c r="AD13" i="234"/>
  <c r="AC13" i="234" s="1"/>
  <c r="H22" i="420" s="1"/>
  <c r="AT13" i="234"/>
  <c r="AU13" i="234"/>
  <c r="AV13" i="234"/>
  <c r="AW13" i="234"/>
  <c r="AX13" i="234"/>
  <c r="C4" i="454"/>
  <c r="D4" i="454"/>
  <c r="E4" i="454"/>
  <c r="F4" i="454"/>
  <c r="G4" i="454"/>
  <c r="H4" i="454"/>
  <c r="I4" i="454"/>
  <c r="J4" i="454"/>
  <c r="K4" i="454"/>
  <c r="L4" i="454"/>
  <c r="M4" i="454"/>
  <c r="N4" i="454"/>
  <c r="O4" i="454"/>
  <c r="P4" i="454"/>
  <c r="Q4" i="454"/>
  <c r="R4" i="454"/>
  <c r="S4" i="454"/>
  <c r="T4" i="454"/>
  <c r="U4" i="454"/>
  <c r="V4" i="454"/>
  <c r="W4" i="454"/>
  <c r="X4" i="454"/>
  <c r="Y4" i="454"/>
  <c r="Z4" i="454"/>
  <c r="AA4" i="454"/>
  <c r="AB4" i="454"/>
  <c r="AC4" i="454"/>
  <c r="AD4" i="454"/>
  <c r="AE4" i="454"/>
  <c r="AF4" i="454"/>
  <c r="AG4" i="454"/>
  <c r="AH4" i="454"/>
  <c r="AI4" i="454"/>
  <c r="AJ4" i="454"/>
  <c r="AK4" i="454"/>
  <c r="E10" i="2"/>
  <c r="K13" i="457" s="1"/>
  <c r="AW105" i="236"/>
  <c r="AW104" i="236"/>
  <c r="AZ104" i="236"/>
  <c r="BA104" i="236"/>
  <c r="BB104" i="236"/>
  <c r="BC104" i="236"/>
  <c r="BD104" i="236"/>
  <c r="BE104" i="236"/>
  <c r="BF104" i="236"/>
  <c r="BG104" i="236"/>
  <c r="BH104" i="236"/>
  <c r="BI104" i="236"/>
  <c r="BJ104" i="236"/>
  <c r="BK104" i="236"/>
  <c r="BL104" i="236"/>
  <c r="BM104" i="236"/>
  <c r="BN104" i="236"/>
  <c r="BO104" i="236"/>
  <c r="BP104" i="236"/>
  <c r="BQ104" i="236"/>
  <c r="BR104" i="236"/>
  <c r="BS104" i="236"/>
  <c r="BT104" i="236"/>
  <c r="BU104" i="236"/>
  <c r="BV104" i="236"/>
  <c r="BW104" i="236"/>
  <c r="BX104" i="236"/>
  <c r="BY104" i="236"/>
  <c r="BZ104" i="236"/>
  <c r="CA104" i="236"/>
  <c r="CB104" i="236"/>
  <c r="AZ105" i="236"/>
  <c r="BA105" i="236"/>
  <c r="BB105" i="236"/>
  <c r="BC105" i="236"/>
  <c r="BD105" i="236"/>
  <c r="BE105" i="236"/>
  <c r="BF105" i="236"/>
  <c r="BG105" i="236"/>
  <c r="BH105" i="236"/>
  <c r="BI105" i="236"/>
  <c r="BJ105" i="236"/>
  <c r="BK105" i="236"/>
  <c r="BL105" i="236"/>
  <c r="BM105" i="236"/>
  <c r="BN105" i="236"/>
  <c r="BO105" i="236"/>
  <c r="BP105" i="236"/>
  <c r="BQ105" i="236"/>
  <c r="BR105" i="236"/>
  <c r="BS105" i="236"/>
  <c r="BT105" i="236"/>
  <c r="BU105" i="236"/>
  <c r="BV105" i="236"/>
  <c r="BW105" i="236"/>
  <c r="BX105" i="236"/>
  <c r="BY105" i="236"/>
  <c r="BZ105" i="236"/>
  <c r="CA105" i="236"/>
  <c r="CB105" i="236"/>
  <c r="AZ106" i="236"/>
  <c r="BA106" i="236"/>
  <c r="BB106" i="236"/>
  <c r="BC106" i="236"/>
  <c r="BD106" i="236"/>
  <c r="BE106" i="236"/>
  <c r="BF106" i="236"/>
  <c r="BG106" i="236"/>
  <c r="BH106" i="236"/>
  <c r="BI106" i="236"/>
  <c r="BJ106" i="236"/>
  <c r="BK106" i="236"/>
  <c r="BL106" i="236"/>
  <c r="BM106" i="236"/>
  <c r="BN106" i="236"/>
  <c r="BO106" i="236"/>
  <c r="BP106" i="236"/>
  <c r="BQ106" i="236"/>
  <c r="BR106" i="236"/>
  <c r="BS106" i="236"/>
  <c r="BT106" i="236"/>
  <c r="BU106" i="236"/>
  <c r="BV106" i="236"/>
  <c r="BW106" i="236"/>
  <c r="BX106" i="236"/>
  <c r="BY106" i="236"/>
  <c r="BZ106" i="236"/>
  <c r="CA106" i="236"/>
  <c r="CB106" i="236"/>
  <c r="AY106" i="236"/>
  <c r="AY105" i="236"/>
  <c r="AY104" i="236"/>
  <c r="D12" i="460"/>
  <c r="F17" i="460"/>
  <c r="F16" i="460"/>
  <c r="F15" i="460"/>
  <c r="D22" i="460"/>
  <c r="D19" i="460"/>
  <c r="F23" i="460"/>
  <c r="F22" i="460"/>
  <c r="F20" i="460"/>
  <c r="F19" i="460"/>
  <c r="F13" i="460"/>
  <c r="F12" i="460"/>
  <c r="C1" i="460"/>
  <c r="C16" i="108" l="1"/>
  <c r="A52" i="434"/>
  <c r="AF13" i="234"/>
  <c r="G17" i="236" s="1"/>
  <c r="A33" i="437"/>
  <c r="F22" i="420"/>
  <c r="C51" i="26"/>
  <c r="C51" i="27" s="1"/>
  <c r="C52" i="26"/>
  <c r="W41" i="26"/>
  <c r="W42" i="26"/>
  <c r="W40" i="26"/>
  <c r="W17" i="26"/>
  <c r="W39" i="26"/>
  <c r="W35" i="26"/>
  <c r="W31" i="26"/>
  <c r="W27" i="26"/>
  <c r="W34" i="26"/>
  <c r="W32" i="26"/>
  <c r="W30" i="26"/>
  <c r="W28" i="26"/>
  <c r="W26" i="26"/>
  <c r="W24" i="26"/>
  <c r="W21" i="26"/>
  <c r="W20" i="26"/>
  <c r="W38" i="26"/>
  <c r="W36" i="26"/>
  <c r="W29" i="26"/>
  <c r="W37" i="26"/>
  <c r="W33" i="26"/>
  <c r="W25" i="26"/>
  <c r="C17" i="235"/>
  <c r="V17" i="235" s="1"/>
  <c r="H17" i="235"/>
  <c r="C76" i="236"/>
  <c r="D76" i="236"/>
  <c r="E76" i="236"/>
  <c r="F76" i="236"/>
  <c r="H76" i="236"/>
  <c r="I76" i="236"/>
  <c r="J76" i="236"/>
  <c r="C77" i="236"/>
  <c r="F77" i="236"/>
  <c r="H77" i="236"/>
  <c r="I77" i="236"/>
  <c r="J77" i="236"/>
  <c r="C78" i="236"/>
  <c r="F78" i="236"/>
  <c r="H78" i="236"/>
  <c r="I78" i="236"/>
  <c r="J78" i="236"/>
  <c r="C79" i="236"/>
  <c r="F79" i="236"/>
  <c r="H79" i="236"/>
  <c r="I79" i="236"/>
  <c r="J79" i="236"/>
  <c r="C80" i="236"/>
  <c r="F80" i="236"/>
  <c r="H80" i="236"/>
  <c r="I80" i="236"/>
  <c r="J80" i="236"/>
  <c r="C81" i="236"/>
  <c r="F81" i="236"/>
  <c r="H81" i="236"/>
  <c r="I81" i="236"/>
  <c r="J81" i="236"/>
  <c r="E15" i="420"/>
  <c r="L15" i="420" s="1"/>
  <c r="K15" i="420" s="1"/>
  <c r="E16" i="420"/>
  <c r="E17" i="420"/>
  <c r="L17" i="420" s="1"/>
  <c r="K17" i="420" s="1"/>
  <c r="E18" i="420"/>
  <c r="E19" i="420"/>
  <c r="E20" i="420"/>
  <c r="E21" i="420"/>
  <c r="L21" i="420" s="1"/>
  <c r="K21" i="420" s="1"/>
  <c r="E24" i="420"/>
  <c r="E25" i="420"/>
  <c r="E26" i="420"/>
  <c r="L26" i="420" s="1"/>
  <c r="K26" i="420" s="1"/>
  <c r="E27" i="420"/>
  <c r="E28" i="420"/>
  <c r="E29" i="420"/>
  <c r="E30" i="420"/>
  <c r="E31" i="420"/>
  <c r="E32" i="420"/>
  <c r="L32" i="420" s="1"/>
  <c r="K32" i="420" s="1"/>
  <c r="E33" i="420"/>
  <c r="E34" i="420"/>
  <c r="L34" i="420" s="1"/>
  <c r="K34" i="420" s="1"/>
  <c r="E35" i="420"/>
  <c r="E36" i="420"/>
  <c r="E37" i="420"/>
  <c r="E38" i="420"/>
  <c r="E39" i="420"/>
  <c r="E40" i="420"/>
  <c r="E41" i="420"/>
  <c r="E42" i="420"/>
  <c r="L42" i="420" s="1"/>
  <c r="K42" i="420" s="1"/>
  <c r="E43" i="420"/>
  <c r="E44" i="420"/>
  <c r="E45" i="420"/>
  <c r="E46" i="420"/>
  <c r="E47" i="420"/>
  <c r="E48" i="420"/>
  <c r="L48" i="420" s="1"/>
  <c r="K48" i="420" s="1"/>
  <c r="E49" i="420"/>
  <c r="E50" i="420"/>
  <c r="L50" i="420" s="1"/>
  <c r="K50" i="420" s="1"/>
  <c r="E51" i="420"/>
  <c r="E52" i="420"/>
  <c r="E53" i="420"/>
  <c r="E54" i="420"/>
  <c r="E55" i="420"/>
  <c r="L55" i="420" s="1"/>
  <c r="K55" i="420" s="1"/>
  <c r="E56" i="420"/>
  <c r="E65" i="420"/>
  <c r="L65" i="420" s="1"/>
  <c r="K65" i="420" s="1"/>
  <c r="E66" i="420"/>
  <c r="E67" i="420"/>
  <c r="E68" i="420"/>
  <c r="E69" i="420"/>
  <c r="E70" i="420"/>
  <c r="L70" i="420" s="1"/>
  <c r="K70" i="420" s="1"/>
  <c r="E71" i="420"/>
  <c r="L71" i="420" s="1"/>
  <c r="K71" i="420" s="1"/>
  <c r="E72" i="420"/>
  <c r="L72" i="420" s="1"/>
  <c r="K72" i="420" s="1"/>
  <c r="E73" i="420"/>
  <c r="L73" i="420" s="1"/>
  <c r="K73" i="420" s="1"/>
  <c r="E74" i="420"/>
  <c r="L74" i="420" s="1"/>
  <c r="K74" i="420" s="1"/>
  <c r="E75" i="420"/>
  <c r="E76" i="420"/>
  <c r="E77" i="420"/>
  <c r="L77" i="420" s="1"/>
  <c r="K77" i="420" s="1"/>
  <c r="E78" i="420"/>
  <c r="E79" i="420"/>
  <c r="L79" i="420" s="1"/>
  <c r="K79" i="420" s="1"/>
  <c r="E80" i="420"/>
  <c r="EJ42" i="459"/>
  <c r="EJ41" i="459"/>
  <c r="EJ40" i="459"/>
  <c r="EN35" i="459"/>
  <c r="EM35" i="459"/>
  <c r="EN34" i="459"/>
  <c r="EM34" i="459"/>
  <c r="EN33" i="459"/>
  <c r="EM33" i="459"/>
  <c r="EN32" i="459"/>
  <c r="EM32" i="459"/>
  <c r="EN31" i="459"/>
  <c r="EM31" i="459"/>
  <c r="EN30" i="459"/>
  <c r="EM30" i="459"/>
  <c r="EN29" i="459"/>
  <c r="EM29" i="459"/>
  <c r="EN28" i="459"/>
  <c r="EM28" i="459"/>
  <c r="EN27" i="459"/>
  <c r="EM27" i="459"/>
  <c r="EN26" i="459"/>
  <c r="EM26" i="459"/>
  <c r="EN25" i="459"/>
  <c r="EM25" i="459"/>
  <c r="EN24" i="459"/>
  <c r="EM24" i="459"/>
  <c r="EN23" i="459"/>
  <c r="EM23" i="459"/>
  <c r="EN22" i="459"/>
  <c r="EM22" i="459"/>
  <c r="EN21" i="459"/>
  <c r="EM21" i="459"/>
  <c r="EN20" i="459"/>
  <c r="EM20" i="459"/>
  <c r="EN19" i="459"/>
  <c r="EM19" i="459"/>
  <c r="EN18" i="459"/>
  <c r="EM18" i="459"/>
  <c r="EN17" i="459"/>
  <c r="EM17" i="459"/>
  <c r="EN16" i="459"/>
  <c r="EM16" i="459"/>
  <c r="EN15" i="459"/>
  <c r="EM15" i="459"/>
  <c r="EN14" i="459"/>
  <c r="EM14" i="459"/>
  <c r="EN13" i="459"/>
  <c r="EM13" i="459"/>
  <c r="EN12" i="459"/>
  <c r="EM12" i="459"/>
  <c r="EN11" i="459"/>
  <c r="EM11" i="459"/>
  <c r="EN10" i="459"/>
  <c r="EM10" i="459"/>
  <c r="EN9" i="459"/>
  <c r="EM9" i="459"/>
  <c r="EN8" i="459"/>
  <c r="EM8" i="459"/>
  <c r="EN7" i="459"/>
  <c r="EM7" i="459"/>
  <c r="EN6" i="459"/>
  <c r="EM6" i="459"/>
  <c r="ED42" i="459"/>
  <c r="ED41" i="459"/>
  <c r="ED40" i="459"/>
  <c r="EH35" i="459"/>
  <c r="EG35" i="459"/>
  <c r="EH34" i="459"/>
  <c r="EG34" i="459"/>
  <c r="EH33" i="459"/>
  <c r="EG33" i="459"/>
  <c r="EH32" i="459"/>
  <c r="EG32" i="459"/>
  <c r="EH31" i="459"/>
  <c r="EG31" i="459"/>
  <c r="EH30" i="459"/>
  <c r="EG30" i="459"/>
  <c r="EH29" i="459"/>
  <c r="EG29" i="459"/>
  <c r="EH28" i="459"/>
  <c r="EG28" i="459"/>
  <c r="EH27" i="459"/>
  <c r="EG27" i="459"/>
  <c r="EH26" i="459"/>
  <c r="EG26" i="459"/>
  <c r="EH25" i="459"/>
  <c r="EG25" i="459"/>
  <c r="EH24" i="459"/>
  <c r="EG24" i="459"/>
  <c r="EH23" i="459"/>
  <c r="EG23" i="459"/>
  <c r="EH22" i="459"/>
  <c r="EG22" i="459"/>
  <c r="EH21" i="459"/>
  <c r="EG21" i="459"/>
  <c r="EH20" i="459"/>
  <c r="EG20" i="459"/>
  <c r="EH19" i="459"/>
  <c r="EG19" i="459"/>
  <c r="EH18" i="459"/>
  <c r="EG18" i="459"/>
  <c r="EH17" i="459"/>
  <c r="EG17" i="459"/>
  <c r="EH16" i="459"/>
  <c r="EG16" i="459"/>
  <c r="EH15" i="459"/>
  <c r="EG15" i="459"/>
  <c r="EH14" i="459"/>
  <c r="EG14" i="459"/>
  <c r="EH13" i="459"/>
  <c r="EG13" i="459"/>
  <c r="EH12" i="459"/>
  <c r="EG12" i="459"/>
  <c r="EH11" i="459"/>
  <c r="EG11" i="459"/>
  <c r="EH10" i="459"/>
  <c r="EG10" i="459"/>
  <c r="EH9" i="459"/>
  <c r="EG9" i="459"/>
  <c r="EH8" i="459"/>
  <c r="EG8" i="459"/>
  <c r="EH7" i="459"/>
  <c r="EG7" i="459"/>
  <c r="EH6" i="459"/>
  <c r="EG6" i="459"/>
  <c r="DX42" i="459"/>
  <c r="DX41" i="459"/>
  <c r="DX40" i="459"/>
  <c r="EB35" i="459"/>
  <c r="EA35" i="459"/>
  <c r="EB34" i="459"/>
  <c r="EA34" i="459"/>
  <c r="EB33" i="459"/>
  <c r="EA33" i="459"/>
  <c r="EB32" i="459"/>
  <c r="EA32" i="459"/>
  <c r="EB31" i="459"/>
  <c r="EA31" i="459"/>
  <c r="EB30" i="459"/>
  <c r="EA30" i="459"/>
  <c r="EB29" i="459"/>
  <c r="EA29" i="459"/>
  <c r="EB28" i="459"/>
  <c r="EA28" i="459"/>
  <c r="EB27" i="459"/>
  <c r="EA27" i="459"/>
  <c r="EB26" i="459"/>
  <c r="EA26" i="459"/>
  <c r="EB25" i="459"/>
  <c r="EA25" i="459"/>
  <c r="EB24" i="459"/>
  <c r="EA24" i="459"/>
  <c r="EB23" i="459"/>
  <c r="EA23" i="459"/>
  <c r="EB22" i="459"/>
  <c r="EA22" i="459"/>
  <c r="EB21" i="459"/>
  <c r="EA21" i="459"/>
  <c r="EB20" i="459"/>
  <c r="EA20" i="459"/>
  <c r="EB19" i="459"/>
  <c r="EA19" i="459"/>
  <c r="EB18" i="459"/>
  <c r="EA18" i="459"/>
  <c r="EB17" i="459"/>
  <c r="EA17" i="459"/>
  <c r="EB16" i="459"/>
  <c r="EA16" i="459"/>
  <c r="EB15" i="459"/>
  <c r="EA15" i="459"/>
  <c r="EB14" i="459"/>
  <c r="EA14" i="459"/>
  <c r="EB13" i="459"/>
  <c r="EA13" i="459"/>
  <c r="EB12" i="459"/>
  <c r="EA12" i="459"/>
  <c r="EB11" i="459"/>
  <c r="EA11" i="459"/>
  <c r="EB10" i="459"/>
  <c r="EA10" i="459"/>
  <c r="EB9" i="459"/>
  <c r="EA9" i="459"/>
  <c r="EB8" i="459"/>
  <c r="EA8" i="459"/>
  <c r="EB7" i="459"/>
  <c r="EA7" i="459"/>
  <c r="EB6" i="459"/>
  <c r="EA6" i="459"/>
  <c r="DR42" i="459"/>
  <c r="DR41" i="459"/>
  <c r="DR40" i="459"/>
  <c r="DV35" i="459"/>
  <c r="DU35" i="459"/>
  <c r="DV34" i="459"/>
  <c r="DU34" i="459"/>
  <c r="DV33" i="459"/>
  <c r="DU33" i="459"/>
  <c r="DV32" i="459"/>
  <c r="DU32" i="459"/>
  <c r="DV31" i="459"/>
  <c r="DU31" i="459"/>
  <c r="DV30" i="459"/>
  <c r="DU30" i="459"/>
  <c r="DV29" i="459"/>
  <c r="DU29" i="459"/>
  <c r="DV28" i="459"/>
  <c r="DU28" i="459"/>
  <c r="DV27" i="459"/>
  <c r="DU27" i="459"/>
  <c r="DV26" i="459"/>
  <c r="DU26" i="459"/>
  <c r="DV25" i="459"/>
  <c r="DU25" i="459"/>
  <c r="DV24" i="459"/>
  <c r="DU24" i="459"/>
  <c r="DV23" i="459"/>
  <c r="DU23" i="459"/>
  <c r="DV22" i="459"/>
  <c r="DU22" i="459"/>
  <c r="DV21" i="459"/>
  <c r="DU21" i="459"/>
  <c r="DV20" i="459"/>
  <c r="DU20" i="459"/>
  <c r="DV19" i="459"/>
  <c r="DU19" i="459"/>
  <c r="DV18" i="459"/>
  <c r="DU18" i="459"/>
  <c r="DV17" i="459"/>
  <c r="DU17" i="459"/>
  <c r="DV16" i="459"/>
  <c r="DU16" i="459"/>
  <c r="DV15" i="459"/>
  <c r="DU15" i="459"/>
  <c r="DV14" i="459"/>
  <c r="DU14" i="459"/>
  <c r="DV13" i="459"/>
  <c r="DU13" i="459"/>
  <c r="DV12" i="459"/>
  <c r="DU12" i="459"/>
  <c r="DV11" i="459"/>
  <c r="DU11" i="459"/>
  <c r="DV10" i="459"/>
  <c r="DU10" i="459"/>
  <c r="DV9" i="459"/>
  <c r="DU9" i="459"/>
  <c r="DV8" i="459"/>
  <c r="DU8" i="459"/>
  <c r="DV7" i="459"/>
  <c r="DU7" i="459"/>
  <c r="DV6" i="459"/>
  <c r="DU6" i="459"/>
  <c r="DL42" i="459"/>
  <c r="DL41" i="459"/>
  <c r="DL40" i="459"/>
  <c r="DP35" i="459"/>
  <c r="DO35" i="459"/>
  <c r="DP34" i="459"/>
  <c r="DO34" i="459"/>
  <c r="DP33" i="459"/>
  <c r="DO33" i="459"/>
  <c r="DP32" i="459"/>
  <c r="DO32" i="459"/>
  <c r="DP31" i="459"/>
  <c r="DO31" i="459"/>
  <c r="DP30" i="459"/>
  <c r="DO30" i="459"/>
  <c r="DP29" i="459"/>
  <c r="DO29" i="459"/>
  <c r="DP28" i="459"/>
  <c r="DO28" i="459"/>
  <c r="DP27" i="459"/>
  <c r="DO27" i="459"/>
  <c r="DP26" i="459"/>
  <c r="DO26" i="459"/>
  <c r="DP25" i="459"/>
  <c r="DO25" i="459"/>
  <c r="DP24" i="459"/>
  <c r="DO24" i="459"/>
  <c r="DP23" i="459"/>
  <c r="DO23" i="459"/>
  <c r="DP22" i="459"/>
  <c r="DO22" i="459"/>
  <c r="DP21" i="459"/>
  <c r="DO21" i="459"/>
  <c r="DP20" i="459"/>
  <c r="DO20" i="459"/>
  <c r="DP19" i="459"/>
  <c r="DO19" i="459"/>
  <c r="DP18" i="459"/>
  <c r="DO18" i="459"/>
  <c r="DP17" i="459"/>
  <c r="DO17" i="459"/>
  <c r="DP16" i="459"/>
  <c r="DO16" i="459"/>
  <c r="DP15" i="459"/>
  <c r="DO15" i="459"/>
  <c r="DP14" i="459"/>
  <c r="DO14" i="459"/>
  <c r="DP13" i="459"/>
  <c r="DO13" i="459"/>
  <c r="DP12" i="459"/>
  <c r="DO12" i="459"/>
  <c r="DP11" i="459"/>
  <c r="DO11" i="459"/>
  <c r="DP10" i="459"/>
  <c r="DO10" i="459"/>
  <c r="DP9" i="459"/>
  <c r="DO9" i="459"/>
  <c r="DP8" i="459"/>
  <c r="DO8" i="459"/>
  <c r="DP7" i="459"/>
  <c r="DO7" i="459"/>
  <c r="DP6" i="459"/>
  <c r="DO6" i="459"/>
  <c r="DF42" i="459"/>
  <c r="DF41" i="459"/>
  <c r="DF40" i="459"/>
  <c r="DJ35" i="459"/>
  <c r="DI35" i="459"/>
  <c r="DJ34" i="459"/>
  <c r="DI34" i="459"/>
  <c r="DJ33" i="459"/>
  <c r="DI33" i="459"/>
  <c r="DJ32" i="459"/>
  <c r="DI32" i="459"/>
  <c r="DJ31" i="459"/>
  <c r="DI31" i="459"/>
  <c r="DJ30" i="459"/>
  <c r="DI30" i="459"/>
  <c r="DJ29" i="459"/>
  <c r="DI29" i="459"/>
  <c r="DJ28" i="459"/>
  <c r="DI28" i="459"/>
  <c r="DJ27" i="459"/>
  <c r="DI27" i="459"/>
  <c r="DJ26" i="459"/>
  <c r="DI26" i="459"/>
  <c r="DJ25" i="459"/>
  <c r="DI25" i="459"/>
  <c r="DJ24" i="459"/>
  <c r="DI24" i="459"/>
  <c r="DJ23" i="459"/>
  <c r="DI23" i="459"/>
  <c r="DJ22" i="459"/>
  <c r="DI22" i="459"/>
  <c r="DJ21" i="459"/>
  <c r="DI21" i="459"/>
  <c r="DJ20" i="459"/>
  <c r="DI20" i="459"/>
  <c r="DJ19" i="459"/>
  <c r="DI19" i="459"/>
  <c r="DJ18" i="459"/>
  <c r="DI18" i="459"/>
  <c r="DJ17" i="459"/>
  <c r="DI17" i="459"/>
  <c r="DJ16" i="459"/>
  <c r="DI16" i="459"/>
  <c r="DJ15" i="459"/>
  <c r="DI15" i="459"/>
  <c r="DJ14" i="459"/>
  <c r="DI14" i="459"/>
  <c r="DJ13" i="459"/>
  <c r="DI13" i="459"/>
  <c r="DJ12" i="459"/>
  <c r="DI12" i="459"/>
  <c r="DJ11" i="459"/>
  <c r="DI11" i="459"/>
  <c r="DJ10" i="459"/>
  <c r="DI10" i="459"/>
  <c r="DJ9" i="459"/>
  <c r="DI9" i="459"/>
  <c r="DJ8" i="459"/>
  <c r="DI8" i="459"/>
  <c r="DJ7" i="459"/>
  <c r="DI7" i="459"/>
  <c r="DJ6" i="459"/>
  <c r="DI6" i="459"/>
  <c r="A115" i="5"/>
  <c r="C44" i="26" s="1"/>
  <c r="A116" i="5"/>
  <c r="C45" i="26" s="1"/>
  <c r="A117" i="5"/>
  <c r="C46" i="26" s="1"/>
  <c r="A118" i="5"/>
  <c r="C47" i="26" s="1"/>
  <c r="A119" i="5"/>
  <c r="C48" i="26" s="1"/>
  <c r="A120" i="5"/>
  <c r="C49" i="26" s="1"/>
  <c r="A121" i="5"/>
  <c r="C50" i="26" s="1"/>
  <c r="A124" i="5"/>
  <c r="C53" i="26" s="1"/>
  <c r="A125" i="5"/>
  <c r="C54" i="26" s="1"/>
  <c r="A126" i="5"/>
  <c r="C55" i="26" s="1"/>
  <c r="C55" i="27" s="1"/>
  <c r="A127" i="5"/>
  <c r="C56" i="26" s="1"/>
  <c r="C56" i="27" s="1"/>
  <c r="A128" i="5"/>
  <c r="C57" i="26" s="1"/>
  <c r="A129" i="5"/>
  <c r="C58" i="26" s="1"/>
  <c r="A130" i="5"/>
  <c r="C59" i="26" s="1"/>
  <c r="A131" i="5"/>
  <c r="C60" i="26" s="1"/>
  <c r="A132" i="5"/>
  <c r="C61" i="26" s="1"/>
  <c r="A133" i="5"/>
  <c r="C62" i="26" s="1"/>
  <c r="A134" i="5"/>
  <c r="C63" i="26" s="1"/>
  <c r="A135" i="5"/>
  <c r="C64" i="26" s="1"/>
  <c r="A136" i="5"/>
  <c r="C65" i="26" s="1"/>
  <c r="A137" i="5"/>
  <c r="C66" i="26" s="1"/>
  <c r="A138" i="5"/>
  <c r="C67" i="26" s="1"/>
  <c r="A139" i="5"/>
  <c r="C68" i="26" s="1"/>
  <c r="A140" i="5"/>
  <c r="C69" i="26" s="1"/>
  <c r="A141" i="5"/>
  <c r="C70" i="26" s="1"/>
  <c r="A142" i="5"/>
  <c r="C71" i="26" s="1"/>
  <c r="A143" i="5"/>
  <c r="C72" i="26" s="1"/>
  <c r="A144" i="5"/>
  <c r="C73" i="26" s="1"/>
  <c r="A145" i="5"/>
  <c r="C74" i="26" s="1"/>
  <c r="A146" i="5"/>
  <c r="C75" i="26" s="1"/>
  <c r="A147" i="5"/>
  <c r="C76" i="26" s="1"/>
  <c r="C76" i="27" s="1"/>
  <c r="A148" i="5"/>
  <c r="C77" i="26" s="1"/>
  <c r="C77" i="27" s="1"/>
  <c r="A149" i="5"/>
  <c r="C78" i="26" s="1"/>
  <c r="C78" i="27" s="1"/>
  <c r="A150" i="5"/>
  <c r="C79" i="26" s="1"/>
  <c r="A151" i="5"/>
  <c r="C80" i="26" s="1"/>
  <c r="A152" i="5"/>
  <c r="C81" i="26" s="1"/>
  <c r="A153" i="5"/>
  <c r="C82" i="26" s="1"/>
  <c r="A154" i="5"/>
  <c r="C83" i="26" s="1"/>
  <c r="C86" i="26"/>
  <c r="A158" i="5"/>
  <c r="C87" i="26" s="1"/>
  <c r="A159" i="5"/>
  <c r="C88" i="26" s="1"/>
  <c r="A160" i="5"/>
  <c r="C89" i="26" s="1"/>
  <c r="A163" i="5"/>
  <c r="C92" i="26" s="1"/>
  <c r="A164" i="5"/>
  <c r="C93" i="26" s="1"/>
  <c r="A165" i="5"/>
  <c r="C94" i="26" s="1"/>
  <c r="A166" i="5"/>
  <c r="C95" i="26" s="1"/>
  <c r="A167" i="5"/>
  <c r="C96" i="26" s="1"/>
  <c r="C96" i="27" s="1"/>
  <c r="A168" i="5"/>
  <c r="C97" i="26" s="1"/>
  <c r="C97" i="27" s="1"/>
  <c r="A169" i="5"/>
  <c r="C98" i="26" s="1"/>
  <c r="C98" i="27" s="1"/>
  <c r="A170" i="5"/>
  <c r="C99" i="26" s="1"/>
  <c r="C99" i="27" s="1"/>
  <c r="A171" i="5"/>
  <c r="C100" i="26" s="1"/>
  <c r="C100" i="27" s="1"/>
  <c r="A172" i="5"/>
  <c r="C101" i="26" s="1"/>
  <c r="C101" i="27" s="1"/>
  <c r="A173" i="5"/>
  <c r="C102" i="26" s="1"/>
  <c r="C102" i="27" s="1"/>
  <c r="A174" i="5"/>
  <c r="C103" i="26" s="1"/>
  <c r="C103" i="27" s="1"/>
  <c r="A175" i="5"/>
  <c r="C104" i="26" s="1"/>
  <c r="C104" i="27" s="1"/>
  <c r="A176" i="5"/>
  <c r="C105" i="26" s="1"/>
  <c r="C105" i="27" s="1"/>
  <c r="A177" i="5"/>
  <c r="C106" i="26" s="1"/>
  <c r="C106" i="27" s="1"/>
  <c r="C35" i="459"/>
  <c r="B35" i="459"/>
  <c r="C34" i="459"/>
  <c r="B34" i="459"/>
  <c r="C33" i="459"/>
  <c r="B33" i="459"/>
  <c r="C32" i="459"/>
  <c r="B32" i="459"/>
  <c r="C31" i="459"/>
  <c r="B31" i="459"/>
  <c r="C30" i="459"/>
  <c r="B30" i="459"/>
  <c r="C29" i="459"/>
  <c r="B29" i="459"/>
  <c r="C28" i="459"/>
  <c r="B28" i="459"/>
  <c r="C27" i="459"/>
  <c r="B27" i="459"/>
  <c r="C26" i="459"/>
  <c r="B26" i="459"/>
  <c r="C25" i="459"/>
  <c r="B25" i="459"/>
  <c r="C24" i="459"/>
  <c r="B24" i="459"/>
  <c r="C23" i="459"/>
  <c r="B23" i="459"/>
  <c r="C22" i="459"/>
  <c r="B22" i="459"/>
  <c r="C21" i="459"/>
  <c r="B21" i="459"/>
  <c r="C20" i="459"/>
  <c r="B20" i="459"/>
  <c r="C19" i="459"/>
  <c r="B19" i="459"/>
  <c r="C18" i="459"/>
  <c r="B18" i="459"/>
  <c r="C17" i="459"/>
  <c r="B17" i="459"/>
  <c r="C16" i="459"/>
  <c r="B16" i="459"/>
  <c r="C15" i="459"/>
  <c r="B15" i="459"/>
  <c r="C14" i="459"/>
  <c r="B14" i="459"/>
  <c r="C13" i="459"/>
  <c r="B13" i="459"/>
  <c r="C12" i="459"/>
  <c r="B12" i="459"/>
  <c r="C11" i="459"/>
  <c r="B11" i="459"/>
  <c r="C10" i="459"/>
  <c r="B10" i="459"/>
  <c r="C9" i="459"/>
  <c r="B9" i="459"/>
  <c r="C8" i="459"/>
  <c r="B8" i="459"/>
  <c r="C7" i="459"/>
  <c r="B7" i="459"/>
  <c r="C6" i="459"/>
  <c r="B6" i="459"/>
  <c r="A38" i="459"/>
  <c r="J4" i="459"/>
  <c r="E4" i="459"/>
  <c r="D4" i="459"/>
  <c r="B3" i="459"/>
  <c r="A3" i="459"/>
  <c r="A2" i="459"/>
  <c r="A1" i="459"/>
  <c r="D1" i="458"/>
  <c r="C1" i="458"/>
  <c r="B1" i="458"/>
  <c r="A1" i="458"/>
  <c r="A6" i="457"/>
  <c r="A4" i="457"/>
  <c r="A1" i="457"/>
  <c r="CZ42" i="459"/>
  <c r="CT42" i="459"/>
  <c r="CN42" i="459"/>
  <c r="CH42" i="459"/>
  <c r="CB42" i="459"/>
  <c r="BV42" i="459"/>
  <c r="BP42" i="459"/>
  <c r="BJ42" i="459"/>
  <c r="BD42" i="459"/>
  <c r="AX42" i="459"/>
  <c r="AR42" i="459"/>
  <c r="AL42" i="459"/>
  <c r="AF42" i="459"/>
  <c r="Z42" i="459"/>
  <c r="T42" i="459"/>
  <c r="CZ41" i="459"/>
  <c r="CT41" i="459"/>
  <c r="CN41" i="459"/>
  <c r="CH41" i="459"/>
  <c r="CB41" i="459"/>
  <c r="BV41" i="459"/>
  <c r="BP41" i="459"/>
  <c r="BJ41" i="459"/>
  <c r="BD41" i="459"/>
  <c r="AX41" i="459"/>
  <c r="AR41" i="459"/>
  <c r="AL41" i="459"/>
  <c r="AF41" i="459"/>
  <c r="Z41" i="459"/>
  <c r="T41" i="459"/>
  <c r="CZ40" i="459"/>
  <c r="CT40" i="459"/>
  <c r="CN40" i="459"/>
  <c r="CH40" i="459"/>
  <c r="CB40" i="459"/>
  <c r="BV40" i="459"/>
  <c r="BP40" i="459"/>
  <c r="BJ40" i="459"/>
  <c r="BD40" i="459"/>
  <c r="AX40" i="459"/>
  <c r="AR40" i="459"/>
  <c r="AL40" i="459"/>
  <c r="AF40" i="459"/>
  <c r="Z40" i="459"/>
  <c r="T40" i="459"/>
  <c r="Z39" i="459"/>
  <c r="AF39" i="459" s="1"/>
  <c r="AL39" i="459" s="1"/>
  <c r="AR39" i="459" s="1"/>
  <c r="AX39" i="459" s="1"/>
  <c r="BD39" i="459" s="1"/>
  <c r="BJ39" i="459" s="1"/>
  <c r="BP39" i="459" s="1"/>
  <c r="BV39" i="459" s="1"/>
  <c r="CB39" i="459" s="1"/>
  <c r="CH39" i="459" s="1"/>
  <c r="CN39" i="459" s="1"/>
  <c r="CT39" i="459" s="1"/>
  <c r="CZ39" i="459" s="1"/>
  <c r="DF39" i="459" s="1"/>
  <c r="DL39" i="459" s="1"/>
  <c r="DR39" i="459" s="1"/>
  <c r="DX39" i="459" s="1"/>
  <c r="ED39" i="459" s="1"/>
  <c r="EJ39" i="459" s="1"/>
  <c r="DD35" i="459"/>
  <c r="DC35" i="459"/>
  <c r="CX35" i="459"/>
  <c r="CW35" i="459"/>
  <c r="CR35" i="459"/>
  <c r="CQ35" i="459"/>
  <c r="CL35" i="459"/>
  <c r="CK35" i="459"/>
  <c r="CF35" i="459"/>
  <c r="CE35" i="459"/>
  <c r="BZ35" i="459"/>
  <c r="BY35" i="459"/>
  <c r="BT35" i="459"/>
  <c r="BS35" i="459"/>
  <c r="BN35" i="459"/>
  <c r="BM35" i="459"/>
  <c r="BH35" i="459"/>
  <c r="BG35" i="459"/>
  <c r="BB35" i="459"/>
  <c r="BA35" i="459"/>
  <c r="AV35" i="459"/>
  <c r="AU35" i="459"/>
  <c r="AP35" i="459"/>
  <c r="AO35" i="459"/>
  <c r="AJ35" i="459"/>
  <c r="AI35" i="459"/>
  <c r="AD35" i="459"/>
  <c r="X35" i="459"/>
  <c r="W35" i="459"/>
  <c r="R35" i="459"/>
  <c r="Q35" i="459"/>
  <c r="DD34" i="459"/>
  <c r="DC34" i="459"/>
  <c r="CX34" i="459"/>
  <c r="CW34" i="459"/>
  <c r="CR34" i="459"/>
  <c r="CQ34" i="459"/>
  <c r="CL34" i="459"/>
  <c r="CK34" i="459"/>
  <c r="CF34" i="459"/>
  <c r="CE34" i="459"/>
  <c r="BZ34" i="459"/>
  <c r="BY34" i="459"/>
  <c r="BT34" i="459"/>
  <c r="BS34" i="459"/>
  <c r="BN34" i="459"/>
  <c r="BM34" i="459"/>
  <c r="BH34" i="459"/>
  <c r="BG34" i="459"/>
  <c r="BB34" i="459"/>
  <c r="BA34" i="459"/>
  <c r="AV34" i="459"/>
  <c r="AU34" i="459"/>
  <c r="AP34" i="459"/>
  <c r="AO34" i="459"/>
  <c r="AJ34" i="459"/>
  <c r="AI34" i="459"/>
  <c r="AD34" i="459"/>
  <c r="X34" i="459"/>
  <c r="W34" i="459"/>
  <c r="R34" i="459"/>
  <c r="Q34" i="459"/>
  <c r="DD33" i="459"/>
  <c r="DC33" i="459"/>
  <c r="CX33" i="459"/>
  <c r="CW33" i="459"/>
  <c r="CR33" i="459"/>
  <c r="CQ33" i="459"/>
  <c r="CL33" i="459"/>
  <c r="CK33" i="459"/>
  <c r="CF33" i="459"/>
  <c r="CE33" i="459"/>
  <c r="BZ33" i="459"/>
  <c r="BY33" i="459"/>
  <c r="BT33" i="459"/>
  <c r="BS33" i="459"/>
  <c r="BN33" i="459"/>
  <c r="BM33" i="459"/>
  <c r="BH33" i="459"/>
  <c r="BG33" i="459"/>
  <c r="BB33" i="459"/>
  <c r="BA33" i="459"/>
  <c r="AV33" i="459"/>
  <c r="AU33" i="459"/>
  <c r="AP33" i="459"/>
  <c r="AO33" i="459"/>
  <c r="AJ33" i="459"/>
  <c r="AI33" i="459"/>
  <c r="AD33" i="459"/>
  <c r="X33" i="459"/>
  <c r="W33" i="459"/>
  <c r="R33" i="459"/>
  <c r="Q33" i="459"/>
  <c r="DD32" i="459"/>
  <c r="DC32" i="459"/>
  <c r="CX32" i="459"/>
  <c r="CW32" i="459"/>
  <c r="CR32" i="459"/>
  <c r="CQ32" i="459"/>
  <c r="CL32" i="459"/>
  <c r="CK32" i="459"/>
  <c r="CF32" i="459"/>
  <c r="CE32" i="459"/>
  <c r="BZ32" i="459"/>
  <c r="BY32" i="459"/>
  <c r="BT32" i="459"/>
  <c r="BS32" i="459"/>
  <c r="BN32" i="459"/>
  <c r="BM32" i="459"/>
  <c r="BH32" i="459"/>
  <c r="BG32" i="459"/>
  <c r="BB32" i="459"/>
  <c r="BA32" i="459"/>
  <c r="AV32" i="459"/>
  <c r="AU32" i="459"/>
  <c r="AP32" i="459"/>
  <c r="AO32" i="459"/>
  <c r="AJ32" i="459"/>
  <c r="AI32" i="459"/>
  <c r="AD32" i="459"/>
  <c r="X32" i="459"/>
  <c r="W32" i="459"/>
  <c r="R32" i="459"/>
  <c r="Q32" i="459"/>
  <c r="DD31" i="459"/>
  <c r="DC31" i="459"/>
  <c r="CX31" i="459"/>
  <c r="CW31" i="459"/>
  <c r="CR31" i="459"/>
  <c r="CQ31" i="459"/>
  <c r="CL31" i="459"/>
  <c r="CK31" i="459"/>
  <c r="CF31" i="459"/>
  <c r="CE31" i="459"/>
  <c r="BZ31" i="459"/>
  <c r="BY31" i="459"/>
  <c r="BT31" i="459"/>
  <c r="BS31" i="459"/>
  <c r="BN31" i="459"/>
  <c r="BM31" i="459"/>
  <c r="BH31" i="459"/>
  <c r="BG31" i="459"/>
  <c r="BB31" i="459"/>
  <c r="BA31" i="459"/>
  <c r="AV31" i="459"/>
  <c r="AU31" i="459"/>
  <c r="AP31" i="459"/>
  <c r="AO31" i="459"/>
  <c r="AJ31" i="459"/>
  <c r="AI31" i="459"/>
  <c r="AD31" i="459"/>
  <c r="X31" i="459"/>
  <c r="W31" i="459"/>
  <c r="R31" i="459"/>
  <c r="Q31" i="459"/>
  <c r="DD30" i="459"/>
  <c r="DC30" i="459"/>
  <c r="CX30" i="459"/>
  <c r="CW30" i="459"/>
  <c r="CR30" i="459"/>
  <c r="CQ30" i="459"/>
  <c r="CL30" i="459"/>
  <c r="CK30" i="459"/>
  <c r="CF30" i="459"/>
  <c r="CE30" i="459"/>
  <c r="BZ30" i="459"/>
  <c r="BY30" i="459"/>
  <c r="BT30" i="459"/>
  <c r="BS30" i="459"/>
  <c r="BN30" i="459"/>
  <c r="BM30" i="459"/>
  <c r="BH30" i="459"/>
  <c r="BG30" i="459"/>
  <c r="BB30" i="459"/>
  <c r="BA30" i="459"/>
  <c r="AV30" i="459"/>
  <c r="AU30" i="459"/>
  <c r="AP30" i="459"/>
  <c r="AO30" i="459"/>
  <c r="AJ30" i="459"/>
  <c r="AI30" i="459"/>
  <c r="AD30" i="459"/>
  <c r="X30" i="459"/>
  <c r="W30" i="459"/>
  <c r="R30" i="459"/>
  <c r="Q30" i="459"/>
  <c r="DD29" i="459"/>
  <c r="DC29" i="459"/>
  <c r="CX29" i="459"/>
  <c r="CW29" i="459"/>
  <c r="CR29" i="459"/>
  <c r="CQ29" i="459"/>
  <c r="CL29" i="459"/>
  <c r="CK29" i="459"/>
  <c r="CF29" i="459"/>
  <c r="CE29" i="459"/>
  <c r="BZ29" i="459"/>
  <c r="BY29" i="459"/>
  <c r="BT29" i="459"/>
  <c r="BS29" i="459"/>
  <c r="BN29" i="459"/>
  <c r="BM29" i="459"/>
  <c r="BH29" i="459"/>
  <c r="BG29" i="459"/>
  <c r="BB29" i="459"/>
  <c r="BA29" i="459"/>
  <c r="AV29" i="459"/>
  <c r="AU29" i="459"/>
  <c r="AP29" i="459"/>
  <c r="AO29" i="459"/>
  <c r="AJ29" i="459"/>
  <c r="AI29" i="459"/>
  <c r="AD29" i="459"/>
  <c r="X29" i="459"/>
  <c r="W29" i="459"/>
  <c r="R29" i="459"/>
  <c r="Q29" i="459"/>
  <c r="DD28" i="459"/>
  <c r="DC28" i="459"/>
  <c r="CX28" i="459"/>
  <c r="CW28" i="459"/>
  <c r="CR28" i="459"/>
  <c r="CQ28" i="459"/>
  <c r="CL28" i="459"/>
  <c r="CK28" i="459"/>
  <c r="CF28" i="459"/>
  <c r="CE28" i="459"/>
  <c r="BZ28" i="459"/>
  <c r="BY28" i="459"/>
  <c r="BT28" i="459"/>
  <c r="BS28" i="459"/>
  <c r="BN28" i="459"/>
  <c r="BM28" i="459"/>
  <c r="BH28" i="459"/>
  <c r="BG28" i="459"/>
  <c r="BB28" i="459"/>
  <c r="BA28" i="459"/>
  <c r="AV28" i="459"/>
  <c r="AU28" i="459"/>
  <c r="AP28" i="459"/>
  <c r="AO28" i="459"/>
  <c r="AJ28" i="459"/>
  <c r="AI28" i="459"/>
  <c r="AD28" i="459"/>
  <c r="X28" i="459"/>
  <c r="W28" i="459"/>
  <c r="R28" i="459"/>
  <c r="Q28" i="459"/>
  <c r="DD27" i="459"/>
  <c r="DC27" i="459"/>
  <c r="CX27" i="459"/>
  <c r="CW27" i="459"/>
  <c r="CR27" i="459"/>
  <c r="CQ27" i="459"/>
  <c r="CL27" i="459"/>
  <c r="CK27" i="459"/>
  <c r="CF27" i="459"/>
  <c r="CE27" i="459"/>
  <c r="BZ27" i="459"/>
  <c r="BY27" i="459"/>
  <c r="BT27" i="459"/>
  <c r="BS27" i="459"/>
  <c r="BN27" i="459"/>
  <c r="BM27" i="459"/>
  <c r="BH27" i="459"/>
  <c r="BG27" i="459"/>
  <c r="BB27" i="459"/>
  <c r="BA27" i="459"/>
  <c r="AV27" i="459"/>
  <c r="AU27" i="459"/>
  <c r="AP27" i="459"/>
  <c r="AO27" i="459"/>
  <c r="AJ27" i="459"/>
  <c r="AI27" i="459"/>
  <c r="AD27" i="459"/>
  <c r="X27" i="459"/>
  <c r="W27" i="459"/>
  <c r="R27" i="459"/>
  <c r="Q27" i="459"/>
  <c r="DD26" i="459"/>
  <c r="DC26" i="459"/>
  <c r="CX26" i="459"/>
  <c r="CW26" i="459"/>
  <c r="CR26" i="459"/>
  <c r="CQ26" i="459"/>
  <c r="CL26" i="459"/>
  <c r="CK26" i="459"/>
  <c r="CF26" i="459"/>
  <c r="CE26" i="459"/>
  <c r="BZ26" i="459"/>
  <c r="BY26" i="459"/>
  <c r="BT26" i="459"/>
  <c r="BS26" i="459"/>
  <c r="BN26" i="459"/>
  <c r="BM26" i="459"/>
  <c r="BH26" i="459"/>
  <c r="BG26" i="459"/>
  <c r="BB26" i="459"/>
  <c r="BA26" i="459"/>
  <c r="AV26" i="459"/>
  <c r="AU26" i="459"/>
  <c r="AP26" i="459"/>
  <c r="AO26" i="459"/>
  <c r="AJ26" i="459"/>
  <c r="AI26" i="459"/>
  <c r="AD26" i="459"/>
  <c r="X26" i="459"/>
  <c r="W26" i="459"/>
  <c r="R26" i="459"/>
  <c r="Q26" i="459"/>
  <c r="DD25" i="459"/>
  <c r="DC25" i="459"/>
  <c r="CX25" i="459"/>
  <c r="CW25" i="459"/>
  <c r="CR25" i="459"/>
  <c r="CQ25" i="459"/>
  <c r="CL25" i="459"/>
  <c r="CK25" i="459"/>
  <c r="CF25" i="459"/>
  <c r="CE25" i="459"/>
  <c r="BZ25" i="459"/>
  <c r="BY25" i="459"/>
  <c r="BT25" i="459"/>
  <c r="BS25" i="459"/>
  <c r="BN25" i="459"/>
  <c r="BM25" i="459"/>
  <c r="BH25" i="459"/>
  <c r="BG25" i="459"/>
  <c r="BB25" i="459"/>
  <c r="BA25" i="459"/>
  <c r="AV25" i="459"/>
  <c r="AU25" i="459"/>
  <c r="AP25" i="459"/>
  <c r="AO25" i="459"/>
  <c r="AJ25" i="459"/>
  <c r="AI25" i="459"/>
  <c r="AD25" i="459"/>
  <c r="X25" i="459"/>
  <c r="W25" i="459"/>
  <c r="R25" i="459"/>
  <c r="Q25" i="459"/>
  <c r="DD24" i="459"/>
  <c r="DC24" i="459"/>
  <c r="CX24" i="459"/>
  <c r="CW24" i="459"/>
  <c r="CR24" i="459"/>
  <c r="CQ24" i="459"/>
  <c r="CL24" i="459"/>
  <c r="CK24" i="459"/>
  <c r="CF24" i="459"/>
  <c r="CE24" i="459"/>
  <c r="BZ24" i="459"/>
  <c r="BY24" i="459"/>
  <c r="BT24" i="459"/>
  <c r="BS24" i="459"/>
  <c r="BN24" i="459"/>
  <c r="BM24" i="459"/>
  <c r="BH24" i="459"/>
  <c r="BG24" i="459"/>
  <c r="BB24" i="459"/>
  <c r="BA24" i="459"/>
  <c r="AV24" i="459"/>
  <c r="AU24" i="459"/>
  <c r="AP24" i="459"/>
  <c r="AO24" i="459"/>
  <c r="AJ24" i="459"/>
  <c r="AI24" i="459"/>
  <c r="AD24" i="459"/>
  <c r="X24" i="459"/>
  <c r="W24" i="459"/>
  <c r="R24" i="459"/>
  <c r="Q24" i="459"/>
  <c r="DD23" i="459"/>
  <c r="DC23" i="459"/>
  <c r="CX23" i="459"/>
  <c r="CW23" i="459"/>
  <c r="CR23" i="459"/>
  <c r="CQ23" i="459"/>
  <c r="CL23" i="459"/>
  <c r="CK23" i="459"/>
  <c r="CF23" i="459"/>
  <c r="CE23" i="459"/>
  <c r="BZ23" i="459"/>
  <c r="BY23" i="459"/>
  <c r="BT23" i="459"/>
  <c r="BS23" i="459"/>
  <c r="BN23" i="459"/>
  <c r="BM23" i="459"/>
  <c r="BH23" i="459"/>
  <c r="BG23" i="459"/>
  <c r="BB23" i="459"/>
  <c r="BA23" i="459"/>
  <c r="AV23" i="459"/>
  <c r="AU23" i="459"/>
  <c r="AP23" i="459"/>
  <c r="AO23" i="459"/>
  <c r="AJ23" i="459"/>
  <c r="AI23" i="459"/>
  <c r="AD23" i="459"/>
  <c r="X23" i="459"/>
  <c r="W23" i="459"/>
  <c r="R23" i="459"/>
  <c r="Q23" i="459"/>
  <c r="DD22" i="459"/>
  <c r="DC22" i="459"/>
  <c r="CX22" i="459"/>
  <c r="CW22" i="459"/>
  <c r="CR22" i="459"/>
  <c r="CQ22" i="459"/>
  <c r="CL22" i="459"/>
  <c r="CK22" i="459"/>
  <c r="CF22" i="459"/>
  <c r="CE22" i="459"/>
  <c r="BZ22" i="459"/>
  <c r="BY22" i="459"/>
  <c r="BT22" i="459"/>
  <c r="BS22" i="459"/>
  <c r="BN22" i="459"/>
  <c r="BM22" i="459"/>
  <c r="BH22" i="459"/>
  <c r="BG22" i="459"/>
  <c r="BB22" i="459"/>
  <c r="BA22" i="459"/>
  <c r="AV22" i="459"/>
  <c r="AU22" i="459"/>
  <c r="AP22" i="459"/>
  <c r="AO22" i="459"/>
  <c r="AJ22" i="459"/>
  <c r="AI22" i="459"/>
  <c r="AD22" i="459"/>
  <c r="X22" i="459"/>
  <c r="W22" i="459"/>
  <c r="R22" i="459"/>
  <c r="Q22" i="459"/>
  <c r="DD21" i="459"/>
  <c r="DC21" i="459"/>
  <c r="CX21" i="459"/>
  <c r="CW21" i="459"/>
  <c r="CR21" i="459"/>
  <c r="CQ21" i="459"/>
  <c r="CL21" i="459"/>
  <c r="CK21" i="459"/>
  <c r="CF21" i="459"/>
  <c r="CE21" i="459"/>
  <c r="BZ21" i="459"/>
  <c r="BY21" i="459"/>
  <c r="BT21" i="459"/>
  <c r="BS21" i="459"/>
  <c r="BN21" i="459"/>
  <c r="BM21" i="459"/>
  <c r="BH21" i="459"/>
  <c r="BG21" i="459"/>
  <c r="BB21" i="459"/>
  <c r="BA21" i="459"/>
  <c r="AV21" i="459"/>
  <c r="AU21" i="459"/>
  <c r="AP21" i="459"/>
  <c r="AO21" i="459"/>
  <c r="AJ21" i="459"/>
  <c r="AI21" i="459"/>
  <c r="AD21" i="459"/>
  <c r="X21" i="459"/>
  <c r="W21" i="459"/>
  <c r="R21" i="459"/>
  <c r="Q21" i="459"/>
  <c r="DD20" i="459"/>
  <c r="DC20" i="459"/>
  <c r="CX20" i="459"/>
  <c r="CW20" i="459"/>
  <c r="CR20" i="459"/>
  <c r="CQ20" i="459"/>
  <c r="CL20" i="459"/>
  <c r="CK20" i="459"/>
  <c r="CF20" i="459"/>
  <c r="CE20" i="459"/>
  <c r="BZ20" i="459"/>
  <c r="BY20" i="459"/>
  <c r="BT20" i="459"/>
  <c r="BS20" i="459"/>
  <c r="BN20" i="459"/>
  <c r="BM20" i="459"/>
  <c r="BH20" i="459"/>
  <c r="BG20" i="459"/>
  <c r="BB20" i="459"/>
  <c r="BA20" i="459"/>
  <c r="AV20" i="459"/>
  <c r="AU20" i="459"/>
  <c r="AP20" i="459"/>
  <c r="AO20" i="459"/>
  <c r="AJ20" i="459"/>
  <c r="AI20" i="459"/>
  <c r="AD20" i="459"/>
  <c r="X20" i="459"/>
  <c r="W20" i="459"/>
  <c r="R20" i="459"/>
  <c r="Q20" i="459"/>
  <c r="DD19" i="459"/>
  <c r="DC19" i="459"/>
  <c r="CX19" i="459"/>
  <c r="CW19" i="459"/>
  <c r="CR19" i="459"/>
  <c r="CQ19" i="459"/>
  <c r="CL19" i="459"/>
  <c r="CK19" i="459"/>
  <c r="CF19" i="459"/>
  <c r="CE19" i="459"/>
  <c r="BZ19" i="459"/>
  <c r="BY19" i="459"/>
  <c r="BT19" i="459"/>
  <c r="BS19" i="459"/>
  <c r="BN19" i="459"/>
  <c r="BM19" i="459"/>
  <c r="BH19" i="459"/>
  <c r="BG19" i="459"/>
  <c r="BB19" i="459"/>
  <c r="BA19" i="459"/>
  <c r="AV19" i="459"/>
  <c r="AU19" i="459"/>
  <c r="AP19" i="459"/>
  <c r="AO19" i="459"/>
  <c r="AJ19" i="459"/>
  <c r="AI19" i="459"/>
  <c r="AD19" i="459"/>
  <c r="X19" i="459"/>
  <c r="W19" i="459"/>
  <c r="R19" i="459"/>
  <c r="Q19" i="459"/>
  <c r="DD18" i="459"/>
  <c r="DC18" i="459"/>
  <c r="CX18" i="459"/>
  <c r="CW18" i="459"/>
  <c r="CR18" i="459"/>
  <c r="CQ18" i="459"/>
  <c r="CL18" i="459"/>
  <c r="CK18" i="459"/>
  <c r="CF18" i="459"/>
  <c r="CE18" i="459"/>
  <c r="BZ18" i="459"/>
  <c r="BY18" i="459"/>
  <c r="BT18" i="459"/>
  <c r="BS18" i="459"/>
  <c r="BN18" i="459"/>
  <c r="BM18" i="459"/>
  <c r="BH18" i="459"/>
  <c r="BG18" i="459"/>
  <c r="BB18" i="459"/>
  <c r="BA18" i="459"/>
  <c r="AV18" i="459"/>
  <c r="AU18" i="459"/>
  <c r="AP18" i="459"/>
  <c r="AO18" i="459"/>
  <c r="AJ18" i="459"/>
  <c r="AI18" i="459"/>
  <c r="AD18" i="459"/>
  <c r="X18" i="459"/>
  <c r="W18" i="459"/>
  <c r="R18" i="459"/>
  <c r="Q18" i="459"/>
  <c r="DD17" i="459"/>
  <c r="DC17" i="459"/>
  <c r="CX17" i="459"/>
  <c r="CW17" i="459"/>
  <c r="CR17" i="459"/>
  <c r="CQ17" i="459"/>
  <c r="CL17" i="459"/>
  <c r="CK17" i="459"/>
  <c r="CF17" i="459"/>
  <c r="CE17" i="459"/>
  <c r="BZ17" i="459"/>
  <c r="BY17" i="459"/>
  <c r="BT17" i="459"/>
  <c r="BS17" i="459"/>
  <c r="BN17" i="459"/>
  <c r="BM17" i="459"/>
  <c r="BH17" i="459"/>
  <c r="BG17" i="459"/>
  <c r="BB17" i="459"/>
  <c r="BA17" i="459"/>
  <c r="AV17" i="459"/>
  <c r="AU17" i="459"/>
  <c r="AP17" i="459"/>
  <c r="AO17" i="459"/>
  <c r="AJ17" i="459"/>
  <c r="AI17" i="459"/>
  <c r="AD17" i="459"/>
  <c r="X17" i="459"/>
  <c r="W17" i="459"/>
  <c r="R17" i="459"/>
  <c r="Q17" i="459"/>
  <c r="DD16" i="459"/>
  <c r="DC16" i="459"/>
  <c r="CX16" i="459"/>
  <c r="CW16" i="459"/>
  <c r="CR16" i="459"/>
  <c r="CQ16" i="459"/>
  <c r="CL16" i="459"/>
  <c r="CK16" i="459"/>
  <c r="CF16" i="459"/>
  <c r="CE16" i="459"/>
  <c r="BZ16" i="459"/>
  <c r="BY16" i="459"/>
  <c r="BT16" i="459"/>
  <c r="BS16" i="459"/>
  <c r="BN16" i="459"/>
  <c r="BM16" i="459"/>
  <c r="BH16" i="459"/>
  <c r="BG16" i="459"/>
  <c r="BB16" i="459"/>
  <c r="BA16" i="459"/>
  <c r="AV16" i="459"/>
  <c r="AU16" i="459"/>
  <c r="AP16" i="459"/>
  <c r="AO16" i="459"/>
  <c r="AJ16" i="459"/>
  <c r="AI16" i="459"/>
  <c r="AD16" i="459"/>
  <c r="X16" i="459"/>
  <c r="W16" i="459"/>
  <c r="R16" i="459"/>
  <c r="Q16" i="459"/>
  <c r="DD15" i="459"/>
  <c r="DC15" i="459"/>
  <c r="CX15" i="459"/>
  <c r="CW15" i="459"/>
  <c r="CR15" i="459"/>
  <c r="CQ15" i="459"/>
  <c r="CL15" i="459"/>
  <c r="CK15" i="459"/>
  <c r="CF15" i="459"/>
  <c r="CE15" i="459"/>
  <c r="BZ15" i="459"/>
  <c r="BY15" i="459"/>
  <c r="BT15" i="459"/>
  <c r="BS15" i="459"/>
  <c r="BN15" i="459"/>
  <c r="BM15" i="459"/>
  <c r="BH15" i="459"/>
  <c r="BG15" i="459"/>
  <c r="BB15" i="459"/>
  <c r="BA15" i="459"/>
  <c r="AV15" i="459"/>
  <c r="AU15" i="459"/>
  <c r="AP15" i="459"/>
  <c r="AO15" i="459"/>
  <c r="AJ15" i="459"/>
  <c r="AI15" i="459"/>
  <c r="AD15" i="459"/>
  <c r="X15" i="459"/>
  <c r="W15" i="459"/>
  <c r="R15" i="459"/>
  <c r="Q15" i="459"/>
  <c r="DD14" i="459"/>
  <c r="DC14" i="459"/>
  <c r="CX14" i="459"/>
  <c r="CW14" i="459"/>
  <c r="CR14" i="459"/>
  <c r="CQ14" i="459"/>
  <c r="CL14" i="459"/>
  <c r="CK14" i="459"/>
  <c r="CF14" i="459"/>
  <c r="CE14" i="459"/>
  <c r="BZ14" i="459"/>
  <c r="BY14" i="459"/>
  <c r="BT14" i="459"/>
  <c r="BS14" i="459"/>
  <c r="BN14" i="459"/>
  <c r="BM14" i="459"/>
  <c r="BH14" i="459"/>
  <c r="BG14" i="459"/>
  <c r="BB14" i="459"/>
  <c r="BA14" i="459"/>
  <c r="AV14" i="459"/>
  <c r="AU14" i="459"/>
  <c r="AP14" i="459"/>
  <c r="AO14" i="459"/>
  <c r="AJ14" i="459"/>
  <c r="AI14" i="459"/>
  <c r="AD14" i="459"/>
  <c r="X14" i="459"/>
  <c r="W14" i="459"/>
  <c r="R14" i="459"/>
  <c r="Q14" i="459"/>
  <c r="DD13" i="459"/>
  <c r="DC13" i="459"/>
  <c r="CX13" i="459"/>
  <c r="CW13" i="459"/>
  <c r="CR13" i="459"/>
  <c r="CQ13" i="459"/>
  <c r="CL13" i="459"/>
  <c r="CK13" i="459"/>
  <c r="CF13" i="459"/>
  <c r="CE13" i="459"/>
  <c r="BZ13" i="459"/>
  <c r="BY13" i="459"/>
  <c r="BT13" i="459"/>
  <c r="BS13" i="459"/>
  <c r="BN13" i="459"/>
  <c r="BM13" i="459"/>
  <c r="BH13" i="459"/>
  <c r="BG13" i="459"/>
  <c r="BB13" i="459"/>
  <c r="BA13" i="459"/>
  <c r="AV13" i="459"/>
  <c r="AU13" i="459"/>
  <c r="AP13" i="459"/>
  <c r="AO13" i="459"/>
  <c r="AJ13" i="459"/>
  <c r="AI13" i="459"/>
  <c r="AD13" i="459"/>
  <c r="X13" i="459"/>
  <c r="W13" i="459"/>
  <c r="R13" i="459"/>
  <c r="Q13" i="459"/>
  <c r="DD12" i="459"/>
  <c r="DC12" i="459"/>
  <c r="CX12" i="459"/>
  <c r="CW12" i="459"/>
  <c r="CR12" i="459"/>
  <c r="CQ12" i="459"/>
  <c r="CL12" i="459"/>
  <c r="CK12" i="459"/>
  <c r="CF12" i="459"/>
  <c r="CE12" i="459"/>
  <c r="BZ12" i="459"/>
  <c r="BY12" i="459"/>
  <c r="BT12" i="459"/>
  <c r="BS12" i="459"/>
  <c r="BN12" i="459"/>
  <c r="BM12" i="459"/>
  <c r="BH12" i="459"/>
  <c r="BG12" i="459"/>
  <c r="BB12" i="459"/>
  <c r="BA12" i="459"/>
  <c r="AV12" i="459"/>
  <c r="AU12" i="459"/>
  <c r="AP12" i="459"/>
  <c r="AO12" i="459"/>
  <c r="AJ12" i="459"/>
  <c r="AI12" i="459"/>
  <c r="AD12" i="459"/>
  <c r="X12" i="459"/>
  <c r="W12" i="459"/>
  <c r="R12" i="459"/>
  <c r="Q12" i="459"/>
  <c r="DD11" i="459"/>
  <c r="DC11" i="459"/>
  <c r="CX11" i="459"/>
  <c r="CW11" i="459"/>
  <c r="CR11" i="459"/>
  <c r="CQ11" i="459"/>
  <c r="CL11" i="459"/>
  <c r="CK11" i="459"/>
  <c r="CF11" i="459"/>
  <c r="CE11" i="459"/>
  <c r="BZ11" i="459"/>
  <c r="BY11" i="459"/>
  <c r="BT11" i="459"/>
  <c r="BS11" i="459"/>
  <c r="BN11" i="459"/>
  <c r="BM11" i="459"/>
  <c r="BH11" i="459"/>
  <c r="BG11" i="459"/>
  <c r="BB11" i="459"/>
  <c r="BA11" i="459"/>
  <c r="AV11" i="459"/>
  <c r="AU11" i="459"/>
  <c r="AP11" i="459"/>
  <c r="AO11" i="459"/>
  <c r="AJ11" i="459"/>
  <c r="AI11" i="459"/>
  <c r="AD11" i="459"/>
  <c r="X11" i="459"/>
  <c r="W11" i="459"/>
  <c r="R11" i="459"/>
  <c r="Q11" i="459"/>
  <c r="DD10" i="459"/>
  <c r="DC10" i="459"/>
  <c r="CX10" i="459"/>
  <c r="CW10" i="459"/>
  <c r="CR10" i="459"/>
  <c r="CQ10" i="459"/>
  <c r="CL10" i="459"/>
  <c r="CK10" i="459"/>
  <c r="CF10" i="459"/>
  <c r="CE10" i="459"/>
  <c r="BZ10" i="459"/>
  <c r="BY10" i="459"/>
  <c r="BT10" i="459"/>
  <c r="BS10" i="459"/>
  <c r="BN10" i="459"/>
  <c r="BM10" i="459"/>
  <c r="BH10" i="459"/>
  <c r="BG10" i="459"/>
  <c r="BB10" i="459"/>
  <c r="BA10" i="459"/>
  <c r="AV10" i="459"/>
  <c r="AU10" i="459"/>
  <c r="AP10" i="459"/>
  <c r="AO10" i="459"/>
  <c r="AJ10" i="459"/>
  <c r="AI10" i="459"/>
  <c r="AD10" i="459"/>
  <c r="X10" i="459"/>
  <c r="W10" i="459"/>
  <c r="R10" i="459"/>
  <c r="Q10" i="459"/>
  <c r="DD9" i="459"/>
  <c r="DC9" i="459"/>
  <c r="CX9" i="459"/>
  <c r="CW9" i="459"/>
  <c r="CR9" i="459"/>
  <c r="CQ9" i="459"/>
  <c r="CL9" i="459"/>
  <c r="CK9" i="459"/>
  <c r="CF9" i="459"/>
  <c r="CE9" i="459"/>
  <c r="BZ9" i="459"/>
  <c r="BY9" i="459"/>
  <c r="BT9" i="459"/>
  <c r="BS9" i="459"/>
  <c r="BN9" i="459"/>
  <c r="BM9" i="459"/>
  <c r="BH9" i="459"/>
  <c r="BG9" i="459"/>
  <c r="BB9" i="459"/>
  <c r="BA9" i="459"/>
  <c r="AV9" i="459"/>
  <c r="AU9" i="459"/>
  <c r="AP9" i="459"/>
  <c r="AO9" i="459"/>
  <c r="AJ9" i="459"/>
  <c r="AI9" i="459"/>
  <c r="AD9" i="459"/>
  <c r="X9" i="459"/>
  <c r="W9" i="459"/>
  <c r="R9" i="459"/>
  <c r="Q9" i="459"/>
  <c r="DD8" i="459"/>
  <c r="DC8" i="459"/>
  <c r="CX8" i="459"/>
  <c r="CW8" i="459"/>
  <c r="CR8" i="459"/>
  <c r="CQ8" i="459"/>
  <c r="CL8" i="459"/>
  <c r="CK8" i="459"/>
  <c r="CF8" i="459"/>
  <c r="CE8" i="459"/>
  <c r="BZ8" i="459"/>
  <c r="BY8" i="459"/>
  <c r="BT8" i="459"/>
  <c r="BS8" i="459"/>
  <c r="BN8" i="459"/>
  <c r="BM8" i="459"/>
  <c r="BH8" i="459"/>
  <c r="BG8" i="459"/>
  <c r="BB8" i="459"/>
  <c r="BA8" i="459"/>
  <c r="AV8" i="459"/>
  <c r="AU8" i="459"/>
  <c r="AP8" i="459"/>
  <c r="AO8" i="459"/>
  <c r="AJ8" i="459"/>
  <c r="AI8" i="459"/>
  <c r="AD8" i="459"/>
  <c r="X8" i="459"/>
  <c r="W8" i="459"/>
  <c r="R8" i="459"/>
  <c r="Q8" i="459"/>
  <c r="DD7" i="459"/>
  <c r="DC7" i="459"/>
  <c r="CX7" i="459"/>
  <c r="CW7" i="459"/>
  <c r="CR7" i="459"/>
  <c r="CQ7" i="459"/>
  <c r="CL7" i="459"/>
  <c r="CK7" i="459"/>
  <c r="CF7" i="459"/>
  <c r="CE7" i="459"/>
  <c r="BZ7" i="459"/>
  <c r="BY7" i="459"/>
  <c r="BT7" i="459"/>
  <c r="BS7" i="459"/>
  <c r="BN7" i="459"/>
  <c r="BM7" i="459"/>
  <c r="BH7" i="459"/>
  <c r="BG7" i="459"/>
  <c r="BB7" i="459"/>
  <c r="BA7" i="459"/>
  <c r="AV7" i="459"/>
  <c r="AU7" i="459"/>
  <c r="AP7" i="459"/>
  <c r="AO7" i="459"/>
  <c r="AJ7" i="459"/>
  <c r="AI7" i="459"/>
  <c r="AD7" i="459"/>
  <c r="X7" i="459"/>
  <c r="W7" i="459"/>
  <c r="R7" i="459"/>
  <c r="Q7" i="459"/>
  <c r="DD6" i="459"/>
  <c r="DC6" i="459"/>
  <c r="CX6" i="459"/>
  <c r="CW6" i="459"/>
  <c r="CR6" i="459"/>
  <c r="CQ6" i="459"/>
  <c r="CL6" i="459"/>
  <c r="CK6" i="459"/>
  <c r="CF6" i="459"/>
  <c r="CE6" i="459"/>
  <c r="BZ6" i="459"/>
  <c r="BY6" i="459"/>
  <c r="BT6" i="459"/>
  <c r="BS6" i="459"/>
  <c r="BN6" i="459"/>
  <c r="BM6" i="459"/>
  <c r="BH6" i="459"/>
  <c r="BG6" i="459"/>
  <c r="BB6" i="459"/>
  <c r="BA6" i="459"/>
  <c r="AV6" i="459"/>
  <c r="AU6" i="459"/>
  <c r="AP6" i="459"/>
  <c r="AO6" i="459"/>
  <c r="AJ6" i="459"/>
  <c r="AI6" i="459"/>
  <c r="AD6" i="459"/>
  <c r="X6" i="459"/>
  <c r="W6" i="459"/>
  <c r="R6" i="459"/>
  <c r="Q6" i="459"/>
  <c r="T4" i="459"/>
  <c r="Z4" i="459" s="1"/>
  <c r="AF4" i="459" s="1"/>
  <c r="AL4" i="459" s="1"/>
  <c r="B4" i="459"/>
  <c r="X144" i="457"/>
  <c r="Y17" i="235" l="1"/>
  <c r="X17" i="235"/>
  <c r="AN17" i="235"/>
  <c r="W17" i="235"/>
  <c r="AM17" i="235"/>
  <c r="AD17" i="235"/>
  <c r="M17" i="235"/>
  <c r="AC17" i="235"/>
  <c r="L17" i="235"/>
  <c r="AB17" i="235"/>
  <c r="K17" i="235"/>
  <c r="AA17" i="235"/>
  <c r="Z17" i="235"/>
  <c r="AH17" i="235"/>
  <c r="Q17" i="235"/>
  <c r="AG17" i="235"/>
  <c r="P17" i="235"/>
  <c r="AF17" i="235"/>
  <c r="O17" i="235"/>
  <c r="AE17" i="235"/>
  <c r="N17" i="235"/>
  <c r="AL17" i="235"/>
  <c r="U17" i="235"/>
  <c r="AK17" i="235"/>
  <c r="T17" i="235"/>
  <c r="AJ17" i="235"/>
  <c r="S17" i="235"/>
  <c r="AI17" i="235"/>
  <c r="R17" i="235"/>
  <c r="L40" i="420"/>
  <c r="K40" i="420" s="1"/>
  <c r="L75" i="420"/>
  <c r="K75" i="420" s="1"/>
  <c r="L52" i="420"/>
  <c r="K52" i="420" s="1"/>
  <c r="L24" i="420"/>
  <c r="K24" i="420" s="1"/>
  <c r="L80" i="420"/>
  <c r="K80" i="420" s="1"/>
  <c r="L78" i="420"/>
  <c r="K78" i="420" s="1"/>
  <c r="L76" i="420"/>
  <c r="K76" i="420" s="1"/>
  <c r="L66" i="420"/>
  <c r="K66" i="420" s="1"/>
  <c r="L49" i="420"/>
  <c r="K49" i="420" s="1"/>
  <c r="L44" i="420"/>
  <c r="K44" i="420" s="1"/>
  <c r="L36" i="420"/>
  <c r="K36" i="420" s="1"/>
  <c r="L28" i="420"/>
  <c r="K28" i="420" s="1"/>
  <c r="L19" i="420"/>
  <c r="K19" i="420" s="1"/>
  <c r="L68" i="420"/>
  <c r="K68" i="420" s="1"/>
  <c r="L56" i="420"/>
  <c r="K56" i="420" s="1"/>
  <c r="L46" i="420"/>
  <c r="K46" i="420" s="1"/>
  <c r="L38" i="420"/>
  <c r="K38" i="420" s="1"/>
  <c r="L30" i="420"/>
  <c r="K30" i="420" s="1"/>
  <c r="L69" i="420"/>
  <c r="K69" i="420" s="1"/>
  <c r="L51" i="420"/>
  <c r="K51" i="420" s="1"/>
  <c r="L67" i="420"/>
  <c r="K67" i="420" s="1"/>
  <c r="L54" i="420"/>
  <c r="K54" i="420" s="1"/>
  <c r="L39" i="420"/>
  <c r="K39" i="420" s="1"/>
  <c r="L35" i="420"/>
  <c r="K35" i="420" s="1"/>
  <c r="L41" i="420"/>
  <c r="K41" i="420" s="1"/>
  <c r="L33" i="420"/>
  <c r="K33" i="420" s="1"/>
  <c r="L47" i="420"/>
  <c r="K47" i="420" s="1"/>
  <c r="L45" i="420"/>
  <c r="K45" i="420" s="1"/>
  <c r="L43" i="420"/>
  <c r="K43" i="420" s="1"/>
  <c r="L37" i="420"/>
  <c r="K37" i="420" s="1"/>
  <c r="L20" i="420"/>
  <c r="K20" i="420" s="1"/>
  <c r="L16" i="420"/>
  <c r="K16" i="420" s="1"/>
  <c r="L25" i="420"/>
  <c r="K25" i="420" s="1"/>
  <c r="L18" i="420"/>
  <c r="K18" i="420" s="1"/>
  <c r="L31" i="420"/>
  <c r="K31" i="420" s="1"/>
  <c r="L29" i="420"/>
  <c r="K29" i="420" s="1"/>
  <c r="L27" i="420"/>
  <c r="K27" i="420" s="1"/>
  <c r="L53" i="420"/>
  <c r="K53" i="420" s="1"/>
  <c r="AR4" i="459"/>
  <c r="B144" i="457"/>
  <c r="W144" i="457"/>
  <c r="F144" i="457"/>
  <c r="L17" i="236" l="1" a="1"/>
  <c r="L17" i="236" s="1"/>
  <c r="K17" i="236" a="1"/>
  <c r="K17" i="236" s="1"/>
  <c r="AX4" i="459"/>
  <c r="M17" i="236" l="1"/>
  <c r="X17" i="236" s="1" a="1"/>
  <c r="X17" i="236" s="1"/>
  <c r="BE17" i="236" s="1"/>
  <c r="AN17" i="236" a="1"/>
  <c r="AN17" i="236" s="1"/>
  <c r="AL17" i="236" a="1"/>
  <c r="AL17" i="236" s="1"/>
  <c r="U17" i="236" a="1"/>
  <c r="U17" i="236" s="1"/>
  <c r="BD4" i="459"/>
  <c r="AT17" i="236" l="1" a="1"/>
  <c r="AT17" i="236" s="1"/>
  <c r="CA17" i="236" s="1"/>
  <c r="AQ17" i="236" a="1"/>
  <c r="AQ17" i="236" s="1"/>
  <c r="AS17" i="236" a="1"/>
  <c r="AS17" i="236" s="1"/>
  <c r="AB17" i="236" a="1"/>
  <c r="AB17" i="236" s="1"/>
  <c r="BI17" i="236" s="1"/>
  <c r="Y17" i="236" a="1"/>
  <c r="Y17" i="236" s="1"/>
  <c r="BF17" i="236" s="1"/>
  <c r="AP17" i="236" a="1"/>
  <c r="AP17" i="236" s="1"/>
  <c r="BW17" i="236" s="1"/>
  <c r="AF17" i="236" a="1"/>
  <c r="AF17" i="236" s="1"/>
  <c r="BM17" i="236" s="1"/>
  <c r="AA17" i="236" a="1"/>
  <c r="AA17" i="236" s="1"/>
  <c r="BH17" i="236" s="1"/>
  <c r="AR17" i="236" a="1"/>
  <c r="AR17" i="236" s="1"/>
  <c r="AC17" i="236" a="1"/>
  <c r="AC17" i="236" s="1"/>
  <c r="BJ17" i="236" s="1"/>
  <c r="AD17" i="236" a="1"/>
  <c r="AD17" i="236" s="1"/>
  <c r="BK17" i="236" s="1"/>
  <c r="T17" i="236" a="1"/>
  <c r="T17" i="236" s="1"/>
  <c r="BA17" i="236" s="1"/>
  <c r="AK17" i="236" a="1"/>
  <c r="AK17" i="236" s="1"/>
  <c r="BR17" i="236" s="1"/>
  <c r="AM17" i="236" a="1"/>
  <c r="AM17" i="236" s="1"/>
  <c r="BT17" i="236" s="1"/>
  <c r="R17" i="236" a="1"/>
  <c r="R17" i="236" s="1"/>
  <c r="W17" i="236" a="1"/>
  <c r="W17" i="236" s="1"/>
  <c r="BD17" i="236" s="1"/>
  <c r="AO17" i="236" a="1"/>
  <c r="AO17" i="236" s="1"/>
  <c r="BV17" i="236" s="1"/>
  <c r="AI17" i="236" a="1"/>
  <c r="AI17" i="236" s="1"/>
  <c r="BP17" i="236" s="1"/>
  <c r="AU17" i="236" a="1"/>
  <c r="AU17" i="236" s="1"/>
  <c r="CB17" i="236" s="1"/>
  <c r="AG17" i="236" a="1"/>
  <c r="AG17" i="236" s="1"/>
  <c r="BN17" i="236" s="1"/>
  <c r="AH17" i="236" a="1"/>
  <c r="AH17" i="236" s="1"/>
  <c r="AE17" i="236" a="1"/>
  <c r="AE17" i="236" s="1"/>
  <c r="BL17" i="236" s="1"/>
  <c r="S17" i="236" a="1"/>
  <c r="S17" i="236" s="1"/>
  <c r="AZ17" i="236" s="1"/>
  <c r="AJ17" i="236" a="1"/>
  <c r="AJ17" i="236" s="1"/>
  <c r="BQ17" i="236" s="1"/>
  <c r="Z17" i="236" a="1"/>
  <c r="Z17" i="236" s="1"/>
  <c r="BG17" i="236" s="1"/>
  <c r="V17" i="236" a="1"/>
  <c r="V17" i="236" s="1"/>
  <c r="BC17" i="236" s="1"/>
  <c r="BZ17" i="236"/>
  <c r="AY17" i="236"/>
  <c r="BX17" i="236"/>
  <c r="BU17" i="236"/>
  <c r="BO17" i="236"/>
  <c r="BB17" i="236"/>
  <c r="BY17" i="236"/>
  <c r="BS17" i="236"/>
  <c r="BJ4" i="459"/>
  <c r="BP4" i="459" l="1"/>
  <c r="BV4" i="459" l="1"/>
  <c r="CB4" i="459" l="1"/>
  <c r="CH4" i="459" l="1"/>
  <c r="CN4" i="459" l="1"/>
  <c r="CT4" i="459" l="1"/>
  <c r="CZ4" i="459" l="1"/>
  <c r="DF4" i="459" s="1"/>
  <c r="DL4" i="459" s="1"/>
  <c r="DR4" i="459" s="1"/>
  <c r="DX4" i="459" s="1"/>
  <c r="ED4" i="459" s="1"/>
  <c r="EJ4" i="459" s="1"/>
  <c r="W48" i="457" l="1"/>
  <c r="B48" i="457"/>
  <c r="F48" i="457"/>
  <c r="X48" i="457"/>
  <c r="F49" i="457" l="1"/>
  <c r="X49" i="457"/>
  <c r="W49" i="457"/>
  <c r="B49" i="457"/>
  <c r="X50" i="457" l="1"/>
  <c r="F50" i="457"/>
  <c r="B50" i="457"/>
  <c r="W50" i="457"/>
  <c r="B51" i="457" l="1"/>
  <c r="W51" i="457"/>
  <c r="X51" i="457"/>
  <c r="F51" i="457"/>
  <c r="W52" i="457" l="1"/>
  <c r="B52" i="457"/>
  <c r="F52" i="457"/>
  <c r="X52" i="457"/>
  <c r="W53" i="457" l="1"/>
  <c r="B53" i="457"/>
  <c r="X53" i="457"/>
  <c r="F53" i="457"/>
  <c r="B54" i="457" l="1"/>
  <c r="W54" i="457"/>
  <c r="X54" i="457"/>
  <c r="F54" i="457"/>
  <c r="X55" i="457" l="1"/>
  <c r="F55" i="457"/>
  <c r="B55" i="457"/>
  <c r="W55" i="457"/>
  <c r="W56" i="457" l="1"/>
  <c r="B56" i="457"/>
  <c r="F56" i="457"/>
  <c r="X56" i="457"/>
  <c r="X57" i="457" l="1"/>
  <c r="F57" i="457"/>
  <c r="W57" i="457"/>
  <c r="B57" i="457"/>
  <c r="W58" i="457" l="1"/>
  <c r="B58" i="457"/>
  <c r="X58" i="457"/>
  <c r="F58" i="457"/>
  <c r="B59" i="457" l="1"/>
  <c r="W59" i="457"/>
  <c r="X59" i="457"/>
  <c r="F59" i="457"/>
  <c r="X60" i="457" l="1"/>
  <c r="F60" i="457"/>
  <c r="B60" i="457"/>
  <c r="W60" i="457"/>
  <c r="F61" i="457" l="1"/>
  <c r="X61" i="457"/>
  <c r="W61" i="457"/>
  <c r="B61" i="457"/>
  <c r="W62" i="457" l="1"/>
  <c r="B62" i="457"/>
  <c r="F62" i="457"/>
  <c r="X62" i="457"/>
  <c r="X63" i="457" l="1"/>
  <c r="F63" i="457"/>
  <c r="B63" i="457"/>
  <c r="W63" i="457"/>
  <c r="B64" i="457" l="1"/>
  <c r="W64" i="457"/>
  <c r="X64" i="457"/>
  <c r="F64" i="457"/>
  <c r="W65" i="457" l="1"/>
  <c r="B65" i="457"/>
  <c r="F65" i="457"/>
  <c r="X65" i="457"/>
  <c r="B66" i="457" l="1"/>
  <c r="W66" i="457"/>
  <c r="X66" i="457"/>
  <c r="F66" i="457"/>
  <c r="X67" i="457" l="1"/>
  <c r="F67" i="457"/>
  <c r="B67" i="457"/>
  <c r="W67" i="457"/>
  <c r="X68" i="457" l="1"/>
  <c r="F68" i="457"/>
  <c r="B68" i="457"/>
  <c r="W68" i="457"/>
  <c r="W69" i="457" l="1"/>
  <c r="B69" i="457"/>
  <c r="F69" i="457"/>
  <c r="X69" i="457"/>
  <c r="B70" i="457" l="1"/>
  <c r="W70" i="457"/>
  <c r="F70" i="457"/>
  <c r="X70" i="457"/>
  <c r="B71" i="457" l="1"/>
  <c r="W71" i="457"/>
  <c r="X71" i="457"/>
  <c r="F71" i="457"/>
  <c r="B72" i="457" l="1"/>
  <c r="W72" i="457"/>
  <c r="X72" i="457"/>
  <c r="F72" i="457"/>
  <c r="W73" i="457" l="1"/>
  <c r="B73" i="457"/>
  <c r="F73" i="457"/>
  <c r="X73" i="457"/>
  <c r="B74" i="457" l="1"/>
  <c r="W74" i="457"/>
  <c r="X74" i="457"/>
  <c r="F74" i="457"/>
  <c r="X75" i="457" l="1"/>
  <c r="F75" i="457"/>
  <c r="B75" i="457"/>
  <c r="W75" i="457"/>
  <c r="B76" i="457" l="1"/>
  <c r="W76" i="457"/>
  <c r="X76" i="457"/>
  <c r="F76" i="457"/>
  <c r="F77" i="457" l="1"/>
  <c r="X77" i="457"/>
  <c r="W77" i="457"/>
  <c r="B77" i="457"/>
  <c r="F78" i="457" l="1"/>
  <c r="X78" i="457"/>
  <c r="W78" i="457"/>
  <c r="B78" i="457"/>
  <c r="X79" i="457" l="1"/>
  <c r="F79" i="457"/>
  <c r="B79" i="457"/>
  <c r="W79" i="457"/>
  <c r="X80" i="457" l="1"/>
  <c r="F80" i="457"/>
  <c r="B80" i="457"/>
  <c r="W80" i="457"/>
  <c r="W81" i="457" l="1"/>
  <c r="B81" i="457"/>
  <c r="F81" i="457"/>
  <c r="X81" i="457"/>
  <c r="B82" i="457" l="1"/>
  <c r="W82" i="457"/>
  <c r="X82" i="457"/>
  <c r="F82" i="457"/>
  <c r="B83" i="457" l="1"/>
  <c r="W83" i="457"/>
  <c r="X83" i="457"/>
  <c r="F83" i="457"/>
  <c r="B84" i="457" l="1"/>
  <c r="W84" i="457"/>
  <c r="X84" i="457"/>
  <c r="F84" i="457"/>
  <c r="W85" i="457" l="1"/>
  <c r="B85" i="457"/>
  <c r="F85" i="457"/>
  <c r="X85" i="457"/>
  <c r="W86" i="457" l="1"/>
  <c r="B86" i="457"/>
  <c r="X86" i="457"/>
  <c r="F86" i="457"/>
  <c r="B87" i="457" l="1"/>
  <c r="W87" i="457"/>
  <c r="X87" i="457"/>
  <c r="F87" i="457"/>
  <c r="B88" i="457" l="1"/>
  <c r="W88" i="457"/>
  <c r="X88" i="457"/>
  <c r="F88" i="457"/>
  <c r="W89" i="457" l="1"/>
  <c r="B89" i="457"/>
  <c r="F89" i="457"/>
  <c r="X89" i="457"/>
  <c r="B90" i="457" l="1"/>
  <c r="W90" i="457"/>
  <c r="X90" i="457"/>
  <c r="F90" i="457"/>
  <c r="B91" i="457" l="1"/>
  <c r="W91" i="457"/>
  <c r="X91" i="457"/>
  <c r="F91" i="457"/>
  <c r="X92" i="457" l="1"/>
  <c r="F92" i="457"/>
  <c r="B92" i="457"/>
  <c r="W92" i="457"/>
  <c r="W93" i="457" l="1"/>
  <c r="B93" i="457"/>
  <c r="F93" i="457"/>
  <c r="X93" i="457"/>
  <c r="B94" i="457" l="1"/>
  <c r="W94" i="457"/>
  <c r="X94" i="457"/>
  <c r="F94" i="457"/>
  <c r="B95" i="457" l="1"/>
  <c r="W95" i="457"/>
  <c r="X95" i="457"/>
  <c r="F95" i="457"/>
  <c r="X96" i="457" l="1"/>
  <c r="F96" i="457"/>
  <c r="B96" i="457"/>
  <c r="W96" i="457"/>
  <c r="F97" i="457" l="1"/>
  <c r="X97" i="457"/>
  <c r="W97" i="457"/>
  <c r="B97" i="457"/>
  <c r="B98" i="457" l="1"/>
  <c r="W98" i="457"/>
  <c r="X98" i="457"/>
  <c r="F98" i="457"/>
  <c r="B99" i="457" l="1"/>
  <c r="W99" i="457"/>
  <c r="X99" i="457"/>
  <c r="F99" i="457"/>
  <c r="X100" i="457" l="1"/>
  <c r="F100" i="457"/>
  <c r="B100" i="457"/>
  <c r="W100" i="457"/>
  <c r="W101" i="457" l="1"/>
  <c r="B101" i="457"/>
  <c r="F101" i="457"/>
  <c r="X101" i="457"/>
  <c r="B102" i="457" l="1"/>
  <c r="W102" i="457"/>
  <c r="X102" i="457"/>
  <c r="F102" i="457"/>
  <c r="X103" i="457" l="1"/>
  <c r="F103" i="457"/>
  <c r="B103" i="457"/>
  <c r="W103" i="457"/>
  <c r="X104" i="457" l="1"/>
  <c r="F104" i="457"/>
  <c r="B104" i="457"/>
  <c r="W104" i="457"/>
  <c r="F105" i="457" l="1"/>
  <c r="X105" i="457"/>
  <c r="W105" i="457"/>
  <c r="B105" i="457"/>
  <c r="B106" i="457" l="1"/>
  <c r="W106" i="457"/>
  <c r="X106" i="457"/>
  <c r="F106" i="457"/>
  <c r="B107" i="457" l="1"/>
  <c r="W107" i="457"/>
  <c r="X107" i="457"/>
  <c r="F107" i="457"/>
  <c r="B108" i="457" l="1"/>
  <c r="W108" i="457"/>
  <c r="X108" i="457"/>
  <c r="F108" i="457"/>
  <c r="W109" i="457" l="1"/>
  <c r="B109" i="457"/>
  <c r="F109" i="457"/>
  <c r="X109" i="457"/>
  <c r="B110" i="457" l="1"/>
  <c r="W110" i="457"/>
  <c r="X110" i="457"/>
  <c r="F110" i="457"/>
  <c r="B111" i="457" l="1"/>
  <c r="W111" i="457"/>
  <c r="X111" i="457"/>
  <c r="F111" i="457"/>
  <c r="B112" i="457" l="1"/>
  <c r="W112" i="457"/>
  <c r="X112" i="457"/>
  <c r="F112" i="457"/>
  <c r="W113" i="457" l="1"/>
  <c r="B113" i="457"/>
  <c r="F113" i="457"/>
  <c r="X113" i="457"/>
  <c r="B114" i="457" l="1"/>
  <c r="W114" i="457"/>
  <c r="X114" i="457"/>
  <c r="F114" i="457"/>
  <c r="X115" i="457" l="1"/>
  <c r="F115" i="457"/>
  <c r="B115" i="457"/>
  <c r="W115" i="457"/>
  <c r="B116" i="457" l="1"/>
  <c r="W116" i="457"/>
  <c r="X116" i="457"/>
  <c r="F116" i="457"/>
  <c r="W117" i="457" l="1"/>
  <c r="B117" i="457"/>
  <c r="F117" i="457"/>
  <c r="X117" i="457"/>
  <c r="B118" i="457" l="1"/>
  <c r="W118" i="457"/>
  <c r="X118" i="457"/>
  <c r="F118" i="457"/>
  <c r="B119" i="457" l="1"/>
  <c r="W119" i="457"/>
  <c r="X119" i="457"/>
  <c r="F119" i="457"/>
  <c r="B120" i="457" l="1"/>
  <c r="W120" i="457"/>
  <c r="X120" i="457"/>
  <c r="F120" i="457"/>
  <c r="W121" i="457" l="1"/>
  <c r="B121" i="457"/>
  <c r="F121" i="457"/>
  <c r="X121" i="457"/>
  <c r="X122" i="457" l="1"/>
  <c r="F122" i="457"/>
  <c r="B122" i="457"/>
  <c r="W122" i="457"/>
  <c r="X123" i="457" l="1"/>
  <c r="F123" i="457"/>
  <c r="B123" i="457"/>
  <c r="W123" i="457"/>
  <c r="X124" i="457" l="1"/>
  <c r="F124" i="457"/>
  <c r="B124" i="457"/>
  <c r="W124" i="457"/>
  <c r="F125" i="457" l="1"/>
  <c r="X125" i="457"/>
  <c r="W125" i="457"/>
  <c r="B125" i="457"/>
  <c r="B126" i="457" l="1"/>
  <c r="W126" i="457"/>
  <c r="X126" i="457"/>
  <c r="F126" i="457"/>
  <c r="B127" i="457" l="1"/>
  <c r="W127" i="457"/>
  <c r="X127" i="457"/>
  <c r="F127" i="457"/>
  <c r="B128" i="457" l="1"/>
  <c r="W128" i="457"/>
  <c r="X128" i="457"/>
  <c r="F128" i="457"/>
  <c r="W129" i="457" l="1"/>
  <c r="B129" i="457"/>
  <c r="F129" i="457"/>
  <c r="X129" i="457"/>
  <c r="X130" i="457" l="1"/>
  <c r="F130" i="457"/>
  <c r="B130" i="457"/>
  <c r="W130" i="457"/>
  <c r="X131" i="457" l="1"/>
  <c r="F131" i="457"/>
  <c r="B131" i="457"/>
  <c r="W131" i="457"/>
  <c r="B132" i="457" l="1"/>
  <c r="W132" i="457"/>
  <c r="X132" i="457"/>
  <c r="F132" i="457"/>
  <c r="W133" i="457" l="1"/>
  <c r="B133" i="457"/>
  <c r="F133" i="457"/>
  <c r="X133" i="457"/>
  <c r="B134" i="457" l="1"/>
  <c r="W134" i="457"/>
  <c r="X134" i="457"/>
  <c r="F134" i="457"/>
  <c r="X135" i="457" l="1"/>
  <c r="F135" i="457"/>
  <c r="B135" i="457"/>
  <c r="W135" i="457"/>
  <c r="X136" i="457" l="1"/>
  <c r="F136" i="457"/>
  <c r="B136" i="457"/>
  <c r="W136" i="457"/>
  <c r="F137" i="457" l="1"/>
  <c r="X137" i="457"/>
  <c r="W137" i="457"/>
  <c r="B137" i="457"/>
  <c r="X138" i="457" l="1"/>
  <c r="F138" i="457"/>
  <c r="B138" i="457"/>
  <c r="W138" i="457"/>
  <c r="B139" i="457" l="1"/>
  <c r="W139" i="457"/>
  <c r="X139" i="457"/>
  <c r="F139" i="457"/>
  <c r="B140" i="457" l="1"/>
  <c r="W140" i="457"/>
  <c r="X140" i="457"/>
  <c r="F140" i="457"/>
  <c r="W141" i="457" l="1"/>
  <c r="B141" i="457"/>
  <c r="F141" i="457"/>
  <c r="X141" i="457"/>
  <c r="B142" i="457" l="1"/>
  <c r="W142" i="457"/>
  <c r="X142" i="457"/>
  <c r="F142" i="457"/>
  <c r="X143" i="457" l="1"/>
  <c r="F143" i="457"/>
  <c r="B143" i="457"/>
  <c r="W143" i="457"/>
  <c r="AO7" i="455" l="1" a="1"/>
  <c r="AO7" i="455" s="1"/>
  <c r="AP7" i="455" a="1"/>
  <c r="AP7" i="455" s="1"/>
  <c r="AQ7" i="455" a="1"/>
  <c r="AQ7" i="455" s="1"/>
  <c r="AN7" i="455" a="1"/>
  <c r="AN7" i="455" s="1"/>
  <c r="AL7" i="455" a="1"/>
  <c r="AL7" i="455" s="1"/>
  <c r="AM7" i="455" a="1"/>
  <c r="AM7" i="455" s="1"/>
  <c r="AK7" i="455" a="1"/>
  <c r="AK7" i="455" s="1"/>
  <c r="AG7" i="455" a="1"/>
  <c r="AG7" i="455" s="1"/>
  <c r="AH7" i="455" a="1"/>
  <c r="AH7" i="455" s="1"/>
  <c r="AI7" i="455" a="1"/>
  <c r="AI7" i="455" s="1"/>
  <c r="AJ7" i="455" a="1"/>
  <c r="AJ7" i="455" s="1"/>
  <c r="AF7" i="455" a="1"/>
  <c r="AF7" i="455" s="1"/>
  <c r="K2" i="234"/>
  <c r="AT6" i="234"/>
  <c r="AU6" i="234"/>
  <c r="AV6" i="234"/>
  <c r="AW6" i="234"/>
  <c r="AX6" i="234"/>
  <c r="AT7" i="234"/>
  <c r="AU7" i="234"/>
  <c r="AV7" i="234"/>
  <c r="AW7" i="234"/>
  <c r="AX7" i="234"/>
  <c r="AT8" i="234"/>
  <c r="AU8" i="234"/>
  <c r="AV8" i="234"/>
  <c r="AW8" i="234"/>
  <c r="AX8" i="234"/>
  <c r="AT9" i="234"/>
  <c r="AU9" i="234"/>
  <c r="AV9" i="234"/>
  <c r="AW9" i="234"/>
  <c r="AX9" i="234"/>
  <c r="AT10" i="234"/>
  <c r="AU10" i="234"/>
  <c r="AV10" i="234"/>
  <c r="AW10" i="234"/>
  <c r="AX10" i="234"/>
  <c r="AT11" i="234"/>
  <c r="AU11" i="234"/>
  <c r="AV11" i="234"/>
  <c r="AW11" i="234"/>
  <c r="AX11" i="234"/>
  <c r="AT12" i="234"/>
  <c r="AU12" i="234"/>
  <c r="AV12" i="234"/>
  <c r="AW12" i="234"/>
  <c r="AX12" i="234"/>
  <c r="AT14" i="234"/>
  <c r="AU14" i="234"/>
  <c r="AV14" i="234"/>
  <c r="AW14" i="234"/>
  <c r="AX14" i="234"/>
  <c r="AT15" i="234"/>
  <c r="AU15" i="234"/>
  <c r="AV15" i="234"/>
  <c r="AW15" i="234"/>
  <c r="AX15" i="234"/>
  <c r="AT16" i="234"/>
  <c r="AU16" i="234"/>
  <c r="AV16" i="234"/>
  <c r="AW16" i="234"/>
  <c r="AX16" i="234"/>
  <c r="AT17" i="234"/>
  <c r="AU17" i="234"/>
  <c r="AV17" i="234"/>
  <c r="AW17" i="234"/>
  <c r="AX17" i="234"/>
  <c r="AT18" i="234"/>
  <c r="AU18" i="234"/>
  <c r="AV18" i="234"/>
  <c r="AW18" i="234"/>
  <c r="AX18" i="234"/>
  <c r="AT19" i="234"/>
  <c r="AU19" i="234"/>
  <c r="AV19" i="234"/>
  <c r="AW19" i="234"/>
  <c r="AX19" i="234"/>
  <c r="AT21" i="234"/>
  <c r="AU21" i="234"/>
  <c r="AV21" i="234"/>
  <c r="AW21" i="234"/>
  <c r="AX21" i="234"/>
  <c r="AT22" i="234"/>
  <c r="AU22" i="234"/>
  <c r="AV22" i="234"/>
  <c r="AW22" i="234"/>
  <c r="AX22" i="234"/>
  <c r="AT23" i="234"/>
  <c r="AU23" i="234"/>
  <c r="AV23" i="234"/>
  <c r="AW23" i="234"/>
  <c r="AX23" i="234"/>
  <c r="AT24" i="234"/>
  <c r="AU24" i="234"/>
  <c r="AV24" i="234"/>
  <c r="AW24" i="234"/>
  <c r="AX24" i="234"/>
  <c r="AT25" i="234"/>
  <c r="AU25" i="234"/>
  <c r="AV25" i="234"/>
  <c r="AW25" i="234"/>
  <c r="AX25" i="234"/>
  <c r="AT26" i="234"/>
  <c r="AU26" i="234"/>
  <c r="AV26" i="234"/>
  <c r="AW26" i="234"/>
  <c r="AX26" i="234"/>
  <c r="AT27" i="234"/>
  <c r="AU27" i="234"/>
  <c r="AV27" i="234"/>
  <c r="AW27" i="234"/>
  <c r="AX27" i="234"/>
  <c r="AT28" i="234"/>
  <c r="AU28" i="234"/>
  <c r="AV28" i="234"/>
  <c r="AW28" i="234"/>
  <c r="AX28" i="234"/>
  <c r="AT29" i="234"/>
  <c r="AU29" i="234"/>
  <c r="AV29" i="234"/>
  <c r="AW29" i="234"/>
  <c r="AX29" i="234"/>
  <c r="AT30" i="234"/>
  <c r="AU30" i="234"/>
  <c r="AV30" i="234"/>
  <c r="AW30" i="234"/>
  <c r="AX30" i="234"/>
  <c r="AT31" i="234"/>
  <c r="AU31" i="234"/>
  <c r="AV31" i="234"/>
  <c r="AW31" i="234"/>
  <c r="AX31" i="234"/>
  <c r="AT32" i="234"/>
  <c r="AU32" i="234"/>
  <c r="AV32" i="234"/>
  <c r="AW32" i="234"/>
  <c r="AX32" i="234"/>
  <c r="AT33" i="234"/>
  <c r="AU33" i="234"/>
  <c r="AV33" i="234"/>
  <c r="AW33" i="234"/>
  <c r="AX33" i="234"/>
  <c r="AT34" i="234"/>
  <c r="AU34" i="234"/>
  <c r="AV34" i="234"/>
  <c r="AW34" i="234"/>
  <c r="AX34" i="234"/>
  <c r="AT35" i="234"/>
  <c r="AU35" i="234"/>
  <c r="AV35" i="234"/>
  <c r="AW35" i="234"/>
  <c r="AX35" i="234"/>
  <c r="AT36" i="234"/>
  <c r="AU36" i="234"/>
  <c r="AV36" i="234"/>
  <c r="AW36" i="234"/>
  <c r="AX36" i="234"/>
  <c r="AT37" i="234"/>
  <c r="AU37" i="234"/>
  <c r="AV37" i="234"/>
  <c r="AW37" i="234"/>
  <c r="AX37" i="234"/>
  <c r="AT38" i="234"/>
  <c r="AU38" i="234"/>
  <c r="AV38" i="234"/>
  <c r="AW38" i="234"/>
  <c r="AX38" i="234"/>
  <c r="AT39" i="234"/>
  <c r="AU39" i="234"/>
  <c r="AV39" i="234"/>
  <c r="AW39" i="234"/>
  <c r="AX39" i="234"/>
  <c r="AT40" i="234"/>
  <c r="AU40" i="234"/>
  <c r="AV40" i="234"/>
  <c r="AW40" i="234"/>
  <c r="AX40" i="234"/>
  <c r="AT41" i="234"/>
  <c r="AU41" i="234"/>
  <c r="AV41" i="234"/>
  <c r="AW41" i="234"/>
  <c r="AX41" i="234"/>
  <c r="AT42" i="234"/>
  <c r="AU42" i="234"/>
  <c r="AV42" i="234"/>
  <c r="AW42" i="234"/>
  <c r="AX42" i="234"/>
  <c r="AT43" i="234"/>
  <c r="AU43" i="234"/>
  <c r="AV43" i="234"/>
  <c r="AW43" i="234"/>
  <c r="AX43" i="234"/>
  <c r="AT44" i="234"/>
  <c r="AU44" i="234"/>
  <c r="AV44" i="234"/>
  <c r="AW44" i="234"/>
  <c r="AX44" i="234"/>
  <c r="AT45" i="234"/>
  <c r="AU45" i="234"/>
  <c r="AV45" i="234"/>
  <c r="AW45" i="234"/>
  <c r="AX45" i="234"/>
  <c r="AT46" i="234"/>
  <c r="AU46" i="234"/>
  <c r="AV46" i="234"/>
  <c r="AW46" i="234"/>
  <c r="AX46" i="234"/>
  <c r="AT47" i="234"/>
  <c r="AU47" i="234"/>
  <c r="AV47" i="234"/>
  <c r="AW47" i="234"/>
  <c r="AX47" i="234"/>
  <c r="AT49" i="234"/>
  <c r="AU49" i="234"/>
  <c r="AV49" i="234"/>
  <c r="AW49" i="234"/>
  <c r="AX49" i="234"/>
  <c r="AT50" i="234"/>
  <c r="AU50" i="234"/>
  <c r="AV50" i="234"/>
  <c r="AW50" i="234"/>
  <c r="AX50" i="234"/>
  <c r="AT51" i="234"/>
  <c r="AU51" i="234"/>
  <c r="AV51" i="234"/>
  <c r="AW51" i="234"/>
  <c r="AX51" i="234"/>
  <c r="AT52" i="234"/>
  <c r="AU52" i="234"/>
  <c r="AV52" i="234"/>
  <c r="AW52" i="234"/>
  <c r="AX52" i="234"/>
  <c r="AT53" i="234"/>
  <c r="AU53" i="234"/>
  <c r="AV53" i="234"/>
  <c r="AW53" i="234"/>
  <c r="AX53" i="234"/>
  <c r="AT55" i="234"/>
  <c r="AU55" i="234"/>
  <c r="AV55" i="234"/>
  <c r="AW55" i="234"/>
  <c r="AX55" i="234"/>
  <c r="AT56" i="234"/>
  <c r="AU56" i="234"/>
  <c r="AV56" i="234"/>
  <c r="AW56" i="234"/>
  <c r="AX56" i="234"/>
  <c r="AT57" i="234"/>
  <c r="AU57" i="234"/>
  <c r="AV57" i="234"/>
  <c r="AW57" i="234"/>
  <c r="AX57" i="234"/>
  <c r="AT58" i="234"/>
  <c r="AU58" i="234"/>
  <c r="AV58" i="234"/>
  <c r="AW58" i="234"/>
  <c r="AX58" i="234"/>
  <c r="AT59" i="234"/>
  <c r="AU59" i="234"/>
  <c r="AV59" i="234"/>
  <c r="AW59" i="234"/>
  <c r="AX59" i="234"/>
  <c r="AT60" i="234"/>
  <c r="AU60" i="234"/>
  <c r="AV60" i="234"/>
  <c r="AW60" i="234"/>
  <c r="AX60" i="234"/>
  <c r="AT61" i="234"/>
  <c r="AU61" i="234"/>
  <c r="AV61" i="234"/>
  <c r="AW61" i="234"/>
  <c r="AX61" i="234"/>
  <c r="AT62" i="234"/>
  <c r="AU62" i="234"/>
  <c r="AV62" i="234"/>
  <c r="AW62" i="234"/>
  <c r="AX62" i="234"/>
  <c r="AT63" i="234"/>
  <c r="AU63" i="234"/>
  <c r="AV63" i="234"/>
  <c r="AW63" i="234"/>
  <c r="AX63" i="234"/>
  <c r="AT64" i="234"/>
  <c r="AU64" i="234"/>
  <c r="AV64" i="234"/>
  <c r="AW64" i="234"/>
  <c r="AX64" i="234"/>
  <c r="AT65" i="234"/>
  <c r="AU65" i="234"/>
  <c r="AV65" i="234"/>
  <c r="AW65" i="234"/>
  <c r="AX65" i="234"/>
  <c r="AT66" i="234"/>
  <c r="AU66" i="234"/>
  <c r="AV66" i="234"/>
  <c r="AW66" i="234"/>
  <c r="AX66" i="234"/>
  <c r="AT67" i="234"/>
  <c r="AU67" i="234"/>
  <c r="AV67" i="234"/>
  <c r="AW67" i="234"/>
  <c r="AX67" i="234"/>
  <c r="AT68" i="234"/>
  <c r="AU68" i="234"/>
  <c r="AV68" i="234"/>
  <c r="AW68" i="234"/>
  <c r="AX68" i="234"/>
  <c r="AT69" i="234"/>
  <c r="AU69" i="234"/>
  <c r="AV69" i="234"/>
  <c r="AW69" i="234"/>
  <c r="AX69" i="234"/>
  <c r="AT70" i="234"/>
  <c r="AU70" i="234"/>
  <c r="AV70" i="234"/>
  <c r="AW70" i="234"/>
  <c r="AX70" i="234"/>
  <c r="AT71" i="234"/>
  <c r="AU71" i="234"/>
  <c r="AV71" i="234"/>
  <c r="AW71" i="234"/>
  <c r="AX71" i="234"/>
  <c r="AU5" i="234"/>
  <c r="AV5" i="234"/>
  <c r="AW5" i="234"/>
  <c r="AX5" i="234"/>
  <c r="AT5" i="234"/>
  <c r="AD6" i="234"/>
  <c r="AD7" i="234"/>
  <c r="AD8" i="234"/>
  <c r="AD9" i="234"/>
  <c r="AD10" i="234"/>
  <c r="AD11" i="234"/>
  <c r="AD12" i="234"/>
  <c r="AD14" i="234"/>
  <c r="AD15" i="234"/>
  <c r="AD16" i="234"/>
  <c r="AD17" i="234"/>
  <c r="AD18" i="234"/>
  <c r="AD19" i="234"/>
  <c r="AD20" i="234"/>
  <c r="AD21" i="234"/>
  <c r="AD22" i="234"/>
  <c r="AD23" i="234"/>
  <c r="AD24" i="234"/>
  <c r="AD25" i="234"/>
  <c r="AD26" i="234"/>
  <c r="AD27" i="234"/>
  <c r="AD28" i="234"/>
  <c r="AD29" i="234"/>
  <c r="AD30" i="234"/>
  <c r="AD31" i="234"/>
  <c r="AD32" i="234"/>
  <c r="AD33" i="234"/>
  <c r="AD34" i="234"/>
  <c r="AD35" i="234"/>
  <c r="AD36" i="234"/>
  <c r="AD37" i="234"/>
  <c r="AD38" i="234"/>
  <c r="AD39" i="234"/>
  <c r="AD40" i="234"/>
  <c r="AD41" i="234"/>
  <c r="AD42" i="234"/>
  <c r="AD43" i="234"/>
  <c r="AD44" i="234"/>
  <c r="AD45" i="234"/>
  <c r="AD46" i="234"/>
  <c r="AD47" i="234"/>
  <c r="AD49" i="234"/>
  <c r="AD50" i="234"/>
  <c r="AD51" i="234"/>
  <c r="AD52" i="234"/>
  <c r="AD53" i="234"/>
  <c r="AD55" i="234"/>
  <c r="AD56" i="234"/>
  <c r="AD57" i="234"/>
  <c r="AD58" i="234"/>
  <c r="AD59" i="234"/>
  <c r="AD60" i="234"/>
  <c r="AD61" i="234"/>
  <c r="AD62" i="234"/>
  <c r="AD63" i="234"/>
  <c r="AD64" i="234"/>
  <c r="AD65" i="234"/>
  <c r="AD66" i="234"/>
  <c r="AD67" i="234"/>
  <c r="AD68" i="234"/>
  <c r="AD69" i="234"/>
  <c r="AD70" i="234"/>
  <c r="AD71" i="234"/>
  <c r="AD73" i="234"/>
  <c r="AD74" i="234"/>
  <c r="AD75" i="234"/>
  <c r="AD76" i="234"/>
  <c r="AD77" i="234"/>
  <c r="AD78" i="234"/>
  <c r="AD79" i="234"/>
  <c r="AD80" i="234"/>
  <c r="AD5" i="234"/>
  <c r="Z6" i="234"/>
  <c r="AA6" i="234"/>
  <c r="AB6" i="234"/>
  <c r="AF6" i="234" s="1"/>
  <c r="Z7" i="234"/>
  <c r="AA7" i="234"/>
  <c r="AB7" i="234"/>
  <c r="AF7" i="234" s="1"/>
  <c r="Z8" i="234"/>
  <c r="AA8" i="234"/>
  <c r="AB8" i="234"/>
  <c r="AF8" i="234" s="1"/>
  <c r="Z9" i="234"/>
  <c r="AA9" i="234"/>
  <c r="Z10" i="234"/>
  <c r="AA10" i="234"/>
  <c r="AB10" i="234"/>
  <c r="AF10" i="234" s="1"/>
  <c r="Z11" i="234"/>
  <c r="AA11" i="234"/>
  <c r="AB11" i="234"/>
  <c r="AF11" i="234" s="1"/>
  <c r="Z12" i="234"/>
  <c r="AA12" i="234"/>
  <c r="AB12" i="234"/>
  <c r="AF12" i="234" s="1"/>
  <c r="Z14" i="234"/>
  <c r="AA14" i="234"/>
  <c r="Z15" i="234"/>
  <c r="AA15" i="234"/>
  <c r="AB15" i="234"/>
  <c r="AF15" i="234" s="1"/>
  <c r="Z16" i="234"/>
  <c r="AA16" i="234"/>
  <c r="AB16" i="234"/>
  <c r="AF16" i="234" s="1"/>
  <c r="Z17" i="234"/>
  <c r="AA17" i="234"/>
  <c r="Z18" i="234"/>
  <c r="AA18" i="234"/>
  <c r="Z19" i="234"/>
  <c r="AA19" i="234"/>
  <c r="AB19" i="234"/>
  <c r="AF19" i="234" s="1"/>
  <c r="Z20" i="234"/>
  <c r="AA20" i="234"/>
  <c r="AB20" i="234"/>
  <c r="AF20" i="234" s="1"/>
  <c r="Z21" i="234"/>
  <c r="AA21" i="234"/>
  <c r="AB21" i="234"/>
  <c r="AF21" i="234" s="1"/>
  <c r="Z22" i="234"/>
  <c r="AA22" i="234"/>
  <c r="Z23" i="234"/>
  <c r="AA23" i="234"/>
  <c r="AB23" i="234"/>
  <c r="AF23" i="234" s="1"/>
  <c r="Z24" i="234"/>
  <c r="AA24" i="234"/>
  <c r="AB24" i="234"/>
  <c r="AF24" i="234" s="1"/>
  <c r="Z25" i="234"/>
  <c r="AA25" i="234"/>
  <c r="AB25" i="234"/>
  <c r="AF25" i="234" s="1"/>
  <c r="Z26" i="234"/>
  <c r="AA26" i="234"/>
  <c r="Z27" i="234"/>
  <c r="AA27" i="234"/>
  <c r="AB27" i="234"/>
  <c r="AF27" i="234" s="1"/>
  <c r="Z28" i="234"/>
  <c r="AA28" i="234"/>
  <c r="AB28" i="234"/>
  <c r="AF28" i="234" s="1"/>
  <c r="Z29" i="234"/>
  <c r="AA29" i="234"/>
  <c r="Z30" i="234"/>
  <c r="AA30" i="234"/>
  <c r="AB30" i="234"/>
  <c r="AF30" i="234" s="1"/>
  <c r="Z31" i="234"/>
  <c r="AA31" i="234"/>
  <c r="AB31" i="234"/>
  <c r="AF31" i="234" s="1"/>
  <c r="Z32" i="234"/>
  <c r="AA32" i="234"/>
  <c r="AB32" i="234"/>
  <c r="AF32" i="234" s="1"/>
  <c r="Z33" i="234"/>
  <c r="AA33" i="234"/>
  <c r="Z34" i="234"/>
  <c r="AA34" i="234"/>
  <c r="AB34" i="234"/>
  <c r="AF34" i="234" s="1"/>
  <c r="Z35" i="234"/>
  <c r="AA35" i="234"/>
  <c r="Z36" i="234"/>
  <c r="AA36" i="234"/>
  <c r="AB36" i="234"/>
  <c r="AF36" i="234" s="1"/>
  <c r="Z37" i="234"/>
  <c r="AA37" i="234"/>
  <c r="AB37" i="234"/>
  <c r="AF37" i="234" s="1"/>
  <c r="Z38" i="234"/>
  <c r="AA38" i="234"/>
  <c r="Z39" i="234"/>
  <c r="AA39" i="234"/>
  <c r="Z40" i="234"/>
  <c r="AA40" i="234"/>
  <c r="AB40" i="234"/>
  <c r="AF40" i="234" s="1"/>
  <c r="Z41" i="234"/>
  <c r="AA41" i="234"/>
  <c r="AB41" i="234"/>
  <c r="AF41" i="234" s="1"/>
  <c r="Z42" i="234"/>
  <c r="AA42" i="234"/>
  <c r="AB42" i="234"/>
  <c r="AF42" i="234" s="1"/>
  <c r="Z43" i="234"/>
  <c r="AA43" i="234"/>
  <c r="Z44" i="234"/>
  <c r="AA44" i="234"/>
  <c r="AB44" i="234"/>
  <c r="AF44" i="234" s="1"/>
  <c r="Z45" i="234"/>
  <c r="AA45" i="234"/>
  <c r="AB45" i="234"/>
  <c r="AF45" i="234" s="1"/>
  <c r="Z46" i="234"/>
  <c r="AA46" i="234"/>
  <c r="AB46" i="234"/>
  <c r="AF46" i="234" s="1"/>
  <c r="Z47" i="234"/>
  <c r="AA47" i="234"/>
  <c r="AB47" i="234"/>
  <c r="AF47" i="234" s="1"/>
  <c r="Z49" i="234"/>
  <c r="AA49" i="234"/>
  <c r="Z50" i="234"/>
  <c r="AA50" i="234"/>
  <c r="AB50" i="234"/>
  <c r="AF50" i="234" s="1"/>
  <c r="Z51" i="234"/>
  <c r="AA51" i="234"/>
  <c r="AB51" i="234"/>
  <c r="AF51" i="234" s="1"/>
  <c r="Z52" i="234"/>
  <c r="AA52" i="234"/>
  <c r="AB52" i="234"/>
  <c r="AF52" i="234" s="1"/>
  <c r="Z53" i="234"/>
  <c r="AA53" i="234"/>
  <c r="AB53" i="234"/>
  <c r="AF53" i="234" s="1"/>
  <c r="Z55" i="234"/>
  <c r="AA55" i="234"/>
  <c r="Z56" i="234"/>
  <c r="AA56" i="234"/>
  <c r="AB56" i="234"/>
  <c r="AF56" i="234" s="1"/>
  <c r="Z57" i="234"/>
  <c r="AA57" i="234"/>
  <c r="AB57" i="234"/>
  <c r="AF57" i="234" s="1"/>
  <c r="Z58" i="234"/>
  <c r="AA58" i="234"/>
  <c r="Z59" i="234"/>
  <c r="AA59" i="234"/>
  <c r="Z60" i="234"/>
  <c r="AA60" i="234"/>
  <c r="AB60" i="234"/>
  <c r="AF60" i="234" s="1"/>
  <c r="Z61" i="234"/>
  <c r="AA61" i="234"/>
  <c r="AB61" i="234"/>
  <c r="AF61" i="234" s="1"/>
  <c r="Z62" i="234"/>
  <c r="AA62" i="234"/>
  <c r="AB62" i="234"/>
  <c r="AF62" i="234" s="1"/>
  <c r="Z63" i="234"/>
  <c r="AA63" i="234"/>
  <c r="Z64" i="234"/>
  <c r="AA64" i="234"/>
  <c r="AB64" i="234"/>
  <c r="AF64" i="234" s="1"/>
  <c r="Z65" i="234"/>
  <c r="AA65" i="234"/>
  <c r="AB65" i="234"/>
  <c r="AF65" i="234" s="1"/>
  <c r="Z66" i="234"/>
  <c r="AA66" i="234"/>
  <c r="AB66" i="234"/>
  <c r="AF66" i="234" s="1"/>
  <c r="Z67" i="234"/>
  <c r="AA67" i="234"/>
  <c r="Z68" i="234"/>
  <c r="AA68" i="234"/>
  <c r="AB68" i="234"/>
  <c r="AF68" i="234" s="1"/>
  <c r="Z69" i="234"/>
  <c r="AA69" i="234"/>
  <c r="Z70" i="234"/>
  <c r="AA70" i="234"/>
  <c r="AB70" i="234"/>
  <c r="AF70" i="234" s="1"/>
  <c r="Z71" i="234"/>
  <c r="AA71" i="234"/>
  <c r="AB71" i="234"/>
  <c r="AF71" i="234" s="1"/>
  <c r="Z72" i="234"/>
  <c r="AA72" i="234"/>
  <c r="AB72" i="234"/>
  <c r="AF72" i="234" s="1"/>
  <c r="G76" i="236" s="1"/>
  <c r="Z73" i="234"/>
  <c r="AA73" i="234"/>
  <c r="AB73" i="234"/>
  <c r="Z74" i="234"/>
  <c r="AA74" i="234"/>
  <c r="AB74" i="234"/>
  <c r="Z75" i="234"/>
  <c r="AA75" i="234"/>
  <c r="AB75" i="234"/>
  <c r="Z76" i="234"/>
  <c r="AA76" i="234"/>
  <c r="AB76" i="234"/>
  <c r="Z77" i="234"/>
  <c r="AA77" i="234"/>
  <c r="AB77" i="234"/>
  <c r="AF77" i="234" s="1"/>
  <c r="G81" i="236" s="1"/>
  <c r="Z78" i="234"/>
  <c r="AA78" i="234"/>
  <c r="AB78" i="234"/>
  <c r="Z79" i="234"/>
  <c r="AA79" i="234"/>
  <c r="AB79" i="234"/>
  <c r="AA5" i="234"/>
  <c r="AB5" i="234"/>
  <c r="AF5" i="234" s="1"/>
  <c r="Z5" i="234"/>
  <c r="P72" i="234"/>
  <c r="P71" i="234"/>
  <c r="P70" i="234"/>
  <c r="P69" i="234"/>
  <c r="P68" i="234"/>
  <c r="P67" i="234"/>
  <c r="P66" i="234"/>
  <c r="P65" i="234"/>
  <c r="P64" i="234"/>
  <c r="P63" i="234"/>
  <c r="P62" i="234"/>
  <c r="P61" i="234"/>
  <c r="P60" i="234"/>
  <c r="P59" i="234"/>
  <c r="P58" i="234"/>
  <c r="P57" i="234"/>
  <c r="P56" i="234"/>
  <c r="P55" i="234"/>
  <c r="P53" i="234"/>
  <c r="P52" i="234"/>
  <c r="P51" i="234"/>
  <c r="P50" i="234"/>
  <c r="P49" i="234"/>
  <c r="P47" i="234"/>
  <c r="P46" i="234"/>
  <c r="P45" i="234"/>
  <c r="P44" i="234"/>
  <c r="P43" i="234"/>
  <c r="P42" i="234"/>
  <c r="P41" i="234"/>
  <c r="P40" i="234"/>
  <c r="P39" i="234"/>
  <c r="P38" i="234"/>
  <c r="P37" i="234"/>
  <c r="P36" i="234"/>
  <c r="P35" i="234"/>
  <c r="P34" i="234"/>
  <c r="P33" i="234"/>
  <c r="P32" i="234"/>
  <c r="P31" i="234"/>
  <c r="P30" i="234"/>
  <c r="P29" i="234"/>
  <c r="P28" i="234"/>
  <c r="P27" i="234"/>
  <c r="P26" i="234"/>
  <c r="P25" i="234"/>
  <c r="P24" i="234"/>
  <c r="P23" i="234"/>
  <c r="P22" i="234"/>
  <c r="P21" i="234"/>
  <c r="P20" i="234"/>
  <c r="P19" i="234"/>
  <c r="P18" i="234"/>
  <c r="P17" i="234"/>
  <c r="P16" i="234"/>
  <c r="P15" i="234"/>
  <c r="P14" i="234"/>
  <c r="P12" i="234"/>
  <c r="P11" i="234"/>
  <c r="P10" i="234"/>
  <c r="P9" i="234"/>
  <c r="P8" i="234"/>
  <c r="P7" i="234"/>
  <c r="P6" i="234"/>
  <c r="P5" i="234"/>
  <c r="M77" i="234"/>
  <c r="M76" i="234"/>
  <c r="M75" i="234"/>
  <c r="M74" i="234"/>
  <c r="M73" i="234"/>
  <c r="M72" i="234"/>
  <c r="M71" i="234"/>
  <c r="M70" i="234"/>
  <c r="M69" i="234"/>
  <c r="M68" i="234"/>
  <c r="M67" i="234"/>
  <c r="M66" i="234"/>
  <c r="M65" i="234"/>
  <c r="M64" i="234"/>
  <c r="M63" i="234"/>
  <c r="M62" i="234"/>
  <c r="M61" i="234"/>
  <c r="M60" i="234"/>
  <c r="M59" i="234"/>
  <c r="M58" i="234"/>
  <c r="M57" i="234"/>
  <c r="M56" i="234"/>
  <c r="M55" i="234"/>
  <c r="M53" i="234"/>
  <c r="M52" i="234"/>
  <c r="M51" i="234"/>
  <c r="M50" i="234"/>
  <c r="M49" i="234"/>
  <c r="M47" i="234"/>
  <c r="M46" i="234"/>
  <c r="M45" i="234"/>
  <c r="M44" i="234"/>
  <c r="M43" i="234"/>
  <c r="M42" i="234"/>
  <c r="M41" i="234"/>
  <c r="M40" i="234"/>
  <c r="M39" i="234"/>
  <c r="M38" i="234"/>
  <c r="M37" i="234"/>
  <c r="M36" i="234"/>
  <c r="M35" i="234"/>
  <c r="M34" i="234"/>
  <c r="M33" i="234"/>
  <c r="M32" i="234"/>
  <c r="M31" i="234"/>
  <c r="M30" i="234"/>
  <c r="M29" i="234"/>
  <c r="M28" i="234"/>
  <c r="M27" i="234"/>
  <c r="M26" i="234"/>
  <c r="M25" i="234"/>
  <c r="M24" i="234"/>
  <c r="M23" i="234"/>
  <c r="M22" i="234"/>
  <c r="M21" i="234"/>
  <c r="M20" i="234"/>
  <c r="M19" i="234"/>
  <c r="M18" i="234"/>
  <c r="M17" i="234"/>
  <c r="M16" i="234"/>
  <c r="M15" i="234"/>
  <c r="M14" i="234"/>
  <c r="M12" i="234"/>
  <c r="M11" i="234"/>
  <c r="M10" i="234"/>
  <c r="M9" i="234"/>
  <c r="M8" i="234"/>
  <c r="M7" i="234"/>
  <c r="M6" i="234"/>
  <c r="M5" i="234"/>
  <c r="M4" i="234"/>
  <c r="M3" i="234"/>
  <c r="K77" i="234"/>
  <c r="J77" i="234"/>
  <c r="I77" i="234"/>
  <c r="K76" i="234"/>
  <c r="J76" i="234"/>
  <c r="I76" i="234"/>
  <c r="K75" i="234"/>
  <c r="J75" i="234"/>
  <c r="I75" i="234"/>
  <c r="K74" i="234"/>
  <c r="J74" i="234"/>
  <c r="I74" i="234"/>
  <c r="K73" i="234"/>
  <c r="J73" i="234"/>
  <c r="I73" i="234"/>
  <c r="K72" i="234"/>
  <c r="J72" i="234"/>
  <c r="I72" i="234"/>
  <c r="K71" i="234"/>
  <c r="J71" i="234"/>
  <c r="I71" i="234"/>
  <c r="K70" i="234"/>
  <c r="J70" i="234"/>
  <c r="I70" i="234"/>
  <c r="K69" i="234"/>
  <c r="J69" i="234"/>
  <c r="I69" i="234"/>
  <c r="K68" i="234"/>
  <c r="J68" i="234"/>
  <c r="I68" i="234"/>
  <c r="K67" i="234"/>
  <c r="J67" i="234"/>
  <c r="I67" i="234"/>
  <c r="K66" i="234"/>
  <c r="J66" i="234"/>
  <c r="I66" i="234"/>
  <c r="K65" i="234"/>
  <c r="J65" i="234"/>
  <c r="I65" i="234"/>
  <c r="K64" i="234"/>
  <c r="J64" i="234"/>
  <c r="I64" i="234"/>
  <c r="K63" i="234"/>
  <c r="J63" i="234"/>
  <c r="I63" i="234"/>
  <c r="K62" i="234"/>
  <c r="J62" i="234"/>
  <c r="I62" i="234"/>
  <c r="K61" i="234"/>
  <c r="J61" i="234"/>
  <c r="I61" i="234"/>
  <c r="K60" i="234"/>
  <c r="J60" i="234"/>
  <c r="I60" i="234"/>
  <c r="K59" i="234"/>
  <c r="J59" i="234"/>
  <c r="I59" i="234"/>
  <c r="K58" i="234"/>
  <c r="J58" i="234"/>
  <c r="I58" i="234"/>
  <c r="K57" i="234"/>
  <c r="J57" i="234"/>
  <c r="I57" i="234"/>
  <c r="K56" i="234"/>
  <c r="J56" i="234"/>
  <c r="I56" i="234"/>
  <c r="K55" i="234"/>
  <c r="J55" i="234"/>
  <c r="I55" i="234"/>
  <c r="K53" i="234"/>
  <c r="J53" i="234"/>
  <c r="I53" i="234"/>
  <c r="K52" i="234"/>
  <c r="J52" i="234"/>
  <c r="I52" i="234"/>
  <c r="K51" i="234"/>
  <c r="J51" i="234"/>
  <c r="I51" i="234"/>
  <c r="K50" i="234"/>
  <c r="J50" i="234"/>
  <c r="I50" i="234"/>
  <c r="K49" i="234"/>
  <c r="J49" i="234"/>
  <c r="I49" i="234"/>
  <c r="K47" i="234"/>
  <c r="J47" i="234"/>
  <c r="I47" i="234"/>
  <c r="K46" i="234"/>
  <c r="J46" i="234"/>
  <c r="I46" i="234"/>
  <c r="K45" i="234"/>
  <c r="J45" i="234"/>
  <c r="I45" i="234"/>
  <c r="K44" i="234"/>
  <c r="J44" i="234"/>
  <c r="I44" i="234"/>
  <c r="K43" i="234"/>
  <c r="J43" i="234"/>
  <c r="I43" i="234"/>
  <c r="K42" i="234"/>
  <c r="J42" i="234"/>
  <c r="I42" i="234"/>
  <c r="K41" i="234"/>
  <c r="J41" i="234"/>
  <c r="I41" i="234"/>
  <c r="K40" i="234"/>
  <c r="J40" i="234"/>
  <c r="I40" i="234"/>
  <c r="K39" i="234"/>
  <c r="J39" i="234"/>
  <c r="I39" i="234"/>
  <c r="K38" i="234"/>
  <c r="J38" i="234"/>
  <c r="I38" i="234"/>
  <c r="K37" i="234"/>
  <c r="J37" i="234"/>
  <c r="I37" i="234"/>
  <c r="K36" i="234"/>
  <c r="J36" i="234"/>
  <c r="I36" i="234"/>
  <c r="K35" i="234"/>
  <c r="J35" i="234"/>
  <c r="I35" i="234"/>
  <c r="K34" i="234"/>
  <c r="J34" i="234"/>
  <c r="I34" i="234"/>
  <c r="K33" i="234"/>
  <c r="J33" i="234"/>
  <c r="I33" i="234"/>
  <c r="K32" i="234"/>
  <c r="J32" i="234"/>
  <c r="I32" i="234"/>
  <c r="K31" i="234"/>
  <c r="J31" i="234"/>
  <c r="I31" i="234"/>
  <c r="K30" i="234"/>
  <c r="J30" i="234"/>
  <c r="I30" i="234"/>
  <c r="K29" i="234"/>
  <c r="J29" i="234"/>
  <c r="I29" i="234"/>
  <c r="K28" i="234"/>
  <c r="J28" i="234"/>
  <c r="I28" i="234"/>
  <c r="K27" i="234"/>
  <c r="J27" i="234"/>
  <c r="I27" i="234"/>
  <c r="K26" i="234"/>
  <c r="J26" i="234"/>
  <c r="I26" i="234"/>
  <c r="K25" i="234"/>
  <c r="J25" i="234"/>
  <c r="I25" i="234"/>
  <c r="K24" i="234"/>
  <c r="J24" i="234"/>
  <c r="I24" i="234"/>
  <c r="K23" i="234"/>
  <c r="J23" i="234"/>
  <c r="I23" i="234"/>
  <c r="K22" i="234"/>
  <c r="J22" i="234"/>
  <c r="I22" i="234"/>
  <c r="K21" i="234"/>
  <c r="J21" i="234"/>
  <c r="I21" i="234"/>
  <c r="K20" i="234"/>
  <c r="J20" i="234"/>
  <c r="I20" i="234"/>
  <c r="K19" i="234"/>
  <c r="J19" i="234"/>
  <c r="I19" i="234"/>
  <c r="K18" i="234"/>
  <c r="J18" i="234"/>
  <c r="I18" i="234"/>
  <c r="K17" i="234"/>
  <c r="J17" i="234"/>
  <c r="I17" i="234"/>
  <c r="K16" i="234"/>
  <c r="J16" i="234"/>
  <c r="I16" i="234"/>
  <c r="K15" i="234"/>
  <c r="J15" i="234"/>
  <c r="I15" i="234"/>
  <c r="K14" i="234"/>
  <c r="J14" i="234"/>
  <c r="I14" i="234"/>
  <c r="K12" i="234"/>
  <c r="J12" i="234"/>
  <c r="I12" i="234"/>
  <c r="K11" i="234"/>
  <c r="J11" i="234"/>
  <c r="I11" i="234"/>
  <c r="K10" i="234"/>
  <c r="J10" i="234"/>
  <c r="I10" i="234"/>
  <c r="K9" i="234"/>
  <c r="J9" i="234"/>
  <c r="I9" i="234"/>
  <c r="K8" i="234"/>
  <c r="J8" i="234"/>
  <c r="I8" i="234"/>
  <c r="K7" i="234"/>
  <c r="J7" i="234"/>
  <c r="I7" i="234"/>
  <c r="K6" i="234"/>
  <c r="J6" i="234"/>
  <c r="I6" i="234"/>
  <c r="K5" i="234"/>
  <c r="J5" i="234"/>
  <c r="I5" i="234"/>
  <c r="K4" i="234"/>
  <c r="J4" i="234"/>
  <c r="I4" i="234"/>
  <c r="K3" i="234"/>
  <c r="J3" i="234"/>
  <c r="I3" i="234"/>
  <c r="AQ9" i="235"/>
  <c r="AR9" i="235"/>
  <c r="AS9" i="235"/>
  <c r="AT9" i="235"/>
  <c r="AU9" i="235"/>
  <c r="AV9" i="235"/>
  <c r="AW9" i="235"/>
  <c r="AX9" i="235"/>
  <c r="AY9" i="235"/>
  <c r="AZ9" i="235"/>
  <c r="BA9" i="235"/>
  <c r="BB9" i="235"/>
  <c r="BC9" i="235"/>
  <c r="BD9" i="235"/>
  <c r="BE9" i="235"/>
  <c r="BF9" i="235"/>
  <c r="BG9" i="235"/>
  <c r="BH9" i="235"/>
  <c r="BI9" i="235"/>
  <c r="BJ9" i="235"/>
  <c r="BK9" i="235"/>
  <c r="BL9" i="235"/>
  <c r="BM9" i="235"/>
  <c r="BN9" i="235"/>
  <c r="BO9" i="235"/>
  <c r="BP9" i="235"/>
  <c r="BQ9" i="235"/>
  <c r="BR9" i="235"/>
  <c r="BS9" i="235"/>
  <c r="AQ10" i="235"/>
  <c r="AR10" i="235"/>
  <c r="AS10" i="235"/>
  <c r="AT10" i="235"/>
  <c r="AU10" i="235"/>
  <c r="AV10" i="235"/>
  <c r="AW10" i="235"/>
  <c r="AX10" i="235"/>
  <c r="AY10" i="235"/>
  <c r="AZ10" i="235"/>
  <c r="BA10" i="235"/>
  <c r="BB10" i="235"/>
  <c r="BC10" i="235"/>
  <c r="BD10" i="235"/>
  <c r="BE10" i="235"/>
  <c r="BF10" i="235"/>
  <c r="BG10" i="235"/>
  <c r="BH10" i="235"/>
  <c r="BI10" i="235"/>
  <c r="BJ10" i="235"/>
  <c r="BK10" i="235"/>
  <c r="BL10" i="235"/>
  <c r="BM10" i="235"/>
  <c r="BN10" i="235"/>
  <c r="BO10" i="235"/>
  <c r="BP10" i="235"/>
  <c r="BQ10" i="235"/>
  <c r="BR10" i="235"/>
  <c r="BS10" i="235"/>
  <c r="AQ11" i="235"/>
  <c r="AR11" i="235"/>
  <c r="AS11" i="235"/>
  <c r="AT11" i="235"/>
  <c r="AU11" i="235"/>
  <c r="AV11" i="235"/>
  <c r="AW11" i="235"/>
  <c r="AX11" i="235"/>
  <c r="AY11" i="235"/>
  <c r="AZ11" i="235"/>
  <c r="BA11" i="235"/>
  <c r="BB11" i="235"/>
  <c r="BC11" i="235"/>
  <c r="BD11" i="235"/>
  <c r="BE11" i="235"/>
  <c r="BF11" i="235"/>
  <c r="BG11" i="235"/>
  <c r="BH11" i="235"/>
  <c r="BI11" i="235"/>
  <c r="BJ11" i="235"/>
  <c r="BK11" i="235"/>
  <c r="BL11" i="235"/>
  <c r="BM11" i="235"/>
  <c r="BN11" i="235"/>
  <c r="BO11" i="235"/>
  <c r="BP11" i="235"/>
  <c r="BQ11" i="235"/>
  <c r="BR11" i="235"/>
  <c r="BS11" i="235"/>
  <c r="AQ12" i="235"/>
  <c r="AR12" i="235"/>
  <c r="AS12" i="235"/>
  <c r="AT12" i="235"/>
  <c r="AU12" i="235"/>
  <c r="AV12" i="235"/>
  <c r="AW12" i="235"/>
  <c r="AX12" i="235"/>
  <c r="AY12" i="235"/>
  <c r="AZ12" i="235"/>
  <c r="BA12" i="235"/>
  <c r="BB12" i="235"/>
  <c r="BC12" i="235"/>
  <c r="BD12" i="235"/>
  <c r="BE12" i="235"/>
  <c r="BF12" i="235"/>
  <c r="BG12" i="235"/>
  <c r="BH12" i="235"/>
  <c r="BI12" i="235"/>
  <c r="BJ12" i="235"/>
  <c r="BK12" i="235"/>
  <c r="BL12" i="235"/>
  <c r="BM12" i="235"/>
  <c r="BN12" i="235"/>
  <c r="BO12" i="235"/>
  <c r="BP12" i="235"/>
  <c r="BQ12" i="235"/>
  <c r="BR12" i="235"/>
  <c r="BS12" i="235"/>
  <c r="AQ14" i="235"/>
  <c r="AR14" i="235"/>
  <c r="AS14" i="235"/>
  <c r="AT14" i="235"/>
  <c r="AU14" i="235"/>
  <c r="AV14" i="235"/>
  <c r="AW14" i="235"/>
  <c r="AX14" i="235"/>
  <c r="AY14" i="235"/>
  <c r="AZ14" i="235"/>
  <c r="BA14" i="235"/>
  <c r="BB14" i="235"/>
  <c r="BC14" i="235"/>
  <c r="BD14" i="235"/>
  <c r="BE14" i="235"/>
  <c r="BF14" i="235"/>
  <c r="BG14" i="235"/>
  <c r="BH14" i="235"/>
  <c r="BI14" i="235"/>
  <c r="BJ14" i="235"/>
  <c r="BK14" i="235"/>
  <c r="BL14" i="235"/>
  <c r="BM14" i="235"/>
  <c r="BN14" i="235"/>
  <c r="BO14" i="235"/>
  <c r="BP14" i="235"/>
  <c r="BQ14" i="235"/>
  <c r="BR14" i="235"/>
  <c r="BS14" i="235"/>
  <c r="AQ15" i="235"/>
  <c r="AR15" i="235"/>
  <c r="AS15" i="235"/>
  <c r="AT15" i="235"/>
  <c r="AU15" i="235"/>
  <c r="AV15" i="235"/>
  <c r="AW15" i="235"/>
  <c r="AX15" i="235"/>
  <c r="AY15" i="235"/>
  <c r="AZ15" i="235"/>
  <c r="BA15" i="235"/>
  <c r="BB15" i="235"/>
  <c r="BC15" i="235"/>
  <c r="BD15" i="235"/>
  <c r="BE15" i="235"/>
  <c r="BF15" i="235"/>
  <c r="BG15" i="235"/>
  <c r="BH15" i="235"/>
  <c r="BI15" i="235"/>
  <c r="BJ15" i="235"/>
  <c r="BK15" i="235"/>
  <c r="BL15" i="235"/>
  <c r="BM15" i="235"/>
  <c r="BN15" i="235"/>
  <c r="BO15" i="235"/>
  <c r="BP15" i="235"/>
  <c r="BQ15" i="235"/>
  <c r="BR15" i="235"/>
  <c r="BS15" i="235"/>
  <c r="AQ16" i="235"/>
  <c r="AR16" i="235"/>
  <c r="AS16" i="235"/>
  <c r="AT16" i="235"/>
  <c r="AU16" i="235"/>
  <c r="AV16" i="235"/>
  <c r="AW16" i="235"/>
  <c r="AX16" i="235"/>
  <c r="AY16" i="235"/>
  <c r="AZ16" i="235"/>
  <c r="BA16" i="235"/>
  <c r="BB16" i="235"/>
  <c r="BC16" i="235"/>
  <c r="BD16" i="235"/>
  <c r="BE16" i="235"/>
  <c r="BF16" i="235"/>
  <c r="BG16" i="235"/>
  <c r="BH16" i="235"/>
  <c r="BI16" i="235"/>
  <c r="BJ16" i="235"/>
  <c r="BK16" i="235"/>
  <c r="BL16" i="235"/>
  <c r="BM16" i="235"/>
  <c r="BN16" i="235"/>
  <c r="BO16" i="235"/>
  <c r="BP16" i="235"/>
  <c r="BQ16" i="235"/>
  <c r="BR16" i="235"/>
  <c r="BS16" i="235"/>
  <c r="AQ19" i="235"/>
  <c r="AR19" i="235"/>
  <c r="AS19" i="235"/>
  <c r="AT19" i="235"/>
  <c r="AU19" i="235"/>
  <c r="AV19" i="235"/>
  <c r="AW19" i="235"/>
  <c r="AX19" i="235"/>
  <c r="AY19" i="235"/>
  <c r="AZ19" i="235"/>
  <c r="BA19" i="235"/>
  <c r="BB19" i="235"/>
  <c r="BC19" i="235"/>
  <c r="BD19" i="235"/>
  <c r="BE19" i="235"/>
  <c r="BF19" i="235"/>
  <c r="BG19" i="235"/>
  <c r="BH19" i="235"/>
  <c r="BI19" i="235"/>
  <c r="BJ19" i="235"/>
  <c r="BK19" i="235"/>
  <c r="BL19" i="235"/>
  <c r="BM19" i="235"/>
  <c r="BN19" i="235"/>
  <c r="BO19" i="235"/>
  <c r="BP19" i="235"/>
  <c r="BQ19" i="235"/>
  <c r="BR19" i="235"/>
  <c r="BS19" i="235"/>
  <c r="AQ20" i="235"/>
  <c r="AR20" i="235"/>
  <c r="AS20" i="235"/>
  <c r="AT20" i="235"/>
  <c r="AU20" i="235"/>
  <c r="AV20" i="235"/>
  <c r="AW20" i="235"/>
  <c r="AX20" i="235"/>
  <c r="AY20" i="235"/>
  <c r="AZ20" i="235"/>
  <c r="BA20" i="235"/>
  <c r="BB20" i="235"/>
  <c r="BC20" i="235"/>
  <c r="BD20" i="235"/>
  <c r="BE20" i="235"/>
  <c r="BF20" i="235"/>
  <c r="BG20" i="235"/>
  <c r="BH20" i="235"/>
  <c r="BI20" i="235"/>
  <c r="BJ20" i="235"/>
  <c r="BK20" i="235"/>
  <c r="BL20" i="235"/>
  <c r="BM20" i="235"/>
  <c r="BN20" i="235"/>
  <c r="BO20" i="235"/>
  <c r="BP20" i="235"/>
  <c r="BQ20" i="235"/>
  <c r="BR20" i="235"/>
  <c r="BS20" i="235"/>
  <c r="AQ23" i="235"/>
  <c r="AR23" i="235"/>
  <c r="AS23" i="235"/>
  <c r="AT23" i="235"/>
  <c r="AU23" i="235"/>
  <c r="AV23" i="235"/>
  <c r="AW23" i="235"/>
  <c r="AX23" i="235"/>
  <c r="AY23" i="235"/>
  <c r="AZ23" i="235"/>
  <c r="BA23" i="235"/>
  <c r="BB23" i="235"/>
  <c r="BC23" i="235"/>
  <c r="BD23" i="235"/>
  <c r="BE23" i="235"/>
  <c r="BF23" i="235"/>
  <c r="BG23" i="235"/>
  <c r="BH23" i="235"/>
  <c r="BI23" i="235"/>
  <c r="BJ23" i="235"/>
  <c r="BK23" i="235"/>
  <c r="BL23" i="235"/>
  <c r="BM23" i="235"/>
  <c r="BN23" i="235"/>
  <c r="BO23" i="235"/>
  <c r="BP23" i="235"/>
  <c r="BQ23" i="235"/>
  <c r="BR23" i="235"/>
  <c r="BS23" i="235"/>
  <c r="AQ24" i="235"/>
  <c r="AR24" i="235"/>
  <c r="AS24" i="235"/>
  <c r="AT24" i="235"/>
  <c r="AU24" i="235"/>
  <c r="AV24" i="235"/>
  <c r="AW24" i="235"/>
  <c r="AX24" i="235"/>
  <c r="AY24" i="235"/>
  <c r="AZ24" i="235"/>
  <c r="BA24" i="235"/>
  <c r="BB24" i="235"/>
  <c r="BC24" i="235"/>
  <c r="BD24" i="235"/>
  <c r="BE24" i="235"/>
  <c r="BF24" i="235"/>
  <c r="BG24" i="235"/>
  <c r="BH24" i="235"/>
  <c r="BI24" i="235"/>
  <c r="BJ24" i="235"/>
  <c r="BK24" i="235"/>
  <c r="BL24" i="235"/>
  <c r="BM24" i="235"/>
  <c r="BN24" i="235"/>
  <c r="BO24" i="235"/>
  <c r="BP24" i="235"/>
  <c r="BQ24" i="235"/>
  <c r="BR24" i="235"/>
  <c r="BS24" i="235"/>
  <c r="AQ25" i="235"/>
  <c r="AR25" i="235"/>
  <c r="AS25" i="235"/>
  <c r="AT25" i="235"/>
  <c r="AU25" i="235"/>
  <c r="AV25" i="235"/>
  <c r="AW25" i="235"/>
  <c r="AX25" i="235"/>
  <c r="AY25" i="235"/>
  <c r="AZ25" i="235"/>
  <c r="BA25" i="235"/>
  <c r="BB25" i="235"/>
  <c r="BC25" i="235"/>
  <c r="BD25" i="235"/>
  <c r="BE25" i="235"/>
  <c r="BF25" i="235"/>
  <c r="BG25" i="235"/>
  <c r="BH25" i="235"/>
  <c r="BI25" i="235"/>
  <c r="BJ25" i="235"/>
  <c r="BK25" i="235"/>
  <c r="BL25" i="235"/>
  <c r="BM25" i="235"/>
  <c r="BN25" i="235"/>
  <c r="BO25" i="235"/>
  <c r="BP25" i="235"/>
  <c r="BQ25" i="235"/>
  <c r="BR25" i="235"/>
  <c r="BS25" i="235"/>
  <c r="AQ27" i="235"/>
  <c r="AR27" i="235"/>
  <c r="AS27" i="235"/>
  <c r="AT27" i="235"/>
  <c r="AU27" i="235"/>
  <c r="AV27" i="235"/>
  <c r="AW27" i="235"/>
  <c r="AX27" i="235"/>
  <c r="AY27" i="235"/>
  <c r="AZ27" i="235"/>
  <c r="BA27" i="235"/>
  <c r="BB27" i="235"/>
  <c r="BC27" i="235"/>
  <c r="BD27" i="235"/>
  <c r="BE27" i="235"/>
  <c r="BF27" i="235"/>
  <c r="BG27" i="235"/>
  <c r="BH27" i="235"/>
  <c r="BI27" i="235"/>
  <c r="BJ27" i="235"/>
  <c r="BK27" i="235"/>
  <c r="BL27" i="235"/>
  <c r="BM27" i="235"/>
  <c r="BN27" i="235"/>
  <c r="BO27" i="235"/>
  <c r="BP27" i="235"/>
  <c r="BQ27" i="235"/>
  <c r="BR27" i="235"/>
  <c r="BS27" i="235"/>
  <c r="AQ28" i="235"/>
  <c r="AR28" i="235"/>
  <c r="AS28" i="235"/>
  <c r="AT28" i="235"/>
  <c r="AU28" i="235"/>
  <c r="AV28" i="235"/>
  <c r="AW28" i="235"/>
  <c r="AX28" i="235"/>
  <c r="AY28" i="235"/>
  <c r="AZ28" i="235"/>
  <c r="BA28" i="235"/>
  <c r="BB28" i="235"/>
  <c r="BC28" i="235"/>
  <c r="BD28" i="235"/>
  <c r="BE28" i="235"/>
  <c r="BF28" i="235"/>
  <c r="BG28" i="235"/>
  <c r="BH28" i="235"/>
  <c r="BI28" i="235"/>
  <c r="BJ28" i="235"/>
  <c r="BK28" i="235"/>
  <c r="BL28" i="235"/>
  <c r="BM28" i="235"/>
  <c r="BN28" i="235"/>
  <c r="BO28" i="235"/>
  <c r="BP28" i="235"/>
  <c r="BQ28" i="235"/>
  <c r="BR28" i="235"/>
  <c r="BS28" i="235"/>
  <c r="AQ29" i="235"/>
  <c r="AR29" i="235"/>
  <c r="AS29" i="235"/>
  <c r="AT29" i="235"/>
  <c r="AU29" i="235"/>
  <c r="AV29" i="235"/>
  <c r="AW29" i="235"/>
  <c r="AX29" i="235"/>
  <c r="AY29" i="235"/>
  <c r="AZ29" i="235"/>
  <c r="BA29" i="235"/>
  <c r="BB29" i="235"/>
  <c r="BC29" i="235"/>
  <c r="BD29" i="235"/>
  <c r="BE29" i="235"/>
  <c r="BF29" i="235"/>
  <c r="BG29" i="235"/>
  <c r="BH29" i="235"/>
  <c r="BI29" i="235"/>
  <c r="BJ29" i="235"/>
  <c r="BK29" i="235"/>
  <c r="BL29" i="235"/>
  <c r="BM29" i="235"/>
  <c r="BN29" i="235"/>
  <c r="BO29" i="235"/>
  <c r="BP29" i="235"/>
  <c r="BQ29" i="235"/>
  <c r="BR29" i="235"/>
  <c r="BS29" i="235"/>
  <c r="AQ31" i="235"/>
  <c r="AR31" i="235"/>
  <c r="AS31" i="235"/>
  <c r="AT31" i="235"/>
  <c r="AU31" i="235"/>
  <c r="AV31" i="235"/>
  <c r="AW31" i="235"/>
  <c r="AX31" i="235"/>
  <c r="AY31" i="235"/>
  <c r="AZ31" i="235"/>
  <c r="BA31" i="235"/>
  <c r="BB31" i="235"/>
  <c r="BC31" i="235"/>
  <c r="BD31" i="235"/>
  <c r="BE31" i="235"/>
  <c r="BF31" i="235"/>
  <c r="BG31" i="235"/>
  <c r="BH31" i="235"/>
  <c r="BI31" i="235"/>
  <c r="BJ31" i="235"/>
  <c r="BK31" i="235"/>
  <c r="BL31" i="235"/>
  <c r="BM31" i="235"/>
  <c r="BN31" i="235"/>
  <c r="BO31" i="235"/>
  <c r="BP31" i="235"/>
  <c r="BQ31" i="235"/>
  <c r="BR31" i="235"/>
  <c r="BS31" i="235"/>
  <c r="AQ32" i="235"/>
  <c r="AR32" i="235"/>
  <c r="AS32" i="235"/>
  <c r="AT32" i="235"/>
  <c r="AU32" i="235"/>
  <c r="AV32" i="235"/>
  <c r="AW32" i="235"/>
  <c r="AX32" i="235"/>
  <c r="AY32" i="235"/>
  <c r="AZ32" i="235"/>
  <c r="BA32" i="235"/>
  <c r="BB32" i="235"/>
  <c r="BC32" i="235"/>
  <c r="BD32" i="235"/>
  <c r="BE32" i="235"/>
  <c r="BF32" i="235"/>
  <c r="BG32" i="235"/>
  <c r="BH32" i="235"/>
  <c r="BI32" i="235"/>
  <c r="BJ32" i="235"/>
  <c r="BK32" i="235"/>
  <c r="BL32" i="235"/>
  <c r="BM32" i="235"/>
  <c r="BN32" i="235"/>
  <c r="BO32" i="235"/>
  <c r="BP32" i="235"/>
  <c r="BQ32" i="235"/>
  <c r="BR32" i="235"/>
  <c r="BS32" i="235"/>
  <c r="AQ34" i="235"/>
  <c r="AR34" i="235"/>
  <c r="AS34" i="235"/>
  <c r="AT34" i="235"/>
  <c r="AU34" i="235"/>
  <c r="AV34" i="235"/>
  <c r="AW34" i="235"/>
  <c r="AX34" i="235"/>
  <c r="AY34" i="235"/>
  <c r="AZ34" i="235"/>
  <c r="BA34" i="235"/>
  <c r="BB34" i="235"/>
  <c r="BC34" i="235"/>
  <c r="BD34" i="235"/>
  <c r="BE34" i="235"/>
  <c r="BF34" i="235"/>
  <c r="BG34" i="235"/>
  <c r="BH34" i="235"/>
  <c r="BI34" i="235"/>
  <c r="BJ34" i="235"/>
  <c r="BK34" i="235"/>
  <c r="BL34" i="235"/>
  <c r="BM34" i="235"/>
  <c r="BN34" i="235"/>
  <c r="BO34" i="235"/>
  <c r="BP34" i="235"/>
  <c r="BQ34" i="235"/>
  <c r="BR34" i="235"/>
  <c r="BS34" i="235"/>
  <c r="AQ35" i="235"/>
  <c r="AR35" i="235"/>
  <c r="AS35" i="235"/>
  <c r="AT35" i="235"/>
  <c r="AU35" i="235"/>
  <c r="AV35" i="235"/>
  <c r="AW35" i="235"/>
  <c r="AX35" i="235"/>
  <c r="AY35" i="235"/>
  <c r="AZ35" i="235"/>
  <c r="BA35" i="235"/>
  <c r="BB35" i="235"/>
  <c r="BC35" i="235"/>
  <c r="BD35" i="235"/>
  <c r="BE35" i="235"/>
  <c r="BF35" i="235"/>
  <c r="BG35" i="235"/>
  <c r="BH35" i="235"/>
  <c r="BI35" i="235"/>
  <c r="BJ35" i="235"/>
  <c r="BK35" i="235"/>
  <c r="BL35" i="235"/>
  <c r="BM35" i="235"/>
  <c r="BN35" i="235"/>
  <c r="BO35" i="235"/>
  <c r="BP35" i="235"/>
  <c r="BQ35" i="235"/>
  <c r="BR35" i="235"/>
  <c r="BS35" i="235"/>
  <c r="AQ36" i="235"/>
  <c r="AR36" i="235"/>
  <c r="AS36" i="235"/>
  <c r="AT36" i="235"/>
  <c r="AU36" i="235"/>
  <c r="AV36" i="235"/>
  <c r="AW36" i="235"/>
  <c r="AX36" i="235"/>
  <c r="AY36" i="235"/>
  <c r="AZ36" i="235"/>
  <c r="BA36" i="235"/>
  <c r="BB36" i="235"/>
  <c r="BC36" i="235"/>
  <c r="BD36" i="235"/>
  <c r="BE36" i="235"/>
  <c r="BF36" i="235"/>
  <c r="BG36" i="235"/>
  <c r="BH36" i="235"/>
  <c r="BI36" i="235"/>
  <c r="BJ36" i="235"/>
  <c r="BK36" i="235"/>
  <c r="BL36" i="235"/>
  <c r="BM36" i="235"/>
  <c r="BN36" i="235"/>
  <c r="BO36" i="235"/>
  <c r="BP36" i="235"/>
  <c r="BQ36" i="235"/>
  <c r="BR36" i="235"/>
  <c r="BS36" i="235"/>
  <c r="AQ38" i="235"/>
  <c r="AR38" i="235"/>
  <c r="AS38" i="235"/>
  <c r="AT38" i="235"/>
  <c r="AU38" i="235"/>
  <c r="AV38" i="235"/>
  <c r="AW38" i="235"/>
  <c r="AX38" i="235"/>
  <c r="AY38" i="235"/>
  <c r="AZ38" i="235"/>
  <c r="BA38" i="235"/>
  <c r="BB38" i="235"/>
  <c r="BC38" i="235"/>
  <c r="BD38" i="235"/>
  <c r="BE38" i="235"/>
  <c r="BF38" i="235"/>
  <c r="BG38" i="235"/>
  <c r="BH38" i="235"/>
  <c r="BI38" i="235"/>
  <c r="BJ38" i="235"/>
  <c r="BK38" i="235"/>
  <c r="BL38" i="235"/>
  <c r="BM38" i="235"/>
  <c r="BN38" i="235"/>
  <c r="BO38" i="235"/>
  <c r="BP38" i="235"/>
  <c r="BQ38" i="235"/>
  <c r="BR38" i="235"/>
  <c r="BS38" i="235"/>
  <c r="AQ40" i="235"/>
  <c r="AR40" i="235"/>
  <c r="AS40" i="235"/>
  <c r="AT40" i="235"/>
  <c r="AU40" i="235"/>
  <c r="AV40" i="235"/>
  <c r="AW40" i="235"/>
  <c r="AX40" i="235"/>
  <c r="AY40" i="235"/>
  <c r="AZ40" i="235"/>
  <c r="BA40" i="235"/>
  <c r="BB40" i="235"/>
  <c r="BC40" i="235"/>
  <c r="BD40" i="235"/>
  <c r="BE40" i="235"/>
  <c r="BF40" i="235"/>
  <c r="BG40" i="235"/>
  <c r="BH40" i="235"/>
  <c r="BI40" i="235"/>
  <c r="BJ40" i="235"/>
  <c r="BK40" i="235"/>
  <c r="BL40" i="235"/>
  <c r="BM40" i="235"/>
  <c r="BN40" i="235"/>
  <c r="BO40" i="235"/>
  <c r="BP40" i="235"/>
  <c r="BQ40" i="235"/>
  <c r="BR40" i="235"/>
  <c r="BS40" i="235"/>
  <c r="AQ41" i="235"/>
  <c r="AR41" i="235"/>
  <c r="AS41" i="235"/>
  <c r="AT41" i="235"/>
  <c r="AU41" i="235"/>
  <c r="AV41" i="235"/>
  <c r="AW41" i="235"/>
  <c r="AX41" i="235"/>
  <c r="AY41" i="235"/>
  <c r="AZ41" i="235"/>
  <c r="BA41" i="235"/>
  <c r="BB41" i="235"/>
  <c r="BC41" i="235"/>
  <c r="BD41" i="235"/>
  <c r="BE41" i="235"/>
  <c r="BF41" i="235"/>
  <c r="BG41" i="235"/>
  <c r="BH41" i="235"/>
  <c r="BI41" i="235"/>
  <c r="BJ41" i="235"/>
  <c r="BK41" i="235"/>
  <c r="BL41" i="235"/>
  <c r="BM41" i="235"/>
  <c r="BN41" i="235"/>
  <c r="BO41" i="235"/>
  <c r="BP41" i="235"/>
  <c r="BQ41" i="235"/>
  <c r="BR41" i="235"/>
  <c r="BS41" i="235"/>
  <c r="AQ44" i="235"/>
  <c r="AR44" i="235"/>
  <c r="AS44" i="235"/>
  <c r="AT44" i="235"/>
  <c r="AU44" i="235"/>
  <c r="AV44" i="235"/>
  <c r="AW44" i="235"/>
  <c r="AX44" i="235"/>
  <c r="AY44" i="235"/>
  <c r="AZ44" i="235"/>
  <c r="BA44" i="235"/>
  <c r="BB44" i="235"/>
  <c r="BC44" i="235"/>
  <c r="BD44" i="235"/>
  <c r="BE44" i="235"/>
  <c r="BF44" i="235"/>
  <c r="BG44" i="235"/>
  <c r="BH44" i="235"/>
  <c r="BI44" i="235"/>
  <c r="BJ44" i="235"/>
  <c r="BK44" i="235"/>
  <c r="BL44" i="235"/>
  <c r="BM44" i="235"/>
  <c r="BN44" i="235"/>
  <c r="BO44" i="235"/>
  <c r="BP44" i="235"/>
  <c r="BQ44" i="235"/>
  <c r="BR44" i="235"/>
  <c r="BS44" i="235"/>
  <c r="AQ45" i="235"/>
  <c r="AR45" i="235"/>
  <c r="AS45" i="235"/>
  <c r="AT45" i="235"/>
  <c r="AU45" i="235"/>
  <c r="AV45" i="235"/>
  <c r="AW45" i="235"/>
  <c r="AX45" i="235"/>
  <c r="AY45" i="235"/>
  <c r="AZ45" i="235"/>
  <c r="BA45" i="235"/>
  <c r="BB45" i="235"/>
  <c r="BC45" i="235"/>
  <c r="BD45" i="235"/>
  <c r="BE45" i="235"/>
  <c r="BF45" i="235"/>
  <c r="BG45" i="235"/>
  <c r="BH45" i="235"/>
  <c r="BI45" i="235"/>
  <c r="BJ45" i="235"/>
  <c r="BK45" i="235"/>
  <c r="BL45" i="235"/>
  <c r="BM45" i="235"/>
  <c r="BN45" i="235"/>
  <c r="BO45" i="235"/>
  <c r="BP45" i="235"/>
  <c r="BQ45" i="235"/>
  <c r="BR45" i="235"/>
  <c r="BS45" i="235"/>
  <c r="AQ46" i="235"/>
  <c r="AR46" i="235"/>
  <c r="AS46" i="235"/>
  <c r="AT46" i="235"/>
  <c r="AU46" i="235"/>
  <c r="AV46" i="235"/>
  <c r="AW46" i="235"/>
  <c r="AX46" i="235"/>
  <c r="AY46" i="235"/>
  <c r="AZ46" i="235"/>
  <c r="BA46" i="235"/>
  <c r="BB46" i="235"/>
  <c r="BC46" i="235"/>
  <c r="BD46" i="235"/>
  <c r="BE46" i="235"/>
  <c r="BF46" i="235"/>
  <c r="BG46" i="235"/>
  <c r="BH46" i="235"/>
  <c r="BI46" i="235"/>
  <c r="BJ46" i="235"/>
  <c r="BK46" i="235"/>
  <c r="BL46" i="235"/>
  <c r="BM46" i="235"/>
  <c r="BN46" i="235"/>
  <c r="BO46" i="235"/>
  <c r="BP46" i="235"/>
  <c r="BQ46" i="235"/>
  <c r="BR46" i="235"/>
  <c r="BS46" i="235"/>
  <c r="AQ48" i="235"/>
  <c r="AR48" i="235"/>
  <c r="AS48" i="235"/>
  <c r="AT48" i="235"/>
  <c r="AU48" i="235"/>
  <c r="AV48" i="235"/>
  <c r="AW48" i="235"/>
  <c r="AX48" i="235"/>
  <c r="AY48" i="235"/>
  <c r="AZ48" i="235"/>
  <c r="BA48" i="235"/>
  <c r="BB48" i="235"/>
  <c r="BC48" i="235"/>
  <c r="BD48" i="235"/>
  <c r="BE48" i="235"/>
  <c r="BF48" i="235"/>
  <c r="BG48" i="235"/>
  <c r="BH48" i="235"/>
  <c r="BI48" i="235"/>
  <c r="BJ48" i="235"/>
  <c r="BK48" i="235"/>
  <c r="BL48" i="235"/>
  <c r="BM48" i="235"/>
  <c r="BN48" i="235"/>
  <c r="BO48" i="235"/>
  <c r="BP48" i="235"/>
  <c r="BQ48" i="235"/>
  <c r="BR48" i="235"/>
  <c r="BS48" i="235"/>
  <c r="AQ49" i="235"/>
  <c r="AR49" i="235"/>
  <c r="AS49" i="235"/>
  <c r="AT49" i="235"/>
  <c r="AU49" i="235"/>
  <c r="AV49" i="235"/>
  <c r="AW49" i="235"/>
  <c r="AX49" i="235"/>
  <c r="AY49" i="235"/>
  <c r="AZ49" i="235"/>
  <c r="BA49" i="235"/>
  <c r="BB49" i="235"/>
  <c r="BC49" i="235"/>
  <c r="BD49" i="235"/>
  <c r="BE49" i="235"/>
  <c r="BF49" i="235"/>
  <c r="BG49" i="235"/>
  <c r="BH49" i="235"/>
  <c r="BI49" i="235"/>
  <c r="BJ49" i="235"/>
  <c r="BK49" i="235"/>
  <c r="BL49" i="235"/>
  <c r="BM49" i="235"/>
  <c r="BN49" i="235"/>
  <c r="BO49" i="235"/>
  <c r="BP49" i="235"/>
  <c r="BQ49" i="235"/>
  <c r="BR49" i="235"/>
  <c r="BS49" i="235"/>
  <c r="AQ50" i="235"/>
  <c r="AR50" i="235"/>
  <c r="AS50" i="235"/>
  <c r="AT50" i="235"/>
  <c r="AU50" i="235"/>
  <c r="AV50" i="235"/>
  <c r="AW50" i="235"/>
  <c r="AX50" i="235"/>
  <c r="AY50" i="235"/>
  <c r="AZ50" i="235"/>
  <c r="BA50" i="235"/>
  <c r="BB50" i="235"/>
  <c r="BC50" i="235"/>
  <c r="BD50" i="235"/>
  <c r="BE50" i="235"/>
  <c r="BF50" i="235"/>
  <c r="BG50" i="235"/>
  <c r="BH50" i="235"/>
  <c r="BI50" i="235"/>
  <c r="BJ50" i="235"/>
  <c r="BK50" i="235"/>
  <c r="BL50" i="235"/>
  <c r="BM50" i="235"/>
  <c r="BN50" i="235"/>
  <c r="BO50" i="235"/>
  <c r="BP50" i="235"/>
  <c r="BQ50" i="235"/>
  <c r="BR50" i="235"/>
  <c r="BS50" i="235"/>
  <c r="AQ51" i="235"/>
  <c r="AR51" i="235"/>
  <c r="AS51" i="235"/>
  <c r="AT51" i="235"/>
  <c r="AU51" i="235"/>
  <c r="AV51" i="235"/>
  <c r="AW51" i="235"/>
  <c r="AX51" i="235"/>
  <c r="AY51" i="235"/>
  <c r="AZ51" i="235"/>
  <c r="BA51" i="235"/>
  <c r="BB51" i="235"/>
  <c r="BC51" i="235"/>
  <c r="BD51" i="235"/>
  <c r="BE51" i="235"/>
  <c r="BF51" i="235"/>
  <c r="BG51" i="235"/>
  <c r="BH51" i="235"/>
  <c r="BI51" i="235"/>
  <c r="BJ51" i="235"/>
  <c r="BK51" i="235"/>
  <c r="BL51" i="235"/>
  <c r="BM51" i="235"/>
  <c r="BN51" i="235"/>
  <c r="BO51" i="235"/>
  <c r="BP51" i="235"/>
  <c r="BQ51" i="235"/>
  <c r="BR51" i="235"/>
  <c r="BS51" i="235"/>
  <c r="AQ54" i="235"/>
  <c r="AR54" i="235"/>
  <c r="AS54" i="235"/>
  <c r="AT54" i="235"/>
  <c r="AU54" i="235"/>
  <c r="AV54" i="235"/>
  <c r="AW54" i="235"/>
  <c r="AX54" i="235"/>
  <c r="AY54" i="235"/>
  <c r="AZ54" i="235"/>
  <c r="BA54" i="235"/>
  <c r="BB54" i="235"/>
  <c r="BC54" i="235"/>
  <c r="BD54" i="235"/>
  <c r="BE54" i="235"/>
  <c r="BF54" i="235"/>
  <c r="BG54" i="235"/>
  <c r="BH54" i="235"/>
  <c r="BI54" i="235"/>
  <c r="BJ54" i="235"/>
  <c r="BK54" i="235"/>
  <c r="BL54" i="235"/>
  <c r="BM54" i="235"/>
  <c r="BN54" i="235"/>
  <c r="BO54" i="235"/>
  <c r="BP54" i="235"/>
  <c r="BQ54" i="235"/>
  <c r="BR54" i="235"/>
  <c r="BS54" i="235"/>
  <c r="AQ55" i="235"/>
  <c r="AR55" i="235"/>
  <c r="AS55" i="235"/>
  <c r="AT55" i="235"/>
  <c r="AU55" i="235"/>
  <c r="AV55" i="235"/>
  <c r="AW55" i="235"/>
  <c r="AX55" i="235"/>
  <c r="AY55" i="235"/>
  <c r="AZ55" i="235"/>
  <c r="BA55" i="235"/>
  <c r="BB55" i="235"/>
  <c r="BC55" i="235"/>
  <c r="BD55" i="235"/>
  <c r="BE55" i="235"/>
  <c r="BF55" i="235"/>
  <c r="BG55" i="235"/>
  <c r="BH55" i="235"/>
  <c r="BI55" i="235"/>
  <c r="BJ55" i="235"/>
  <c r="BK55" i="235"/>
  <c r="BL55" i="235"/>
  <c r="BM55" i="235"/>
  <c r="BN55" i="235"/>
  <c r="BO55" i="235"/>
  <c r="BP55" i="235"/>
  <c r="BQ55" i="235"/>
  <c r="BR55" i="235"/>
  <c r="BS55" i="235"/>
  <c r="AQ56" i="235"/>
  <c r="AR56" i="235"/>
  <c r="AS56" i="235"/>
  <c r="AT56" i="235"/>
  <c r="AU56" i="235"/>
  <c r="AV56" i="235"/>
  <c r="AW56" i="235"/>
  <c r="AX56" i="235"/>
  <c r="AY56" i="235"/>
  <c r="AZ56" i="235"/>
  <c r="BA56" i="235"/>
  <c r="BB56" i="235"/>
  <c r="BC56" i="235"/>
  <c r="BD56" i="235"/>
  <c r="BE56" i="235"/>
  <c r="BF56" i="235"/>
  <c r="BG56" i="235"/>
  <c r="BH56" i="235"/>
  <c r="BI56" i="235"/>
  <c r="BJ56" i="235"/>
  <c r="BK56" i="235"/>
  <c r="BL56" i="235"/>
  <c r="BM56" i="235"/>
  <c r="BN56" i="235"/>
  <c r="BO56" i="235"/>
  <c r="BP56" i="235"/>
  <c r="BQ56" i="235"/>
  <c r="BR56" i="235"/>
  <c r="BS56" i="235"/>
  <c r="AQ57" i="235"/>
  <c r="AR57" i="235"/>
  <c r="AS57" i="235"/>
  <c r="AT57" i="235"/>
  <c r="AU57" i="235"/>
  <c r="AV57" i="235"/>
  <c r="AW57" i="235"/>
  <c r="AX57" i="235"/>
  <c r="AY57" i="235"/>
  <c r="AZ57" i="235"/>
  <c r="BA57" i="235"/>
  <c r="BB57" i="235"/>
  <c r="BC57" i="235"/>
  <c r="BD57" i="235"/>
  <c r="BE57" i="235"/>
  <c r="BF57" i="235"/>
  <c r="BG57" i="235"/>
  <c r="BH57" i="235"/>
  <c r="BI57" i="235"/>
  <c r="BJ57" i="235"/>
  <c r="BK57" i="235"/>
  <c r="BL57" i="235"/>
  <c r="BM57" i="235"/>
  <c r="BN57" i="235"/>
  <c r="BO57" i="235"/>
  <c r="BP57" i="235"/>
  <c r="BQ57" i="235"/>
  <c r="BR57" i="235"/>
  <c r="BS57" i="235"/>
  <c r="AQ60" i="235"/>
  <c r="AR60" i="235"/>
  <c r="AS60" i="235"/>
  <c r="AT60" i="235"/>
  <c r="AU60" i="235"/>
  <c r="AV60" i="235"/>
  <c r="AW60" i="235"/>
  <c r="AX60" i="235"/>
  <c r="AY60" i="235"/>
  <c r="AZ60" i="235"/>
  <c r="BA60" i="235"/>
  <c r="BB60" i="235"/>
  <c r="BC60" i="235"/>
  <c r="BD60" i="235"/>
  <c r="BE60" i="235"/>
  <c r="BF60" i="235"/>
  <c r="BG60" i="235"/>
  <c r="BH60" i="235"/>
  <c r="BI60" i="235"/>
  <c r="BJ60" i="235"/>
  <c r="BK60" i="235"/>
  <c r="BL60" i="235"/>
  <c r="BM60" i="235"/>
  <c r="BN60" i="235"/>
  <c r="BO60" i="235"/>
  <c r="BP60" i="235"/>
  <c r="BQ60" i="235"/>
  <c r="BR60" i="235"/>
  <c r="BS60" i="235"/>
  <c r="AQ61" i="235"/>
  <c r="AR61" i="235"/>
  <c r="AS61" i="235"/>
  <c r="AT61" i="235"/>
  <c r="AU61" i="235"/>
  <c r="AV61" i="235"/>
  <c r="AW61" i="235"/>
  <c r="AX61" i="235"/>
  <c r="AY61" i="235"/>
  <c r="AZ61" i="235"/>
  <c r="BA61" i="235"/>
  <c r="BB61" i="235"/>
  <c r="BC61" i="235"/>
  <c r="BD61" i="235"/>
  <c r="BE61" i="235"/>
  <c r="BF61" i="235"/>
  <c r="BG61" i="235"/>
  <c r="BH61" i="235"/>
  <c r="BI61" i="235"/>
  <c r="BJ61" i="235"/>
  <c r="BK61" i="235"/>
  <c r="BL61" i="235"/>
  <c r="BM61" i="235"/>
  <c r="BN61" i="235"/>
  <c r="BO61" i="235"/>
  <c r="BP61" i="235"/>
  <c r="BQ61" i="235"/>
  <c r="BR61" i="235"/>
  <c r="BS61" i="235"/>
  <c r="AQ64" i="235"/>
  <c r="AR64" i="235"/>
  <c r="AS64" i="235"/>
  <c r="AT64" i="235"/>
  <c r="AU64" i="235"/>
  <c r="AV64" i="235"/>
  <c r="AW64" i="235"/>
  <c r="AX64" i="235"/>
  <c r="AY64" i="235"/>
  <c r="AZ64" i="235"/>
  <c r="BA64" i="235"/>
  <c r="BB64" i="235"/>
  <c r="BC64" i="235"/>
  <c r="BD64" i="235"/>
  <c r="BE64" i="235"/>
  <c r="BF64" i="235"/>
  <c r="BG64" i="235"/>
  <c r="BH64" i="235"/>
  <c r="BI64" i="235"/>
  <c r="BJ64" i="235"/>
  <c r="BK64" i="235"/>
  <c r="BL64" i="235"/>
  <c r="BM64" i="235"/>
  <c r="BN64" i="235"/>
  <c r="BO64" i="235"/>
  <c r="BP64" i="235"/>
  <c r="BQ64" i="235"/>
  <c r="BR64" i="235"/>
  <c r="BS64" i="235"/>
  <c r="AQ65" i="235"/>
  <c r="AR65" i="235"/>
  <c r="AS65" i="235"/>
  <c r="AT65" i="235"/>
  <c r="AU65" i="235"/>
  <c r="AV65" i="235"/>
  <c r="AW65" i="235"/>
  <c r="AX65" i="235"/>
  <c r="AY65" i="235"/>
  <c r="AZ65" i="235"/>
  <c r="BA65" i="235"/>
  <c r="BB65" i="235"/>
  <c r="BC65" i="235"/>
  <c r="BD65" i="235"/>
  <c r="BE65" i="235"/>
  <c r="BF65" i="235"/>
  <c r="BG65" i="235"/>
  <c r="BH65" i="235"/>
  <c r="BI65" i="235"/>
  <c r="BJ65" i="235"/>
  <c r="BK65" i="235"/>
  <c r="BL65" i="235"/>
  <c r="BM65" i="235"/>
  <c r="BN65" i="235"/>
  <c r="BO65" i="235"/>
  <c r="BP65" i="235"/>
  <c r="BQ65" i="235"/>
  <c r="BR65" i="235"/>
  <c r="BS65" i="235"/>
  <c r="AQ66" i="235"/>
  <c r="AR66" i="235"/>
  <c r="AS66" i="235"/>
  <c r="AT66" i="235"/>
  <c r="AU66" i="235"/>
  <c r="AV66" i="235"/>
  <c r="AW66" i="235"/>
  <c r="AX66" i="235"/>
  <c r="AY66" i="235"/>
  <c r="AZ66" i="235"/>
  <c r="BA66" i="235"/>
  <c r="BB66" i="235"/>
  <c r="BC66" i="235"/>
  <c r="BD66" i="235"/>
  <c r="BE66" i="235"/>
  <c r="BF66" i="235"/>
  <c r="BG66" i="235"/>
  <c r="BH66" i="235"/>
  <c r="BI66" i="235"/>
  <c r="BJ66" i="235"/>
  <c r="BK66" i="235"/>
  <c r="BL66" i="235"/>
  <c r="BM66" i="235"/>
  <c r="BN66" i="235"/>
  <c r="BO66" i="235"/>
  <c r="BP66" i="235"/>
  <c r="BQ66" i="235"/>
  <c r="BR66" i="235"/>
  <c r="BS66" i="235"/>
  <c r="AQ68" i="235"/>
  <c r="AR68" i="235"/>
  <c r="AS68" i="235"/>
  <c r="AT68" i="235"/>
  <c r="AU68" i="235"/>
  <c r="AV68" i="235"/>
  <c r="AW68" i="235"/>
  <c r="AX68" i="235"/>
  <c r="AY68" i="235"/>
  <c r="AZ68" i="235"/>
  <c r="BA68" i="235"/>
  <c r="BB68" i="235"/>
  <c r="BC68" i="235"/>
  <c r="BD68" i="235"/>
  <c r="BE68" i="235"/>
  <c r="BF68" i="235"/>
  <c r="BG68" i="235"/>
  <c r="BH68" i="235"/>
  <c r="BI68" i="235"/>
  <c r="BJ68" i="235"/>
  <c r="BK68" i="235"/>
  <c r="BL68" i="235"/>
  <c r="BM68" i="235"/>
  <c r="BN68" i="235"/>
  <c r="BO68" i="235"/>
  <c r="BP68" i="235"/>
  <c r="BQ68" i="235"/>
  <c r="BR68" i="235"/>
  <c r="BS68" i="235"/>
  <c r="AQ69" i="235"/>
  <c r="AR69" i="235"/>
  <c r="AS69" i="235"/>
  <c r="AT69" i="235"/>
  <c r="AU69" i="235"/>
  <c r="AV69" i="235"/>
  <c r="AW69" i="235"/>
  <c r="AX69" i="235"/>
  <c r="AY69" i="235"/>
  <c r="AZ69" i="235"/>
  <c r="BA69" i="235"/>
  <c r="BB69" i="235"/>
  <c r="BC69" i="235"/>
  <c r="BD69" i="235"/>
  <c r="BE69" i="235"/>
  <c r="BF69" i="235"/>
  <c r="BG69" i="235"/>
  <c r="BH69" i="235"/>
  <c r="BI69" i="235"/>
  <c r="BJ69" i="235"/>
  <c r="BK69" i="235"/>
  <c r="BL69" i="235"/>
  <c r="BM69" i="235"/>
  <c r="BN69" i="235"/>
  <c r="BO69" i="235"/>
  <c r="BP69" i="235"/>
  <c r="BQ69" i="235"/>
  <c r="BR69" i="235"/>
  <c r="BS69" i="235"/>
  <c r="AQ70" i="235"/>
  <c r="AR70" i="235"/>
  <c r="AS70" i="235"/>
  <c r="AT70" i="235"/>
  <c r="AU70" i="235"/>
  <c r="AV70" i="235"/>
  <c r="AW70" i="235"/>
  <c r="AX70" i="235"/>
  <c r="AY70" i="235"/>
  <c r="AZ70" i="235"/>
  <c r="BA70" i="235"/>
  <c r="BB70" i="235"/>
  <c r="BC70" i="235"/>
  <c r="BD70" i="235"/>
  <c r="BE70" i="235"/>
  <c r="BF70" i="235"/>
  <c r="BG70" i="235"/>
  <c r="BH70" i="235"/>
  <c r="BI70" i="235"/>
  <c r="BJ70" i="235"/>
  <c r="BK70" i="235"/>
  <c r="BL70" i="235"/>
  <c r="BM70" i="235"/>
  <c r="BN70" i="235"/>
  <c r="BO70" i="235"/>
  <c r="BP70" i="235"/>
  <c r="BQ70" i="235"/>
  <c r="BR70" i="235"/>
  <c r="BS70" i="235"/>
  <c r="AQ72" i="235"/>
  <c r="AR72" i="235"/>
  <c r="AS72" i="235"/>
  <c r="AT72" i="235"/>
  <c r="AU72" i="235"/>
  <c r="AV72" i="235"/>
  <c r="AW72" i="235"/>
  <c r="AX72" i="235"/>
  <c r="AY72" i="235"/>
  <c r="AZ72" i="235"/>
  <c r="BA72" i="235"/>
  <c r="BB72" i="235"/>
  <c r="BC72" i="235"/>
  <c r="BD72" i="235"/>
  <c r="BE72" i="235"/>
  <c r="BF72" i="235"/>
  <c r="BG72" i="235"/>
  <c r="BH72" i="235"/>
  <c r="BI72" i="235"/>
  <c r="BJ72" i="235"/>
  <c r="BK72" i="235"/>
  <c r="BL72" i="235"/>
  <c r="BM72" i="235"/>
  <c r="BN72" i="235"/>
  <c r="BO72" i="235"/>
  <c r="BP72" i="235"/>
  <c r="BQ72" i="235"/>
  <c r="BR72" i="235"/>
  <c r="BS72" i="235"/>
  <c r="AQ74" i="235"/>
  <c r="AR74" i="235"/>
  <c r="AS74" i="235"/>
  <c r="AT74" i="235"/>
  <c r="AU74" i="235"/>
  <c r="AV74" i="235"/>
  <c r="AW74" i="235"/>
  <c r="AX74" i="235"/>
  <c r="AY74" i="235"/>
  <c r="AZ74" i="235"/>
  <c r="BA74" i="235"/>
  <c r="BB74" i="235"/>
  <c r="BC74" i="235"/>
  <c r="BD74" i="235"/>
  <c r="BE74" i="235"/>
  <c r="BF74" i="235"/>
  <c r="BG74" i="235"/>
  <c r="BH74" i="235"/>
  <c r="BI74" i="235"/>
  <c r="BJ74" i="235"/>
  <c r="BK74" i="235"/>
  <c r="BL74" i="235"/>
  <c r="BM74" i="235"/>
  <c r="BN74" i="235"/>
  <c r="BO74" i="235"/>
  <c r="BP74" i="235"/>
  <c r="BQ74" i="235"/>
  <c r="BR74" i="235"/>
  <c r="BS74" i="235"/>
  <c r="AQ75" i="235"/>
  <c r="AR75" i="235"/>
  <c r="AS75" i="235"/>
  <c r="AT75" i="235"/>
  <c r="AU75" i="235"/>
  <c r="AV75" i="235"/>
  <c r="AW75" i="235"/>
  <c r="AX75" i="235"/>
  <c r="AY75" i="235"/>
  <c r="AZ75" i="235"/>
  <c r="BA75" i="235"/>
  <c r="BB75" i="235"/>
  <c r="BC75" i="235"/>
  <c r="BD75" i="235"/>
  <c r="BE75" i="235"/>
  <c r="BF75" i="235"/>
  <c r="BG75" i="235"/>
  <c r="BH75" i="235"/>
  <c r="BI75" i="235"/>
  <c r="BJ75" i="235"/>
  <c r="BK75" i="235"/>
  <c r="BL75" i="235"/>
  <c r="BM75" i="235"/>
  <c r="BN75" i="235"/>
  <c r="BO75" i="235"/>
  <c r="BP75" i="235"/>
  <c r="BQ75" i="235"/>
  <c r="BR75" i="235"/>
  <c r="BS75" i="235"/>
  <c r="AQ77" i="235"/>
  <c r="AR77" i="235"/>
  <c r="AS77" i="235"/>
  <c r="AT77" i="235"/>
  <c r="AU77" i="235"/>
  <c r="AV77" i="235"/>
  <c r="AW77" i="235"/>
  <c r="AX77" i="235"/>
  <c r="AY77" i="235"/>
  <c r="AZ77" i="235"/>
  <c r="BA77" i="235"/>
  <c r="BB77" i="235"/>
  <c r="BC77" i="235"/>
  <c r="BD77" i="235"/>
  <c r="BE77" i="235"/>
  <c r="BF77" i="235"/>
  <c r="BG77" i="235"/>
  <c r="BH77" i="235"/>
  <c r="BI77" i="235"/>
  <c r="BJ77" i="235"/>
  <c r="BK77" i="235"/>
  <c r="BL77" i="235"/>
  <c r="BM77" i="235"/>
  <c r="BN77" i="235"/>
  <c r="BO77" i="235"/>
  <c r="BP77" i="235"/>
  <c r="BQ77" i="235"/>
  <c r="BR77" i="235"/>
  <c r="BS77" i="235"/>
  <c r="AQ78" i="235"/>
  <c r="AR78" i="235"/>
  <c r="AS78" i="235"/>
  <c r="AT78" i="235"/>
  <c r="AU78" i="235"/>
  <c r="AV78" i="235"/>
  <c r="AW78" i="235"/>
  <c r="AX78" i="235"/>
  <c r="AY78" i="235"/>
  <c r="AZ78" i="235"/>
  <c r="BA78" i="235"/>
  <c r="BB78" i="235"/>
  <c r="BC78" i="235"/>
  <c r="BD78" i="235"/>
  <c r="BE78" i="235"/>
  <c r="BF78" i="235"/>
  <c r="BG78" i="235"/>
  <c r="BH78" i="235"/>
  <c r="BI78" i="235"/>
  <c r="BJ78" i="235"/>
  <c r="BK78" i="235"/>
  <c r="BL78" i="235"/>
  <c r="BM78" i="235"/>
  <c r="BN78" i="235"/>
  <c r="BO78" i="235"/>
  <c r="BP78" i="235"/>
  <c r="BQ78" i="235"/>
  <c r="BR78" i="235"/>
  <c r="BS78" i="235"/>
  <c r="AQ79" i="235"/>
  <c r="AR79" i="235"/>
  <c r="AS79" i="235"/>
  <c r="AT79" i="235"/>
  <c r="AU79" i="235"/>
  <c r="AV79" i="235"/>
  <c r="AW79" i="235"/>
  <c r="AX79" i="235"/>
  <c r="AY79" i="235"/>
  <c r="AZ79" i="235"/>
  <c r="BA79" i="235"/>
  <c r="BB79" i="235"/>
  <c r="BC79" i="235"/>
  <c r="BD79" i="235"/>
  <c r="BE79" i="235"/>
  <c r="BF79" i="235"/>
  <c r="BG79" i="235"/>
  <c r="BH79" i="235"/>
  <c r="BI79" i="235"/>
  <c r="BJ79" i="235"/>
  <c r="BK79" i="235"/>
  <c r="BL79" i="235"/>
  <c r="BM79" i="235"/>
  <c r="BN79" i="235"/>
  <c r="BO79" i="235"/>
  <c r="BP79" i="235"/>
  <c r="BQ79" i="235"/>
  <c r="BR79" i="235"/>
  <c r="BS79" i="235"/>
  <c r="AQ80" i="235"/>
  <c r="AR80" i="235"/>
  <c r="AS80" i="235"/>
  <c r="AT80" i="235"/>
  <c r="AU80" i="235"/>
  <c r="AV80" i="235"/>
  <c r="AW80" i="235"/>
  <c r="AX80" i="235"/>
  <c r="AY80" i="235"/>
  <c r="AZ80" i="235"/>
  <c r="BA80" i="235"/>
  <c r="BB80" i="235"/>
  <c r="BC80" i="235"/>
  <c r="BD80" i="235"/>
  <c r="BE80" i="235"/>
  <c r="BF80" i="235"/>
  <c r="BG80" i="235"/>
  <c r="BH80" i="235"/>
  <c r="BI80" i="235"/>
  <c r="BJ80" i="235"/>
  <c r="BK80" i="235"/>
  <c r="BL80" i="235"/>
  <c r="BM80" i="235"/>
  <c r="BN80" i="235"/>
  <c r="BO80" i="235"/>
  <c r="BP80" i="235"/>
  <c r="BQ80" i="235"/>
  <c r="BR80" i="235"/>
  <c r="BS80" i="235"/>
  <c r="AQ81" i="235"/>
  <c r="AR81" i="235"/>
  <c r="AS81" i="235"/>
  <c r="AT81" i="235"/>
  <c r="AU81" i="235"/>
  <c r="AV81" i="235"/>
  <c r="AW81" i="235"/>
  <c r="AX81" i="235"/>
  <c r="AY81" i="235"/>
  <c r="AZ81" i="235"/>
  <c r="BA81" i="235"/>
  <c r="BB81" i="235"/>
  <c r="BC81" i="235"/>
  <c r="BD81" i="235"/>
  <c r="BE81" i="235"/>
  <c r="BF81" i="235"/>
  <c r="BG81" i="235"/>
  <c r="BH81" i="235"/>
  <c r="BI81" i="235"/>
  <c r="BJ81" i="235"/>
  <c r="BK81" i="235"/>
  <c r="BL81" i="235"/>
  <c r="BM81" i="235"/>
  <c r="BN81" i="235"/>
  <c r="BO81" i="235"/>
  <c r="BP81" i="235"/>
  <c r="BQ81" i="235"/>
  <c r="BR81" i="235"/>
  <c r="BS81" i="235"/>
  <c r="AP10" i="235"/>
  <c r="AP11" i="235"/>
  <c r="AP12" i="235"/>
  <c r="AP14" i="235"/>
  <c r="AP15" i="235"/>
  <c r="AP16" i="235"/>
  <c r="AP19" i="235"/>
  <c r="AP20" i="235"/>
  <c r="AP23" i="235"/>
  <c r="AP24" i="235"/>
  <c r="AP25" i="235"/>
  <c r="AP27" i="235"/>
  <c r="AP28" i="235"/>
  <c r="AP29" i="235"/>
  <c r="AP31" i="235"/>
  <c r="AP32" i="235"/>
  <c r="AP34" i="235"/>
  <c r="AP35" i="235"/>
  <c r="AP36" i="235"/>
  <c r="AP38" i="235"/>
  <c r="AP40" i="235"/>
  <c r="AP41" i="235"/>
  <c r="AP44" i="235"/>
  <c r="AP45" i="235"/>
  <c r="AP46" i="235"/>
  <c r="AP48" i="235"/>
  <c r="AP49" i="235"/>
  <c r="AP50" i="235"/>
  <c r="AP51" i="235"/>
  <c r="AP54" i="235"/>
  <c r="AP55" i="235"/>
  <c r="AP56" i="235"/>
  <c r="AP57" i="235"/>
  <c r="AP60" i="235"/>
  <c r="AP61" i="235"/>
  <c r="AP64" i="235"/>
  <c r="AP65" i="235"/>
  <c r="AP66" i="235"/>
  <c r="AP68" i="235"/>
  <c r="AP69" i="235"/>
  <c r="AP70" i="235"/>
  <c r="AP72" i="235"/>
  <c r="AP74" i="235"/>
  <c r="AP75" i="235"/>
  <c r="AP77" i="235"/>
  <c r="AP78" i="235"/>
  <c r="AP79" i="235"/>
  <c r="AP80" i="235"/>
  <c r="AP81" i="235"/>
  <c r="B3" i="456"/>
  <c r="B4" i="456"/>
  <c r="B5" i="456"/>
  <c r="B6" i="456"/>
  <c r="B7" i="456"/>
  <c r="B8" i="456"/>
  <c r="B9" i="456"/>
  <c r="B10" i="456"/>
  <c r="B11" i="456"/>
  <c r="B12" i="456"/>
  <c r="B14" i="456"/>
  <c r="B15" i="456"/>
  <c r="B16" i="456"/>
  <c r="B17" i="456"/>
  <c r="B18" i="456"/>
  <c r="B19" i="456"/>
  <c r="B20" i="456"/>
  <c r="B21" i="456"/>
  <c r="B22" i="456"/>
  <c r="B23" i="456"/>
  <c r="B24" i="456"/>
  <c r="B25" i="456"/>
  <c r="B26" i="456"/>
  <c r="B27" i="456"/>
  <c r="B28" i="456"/>
  <c r="B29" i="456"/>
  <c r="B30" i="456"/>
  <c r="B31" i="456"/>
  <c r="B32" i="456"/>
  <c r="B33" i="456"/>
  <c r="B34" i="456"/>
  <c r="B35" i="456"/>
  <c r="B36" i="456"/>
  <c r="B37" i="456"/>
  <c r="B38" i="456"/>
  <c r="B39" i="456"/>
  <c r="B40" i="456"/>
  <c r="B41" i="456"/>
  <c r="B42" i="456"/>
  <c r="B43" i="456"/>
  <c r="B44" i="456"/>
  <c r="B45" i="456"/>
  <c r="B46" i="456"/>
  <c r="B47" i="456"/>
  <c r="B56" i="456"/>
  <c r="B57" i="456"/>
  <c r="B58" i="456"/>
  <c r="B59" i="456"/>
  <c r="B60" i="456"/>
  <c r="B61" i="456"/>
  <c r="B62" i="456"/>
  <c r="B63" i="456"/>
  <c r="B64" i="456"/>
  <c r="B65" i="456"/>
  <c r="B66" i="456"/>
  <c r="B67" i="456"/>
  <c r="B68" i="456"/>
  <c r="B69" i="456"/>
  <c r="B70" i="456"/>
  <c r="B71" i="456"/>
  <c r="B72" i="456"/>
  <c r="B73" i="456"/>
  <c r="B74" i="456"/>
  <c r="B75" i="456"/>
  <c r="B76" i="456"/>
  <c r="B77" i="456"/>
  <c r="B78" i="456"/>
  <c r="B79" i="456"/>
  <c r="B80" i="456"/>
  <c r="B81" i="456"/>
  <c r="B2" i="456"/>
  <c r="A2" i="456"/>
  <c r="A1" i="456"/>
  <c r="C170" i="2"/>
  <c r="I168" i="2"/>
  <c r="I169" i="2" s="1"/>
  <c r="BB6" i="5"/>
  <c r="BB7" i="5"/>
  <c r="BB8" i="5"/>
  <c r="BB9" i="5"/>
  <c r="BB10" i="5"/>
  <c r="BB11" i="5"/>
  <c r="BB12" i="5"/>
  <c r="BB13" i="5"/>
  <c r="BB14" i="5"/>
  <c r="BB15" i="5"/>
  <c r="BB16" i="5"/>
  <c r="BB17" i="5"/>
  <c r="BB18" i="5"/>
  <c r="BB19" i="5"/>
  <c r="BB20" i="5"/>
  <c r="BB21" i="5"/>
  <c r="BB22" i="5"/>
  <c r="BB23" i="5"/>
  <c r="BB24" i="5"/>
  <c r="BB25" i="5"/>
  <c r="AZ6" i="5"/>
  <c r="AZ7" i="5"/>
  <c r="AZ8" i="5"/>
  <c r="AQ8" i="5" s="1"/>
  <c r="AZ9" i="5"/>
  <c r="AZ10" i="5"/>
  <c r="AZ11" i="5"/>
  <c r="AZ12" i="5"/>
  <c r="AQ12" i="5" s="1"/>
  <c r="AZ13" i="5"/>
  <c r="AQ13" i="5" s="1"/>
  <c r="AZ14" i="5"/>
  <c r="AQ14" i="5" s="1"/>
  <c r="AZ15" i="5"/>
  <c r="AQ15" i="5" s="1"/>
  <c r="AZ16" i="5"/>
  <c r="AQ16" i="5" s="1"/>
  <c r="AZ17" i="5"/>
  <c r="AQ17" i="5" s="1"/>
  <c r="AZ18" i="5"/>
  <c r="AQ18" i="5" s="1"/>
  <c r="AZ19" i="5"/>
  <c r="AQ19" i="5" s="1"/>
  <c r="AZ20" i="5"/>
  <c r="AQ20" i="5" s="1"/>
  <c r="AZ21" i="5"/>
  <c r="AQ21" i="5" s="1"/>
  <c r="AZ22" i="5"/>
  <c r="AQ22" i="5" s="1"/>
  <c r="AZ23" i="5"/>
  <c r="AQ23" i="5" s="1"/>
  <c r="AZ24" i="5"/>
  <c r="AQ24" i="5" s="1"/>
  <c r="AZ25" i="5"/>
  <c r="AQ25" i="5" s="1"/>
  <c r="BB5" i="5"/>
  <c r="AZ5" i="5"/>
  <c r="AQ5" i="5" s="1"/>
  <c r="AQ4" i="5"/>
  <c r="AR4" i="5" s="1"/>
  <c r="AQ11" i="5" l="1"/>
  <c r="AX4" i="5"/>
  <c r="AT4" i="5"/>
  <c r="AQ7" i="5"/>
  <c r="AQ10" i="5"/>
  <c r="AQ9" i="5"/>
  <c r="AF73" i="234"/>
  <c r="G77" i="236" s="1"/>
  <c r="AF75" i="234"/>
  <c r="G79" i="236" s="1"/>
  <c r="AF76" i="234"/>
  <c r="G80" i="236" s="1"/>
  <c r="AF74" i="234"/>
  <c r="G78" i="236" s="1"/>
  <c r="AQ6" i="5"/>
  <c r="A8" i="455"/>
  <c r="F1" i="455"/>
  <c r="C4" i="455"/>
  <c r="B4" i="455"/>
  <c r="A4" i="455"/>
  <c r="B3" i="455"/>
  <c r="A3" i="455"/>
  <c r="C2" i="455"/>
  <c r="B2" i="455"/>
  <c r="A2" i="455"/>
  <c r="C6" i="454"/>
  <c r="A4" i="454"/>
  <c r="A1" i="454"/>
  <c r="F22" i="455"/>
  <c r="F23" i="455" s="1"/>
  <c r="F24" i="455" s="1"/>
  <c r="F25" i="455" s="1"/>
  <c r="F26" i="455" s="1"/>
  <c r="F27" i="455" s="1"/>
  <c r="F28" i="455" s="1"/>
  <c r="F29" i="455" s="1"/>
  <c r="F30" i="455" s="1"/>
  <c r="A22" i="455"/>
  <c r="A23" i="455" s="1"/>
  <c r="A24" i="455" s="1"/>
  <c r="A25" i="455" s="1"/>
  <c r="A26" i="455" s="1"/>
  <c r="A27" i="455" s="1"/>
  <c r="A28" i="455" s="1"/>
  <c r="A29" i="455" s="1"/>
  <c r="A30" i="455" s="1"/>
  <c r="G20" i="455"/>
  <c r="G18" i="455"/>
  <c r="H18" i="455" s="1"/>
  <c r="I18" i="455" s="1"/>
  <c r="J18" i="455" s="1"/>
  <c r="K18" i="455" s="1"/>
  <c r="L18" i="455" s="1"/>
  <c r="M18" i="455" s="1"/>
  <c r="AI26" i="454"/>
  <c r="AH11" i="454"/>
  <c r="AG11" i="454"/>
  <c r="AF26" i="454"/>
  <c r="AC11" i="454"/>
  <c r="Z11" i="454"/>
  <c r="X11" i="454"/>
  <c r="W11" i="454"/>
  <c r="V11" i="454"/>
  <c r="AD6" i="455"/>
  <c r="AE6" i="455" s="1"/>
  <c r="AF6" i="455" s="1"/>
  <c r="G6" i="455"/>
  <c r="AH26" i="454"/>
  <c r="AG26" i="454"/>
  <c r="AD26" i="454"/>
  <c r="AC26" i="454"/>
  <c r="AB26" i="454"/>
  <c r="Y26" i="454"/>
  <c r="X26" i="454"/>
  <c r="T26" i="454"/>
  <c r="R26" i="454"/>
  <c r="D19" i="454"/>
  <c r="AI11" i="454"/>
  <c r="AD11" i="454"/>
  <c r="AB11" i="454"/>
  <c r="Y11" i="454"/>
  <c r="R11" i="454"/>
  <c r="BB2" i="238"/>
  <c r="BB5" i="238" s="1"/>
  <c r="BO4" i="238"/>
  <c r="BP4" i="238"/>
  <c r="BQ4" i="238"/>
  <c r="BO5" i="238"/>
  <c r="BP5" i="238"/>
  <c r="BQ5" i="238"/>
  <c r="BO6" i="238"/>
  <c r="BP6" i="238"/>
  <c r="BQ6" i="238"/>
  <c r="BO7" i="238"/>
  <c r="BP7" i="238"/>
  <c r="BQ7" i="238"/>
  <c r="BO8" i="238"/>
  <c r="BP8" i="238"/>
  <c r="BQ8" i="238"/>
  <c r="BO9" i="238"/>
  <c r="BP9" i="238"/>
  <c r="BQ9" i="238"/>
  <c r="BO10" i="238"/>
  <c r="BP10" i="238"/>
  <c r="BQ10" i="238"/>
  <c r="BO11" i="238"/>
  <c r="BP11" i="238"/>
  <c r="BQ11" i="238"/>
  <c r="BO12" i="238"/>
  <c r="BP12" i="238"/>
  <c r="BQ12" i="238"/>
  <c r="BO13" i="238"/>
  <c r="BP13" i="238"/>
  <c r="BQ13" i="238"/>
  <c r="BO14" i="238"/>
  <c r="BP14" i="238"/>
  <c r="BQ14" i="238"/>
  <c r="BO15" i="238"/>
  <c r="BP15" i="238"/>
  <c r="BQ15" i="238"/>
  <c r="BO16" i="238"/>
  <c r="BP16" i="238"/>
  <c r="BQ16" i="238"/>
  <c r="BO17" i="238"/>
  <c r="BP17" i="238"/>
  <c r="BQ17" i="238"/>
  <c r="BO18" i="238"/>
  <c r="BP18" i="238"/>
  <c r="BQ18" i="238"/>
  <c r="BO19" i="238"/>
  <c r="BP19" i="238"/>
  <c r="BQ19" i="238"/>
  <c r="BO20" i="238"/>
  <c r="BP20" i="238"/>
  <c r="BQ20" i="238"/>
  <c r="BO21" i="238"/>
  <c r="BP21" i="238"/>
  <c r="BQ21" i="238"/>
  <c r="BO22" i="238"/>
  <c r="BP22" i="238"/>
  <c r="BQ22" i="238"/>
  <c r="BO23" i="238"/>
  <c r="BP23" i="238"/>
  <c r="BQ23" i="238"/>
  <c r="BO24" i="238"/>
  <c r="BP24" i="238"/>
  <c r="BQ24" i="238"/>
  <c r="BO25" i="238"/>
  <c r="BP25" i="238"/>
  <c r="BQ25" i="238"/>
  <c r="BO26" i="238"/>
  <c r="BP26" i="238"/>
  <c r="BQ26" i="238"/>
  <c r="BO27" i="238"/>
  <c r="BP27" i="238"/>
  <c r="BQ27" i="238"/>
  <c r="BO28" i="238"/>
  <c r="BP28" i="238"/>
  <c r="BQ28" i="238"/>
  <c r="BO29" i="238"/>
  <c r="BP29" i="238"/>
  <c r="BQ29" i="238"/>
  <c r="BO30" i="238"/>
  <c r="BP30" i="238"/>
  <c r="BQ30" i="238"/>
  <c r="BO31" i="238"/>
  <c r="BP31" i="238"/>
  <c r="BQ31" i="238"/>
  <c r="BO32" i="238"/>
  <c r="BP32" i="238"/>
  <c r="BQ32" i="238"/>
  <c r="BP3" i="238"/>
  <c r="BQ3" i="238"/>
  <c r="BO3" i="238"/>
  <c r="AO4" i="238"/>
  <c r="AO5" i="238"/>
  <c r="AO6" i="238"/>
  <c r="AO7" i="238"/>
  <c r="AO8" i="238"/>
  <c r="AO9" i="238"/>
  <c r="AO10" i="238"/>
  <c r="AO11" i="238"/>
  <c r="AO12" i="238"/>
  <c r="AO13" i="238"/>
  <c r="AO14" i="238"/>
  <c r="AO15" i="238"/>
  <c r="AO16" i="238"/>
  <c r="AO17" i="238"/>
  <c r="AO18" i="238"/>
  <c r="AO19" i="238"/>
  <c r="AO20" i="238"/>
  <c r="AO21" i="238"/>
  <c r="AO22" i="238"/>
  <c r="AO23" i="238"/>
  <c r="AO24" i="238"/>
  <c r="AO25" i="238"/>
  <c r="AO26" i="238"/>
  <c r="AO27" i="238"/>
  <c r="AO28" i="238"/>
  <c r="AO29" i="238"/>
  <c r="AO30" i="238"/>
  <c r="AO31" i="238"/>
  <c r="AO32" i="238"/>
  <c r="AO3" i="238"/>
  <c r="AN4" i="238"/>
  <c r="AN5" i="238"/>
  <c r="AN6" i="238"/>
  <c r="AN7" i="238"/>
  <c r="AN8" i="238"/>
  <c r="AN9" i="238"/>
  <c r="AN10" i="238"/>
  <c r="AN11" i="238"/>
  <c r="AN12" i="238"/>
  <c r="AN13" i="238"/>
  <c r="AN14" i="238"/>
  <c r="AN15" i="238"/>
  <c r="AN16" i="238"/>
  <c r="AN17" i="238"/>
  <c r="AN18" i="238"/>
  <c r="AN19" i="238"/>
  <c r="AN20" i="238"/>
  <c r="AN21" i="238"/>
  <c r="AN22" i="238"/>
  <c r="AN23" i="238"/>
  <c r="AN24" i="238"/>
  <c r="AN25" i="238"/>
  <c r="AN26" i="238"/>
  <c r="AN27" i="238"/>
  <c r="AN28" i="238"/>
  <c r="AN29" i="238"/>
  <c r="AN30" i="238"/>
  <c r="AN31" i="238"/>
  <c r="AN32" i="238"/>
  <c r="AN3" i="238"/>
  <c r="AF2" i="238"/>
  <c r="AG1" i="238"/>
  <c r="AG2" i="238" s="1"/>
  <c r="CO3" i="236"/>
  <c r="AX87" i="236"/>
  <c r="AX88" i="236" s="1"/>
  <c r="AX89" i="236" s="1"/>
  <c r="AX90" i="236" s="1"/>
  <c r="AX91" i="236" s="1"/>
  <c r="AX92" i="236" s="1"/>
  <c r="AX93" i="236" s="1"/>
  <c r="AX94" i="236" s="1"/>
  <c r="BU3" i="238"/>
  <c r="BV3" i="238"/>
  <c r="BW3" i="238"/>
  <c r="BU4" i="238"/>
  <c r="BV4" i="238"/>
  <c r="BW4" i="238"/>
  <c r="BU5" i="238"/>
  <c r="BV5" i="238"/>
  <c r="BW5" i="238"/>
  <c r="BU6" i="238"/>
  <c r="BV6" i="238"/>
  <c r="BW6" i="238"/>
  <c r="BU7" i="238"/>
  <c r="BV7" i="238"/>
  <c r="BW7" i="238"/>
  <c r="BU8" i="238"/>
  <c r="BV8" i="238"/>
  <c r="BW8" i="238"/>
  <c r="BU9" i="238"/>
  <c r="BV9" i="238"/>
  <c r="BW9" i="238"/>
  <c r="BU10" i="238"/>
  <c r="BV10" i="238"/>
  <c r="BW10" i="238"/>
  <c r="BU11" i="238"/>
  <c r="BV11" i="238"/>
  <c r="BW11" i="238"/>
  <c r="BU12" i="238"/>
  <c r="BV12" i="238"/>
  <c r="BW12" i="238"/>
  <c r="BU13" i="238"/>
  <c r="BV13" i="238"/>
  <c r="BW13" i="238"/>
  <c r="BU14" i="238"/>
  <c r="BV14" i="238"/>
  <c r="BW14" i="238"/>
  <c r="BU15" i="238"/>
  <c r="BV15" i="238"/>
  <c r="BW15" i="238"/>
  <c r="BU16" i="238"/>
  <c r="BV16" i="238"/>
  <c r="BW16" i="238"/>
  <c r="BU17" i="238"/>
  <c r="BV17" i="238"/>
  <c r="BW17" i="238"/>
  <c r="BU18" i="238"/>
  <c r="BV18" i="238"/>
  <c r="BW18" i="238"/>
  <c r="BU19" i="238"/>
  <c r="BV19" i="238"/>
  <c r="BW19" i="238"/>
  <c r="BU20" i="238"/>
  <c r="BV20" i="238"/>
  <c r="BW20" i="238"/>
  <c r="BU21" i="238"/>
  <c r="BV21" i="238"/>
  <c r="BW21" i="238"/>
  <c r="BU22" i="238"/>
  <c r="BV22" i="238"/>
  <c r="BW22" i="238"/>
  <c r="BU23" i="238"/>
  <c r="BV23" i="238"/>
  <c r="BW23" i="238"/>
  <c r="BU24" i="238"/>
  <c r="BV24" i="238"/>
  <c r="BW24" i="238"/>
  <c r="BU25" i="238"/>
  <c r="BV25" i="238"/>
  <c r="BW25" i="238"/>
  <c r="BU26" i="238"/>
  <c r="BV26" i="238"/>
  <c r="BW26" i="238"/>
  <c r="BU27" i="238"/>
  <c r="BV27" i="238"/>
  <c r="BW27" i="238"/>
  <c r="BU28" i="238"/>
  <c r="BV28" i="238"/>
  <c r="BW28" i="238"/>
  <c r="BU29" i="238"/>
  <c r="BV29" i="238"/>
  <c r="BW29" i="238"/>
  <c r="BU30" i="238"/>
  <c r="BV30" i="238"/>
  <c r="BW30" i="238"/>
  <c r="BU31" i="238"/>
  <c r="BV31" i="238"/>
  <c r="BW31" i="238"/>
  <c r="BU32" i="238"/>
  <c r="BV32" i="238"/>
  <c r="BW32" i="238"/>
  <c r="AK2" i="238"/>
  <c r="BV1" i="238" s="1"/>
  <c r="AL2" i="238"/>
  <c r="BW1" i="238" s="1"/>
  <c r="AU4" i="5" l="1"/>
  <c r="AV4" i="5" s="1"/>
  <c r="AW4" i="5" s="1"/>
  <c r="AS4" i="5"/>
  <c r="F31" i="455"/>
  <c r="F32" i="455" s="1"/>
  <c r="F33" i="455" s="1"/>
  <c r="F34" i="455" s="1"/>
  <c r="F35" i="455" s="1"/>
  <c r="F36" i="455" s="1"/>
  <c r="F37" i="455" s="1"/>
  <c r="F38" i="455" s="1"/>
  <c r="F39" i="455" s="1"/>
  <c r="F40" i="455" s="1"/>
  <c r="F41" i="455" s="1"/>
  <c r="F42" i="455" s="1"/>
  <c r="F43" i="455" s="1"/>
  <c r="F44" i="455" s="1"/>
  <c r="F45" i="455" s="1"/>
  <c r="F46" i="455" s="1"/>
  <c r="F47" i="455" s="1"/>
  <c r="F48" i="455" s="1"/>
  <c r="F49" i="455" s="1"/>
  <c r="F50" i="455" s="1"/>
  <c r="F51" i="455" s="1"/>
  <c r="F52" i="455" s="1"/>
  <c r="F53" i="455" s="1"/>
  <c r="F54" i="455" s="1"/>
  <c r="F55" i="455" s="1"/>
  <c r="F56" i="455" s="1"/>
  <c r="F57" i="455" s="1"/>
  <c r="F58" i="455" s="1"/>
  <c r="F59" i="455" s="1"/>
  <c r="F60" i="455" s="1"/>
  <c r="F61" i="455" s="1"/>
  <c r="F62" i="455" s="1"/>
  <c r="F63" i="455" s="1"/>
  <c r="F64" i="455" s="1"/>
  <c r="F65" i="455" s="1"/>
  <c r="F66" i="455" s="1"/>
  <c r="F67" i="455" s="1"/>
  <c r="F68" i="455" s="1"/>
  <c r="F69" i="455" s="1"/>
  <c r="F70" i="455" s="1"/>
  <c r="F71" i="455" s="1"/>
  <c r="F72" i="455" s="1"/>
  <c r="F73" i="455" s="1"/>
  <c r="F74" i="455" s="1"/>
  <c r="F75" i="455" s="1"/>
  <c r="F76" i="455" s="1"/>
  <c r="F77" i="455" s="1"/>
  <c r="F78" i="455" s="1"/>
  <c r="F79" i="455" s="1"/>
  <c r="F80" i="455" s="1"/>
  <c r="F81" i="455" s="1"/>
  <c r="F82" i="455" s="1"/>
  <c r="F83" i="455" s="1"/>
  <c r="F84" i="455" s="1"/>
  <c r="F85" i="455" s="1"/>
  <c r="F86" i="455" s="1"/>
  <c r="F87" i="455" s="1"/>
  <c r="F88" i="455" s="1"/>
  <c r="F89" i="455" s="1"/>
  <c r="F90" i="455" s="1"/>
  <c r="F91" i="455" s="1"/>
  <c r="A31" i="455"/>
  <c r="A32" i="455" s="1"/>
  <c r="A33" i="455" s="1"/>
  <c r="A34" i="455" s="1"/>
  <c r="A35" i="455" s="1"/>
  <c r="A36" i="455" s="1"/>
  <c r="A37" i="455" s="1"/>
  <c r="A38" i="455" s="1"/>
  <c r="A39" i="455" s="1"/>
  <c r="A40" i="455" s="1"/>
  <c r="A41" i="455" s="1"/>
  <c r="A42" i="455" s="1"/>
  <c r="A43" i="455" s="1"/>
  <c r="A44" i="455" s="1"/>
  <c r="A45" i="455" s="1"/>
  <c r="A46" i="455" s="1"/>
  <c r="A47" i="455" s="1"/>
  <c r="A48" i="455" s="1"/>
  <c r="A49" i="455" s="1"/>
  <c r="A50" i="455" s="1"/>
  <c r="A51" i="455" s="1"/>
  <c r="A52" i="455" s="1"/>
  <c r="A53" i="455" s="1"/>
  <c r="A54" i="455" s="1"/>
  <c r="A55" i="455" s="1"/>
  <c r="A56" i="455" s="1"/>
  <c r="A57" i="455" s="1"/>
  <c r="A58" i="455" s="1"/>
  <c r="A59" i="455" s="1"/>
  <c r="A60" i="455" s="1"/>
  <c r="A61" i="455" s="1"/>
  <c r="A62" i="455" s="1"/>
  <c r="A63" i="455" s="1"/>
  <c r="A64" i="455" s="1"/>
  <c r="A65" i="455" s="1"/>
  <c r="A66" i="455" s="1"/>
  <c r="A67" i="455" s="1"/>
  <c r="A68" i="455" s="1"/>
  <c r="A69" i="455" s="1"/>
  <c r="A70" i="455" s="1"/>
  <c r="A71" i="455" s="1"/>
  <c r="A72" i="455" s="1"/>
  <c r="A73" i="455" s="1"/>
  <c r="A74" i="455" s="1"/>
  <c r="A75" i="455" s="1"/>
  <c r="A76" i="455" s="1"/>
  <c r="A77" i="455" s="1"/>
  <c r="A78" i="455" s="1"/>
  <c r="A79" i="455" s="1"/>
  <c r="A80" i="455" s="1"/>
  <c r="A81" i="455" s="1"/>
  <c r="A82" i="455" s="1"/>
  <c r="A83" i="455" s="1"/>
  <c r="A84" i="455" s="1"/>
  <c r="A85" i="455" s="1"/>
  <c r="A86" i="455" s="1"/>
  <c r="A87" i="455" s="1"/>
  <c r="A88" i="455" s="1"/>
  <c r="A89" i="455" s="1"/>
  <c r="A90" i="455" s="1"/>
  <c r="A91" i="455" s="1"/>
  <c r="I17" i="455"/>
  <c r="V24" i="454" s="1"/>
  <c r="BB27" i="238"/>
  <c r="BB28" i="238"/>
  <c r="BB20" i="238"/>
  <c r="BB12" i="238"/>
  <c r="BB4" i="238"/>
  <c r="BB19" i="238"/>
  <c r="BB32" i="238"/>
  <c r="BB24" i="238"/>
  <c r="BB16" i="238"/>
  <c r="BB8" i="238"/>
  <c r="BB11" i="238"/>
  <c r="BB31" i="238"/>
  <c r="BB23" i="238"/>
  <c r="BB15" i="238"/>
  <c r="BB7" i="238"/>
  <c r="BB30" i="238"/>
  <c r="BB26" i="238"/>
  <c r="BB22" i="238"/>
  <c r="BB18" i="238"/>
  <c r="BB14" i="238"/>
  <c r="BB10" i="238"/>
  <c r="BB6" i="238"/>
  <c r="BB3" i="238"/>
  <c r="BB29" i="238"/>
  <c r="BB25" i="238"/>
  <c r="BB21" i="238"/>
  <c r="BB17" i="238"/>
  <c r="BB13" i="238"/>
  <c r="BB9" i="238"/>
  <c r="AY87" i="236"/>
  <c r="W26" i="454"/>
  <c r="AF11" i="454"/>
  <c r="V26" i="454"/>
  <c r="Z26" i="454"/>
  <c r="AG6" i="455"/>
  <c r="N18" i="455"/>
  <c r="O18" i="455" s="1"/>
  <c r="P18" i="455" s="1"/>
  <c r="Q18" i="455" s="1"/>
  <c r="M17" i="455"/>
  <c r="Z24" i="454" s="1"/>
  <c r="G5" i="455"/>
  <c r="G19" i="455" s="1"/>
  <c r="AD20" i="455" s="1"/>
  <c r="H6" i="455"/>
  <c r="H20" i="455"/>
  <c r="F17" i="455"/>
  <c r="Q24" i="454" s="1"/>
  <c r="J17" i="455"/>
  <c r="W24" i="454" s="1"/>
  <c r="C19" i="454"/>
  <c r="G17" i="455"/>
  <c r="R24" i="454" s="1"/>
  <c r="K17" i="455"/>
  <c r="X24" i="454" s="1"/>
  <c r="H17" i="455"/>
  <c r="T24" i="454" s="1"/>
  <c r="L17" i="455"/>
  <c r="Y24" i="454" s="1"/>
  <c r="AX95" i="236"/>
  <c r="AX96" i="236" s="1"/>
  <c r="AX97" i="236" s="1"/>
  <c r="AH1" i="238"/>
  <c r="AH2" i="238" s="1"/>
  <c r="O17" i="455" l="1"/>
  <c r="AC24" i="454" s="1"/>
  <c r="N17" i="455"/>
  <c r="AB24" i="454" s="1"/>
  <c r="P17" i="455"/>
  <c r="AD24" i="454" s="1"/>
  <c r="AX98" i="236"/>
  <c r="AX99" i="236" s="1"/>
  <c r="AX100" i="236" s="1"/>
  <c r="AX101" i="236" s="1"/>
  <c r="AX102" i="236" s="1"/>
  <c r="R18" i="455"/>
  <c r="Q17" i="455"/>
  <c r="AF24" i="454" s="1"/>
  <c r="I20" i="455"/>
  <c r="AH6" i="455"/>
  <c r="I6" i="455"/>
  <c r="H5" i="455"/>
  <c r="H19" i="455" s="1"/>
  <c r="AE20" i="455" s="1"/>
  <c r="S18" i="455" l="1"/>
  <c r="R17" i="455"/>
  <c r="AG24" i="454" s="1"/>
  <c r="J20" i="455"/>
  <c r="I5" i="455"/>
  <c r="I19" i="455" s="1"/>
  <c r="AF20" i="455" s="1"/>
  <c r="J6" i="455"/>
  <c r="AI6" i="455"/>
  <c r="K20" i="455" l="1"/>
  <c r="AJ6" i="455"/>
  <c r="J5" i="455"/>
  <c r="J19" i="455" s="1"/>
  <c r="AG20" i="455" s="1"/>
  <c r="K6" i="455"/>
  <c r="T18" i="455"/>
  <c r="T17" i="455" s="1"/>
  <c r="AI24" i="454" s="1"/>
  <c r="S17" i="455"/>
  <c r="AH24" i="454" s="1"/>
  <c r="L20" i="455" l="1"/>
  <c r="K5" i="455"/>
  <c r="K19" i="455" s="1"/>
  <c r="AH20" i="455" s="1"/>
  <c r="L6" i="455"/>
  <c r="AK6" i="455"/>
  <c r="M6" i="455" l="1"/>
  <c r="L5" i="455"/>
  <c r="L19" i="455" s="1"/>
  <c r="AI20" i="455" s="1"/>
  <c r="M20" i="455"/>
  <c r="AL6" i="455"/>
  <c r="N20" i="455" l="1"/>
  <c r="AM6" i="455"/>
  <c r="M5" i="455"/>
  <c r="M19" i="455" s="1"/>
  <c r="AJ20" i="455" s="1"/>
  <c r="N6" i="455"/>
  <c r="N5" i="455" l="1"/>
  <c r="N19" i="455" s="1"/>
  <c r="AK20" i="455" s="1"/>
  <c r="O6" i="455"/>
  <c r="AN6" i="455"/>
  <c r="O20" i="455"/>
  <c r="P20" i="455" l="1"/>
  <c r="AO6" i="455"/>
  <c r="O5" i="455"/>
  <c r="O19" i="455" s="1"/>
  <c r="AL20" i="455" s="1"/>
  <c r="P6" i="455"/>
  <c r="Q20" i="455" l="1"/>
  <c r="Q6" i="455"/>
  <c r="P5" i="455"/>
  <c r="P19" i="455" s="1"/>
  <c r="AM20" i="455" s="1"/>
  <c r="AP6" i="455"/>
  <c r="AQ6" i="455" l="1"/>
  <c r="Q5" i="455"/>
  <c r="Q19" i="455" s="1"/>
  <c r="AN20" i="455" s="1"/>
  <c r="R6" i="455"/>
  <c r="R20" i="455"/>
  <c r="S20" i="455" l="1"/>
  <c r="R5" i="455"/>
  <c r="R19" i="455" s="1"/>
  <c r="AO20" i="455" s="1"/>
  <c r="S6" i="455"/>
  <c r="S5" i="455" l="1"/>
  <c r="S19" i="455" s="1"/>
  <c r="AP20" i="455" s="1"/>
  <c r="T6" i="455"/>
  <c r="T20" i="455"/>
  <c r="T5" i="455" l="1"/>
  <c r="T19" i="455" s="1"/>
  <c r="AQ20" i="455" s="1"/>
  <c r="AA1" i="108" l="1"/>
  <c r="U14" i="26"/>
  <c r="V14" i="26"/>
  <c r="U15" i="26"/>
  <c r="V15" i="26"/>
  <c r="CN4" i="453"/>
  <c r="C17" i="453"/>
  <c r="C18" i="453"/>
  <c r="C19" i="453"/>
  <c r="C20" i="453"/>
  <c r="C21" i="453"/>
  <c r="C22" i="453"/>
  <c r="C23" i="453"/>
  <c r="C24" i="453"/>
  <c r="C25" i="453"/>
  <c r="C26" i="453"/>
  <c r="C27" i="453"/>
  <c r="C28" i="453"/>
  <c r="C29" i="453"/>
  <c r="C30" i="453"/>
  <c r="C31" i="453"/>
  <c r="C32" i="453"/>
  <c r="C33" i="453"/>
  <c r="C34" i="453"/>
  <c r="C35" i="453"/>
  <c r="C36" i="453"/>
  <c r="C37" i="453"/>
  <c r="AE6" i="5"/>
  <c r="AE7" i="5"/>
  <c r="AE8" i="5"/>
  <c r="A300" i="5"/>
  <c r="A301" i="5"/>
  <c r="A302" i="5"/>
  <c r="A303" i="5"/>
  <c r="A304" i="5"/>
  <c r="A305" i="5"/>
  <c r="A306" i="5"/>
  <c r="A307" i="5"/>
  <c r="A308" i="5"/>
  <c r="A309" i="5"/>
  <c r="A310" i="5"/>
  <c r="A311" i="5"/>
  <c r="A312" i="5"/>
  <c r="A313" i="5"/>
  <c r="A314" i="5"/>
  <c r="A315" i="5"/>
  <c r="A316" i="5"/>
  <c r="A317" i="5"/>
  <c r="I245" i="5"/>
  <c r="A245" i="5" s="1"/>
  <c r="J245" i="5"/>
  <c r="I246" i="5"/>
  <c r="A246" i="5" s="1"/>
  <c r="J246" i="5"/>
  <c r="J247" i="5"/>
  <c r="J248" i="5"/>
  <c r="J249" i="5"/>
  <c r="J250" i="5"/>
  <c r="J251" i="5"/>
  <c r="I214" i="5"/>
  <c r="J214" i="5"/>
  <c r="J215" i="5"/>
  <c r="J216" i="5"/>
  <c r="J217" i="5"/>
  <c r="J218" i="5"/>
  <c r="J219" i="5"/>
  <c r="S27" i="5"/>
  <c r="A319" i="5" s="1"/>
  <c r="S28" i="5"/>
  <c r="A320" i="5" s="1"/>
  <c r="S29" i="5"/>
  <c r="I218" i="5" s="1"/>
  <c r="S30" i="5"/>
  <c r="I219" i="5" s="1"/>
  <c r="S26" i="5"/>
  <c r="A318" i="5" s="1"/>
  <c r="A297" i="5"/>
  <c r="B297" i="5" s="1"/>
  <c r="A298" i="5"/>
  <c r="A299" i="5"/>
  <c r="I226" i="5"/>
  <c r="A226" i="5" s="1"/>
  <c r="B226" i="5" s="1"/>
  <c r="J226" i="5"/>
  <c r="I227" i="5"/>
  <c r="A227" i="5" s="1"/>
  <c r="J227" i="5"/>
  <c r="I228" i="5"/>
  <c r="A228" i="5" s="1"/>
  <c r="J228" i="5"/>
  <c r="I229" i="5"/>
  <c r="A229" i="5" s="1"/>
  <c r="J229" i="5"/>
  <c r="I230" i="5"/>
  <c r="A230" i="5" s="1"/>
  <c r="J230" i="5"/>
  <c r="I231" i="5"/>
  <c r="A231" i="5" s="1"/>
  <c r="J231" i="5"/>
  <c r="I232" i="5"/>
  <c r="A232" i="5" s="1"/>
  <c r="J232" i="5"/>
  <c r="I233" i="5"/>
  <c r="A233" i="5" s="1"/>
  <c r="J233" i="5"/>
  <c r="I234" i="5"/>
  <c r="A234" i="5" s="1"/>
  <c r="J234" i="5"/>
  <c r="I235" i="5"/>
  <c r="A235" i="5" s="1"/>
  <c r="J235" i="5"/>
  <c r="I236" i="5"/>
  <c r="A236" i="5" s="1"/>
  <c r="J236" i="5"/>
  <c r="I237" i="5"/>
  <c r="A237" i="5" s="1"/>
  <c r="J237" i="5"/>
  <c r="I238" i="5"/>
  <c r="A238" i="5" s="1"/>
  <c r="J238" i="5"/>
  <c r="I239" i="5"/>
  <c r="J239" i="5"/>
  <c r="I240" i="5"/>
  <c r="A240" i="5" s="1"/>
  <c r="J240" i="5"/>
  <c r="I241" i="5"/>
  <c r="A241" i="5" s="1"/>
  <c r="J241" i="5"/>
  <c r="I242" i="5"/>
  <c r="A242" i="5" s="1"/>
  <c r="J242" i="5"/>
  <c r="I243" i="5"/>
  <c r="J243" i="5"/>
  <c r="I244" i="5"/>
  <c r="A244" i="5" s="1"/>
  <c r="J244" i="5"/>
  <c r="I194" i="5"/>
  <c r="J194" i="5"/>
  <c r="I195" i="5"/>
  <c r="J195" i="5"/>
  <c r="I196" i="5"/>
  <c r="J196" i="5"/>
  <c r="I197" i="5"/>
  <c r="J197" i="5"/>
  <c r="I198" i="5"/>
  <c r="J198" i="5"/>
  <c r="I199" i="5"/>
  <c r="J199" i="5"/>
  <c r="I200" i="5"/>
  <c r="J200" i="5"/>
  <c r="I201" i="5"/>
  <c r="J201" i="5"/>
  <c r="I202" i="5"/>
  <c r="J202" i="5"/>
  <c r="I203" i="5"/>
  <c r="J203" i="5"/>
  <c r="I204" i="5"/>
  <c r="J204" i="5"/>
  <c r="I205" i="5"/>
  <c r="J205" i="5"/>
  <c r="I206" i="5"/>
  <c r="J206" i="5"/>
  <c r="I207" i="5"/>
  <c r="J207" i="5"/>
  <c r="I208" i="5"/>
  <c r="J208" i="5"/>
  <c r="I209" i="5"/>
  <c r="J209" i="5"/>
  <c r="I210" i="5"/>
  <c r="J210" i="5"/>
  <c r="I211" i="5"/>
  <c r="J211" i="5"/>
  <c r="I212" i="5"/>
  <c r="J212" i="5"/>
  <c r="I213" i="5"/>
  <c r="J213" i="5"/>
  <c r="Z1" i="108"/>
  <c r="B13" i="108"/>
  <c r="B14" i="108"/>
  <c r="B15" i="108"/>
  <c r="B17" i="108"/>
  <c r="B18" i="108"/>
  <c r="B19" i="108"/>
  <c r="B20" i="108"/>
  <c r="B21" i="108"/>
  <c r="B22" i="108"/>
  <c r="B23" i="108"/>
  <c r="B24" i="108"/>
  <c r="B25" i="108"/>
  <c r="B26" i="108"/>
  <c r="B27" i="108"/>
  <c r="B28" i="108"/>
  <c r="B29" i="108"/>
  <c r="B30" i="108"/>
  <c r="B31" i="108"/>
  <c r="B32" i="108"/>
  <c r="B33" i="108"/>
  <c r="B34" i="108"/>
  <c r="B35" i="108"/>
  <c r="B36" i="108"/>
  <c r="B37" i="108"/>
  <c r="B38" i="108"/>
  <c r="B39" i="108"/>
  <c r="B40" i="108"/>
  <c r="B41" i="108"/>
  <c r="B42" i="108"/>
  <c r="B43" i="108"/>
  <c r="B44" i="108"/>
  <c r="B45" i="108"/>
  <c r="B46" i="108"/>
  <c r="B47" i="108"/>
  <c r="B48" i="108"/>
  <c r="B49" i="108"/>
  <c r="B50" i="108"/>
  <c r="B52" i="108"/>
  <c r="B53" i="108"/>
  <c r="B54" i="108"/>
  <c r="B55" i="108"/>
  <c r="B56" i="108"/>
  <c r="B58" i="108"/>
  <c r="B59" i="108"/>
  <c r="B60" i="108"/>
  <c r="B61" i="108"/>
  <c r="B62" i="108"/>
  <c r="B63" i="108"/>
  <c r="B64" i="108"/>
  <c r="B65" i="108"/>
  <c r="B66" i="108"/>
  <c r="B67" i="108"/>
  <c r="B68" i="108"/>
  <c r="B69" i="108"/>
  <c r="B70" i="108"/>
  <c r="B71" i="108"/>
  <c r="B72" i="108"/>
  <c r="B73" i="108"/>
  <c r="B74" i="108"/>
  <c r="C8" i="236"/>
  <c r="F8" i="236"/>
  <c r="G8" i="236"/>
  <c r="H8" i="236"/>
  <c r="M8" i="236" s="1"/>
  <c r="I8" i="236"/>
  <c r="J8" i="236"/>
  <c r="C9" i="236"/>
  <c r="F9" i="236"/>
  <c r="H9" i="236"/>
  <c r="J9" i="236"/>
  <c r="C10" i="236"/>
  <c r="F10" i="236"/>
  <c r="F15" i="420" s="1"/>
  <c r="H10" i="236"/>
  <c r="I10" i="236"/>
  <c r="J10" i="236"/>
  <c r="C11" i="236"/>
  <c r="F11" i="236"/>
  <c r="F16" i="420" s="1"/>
  <c r="H11" i="236"/>
  <c r="I11" i="236"/>
  <c r="J11" i="236"/>
  <c r="C12" i="236"/>
  <c r="F12" i="236"/>
  <c r="F17" i="420" s="1"/>
  <c r="H12" i="236"/>
  <c r="I12" i="236"/>
  <c r="J12" i="236"/>
  <c r="C13" i="236"/>
  <c r="F13" i="236"/>
  <c r="F18" i="420" s="1"/>
  <c r="H13" i="236"/>
  <c r="M13" i="236" s="1"/>
  <c r="I13" i="236"/>
  <c r="J13" i="236"/>
  <c r="C14" i="236"/>
  <c r="F14" i="236"/>
  <c r="F19" i="420" s="1"/>
  <c r="H14" i="236"/>
  <c r="I14" i="236"/>
  <c r="J14" i="236"/>
  <c r="C15" i="236"/>
  <c r="F15" i="236"/>
  <c r="F20" i="420" s="1"/>
  <c r="H15" i="236"/>
  <c r="J15" i="236"/>
  <c r="C16" i="236"/>
  <c r="F16" i="236"/>
  <c r="F21" i="420" s="1"/>
  <c r="H16" i="236"/>
  <c r="I16" i="236"/>
  <c r="J16" i="236"/>
  <c r="C18" i="236"/>
  <c r="F18" i="236"/>
  <c r="F23" i="420" s="1"/>
  <c r="H18" i="236"/>
  <c r="M18" i="236" s="1"/>
  <c r="I18" i="236"/>
  <c r="J18" i="236"/>
  <c r="C19" i="236"/>
  <c r="F19" i="236"/>
  <c r="F24" i="420" s="1"/>
  <c r="H19" i="236"/>
  <c r="I19" i="236"/>
  <c r="J19" i="236"/>
  <c r="C20" i="236"/>
  <c r="F20" i="236"/>
  <c r="F25" i="420" s="1"/>
  <c r="H20" i="236"/>
  <c r="I20" i="236"/>
  <c r="J20" i="236"/>
  <c r="C21" i="236"/>
  <c r="D21" i="236"/>
  <c r="F21" i="236"/>
  <c r="F26" i="420" s="1"/>
  <c r="H21" i="236"/>
  <c r="M21" i="236" s="1"/>
  <c r="I21" i="236"/>
  <c r="J21" i="236"/>
  <c r="C22" i="236"/>
  <c r="F22" i="236"/>
  <c r="F27" i="420" s="1"/>
  <c r="H22" i="236"/>
  <c r="M22" i="236" s="1"/>
  <c r="I22" i="236"/>
  <c r="J22" i="236"/>
  <c r="C23" i="236"/>
  <c r="F23" i="236"/>
  <c r="F28" i="420" s="1"/>
  <c r="H23" i="236"/>
  <c r="I23" i="236"/>
  <c r="J23" i="236"/>
  <c r="C24" i="236"/>
  <c r="F24" i="236"/>
  <c r="F29" i="420" s="1"/>
  <c r="H24" i="236"/>
  <c r="I24" i="236"/>
  <c r="J24" i="236"/>
  <c r="C25" i="236"/>
  <c r="F25" i="236"/>
  <c r="F30" i="420" s="1"/>
  <c r="H25" i="236"/>
  <c r="I25" i="236"/>
  <c r="J25" i="236"/>
  <c r="C26" i="236"/>
  <c r="F26" i="236"/>
  <c r="F31" i="420" s="1"/>
  <c r="H26" i="236"/>
  <c r="M26" i="236" s="1"/>
  <c r="I26" i="236"/>
  <c r="J26" i="236"/>
  <c r="C27" i="236"/>
  <c r="F27" i="236"/>
  <c r="F32" i="420" s="1"/>
  <c r="H27" i="236"/>
  <c r="I27" i="236"/>
  <c r="J27" i="236"/>
  <c r="C28" i="236"/>
  <c r="F28" i="236"/>
  <c r="F33" i="420" s="1"/>
  <c r="H28" i="236"/>
  <c r="I28" i="236"/>
  <c r="J28" i="236"/>
  <c r="C29" i="236"/>
  <c r="F29" i="236"/>
  <c r="F34" i="420" s="1"/>
  <c r="H29" i="236"/>
  <c r="I29" i="236"/>
  <c r="J29" i="236"/>
  <c r="C30" i="236"/>
  <c r="F30" i="236"/>
  <c r="F35" i="420" s="1"/>
  <c r="H30" i="236"/>
  <c r="M30" i="236" s="1"/>
  <c r="I30" i="236"/>
  <c r="J30" i="236"/>
  <c r="C31" i="236"/>
  <c r="F31" i="236"/>
  <c r="F36" i="420" s="1"/>
  <c r="H31" i="236"/>
  <c r="I31" i="236"/>
  <c r="J31" i="236"/>
  <c r="C32" i="236"/>
  <c r="F32" i="236"/>
  <c r="F37" i="420" s="1"/>
  <c r="H32" i="236"/>
  <c r="I32" i="236"/>
  <c r="J32" i="236"/>
  <c r="C33" i="236"/>
  <c r="F33" i="236"/>
  <c r="F38" i="420" s="1"/>
  <c r="H33" i="236"/>
  <c r="M33" i="236" s="1"/>
  <c r="I33" i="236"/>
  <c r="J33" i="236"/>
  <c r="C34" i="236"/>
  <c r="F34" i="236"/>
  <c r="F39" i="420" s="1"/>
  <c r="H34" i="236"/>
  <c r="I34" i="236"/>
  <c r="J34" i="236"/>
  <c r="C35" i="236"/>
  <c r="F35" i="236"/>
  <c r="F40" i="420" s="1"/>
  <c r="H35" i="236"/>
  <c r="I35" i="236"/>
  <c r="J35" i="236"/>
  <c r="C36" i="236"/>
  <c r="F36" i="236"/>
  <c r="F41" i="420" s="1"/>
  <c r="H36" i="236"/>
  <c r="I36" i="236"/>
  <c r="J36" i="236"/>
  <c r="C37" i="236"/>
  <c r="F37" i="236"/>
  <c r="F42" i="420" s="1"/>
  <c r="H37" i="236"/>
  <c r="M37" i="236" s="1"/>
  <c r="I37" i="236"/>
  <c r="J37" i="236"/>
  <c r="C38" i="236"/>
  <c r="F38" i="236"/>
  <c r="F43" i="420" s="1"/>
  <c r="H38" i="236"/>
  <c r="I38" i="236"/>
  <c r="J38" i="236"/>
  <c r="C39" i="236"/>
  <c r="F39" i="236"/>
  <c r="F44" i="420" s="1"/>
  <c r="H39" i="236"/>
  <c r="M39" i="236" s="1"/>
  <c r="I39" i="236"/>
  <c r="J39" i="236"/>
  <c r="C40" i="236"/>
  <c r="F40" i="236"/>
  <c r="F45" i="420" s="1"/>
  <c r="H40" i="236"/>
  <c r="I40" i="236"/>
  <c r="J40" i="236"/>
  <c r="C41" i="236"/>
  <c r="F41" i="236"/>
  <c r="F46" i="420" s="1"/>
  <c r="H41" i="236"/>
  <c r="I41" i="236"/>
  <c r="J41" i="236"/>
  <c r="C42" i="236"/>
  <c r="D42" i="236"/>
  <c r="F42" i="236"/>
  <c r="F47" i="420" s="1"/>
  <c r="H42" i="236"/>
  <c r="M42" i="236" s="1"/>
  <c r="I42" i="236"/>
  <c r="J42" i="236"/>
  <c r="C43" i="236"/>
  <c r="F43" i="236"/>
  <c r="F48" i="420" s="1"/>
  <c r="H43" i="236"/>
  <c r="M43" i="236" s="1"/>
  <c r="I43" i="236"/>
  <c r="J43" i="236"/>
  <c r="C44" i="236"/>
  <c r="F44" i="236"/>
  <c r="F49" i="420" s="1"/>
  <c r="H44" i="236"/>
  <c r="I44" i="236"/>
  <c r="J44" i="236"/>
  <c r="C45" i="236"/>
  <c r="F45" i="236"/>
  <c r="F50" i="420" s="1"/>
  <c r="H45" i="236"/>
  <c r="I45" i="236"/>
  <c r="C46" i="236"/>
  <c r="F46" i="236"/>
  <c r="F51" i="420" s="1"/>
  <c r="H46" i="236"/>
  <c r="I46" i="236"/>
  <c r="J46" i="236"/>
  <c r="C47" i="236"/>
  <c r="F47" i="236"/>
  <c r="F52" i="420" s="1"/>
  <c r="H47" i="236"/>
  <c r="M47" i="236" s="1"/>
  <c r="I47" i="236"/>
  <c r="J47" i="236"/>
  <c r="C48" i="236"/>
  <c r="F48" i="236"/>
  <c r="F53" i="420" s="1"/>
  <c r="H48" i="236"/>
  <c r="I48" i="236"/>
  <c r="J48" i="236"/>
  <c r="C49" i="236"/>
  <c r="F49" i="236"/>
  <c r="F54" i="420" s="1"/>
  <c r="H49" i="236"/>
  <c r="I49" i="236"/>
  <c r="J49" i="236"/>
  <c r="C50" i="236"/>
  <c r="F50" i="236"/>
  <c r="F55" i="420" s="1"/>
  <c r="H50" i="236"/>
  <c r="I50" i="236"/>
  <c r="J50" i="236"/>
  <c r="C51" i="236"/>
  <c r="F51" i="236"/>
  <c r="F56" i="420" s="1"/>
  <c r="H51" i="236"/>
  <c r="I51" i="236"/>
  <c r="J51" i="236"/>
  <c r="C53" i="236"/>
  <c r="F53" i="236"/>
  <c r="F58" i="420" s="1"/>
  <c r="H53" i="236"/>
  <c r="M53" i="236" s="1"/>
  <c r="I53" i="236"/>
  <c r="J53" i="236"/>
  <c r="C54" i="236"/>
  <c r="F54" i="236"/>
  <c r="F59" i="420" s="1"/>
  <c r="H54" i="236"/>
  <c r="I54" i="236"/>
  <c r="J54" i="236"/>
  <c r="C55" i="236"/>
  <c r="F55" i="236"/>
  <c r="F60" i="420" s="1"/>
  <c r="H55" i="236"/>
  <c r="I55" i="236"/>
  <c r="J55" i="236"/>
  <c r="C56" i="236"/>
  <c r="F56" i="236"/>
  <c r="F61" i="420" s="1"/>
  <c r="H56" i="236"/>
  <c r="I56" i="236"/>
  <c r="J56" i="236"/>
  <c r="C57" i="236"/>
  <c r="F57" i="236"/>
  <c r="F62" i="420" s="1"/>
  <c r="H57" i="236"/>
  <c r="I57" i="236"/>
  <c r="J57" i="236"/>
  <c r="C59" i="236"/>
  <c r="F59" i="236"/>
  <c r="F64" i="420" s="1"/>
  <c r="H59" i="236"/>
  <c r="M59" i="236" s="1"/>
  <c r="I59" i="236"/>
  <c r="J59" i="236"/>
  <c r="C60" i="236"/>
  <c r="F60" i="236"/>
  <c r="F65" i="420" s="1"/>
  <c r="H60" i="236"/>
  <c r="I60" i="236"/>
  <c r="J60" i="236"/>
  <c r="C61" i="236"/>
  <c r="F61" i="236"/>
  <c r="F66" i="420" s="1"/>
  <c r="H61" i="236"/>
  <c r="I61" i="236"/>
  <c r="J61" i="236"/>
  <c r="C62" i="236"/>
  <c r="D62" i="236"/>
  <c r="F62" i="236"/>
  <c r="F67" i="420" s="1"/>
  <c r="H62" i="236"/>
  <c r="M62" i="236" s="1"/>
  <c r="I62" i="236"/>
  <c r="J62" i="236"/>
  <c r="C63" i="236"/>
  <c r="F63" i="236"/>
  <c r="F68" i="420" s="1"/>
  <c r="H63" i="236"/>
  <c r="M63" i="236" s="1"/>
  <c r="I63" i="236"/>
  <c r="J63" i="236"/>
  <c r="C64" i="236"/>
  <c r="F64" i="236"/>
  <c r="F69" i="420" s="1"/>
  <c r="H64" i="236"/>
  <c r="I64" i="236"/>
  <c r="J64" i="236"/>
  <c r="C65" i="236"/>
  <c r="F65" i="236"/>
  <c r="F70" i="420" s="1"/>
  <c r="H65" i="236"/>
  <c r="I65" i="236"/>
  <c r="J65" i="236"/>
  <c r="C66" i="236"/>
  <c r="F66" i="236"/>
  <c r="F71" i="420" s="1"/>
  <c r="H66" i="236"/>
  <c r="I66" i="236"/>
  <c r="J66" i="236"/>
  <c r="C67" i="236"/>
  <c r="F67" i="236"/>
  <c r="F72" i="420" s="1"/>
  <c r="H67" i="236"/>
  <c r="M67" i="236" s="1"/>
  <c r="I67" i="236"/>
  <c r="J67" i="236"/>
  <c r="C68" i="236"/>
  <c r="F68" i="236"/>
  <c r="F73" i="420" s="1"/>
  <c r="H68" i="236"/>
  <c r="I68" i="236"/>
  <c r="J68" i="236"/>
  <c r="C69" i="236"/>
  <c r="F69" i="236"/>
  <c r="F74" i="420" s="1"/>
  <c r="H69" i="236"/>
  <c r="I69" i="236"/>
  <c r="J69" i="236"/>
  <c r="C70" i="236"/>
  <c r="F70" i="236"/>
  <c r="F75" i="420" s="1"/>
  <c r="H70" i="236"/>
  <c r="I70" i="236"/>
  <c r="J70" i="236"/>
  <c r="C71" i="236"/>
  <c r="F71" i="236"/>
  <c r="F76" i="420" s="1"/>
  <c r="H71" i="236"/>
  <c r="M71" i="236" s="1"/>
  <c r="I71" i="236"/>
  <c r="J71" i="236"/>
  <c r="C72" i="236"/>
  <c r="F72" i="236"/>
  <c r="F77" i="420" s="1"/>
  <c r="H72" i="236"/>
  <c r="I72" i="236"/>
  <c r="J72" i="236"/>
  <c r="C73" i="236"/>
  <c r="F73" i="236"/>
  <c r="F78" i="420" s="1"/>
  <c r="H73" i="236"/>
  <c r="M73" i="236" s="1"/>
  <c r="I73" i="236"/>
  <c r="J73" i="236"/>
  <c r="C74" i="236"/>
  <c r="F74" i="236"/>
  <c r="F79" i="420" s="1"/>
  <c r="H74" i="236"/>
  <c r="I74" i="236"/>
  <c r="J74" i="236"/>
  <c r="C75" i="236"/>
  <c r="F75" i="236"/>
  <c r="F80" i="420" s="1"/>
  <c r="H75" i="236"/>
  <c r="I75" i="236"/>
  <c r="J75" i="236"/>
  <c r="C76" i="235"/>
  <c r="D76" i="235"/>
  <c r="E76" i="235"/>
  <c r="G76" i="235"/>
  <c r="I76" i="235" s="1"/>
  <c r="O76" i="236" s="1"/>
  <c r="O81" i="420" s="1"/>
  <c r="C77" i="235"/>
  <c r="D77" i="235"/>
  <c r="E77" i="235"/>
  <c r="G77" i="235"/>
  <c r="C78" i="235"/>
  <c r="D78" i="235"/>
  <c r="E78" i="235"/>
  <c r="G78" i="235"/>
  <c r="I78" i="235" s="1"/>
  <c r="O78" i="236" s="1"/>
  <c r="O83" i="420" s="1"/>
  <c r="C79" i="235"/>
  <c r="D79" i="235"/>
  <c r="E79" i="235"/>
  <c r="G79" i="235"/>
  <c r="I79" i="235" s="1"/>
  <c r="O79" i="236" s="1"/>
  <c r="O84" i="420" s="1"/>
  <c r="C80" i="235"/>
  <c r="D80" i="235"/>
  <c r="E80" i="235"/>
  <c r="G80" i="235"/>
  <c r="I80" i="235" s="1"/>
  <c r="O80" i="236" s="1"/>
  <c r="O85" i="420" s="1"/>
  <c r="C81" i="235"/>
  <c r="D81" i="235"/>
  <c r="E81" i="235"/>
  <c r="G81" i="235"/>
  <c r="C59" i="27"/>
  <c r="C67" i="27"/>
  <c r="A114" i="5"/>
  <c r="A113" i="5"/>
  <c r="C42" i="26" s="1"/>
  <c r="A95" i="5"/>
  <c r="A96" i="5"/>
  <c r="A97" i="5"/>
  <c r="A98" i="5"/>
  <c r="A99" i="5"/>
  <c r="A100" i="5"/>
  <c r="A101" i="5"/>
  <c r="A102" i="5"/>
  <c r="A103" i="5"/>
  <c r="A104" i="5"/>
  <c r="A105" i="5"/>
  <c r="A106" i="5"/>
  <c r="A107" i="5"/>
  <c r="A87" i="5"/>
  <c r="B87" i="5" s="1"/>
  <c r="A4" i="458" s="1"/>
  <c r="A88" i="5"/>
  <c r="A89" i="5"/>
  <c r="A90" i="5"/>
  <c r="A91" i="5"/>
  <c r="A92" i="5"/>
  <c r="A93" i="5"/>
  <c r="A94" i="5"/>
  <c r="A13" i="5"/>
  <c r="B13" i="5" s="1"/>
  <c r="A14" i="5"/>
  <c r="A15" i="5"/>
  <c r="A16" i="5"/>
  <c r="A17" i="5"/>
  <c r="A18" i="5"/>
  <c r="A19" i="5"/>
  <c r="A20" i="5"/>
  <c r="A21" i="5"/>
  <c r="A22" i="5"/>
  <c r="A25" i="5"/>
  <c r="A26" i="5"/>
  <c r="A27" i="5"/>
  <c r="A28" i="5"/>
  <c r="A29" i="5"/>
  <c r="A30" i="5"/>
  <c r="A31" i="5"/>
  <c r="A32" i="5"/>
  <c r="A33" i="5"/>
  <c r="A34" i="5"/>
  <c r="A35" i="5"/>
  <c r="A36" i="5"/>
  <c r="A37" i="5"/>
  <c r="A38" i="5"/>
  <c r="A39" i="5"/>
  <c r="A40" i="5"/>
  <c r="A41" i="5"/>
  <c r="A42" i="5"/>
  <c r="A43" i="5"/>
  <c r="A44" i="5"/>
  <c r="A45" i="5"/>
  <c r="A46" i="5"/>
  <c r="A47" i="5"/>
  <c r="A48" i="5"/>
  <c r="A49" i="5"/>
  <c r="A50" i="5"/>
  <c r="A7" i="5"/>
  <c r="A10" i="455" s="1"/>
  <c r="A8" i="5"/>
  <c r="A9" i="5"/>
  <c r="O6" i="234"/>
  <c r="O7" i="234"/>
  <c r="O8" i="234"/>
  <c r="O10" i="234"/>
  <c r="O11" i="234"/>
  <c r="O12" i="234"/>
  <c r="O15" i="234"/>
  <c r="O16" i="234"/>
  <c r="O19" i="234"/>
  <c r="O20" i="234"/>
  <c r="O21" i="234"/>
  <c r="O23" i="234"/>
  <c r="O24" i="234"/>
  <c r="O25" i="234"/>
  <c r="O27" i="234"/>
  <c r="O28" i="234"/>
  <c r="O30" i="234"/>
  <c r="O31" i="234"/>
  <c r="O32" i="234"/>
  <c r="O34" i="234"/>
  <c r="O36" i="234"/>
  <c r="O37" i="234"/>
  <c r="O40" i="234"/>
  <c r="O41" i="234"/>
  <c r="O42" i="234"/>
  <c r="O44" i="234"/>
  <c r="O45" i="234"/>
  <c r="O46" i="234"/>
  <c r="O47" i="234"/>
  <c r="O50" i="234"/>
  <c r="O51" i="234"/>
  <c r="O52" i="234"/>
  <c r="O53" i="234"/>
  <c r="O56" i="234"/>
  <c r="O57" i="234"/>
  <c r="O60" i="234"/>
  <c r="O61" i="234"/>
  <c r="O62" i="234"/>
  <c r="O64" i="234"/>
  <c r="O65" i="234"/>
  <c r="O66" i="234"/>
  <c r="O68" i="234"/>
  <c r="O70" i="234"/>
  <c r="O71" i="234"/>
  <c r="E78" i="236"/>
  <c r="E79" i="236"/>
  <c r="E80" i="236"/>
  <c r="E81" i="236"/>
  <c r="E77" i="236"/>
  <c r="E74" i="234"/>
  <c r="D78" i="236" s="1"/>
  <c r="E75" i="234"/>
  <c r="D79" i="236" s="1"/>
  <c r="E76" i="234"/>
  <c r="D80" i="236" s="1"/>
  <c r="E77" i="234"/>
  <c r="D81" i="236" s="1"/>
  <c r="E73" i="234"/>
  <c r="AC6" i="234"/>
  <c r="H15" i="420" s="1"/>
  <c r="AC7" i="234"/>
  <c r="H16" i="420" s="1"/>
  <c r="AC8" i="234"/>
  <c r="H17" i="420" s="1"/>
  <c r="AC9" i="234"/>
  <c r="H18" i="420" s="1"/>
  <c r="AC10" i="234"/>
  <c r="H19" i="420" s="1"/>
  <c r="AC11" i="234"/>
  <c r="H20" i="420" s="1"/>
  <c r="AC12" i="234"/>
  <c r="H21" i="420" s="1"/>
  <c r="AC14" i="234"/>
  <c r="H23" i="420" s="1"/>
  <c r="AC15" i="234"/>
  <c r="H24" i="420" s="1"/>
  <c r="AC16" i="234"/>
  <c r="H25" i="420" s="1"/>
  <c r="AC17" i="234"/>
  <c r="H26" i="420" s="1"/>
  <c r="AC18" i="234"/>
  <c r="H27" i="420" s="1"/>
  <c r="AC19" i="234"/>
  <c r="H28" i="420" s="1"/>
  <c r="AC20" i="234"/>
  <c r="H29" i="420" s="1"/>
  <c r="AC21" i="234"/>
  <c r="H30" i="420" s="1"/>
  <c r="AC22" i="234"/>
  <c r="H31" i="420" s="1"/>
  <c r="AC23" i="234"/>
  <c r="H32" i="420" s="1"/>
  <c r="AC24" i="234"/>
  <c r="H33" i="420" s="1"/>
  <c r="AC25" i="234"/>
  <c r="H34" i="420" s="1"/>
  <c r="AC26" i="234"/>
  <c r="H35" i="420" s="1"/>
  <c r="AC27" i="234"/>
  <c r="H36" i="420" s="1"/>
  <c r="AC28" i="234"/>
  <c r="H37" i="420" s="1"/>
  <c r="AC29" i="234"/>
  <c r="H38" i="420" s="1"/>
  <c r="AC30" i="234"/>
  <c r="H39" i="420" s="1"/>
  <c r="AC31" i="234"/>
  <c r="H40" i="420" s="1"/>
  <c r="AC32" i="234"/>
  <c r="H41" i="420" s="1"/>
  <c r="AC33" i="234"/>
  <c r="H42" i="420" s="1"/>
  <c r="AC34" i="234"/>
  <c r="H43" i="420" s="1"/>
  <c r="AC35" i="234"/>
  <c r="H44" i="420" s="1"/>
  <c r="AC36" i="234"/>
  <c r="H45" i="420" s="1"/>
  <c r="AC37" i="234"/>
  <c r="H46" i="420" s="1"/>
  <c r="AC38" i="234"/>
  <c r="H47" i="420" s="1"/>
  <c r="AC39" i="234"/>
  <c r="H48" i="420" s="1"/>
  <c r="AC40" i="234"/>
  <c r="H49" i="420" s="1"/>
  <c r="AC41" i="234"/>
  <c r="H50" i="420" s="1"/>
  <c r="AC42" i="234"/>
  <c r="H51" i="420" s="1"/>
  <c r="AC43" i="234"/>
  <c r="H52" i="420" s="1"/>
  <c r="AC44" i="234"/>
  <c r="H53" i="420" s="1"/>
  <c r="AC45" i="234"/>
  <c r="H54" i="420" s="1"/>
  <c r="AC46" i="234"/>
  <c r="H55" i="420" s="1"/>
  <c r="AC47" i="234"/>
  <c r="H56" i="420" s="1"/>
  <c r="AC49" i="234"/>
  <c r="H58" i="420" s="1"/>
  <c r="AC50" i="234"/>
  <c r="H59" i="420" s="1"/>
  <c r="AC51" i="234"/>
  <c r="H60" i="420" s="1"/>
  <c r="AC52" i="234"/>
  <c r="H61" i="420" s="1"/>
  <c r="AC53" i="234"/>
  <c r="H62" i="420" s="1"/>
  <c r="AC55" i="234"/>
  <c r="H64" i="420" s="1"/>
  <c r="AC56" i="234"/>
  <c r="H65" i="420" s="1"/>
  <c r="AC57" i="234"/>
  <c r="H66" i="420" s="1"/>
  <c r="AC58" i="234"/>
  <c r="H67" i="420" s="1"/>
  <c r="AC59" i="234"/>
  <c r="H68" i="420" s="1"/>
  <c r="AC60" i="234"/>
  <c r="H69" i="420" s="1"/>
  <c r="AC61" i="234"/>
  <c r="H70" i="420" s="1"/>
  <c r="AC62" i="234"/>
  <c r="H71" i="420" s="1"/>
  <c r="AC63" i="234"/>
  <c r="H72" i="420" s="1"/>
  <c r="AC64" i="234"/>
  <c r="H73" i="420" s="1"/>
  <c r="AC65" i="234"/>
  <c r="H74" i="420" s="1"/>
  <c r="AC66" i="234"/>
  <c r="H75" i="420" s="1"/>
  <c r="AC67" i="234"/>
  <c r="H76" i="420" s="1"/>
  <c r="AC68" i="234"/>
  <c r="H77" i="420" s="1"/>
  <c r="AC69" i="234"/>
  <c r="H78" i="420" s="1"/>
  <c r="AC70" i="234"/>
  <c r="H79" i="420" s="1"/>
  <c r="AC71" i="234"/>
  <c r="H80" i="420" s="1"/>
  <c r="H81" i="420"/>
  <c r="AC73" i="234"/>
  <c r="AC74" i="234"/>
  <c r="AC75" i="234"/>
  <c r="AC76" i="234"/>
  <c r="AC77" i="234"/>
  <c r="G75" i="236"/>
  <c r="G74" i="236"/>
  <c r="G73" i="236"/>
  <c r="G72" i="236"/>
  <c r="G71" i="236"/>
  <c r="G70" i="236"/>
  <c r="G69" i="236"/>
  <c r="G68" i="236"/>
  <c r="G67" i="236"/>
  <c r="G66" i="236"/>
  <c r="G65" i="236"/>
  <c r="G64" i="236"/>
  <c r="G63" i="236"/>
  <c r="G62" i="236"/>
  <c r="G61" i="236"/>
  <c r="G60" i="236"/>
  <c r="G59" i="236"/>
  <c r="G57" i="236"/>
  <c r="G56" i="236"/>
  <c r="G55" i="236"/>
  <c r="G54" i="236"/>
  <c r="G53" i="236"/>
  <c r="G51" i="236"/>
  <c r="G50" i="236"/>
  <c r="G49" i="236"/>
  <c r="G48" i="236"/>
  <c r="G47" i="236"/>
  <c r="G46" i="236"/>
  <c r="G45" i="236"/>
  <c r="G44" i="236"/>
  <c r="G43" i="236"/>
  <c r="G42" i="236"/>
  <c r="G41" i="236"/>
  <c r="G40" i="236"/>
  <c r="G39" i="236"/>
  <c r="G38" i="236"/>
  <c r="G37" i="236"/>
  <c r="G36" i="236"/>
  <c r="G35" i="236"/>
  <c r="G34" i="236"/>
  <c r="G33" i="236"/>
  <c r="G32" i="236"/>
  <c r="G31" i="236"/>
  <c r="G30" i="236"/>
  <c r="G29" i="236"/>
  <c r="G28" i="236"/>
  <c r="G27" i="236"/>
  <c r="G26" i="236"/>
  <c r="G25" i="236"/>
  <c r="G24" i="236"/>
  <c r="G23" i="236"/>
  <c r="G22" i="236"/>
  <c r="G21" i="236"/>
  <c r="G20" i="236"/>
  <c r="G19" i="236"/>
  <c r="G18" i="236"/>
  <c r="G16" i="236"/>
  <c r="G15" i="236"/>
  <c r="G14" i="236"/>
  <c r="G13" i="236"/>
  <c r="G12" i="236"/>
  <c r="G11" i="236"/>
  <c r="G9" i="236"/>
  <c r="O73" i="234"/>
  <c r="AO58" i="234"/>
  <c r="AO38" i="234"/>
  <c r="AO17" i="234"/>
  <c r="AO3" i="234"/>
  <c r="E73" i="236"/>
  <c r="E71" i="236"/>
  <c r="E67" i="236"/>
  <c r="E63" i="236"/>
  <c r="E60" i="234"/>
  <c r="D64" i="236" s="1"/>
  <c r="E61" i="234"/>
  <c r="D65" i="236" s="1"/>
  <c r="E62" i="234"/>
  <c r="D66" i="236" s="1"/>
  <c r="E63" i="234"/>
  <c r="E64" i="234"/>
  <c r="D68" i="236" s="1"/>
  <c r="E65" i="234"/>
  <c r="D69" i="236" s="1"/>
  <c r="E66" i="234"/>
  <c r="D70" i="236" s="1"/>
  <c r="E67" i="234"/>
  <c r="E68" i="234"/>
  <c r="D72" i="236" s="1"/>
  <c r="E69" i="234"/>
  <c r="E70" i="234"/>
  <c r="D74" i="236" s="1"/>
  <c r="E71" i="234"/>
  <c r="D75" i="236" s="1"/>
  <c r="E59" i="234"/>
  <c r="E59" i="236"/>
  <c r="F49" i="234"/>
  <c r="E53" i="236" s="1"/>
  <c r="F43" i="234"/>
  <c r="E47" i="236" s="1"/>
  <c r="F39" i="234"/>
  <c r="E43" i="236" s="1"/>
  <c r="E40" i="234"/>
  <c r="D44" i="236" s="1"/>
  <c r="E41" i="234"/>
  <c r="D45" i="236" s="1"/>
  <c r="E42" i="234"/>
  <c r="D46" i="236" s="1"/>
  <c r="E43" i="234"/>
  <c r="F48" i="234" s="1"/>
  <c r="E52" i="236" s="1"/>
  <c r="E44" i="234"/>
  <c r="D48" i="236" s="1"/>
  <c r="E45" i="234"/>
  <c r="D49" i="236" s="1"/>
  <c r="E46" i="234"/>
  <c r="D50" i="236" s="1"/>
  <c r="E47" i="234"/>
  <c r="D51" i="236" s="1"/>
  <c r="E49" i="234"/>
  <c r="F54" i="234" s="1"/>
  <c r="E58" i="236" s="1"/>
  <c r="E50" i="234"/>
  <c r="D54" i="236" s="1"/>
  <c r="E51" i="234"/>
  <c r="D55" i="236" s="1"/>
  <c r="E52" i="234"/>
  <c r="D56" i="236" s="1"/>
  <c r="E53" i="234"/>
  <c r="D57" i="236" s="1"/>
  <c r="E55" i="234"/>
  <c r="E56" i="234"/>
  <c r="D60" i="236" s="1"/>
  <c r="E57" i="234"/>
  <c r="D61" i="236" s="1"/>
  <c r="E39" i="234"/>
  <c r="F35" i="234"/>
  <c r="E39" i="236" s="1"/>
  <c r="F33" i="234"/>
  <c r="E37" i="236" s="1"/>
  <c r="F29" i="234"/>
  <c r="E33" i="236" s="1"/>
  <c r="F26" i="234"/>
  <c r="E30" i="236" s="1"/>
  <c r="F22" i="234"/>
  <c r="E26" i="236" s="1"/>
  <c r="F18" i="234"/>
  <c r="E22" i="236" s="1"/>
  <c r="E37" i="234"/>
  <c r="D41" i="236" s="1"/>
  <c r="E36" i="234"/>
  <c r="D40" i="236" s="1"/>
  <c r="E35" i="234"/>
  <c r="E34" i="234"/>
  <c r="D38" i="236" s="1"/>
  <c r="E33" i="234"/>
  <c r="E32" i="234"/>
  <c r="D36" i="236" s="1"/>
  <c r="E31" i="234"/>
  <c r="D35" i="236" s="1"/>
  <c r="E30" i="234"/>
  <c r="D34" i="236" s="1"/>
  <c r="E29" i="234"/>
  <c r="E28" i="234"/>
  <c r="D32" i="236" s="1"/>
  <c r="E27" i="234"/>
  <c r="D31" i="236" s="1"/>
  <c r="E26" i="234"/>
  <c r="E25" i="234"/>
  <c r="D29" i="236" s="1"/>
  <c r="E24" i="234"/>
  <c r="D28" i="236" s="1"/>
  <c r="E23" i="234"/>
  <c r="D27" i="236" s="1"/>
  <c r="E22" i="234"/>
  <c r="E21" i="234"/>
  <c r="D25" i="236" s="1"/>
  <c r="E20" i="234"/>
  <c r="D24" i="236" s="1"/>
  <c r="E19" i="234"/>
  <c r="D23" i="236" s="1"/>
  <c r="E18" i="234"/>
  <c r="E62" i="236"/>
  <c r="F38" i="234"/>
  <c r="E42" i="236" s="1"/>
  <c r="F17" i="234"/>
  <c r="E21" i="236" s="1"/>
  <c r="L1" i="235"/>
  <c r="M1" i="235" s="1"/>
  <c r="N1" i="235" s="1"/>
  <c r="O1" i="235" s="1"/>
  <c r="P1" i="235" s="1"/>
  <c r="Q1" i="235" s="1"/>
  <c r="R1" i="235" s="1"/>
  <c r="S1" i="235" s="1"/>
  <c r="T1" i="235" s="1"/>
  <c r="U1" i="235" s="1"/>
  <c r="V1" i="235" s="1"/>
  <c r="W1" i="235" s="1"/>
  <c r="X1" i="235" s="1"/>
  <c r="Y1" i="235" s="1"/>
  <c r="Z1" i="235" s="1"/>
  <c r="AA1" i="235" s="1"/>
  <c r="AB1" i="235" s="1"/>
  <c r="AC1" i="235" s="1"/>
  <c r="AD1" i="235" s="1"/>
  <c r="AE1" i="235" s="1"/>
  <c r="AF1" i="235" s="1"/>
  <c r="AG1" i="235" s="1"/>
  <c r="AH1" i="235" s="1"/>
  <c r="AI1" i="235" s="1"/>
  <c r="AJ1" i="235" s="1"/>
  <c r="AK1" i="235" s="1"/>
  <c r="AL1" i="235" s="1"/>
  <c r="AM1" i="235" s="1"/>
  <c r="AN1" i="235" s="1"/>
  <c r="J225" i="5"/>
  <c r="B163" i="2" a="1"/>
  <c r="B163" i="2" s="1"/>
  <c r="O74" i="234"/>
  <c r="O75" i="234"/>
  <c r="O76" i="234"/>
  <c r="O77" i="234"/>
  <c r="A1" i="431"/>
  <c r="E81" i="420"/>
  <c r="F81" i="420" s="1"/>
  <c r="E82" i="420"/>
  <c r="E83" i="420"/>
  <c r="F83" i="420" s="1"/>
  <c r="E84" i="420"/>
  <c r="E85" i="420"/>
  <c r="F85" i="420" s="1"/>
  <c r="E86" i="420"/>
  <c r="AG76" i="235" l="1"/>
  <c r="V76" i="235"/>
  <c r="AL76" i="235"/>
  <c r="AD76" i="235"/>
  <c r="R76" i="235"/>
  <c r="AK76" i="235"/>
  <c r="AC76" i="235"/>
  <c r="Q76" i="235"/>
  <c r="AH76" i="235"/>
  <c r="X76" i="235"/>
  <c r="K76" i="235"/>
  <c r="F52" i="234"/>
  <c r="F53" i="234"/>
  <c r="E57" i="236" s="1"/>
  <c r="F71" i="234"/>
  <c r="F70" i="234"/>
  <c r="E74" i="236" s="1"/>
  <c r="M75" i="236"/>
  <c r="M55" i="236"/>
  <c r="M50" i="236"/>
  <c r="M38" i="236"/>
  <c r="D59" i="236"/>
  <c r="F56" i="234"/>
  <c r="F57" i="234"/>
  <c r="D63" i="236"/>
  <c r="F60" i="234"/>
  <c r="F61" i="234"/>
  <c r="F62" i="234"/>
  <c r="M74" i="236"/>
  <c r="M70" i="236"/>
  <c r="M66" i="236"/>
  <c r="M49" i="236"/>
  <c r="M41" i="236"/>
  <c r="M25" i="236"/>
  <c r="M12" i="236"/>
  <c r="F68" i="234"/>
  <c r="E72" i="236" s="1"/>
  <c r="F64" i="234"/>
  <c r="E68" i="236" s="1"/>
  <c r="F65" i="234"/>
  <c r="E69" i="236" s="1"/>
  <c r="F66" i="234"/>
  <c r="AK80" i="235"/>
  <c r="M69" i="236"/>
  <c r="M65" i="236"/>
  <c r="M57" i="236"/>
  <c r="M48" i="236"/>
  <c r="M36" i="236"/>
  <c r="M32" i="236"/>
  <c r="M24" i="236"/>
  <c r="M11" i="236"/>
  <c r="M72" i="236"/>
  <c r="M68" i="236"/>
  <c r="M64" i="236"/>
  <c r="M35" i="236"/>
  <c r="M31" i="236"/>
  <c r="M23" i="236"/>
  <c r="H13" i="5" a="1"/>
  <c r="H13" i="5" s="1"/>
  <c r="E23" i="436" s="1"/>
  <c r="DK48" i="434"/>
  <c r="L77" i="235"/>
  <c r="AF77" i="235"/>
  <c r="X77" i="235"/>
  <c r="AC78" i="235"/>
  <c r="L81" i="235"/>
  <c r="AK78" i="235"/>
  <c r="AA78" i="235"/>
  <c r="O78" i="235"/>
  <c r="F37" i="234"/>
  <c r="E41" i="236" s="1"/>
  <c r="D39" i="236"/>
  <c r="F40" i="234"/>
  <c r="E44" i="236" s="1"/>
  <c r="D43" i="236"/>
  <c r="F31" i="234"/>
  <c r="E35" i="236" s="1"/>
  <c r="D33" i="236"/>
  <c r="F34" i="234"/>
  <c r="E38" i="236" s="1"/>
  <c r="D37" i="236"/>
  <c r="F47" i="234"/>
  <c r="E51" i="236" s="1"/>
  <c r="D47" i="236"/>
  <c r="K80" i="235"/>
  <c r="AI78" i="235"/>
  <c r="W78" i="235"/>
  <c r="M78" i="235"/>
  <c r="AN76" i="235"/>
  <c r="AJ76" i="235"/>
  <c r="AF76" i="235"/>
  <c r="Z76" i="235"/>
  <c r="U76" i="235"/>
  <c r="P76" i="235"/>
  <c r="L84" i="420"/>
  <c r="K84" i="420" s="1"/>
  <c r="F84" i="420"/>
  <c r="D53" i="236"/>
  <c r="L86" i="420"/>
  <c r="K86" i="420" s="1"/>
  <c r="F86" i="420"/>
  <c r="L82" i="420"/>
  <c r="K82" i="420" s="1"/>
  <c r="F82" i="420"/>
  <c r="F21" i="234"/>
  <c r="E25" i="236" s="1"/>
  <c r="D22" i="236"/>
  <c r="F24" i="234"/>
  <c r="E28" i="236" s="1"/>
  <c r="D26" i="236"/>
  <c r="F28" i="234"/>
  <c r="E32" i="236" s="1"/>
  <c r="D30" i="236"/>
  <c r="AB79" i="235"/>
  <c r="AN79" i="235"/>
  <c r="AE78" i="235"/>
  <c r="U78" i="235"/>
  <c r="K78" i="235"/>
  <c r="Q78" i="235"/>
  <c r="AM76" i="235"/>
  <c r="AI76" i="235"/>
  <c r="AE76" i="235"/>
  <c r="Y76" i="235"/>
  <c r="T76" i="235"/>
  <c r="N76" i="235"/>
  <c r="D73" i="236"/>
  <c r="D71" i="236"/>
  <c r="D67" i="236"/>
  <c r="AM78" i="235"/>
  <c r="S78" i="235"/>
  <c r="Z80" i="235"/>
  <c r="M76" i="235"/>
  <c r="L76" i="235"/>
  <c r="AB76" i="235"/>
  <c r="W76" i="235"/>
  <c r="S76" i="235"/>
  <c r="O76" i="235"/>
  <c r="AA76" i="235"/>
  <c r="D77" i="236"/>
  <c r="D226" i="5"/>
  <c r="F4" i="458" s="1"/>
  <c r="B15" i="457" s="1"/>
  <c r="AI80" i="235"/>
  <c r="Y80" i="235"/>
  <c r="AB77" i="235"/>
  <c r="AE80" i="235"/>
  <c r="S80" i="235"/>
  <c r="AJ79" i="235"/>
  <c r="T77" i="235"/>
  <c r="AD80" i="235"/>
  <c r="Q80" i="235"/>
  <c r="AF79" i="235"/>
  <c r="AN77" i="235"/>
  <c r="P77" i="235"/>
  <c r="AM80" i="235"/>
  <c r="AH80" i="235"/>
  <c r="AC80" i="235"/>
  <c r="W80" i="235"/>
  <c r="O80" i="235"/>
  <c r="AL80" i="235"/>
  <c r="AG80" i="235"/>
  <c r="AA80" i="235"/>
  <c r="U80" i="235"/>
  <c r="M80" i="235"/>
  <c r="AG78" i="235"/>
  <c r="Y78" i="235"/>
  <c r="AJ77" i="235"/>
  <c r="A12" i="455"/>
  <c r="A11" i="455"/>
  <c r="D13" i="5"/>
  <c r="C23" i="455" s="1"/>
  <c r="B23" i="455"/>
  <c r="W15" i="26"/>
  <c r="W14" i="26"/>
  <c r="I217" i="5"/>
  <c r="I251" i="5"/>
  <c r="I249" i="5"/>
  <c r="A249" i="5" s="1"/>
  <c r="A322" i="5"/>
  <c r="I250" i="5"/>
  <c r="A250" i="5" s="1"/>
  <c r="I215" i="5"/>
  <c r="I248" i="5"/>
  <c r="A248" i="5" s="1"/>
  <c r="I247" i="5"/>
  <c r="I216" i="5"/>
  <c r="A321" i="5"/>
  <c r="A243" i="5"/>
  <c r="A239" i="5"/>
  <c r="C15" i="26"/>
  <c r="C15" i="27" s="1"/>
  <c r="F297" i="5"/>
  <c r="D297" i="5"/>
  <c r="K226" i="5"/>
  <c r="C94" i="27"/>
  <c r="C29" i="26"/>
  <c r="C29" i="27" s="1"/>
  <c r="C88" i="27"/>
  <c r="C72" i="27"/>
  <c r="C36" i="26"/>
  <c r="C36" i="27" s="1"/>
  <c r="C85" i="27"/>
  <c r="C68" i="27"/>
  <c r="C32" i="26"/>
  <c r="C32" i="27" s="1"/>
  <c r="C80" i="27"/>
  <c r="C53" i="27"/>
  <c r="C93" i="27"/>
  <c r="C65" i="27"/>
  <c r="C14" i="26"/>
  <c r="C38" i="26"/>
  <c r="C38" i="27" s="1"/>
  <c r="C34" i="26"/>
  <c r="C34" i="27" s="1"/>
  <c r="C30" i="26"/>
  <c r="C30" i="27" s="1"/>
  <c r="C49" i="27"/>
  <c r="C73" i="27"/>
  <c r="C69" i="27"/>
  <c r="C87" i="27"/>
  <c r="C82" i="27"/>
  <c r="C89" i="27"/>
  <c r="C25" i="26"/>
  <c r="C25" i="27" s="1"/>
  <c r="C61" i="27"/>
  <c r="C21" i="26"/>
  <c r="C57" i="27"/>
  <c r="C28" i="26"/>
  <c r="C28" i="27" s="1"/>
  <c r="C24" i="26"/>
  <c r="C24" i="27" s="1"/>
  <c r="C39" i="26"/>
  <c r="C39" i="27" s="1"/>
  <c r="C35" i="26"/>
  <c r="C35" i="27" s="1"/>
  <c r="C31" i="26"/>
  <c r="C31" i="27" s="1"/>
  <c r="C92" i="27"/>
  <c r="C83" i="27"/>
  <c r="C79" i="27"/>
  <c r="C75" i="27"/>
  <c r="C71" i="27"/>
  <c r="C64" i="27"/>
  <c r="C60" i="27"/>
  <c r="C52" i="27"/>
  <c r="C48" i="27"/>
  <c r="C27" i="26"/>
  <c r="C27" i="27" s="1"/>
  <c r="C23" i="26"/>
  <c r="C23" i="27" s="1"/>
  <c r="C91" i="27"/>
  <c r="C86" i="27"/>
  <c r="C74" i="27"/>
  <c r="C70" i="27"/>
  <c r="C66" i="27"/>
  <c r="C63" i="27"/>
  <c r="C50" i="27"/>
  <c r="C47" i="27"/>
  <c r="C16" i="26"/>
  <c r="C16" i="27" s="1"/>
  <c r="C26" i="26"/>
  <c r="C26" i="27" s="1"/>
  <c r="C22" i="26"/>
  <c r="C22" i="27" s="1"/>
  <c r="C37" i="26"/>
  <c r="C37" i="27" s="1"/>
  <c r="C33" i="26"/>
  <c r="C33" i="27" s="1"/>
  <c r="C43" i="26"/>
  <c r="C81" i="27"/>
  <c r="C62" i="27"/>
  <c r="C58" i="27"/>
  <c r="C54" i="27"/>
  <c r="C46" i="27"/>
  <c r="C95" i="27"/>
  <c r="AN81" i="235"/>
  <c r="AJ81" i="235"/>
  <c r="AF81" i="235"/>
  <c r="AB81" i="235"/>
  <c r="X81" i="235"/>
  <c r="T81" i="235"/>
  <c r="P81" i="235"/>
  <c r="AN80" i="235"/>
  <c r="AJ80" i="235"/>
  <c r="AF80" i="235"/>
  <c r="AB80" i="235"/>
  <c r="X80" i="235"/>
  <c r="T80" i="235"/>
  <c r="P80" i="235"/>
  <c r="L80" i="235"/>
  <c r="AL79" i="235"/>
  <c r="AH79" i="235"/>
  <c r="AD79" i="235"/>
  <c r="Z79" i="235"/>
  <c r="V79" i="235"/>
  <c r="R79" i="235"/>
  <c r="N79" i="235"/>
  <c r="X79" i="235"/>
  <c r="T79" i="235"/>
  <c r="P79" i="235"/>
  <c r="L79" i="235"/>
  <c r="M81" i="235"/>
  <c r="L78" i="235"/>
  <c r="N80" i="235"/>
  <c r="K79" i="235"/>
  <c r="M77" i="235"/>
  <c r="AM81" i="235"/>
  <c r="AI81" i="235"/>
  <c r="AE81" i="235"/>
  <c r="AA81" i="235"/>
  <c r="W81" i="235"/>
  <c r="S81" i="235"/>
  <c r="O81" i="235"/>
  <c r="K81" i="235"/>
  <c r="V80" i="235"/>
  <c r="R80" i="235"/>
  <c r="AK79" i="235"/>
  <c r="AG79" i="235"/>
  <c r="AC79" i="235"/>
  <c r="Y79" i="235"/>
  <c r="U79" i="235"/>
  <c r="Q79" i="235"/>
  <c r="M79" i="235"/>
  <c r="AN78" i="235"/>
  <c r="AJ78" i="235"/>
  <c r="AF78" i="235"/>
  <c r="AB78" i="235"/>
  <c r="X78" i="235"/>
  <c r="T78" i="235"/>
  <c r="P78" i="235"/>
  <c r="AM77" i="235"/>
  <c r="AI77" i="235"/>
  <c r="AE77" i="235"/>
  <c r="AA77" i="235"/>
  <c r="W77" i="235"/>
  <c r="S77" i="235"/>
  <c r="O77" i="235"/>
  <c r="K77" i="235"/>
  <c r="AL81" i="235"/>
  <c r="AH81" i="235"/>
  <c r="AD81" i="235"/>
  <c r="Z81" i="235"/>
  <c r="V81" i="235"/>
  <c r="R81" i="235"/>
  <c r="N81" i="235"/>
  <c r="I81" i="235"/>
  <c r="O81" i="236" s="1"/>
  <c r="O86" i="420" s="1"/>
  <c r="AL77" i="235"/>
  <c r="AH77" i="235"/>
  <c r="AD77" i="235"/>
  <c r="Z77" i="235"/>
  <c r="V77" i="235"/>
  <c r="R77" i="235"/>
  <c r="N77" i="235"/>
  <c r="I77" i="235"/>
  <c r="O77" i="236" s="1"/>
  <c r="O82" i="420" s="1"/>
  <c r="AK81" i="235"/>
  <c r="AG81" i="235"/>
  <c r="AC81" i="235"/>
  <c r="Y81" i="235"/>
  <c r="U81" i="235"/>
  <c r="Q81" i="235"/>
  <c r="AM79" i="235"/>
  <c r="AI79" i="235"/>
  <c r="AE79" i="235"/>
  <c r="AA79" i="235"/>
  <c r="W79" i="235"/>
  <c r="S79" i="235"/>
  <c r="O79" i="235"/>
  <c r="AL78" i="235"/>
  <c r="AH78" i="235"/>
  <c r="AD78" i="235"/>
  <c r="Z78" i="235"/>
  <c r="V78" i="235"/>
  <c r="R78" i="235"/>
  <c r="N78" i="235"/>
  <c r="AK77" i="235"/>
  <c r="AG77" i="235"/>
  <c r="AC77" i="235"/>
  <c r="Y77" i="235"/>
  <c r="U77" i="235"/>
  <c r="Q77" i="235"/>
  <c r="F19" i="234"/>
  <c r="E23" i="236" s="1"/>
  <c r="F20" i="234"/>
  <c r="E24" i="236" s="1"/>
  <c r="F46" i="234"/>
  <c r="E50" i="236" s="1"/>
  <c r="F27" i="234"/>
  <c r="E31" i="236" s="1"/>
  <c r="E70" i="236"/>
  <c r="F44" i="234"/>
  <c r="E48" i="236" s="1"/>
  <c r="F25" i="234"/>
  <c r="E29" i="236" s="1"/>
  <c r="F30" i="234"/>
  <c r="E34" i="236" s="1"/>
  <c r="F36" i="234"/>
  <c r="E40" i="236" s="1"/>
  <c r="F42" i="234"/>
  <c r="E46" i="236" s="1"/>
  <c r="E56" i="236"/>
  <c r="F32" i="234"/>
  <c r="E36" i="236" s="1"/>
  <c r="F41" i="234"/>
  <c r="E45" i="236" s="1"/>
  <c r="F45" i="234"/>
  <c r="E49" i="236" s="1"/>
  <c r="F51" i="234"/>
  <c r="E55" i="236" s="1"/>
  <c r="F50" i="234"/>
  <c r="E54" i="236" s="1"/>
  <c r="L83" i="420"/>
  <c r="K83" i="420" s="1"/>
  <c r="L85" i="420"/>
  <c r="K85" i="420" s="1"/>
  <c r="L81" i="420"/>
  <c r="K81" i="420" s="1"/>
  <c r="A1" i="448"/>
  <c r="M16" i="2"/>
  <c r="B12" i="437"/>
  <c r="C12" i="437" s="1"/>
  <c r="C16" i="436" s="1"/>
  <c r="B13" i="437"/>
  <c r="C13" i="437" s="1"/>
  <c r="C17" i="436" s="1"/>
  <c r="B14" i="437"/>
  <c r="B18" i="436" s="1"/>
  <c r="B15" i="437"/>
  <c r="C15" i="437" s="1"/>
  <c r="C19" i="436" s="1"/>
  <c r="A15" i="437"/>
  <c r="A19" i="436" s="1"/>
  <c r="A14" i="437"/>
  <c r="A18" i="436" s="1"/>
  <c r="A13" i="437"/>
  <c r="A17" i="436" s="1"/>
  <c r="A12" i="437"/>
  <c r="A16" i="436" s="1"/>
  <c r="X83" i="236" l="1"/>
  <c r="X77" i="236"/>
  <c r="BE77" i="236"/>
  <c r="AN83" i="236"/>
  <c r="AN77" i="236"/>
  <c r="BU77" i="236"/>
  <c r="AC84" i="236"/>
  <c r="BJ78" i="236"/>
  <c r="AC78" i="236"/>
  <c r="AS84" i="236"/>
  <c r="BZ78" i="236"/>
  <c r="AS78" i="236"/>
  <c r="AH85" i="236"/>
  <c r="BO79" i="236"/>
  <c r="AH79" i="236"/>
  <c r="X87" i="236"/>
  <c r="X81" i="236"/>
  <c r="BE81" i="236"/>
  <c r="AN87" i="236"/>
  <c r="BU81" i="236"/>
  <c r="AN81" i="236"/>
  <c r="Y83" i="236"/>
  <c r="Y77" i="236"/>
  <c r="BF77" i="236"/>
  <c r="AO83" i="236"/>
  <c r="AO77" i="236"/>
  <c r="BV77" i="236"/>
  <c r="Y87" i="236"/>
  <c r="BF81" i="236"/>
  <c r="Y81" i="236"/>
  <c r="AO87" i="236"/>
  <c r="AO81" i="236"/>
  <c r="BV81" i="236"/>
  <c r="Z83" i="236"/>
  <c r="BG77" i="236"/>
  <c r="Z77" i="236"/>
  <c r="AP83" i="236"/>
  <c r="BW77" i="236"/>
  <c r="AP77" i="236"/>
  <c r="AE84" i="236"/>
  <c r="BL78" i="236"/>
  <c r="AE78" i="236"/>
  <c r="AU84" i="236"/>
  <c r="CB78" i="236"/>
  <c r="AU78" i="236"/>
  <c r="AF85" i="236"/>
  <c r="BM79" i="236"/>
  <c r="AF79" i="236"/>
  <c r="Y86" i="236"/>
  <c r="Y80" i="236"/>
  <c r="BF80" i="236"/>
  <c r="Z87" i="236"/>
  <c r="BG81" i="236"/>
  <c r="Z81" i="236"/>
  <c r="AP87" i="236"/>
  <c r="BW81" i="236"/>
  <c r="AP81" i="236"/>
  <c r="U86" i="236"/>
  <c r="BB80" i="236"/>
  <c r="U80" i="236"/>
  <c r="W85" i="236"/>
  <c r="BD79" i="236"/>
  <c r="W79" i="236"/>
  <c r="Y85" i="236"/>
  <c r="BF79" i="236"/>
  <c r="Y79" i="236"/>
  <c r="AO85" i="236"/>
  <c r="BV79" i="236"/>
  <c r="AO79" i="236"/>
  <c r="AA86" i="236"/>
  <c r="BH80" i="236"/>
  <c r="AA80" i="236"/>
  <c r="AQ86" i="236"/>
  <c r="BX80" i="236"/>
  <c r="AQ80" i="236"/>
  <c r="AE87" i="236"/>
  <c r="AE81" i="236"/>
  <c r="BL81" i="236"/>
  <c r="AU87" i="236"/>
  <c r="CB81" i="236"/>
  <c r="AU81" i="236"/>
  <c r="T86" i="236"/>
  <c r="T80" i="236"/>
  <c r="BA80" i="236"/>
  <c r="AS86" i="236"/>
  <c r="AS80" i="236"/>
  <c r="BZ80" i="236"/>
  <c r="AO86" i="236"/>
  <c r="AO80" i="236"/>
  <c r="BV80" i="236"/>
  <c r="AM85" i="236"/>
  <c r="BT79" i="236"/>
  <c r="AM79" i="236"/>
  <c r="AQ85" i="236"/>
  <c r="AQ79" i="236"/>
  <c r="BX79" i="236"/>
  <c r="AF86" i="236"/>
  <c r="BM80" i="236"/>
  <c r="AF80" i="236"/>
  <c r="Z84" i="236"/>
  <c r="Z78" i="236"/>
  <c r="BG78" i="236"/>
  <c r="R84" i="236"/>
  <c r="R78" i="236"/>
  <c r="AY78" i="236"/>
  <c r="AI85" i="236"/>
  <c r="BP79" i="236"/>
  <c r="AI79" i="236"/>
  <c r="R86" i="236"/>
  <c r="AY80" i="236"/>
  <c r="R80" i="236"/>
  <c r="AH84" i="236"/>
  <c r="AH78" i="236"/>
  <c r="BO78" i="236"/>
  <c r="AE83" i="236"/>
  <c r="BL77" i="236"/>
  <c r="AE77" i="236"/>
  <c r="AB83" i="236"/>
  <c r="BI77" i="236"/>
  <c r="AB77" i="236"/>
  <c r="AR83" i="236"/>
  <c r="BY77" i="236"/>
  <c r="AR77" i="236"/>
  <c r="AG84" i="236"/>
  <c r="BN78" i="236"/>
  <c r="AG78" i="236"/>
  <c r="V85" i="236"/>
  <c r="V79" i="236"/>
  <c r="BC79" i="236"/>
  <c r="AL85" i="236"/>
  <c r="AL79" i="236"/>
  <c r="BS79" i="236"/>
  <c r="AB87" i="236"/>
  <c r="AB81" i="236"/>
  <c r="BI81" i="236"/>
  <c r="AR87" i="236"/>
  <c r="BY81" i="236"/>
  <c r="AR81" i="236"/>
  <c r="AC83" i="236"/>
  <c r="BJ77" i="236"/>
  <c r="AC77" i="236"/>
  <c r="AS83" i="236"/>
  <c r="BZ77" i="236"/>
  <c r="AS77" i="236"/>
  <c r="AC87" i="236"/>
  <c r="BJ81" i="236"/>
  <c r="AC81" i="236"/>
  <c r="AS87" i="236"/>
  <c r="BZ81" i="236"/>
  <c r="AS81" i="236"/>
  <c r="AD83" i="236"/>
  <c r="BK77" i="236"/>
  <c r="AD77" i="236"/>
  <c r="AT83" i="236"/>
  <c r="CA77" i="236"/>
  <c r="AT77" i="236"/>
  <c r="AI84" i="236"/>
  <c r="BP78" i="236"/>
  <c r="AI78" i="236"/>
  <c r="T85" i="236"/>
  <c r="BA79" i="236"/>
  <c r="T79" i="236"/>
  <c r="AJ85" i="236"/>
  <c r="BQ79" i="236"/>
  <c r="AJ79" i="236"/>
  <c r="AC86" i="236"/>
  <c r="AC80" i="236"/>
  <c r="BJ80" i="236"/>
  <c r="AD87" i="236"/>
  <c r="BK81" i="236"/>
  <c r="AD81" i="236"/>
  <c r="AT87" i="236"/>
  <c r="CA81" i="236"/>
  <c r="AT81" i="236"/>
  <c r="S84" i="236"/>
  <c r="AZ78" i="236"/>
  <c r="S78" i="236"/>
  <c r="AA85" i="236"/>
  <c r="AA79" i="236"/>
  <c r="BH79" i="236"/>
  <c r="AC85" i="236"/>
  <c r="BJ79" i="236"/>
  <c r="AC79" i="236"/>
  <c r="AS85" i="236"/>
  <c r="BZ79" i="236"/>
  <c r="AS79" i="236"/>
  <c r="AE86" i="236"/>
  <c r="BL80" i="236"/>
  <c r="AE80" i="236"/>
  <c r="AU86" i="236"/>
  <c r="CB80" i="236"/>
  <c r="AU80" i="236"/>
  <c r="AI87" i="236"/>
  <c r="BP81" i="236"/>
  <c r="AI81" i="236"/>
  <c r="AQ83" i="236"/>
  <c r="BX77" i="236"/>
  <c r="AQ77" i="236"/>
  <c r="AB86" i="236"/>
  <c r="BI80" i="236"/>
  <c r="AB80" i="236"/>
  <c r="V86" i="236"/>
  <c r="V80" i="236"/>
  <c r="BC80" i="236"/>
  <c r="AT86" i="236"/>
  <c r="AT80" i="236"/>
  <c r="CA80" i="236"/>
  <c r="X86" i="236"/>
  <c r="X80" i="236"/>
  <c r="BE80" i="236"/>
  <c r="Z86" i="236"/>
  <c r="Z80" i="236"/>
  <c r="BG80" i="236"/>
  <c r="AP86" i="236"/>
  <c r="AP80" i="236"/>
  <c r="BW80" i="236"/>
  <c r="AT84" i="236"/>
  <c r="AT78" i="236"/>
  <c r="CA78" i="236"/>
  <c r="AB84" i="236"/>
  <c r="BI78" i="236"/>
  <c r="AB78" i="236"/>
  <c r="T84" i="236"/>
  <c r="BA78" i="236"/>
  <c r="T78" i="236"/>
  <c r="AR84" i="236"/>
  <c r="BY78" i="236"/>
  <c r="AR78" i="236"/>
  <c r="AM83" i="236"/>
  <c r="BT77" i="236"/>
  <c r="AM77" i="236"/>
  <c r="AF83" i="236"/>
  <c r="AF77" i="236"/>
  <c r="BM77" i="236"/>
  <c r="U84" i="236"/>
  <c r="BB78" i="236"/>
  <c r="U78" i="236"/>
  <c r="AK84" i="236"/>
  <c r="BR78" i="236"/>
  <c r="AK78" i="236"/>
  <c r="Z85" i="236"/>
  <c r="BG79" i="236"/>
  <c r="Z79" i="236"/>
  <c r="AP85" i="236"/>
  <c r="BW79" i="236"/>
  <c r="AP79" i="236"/>
  <c r="AF87" i="236"/>
  <c r="AF81" i="236"/>
  <c r="BM81" i="236"/>
  <c r="AG83" i="236"/>
  <c r="BN77" i="236"/>
  <c r="AG77" i="236"/>
  <c r="AG87" i="236"/>
  <c r="AG81" i="236"/>
  <c r="BN81" i="236"/>
  <c r="R83" i="236"/>
  <c r="AY77" i="236"/>
  <c r="R77" i="236"/>
  <c r="AH83" i="236"/>
  <c r="BO77" i="236"/>
  <c r="AH77" i="236"/>
  <c r="W84" i="236"/>
  <c r="BD78" i="236"/>
  <c r="W78" i="236"/>
  <c r="AM84" i="236"/>
  <c r="BT78" i="236"/>
  <c r="AM78" i="236"/>
  <c r="X85" i="236"/>
  <c r="BE79" i="236"/>
  <c r="X79" i="236"/>
  <c r="AN85" i="236"/>
  <c r="BU79" i="236"/>
  <c r="AN79" i="236"/>
  <c r="AY81" i="236"/>
  <c r="R81" i="236"/>
  <c r="AH87" i="236"/>
  <c r="BO81" i="236"/>
  <c r="AH81" i="236"/>
  <c r="T83" i="236"/>
  <c r="T77" i="236"/>
  <c r="BA77" i="236"/>
  <c r="T87" i="236"/>
  <c r="T81" i="236"/>
  <c r="BA81" i="236"/>
  <c r="AE85" i="236"/>
  <c r="BL79" i="236"/>
  <c r="AE79" i="236"/>
  <c r="AG85" i="236"/>
  <c r="AG79" i="236"/>
  <c r="BN79" i="236"/>
  <c r="S86" i="236"/>
  <c r="AZ80" i="236"/>
  <c r="S80" i="236"/>
  <c r="AI86" i="236"/>
  <c r="BP80" i="236"/>
  <c r="AI80" i="236"/>
  <c r="W87" i="236"/>
  <c r="W81" i="236"/>
  <c r="BD81" i="236"/>
  <c r="AM87" i="236"/>
  <c r="AM81" i="236"/>
  <c r="BT81" i="236"/>
  <c r="AF84" i="236"/>
  <c r="BM78" i="236"/>
  <c r="AF78" i="236"/>
  <c r="AH86" i="236"/>
  <c r="AH80" i="236"/>
  <c r="BO80" i="236"/>
  <c r="AD86" i="236"/>
  <c r="AD80" i="236"/>
  <c r="BK80" i="236"/>
  <c r="W83" i="236"/>
  <c r="BD77" i="236"/>
  <c r="W77" i="236"/>
  <c r="AK86" i="236"/>
  <c r="BR80" i="236"/>
  <c r="AK80" i="236"/>
  <c r="AL86" i="236"/>
  <c r="AL80" i="236"/>
  <c r="BS80" i="236"/>
  <c r="AL84" i="236"/>
  <c r="AL78" i="236"/>
  <c r="BS78" i="236"/>
  <c r="AD84" i="236"/>
  <c r="AD78" i="236"/>
  <c r="BK78" i="236"/>
  <c r="S87" i="236"/>
  <c r="AZ81" i="236"/>
  <c r="S81" i="236"/>
  <c r="S83" i="236"/>
  <c r="AZ77" i="236"/>
  <c r="S77" i="236"/>
  <c r="AJ83" i="236"/>
  <c r="AJ77" i="236"/>
  <c r="BQ77" i="236"/>
  <c r="Y84" i="236"/>
  <c r="BF78" i="236"/>
  <c r="Y78" i="236"/>
  <c r="AO84" i="236"/>
  <c r="BV78" i="236"/>
  <c r="AO78" i="236"/>
  <c r="AD85" i="236"/>
  <c r="BK79" i="236"/>
  <c r="AD79" i="236"/>
  <c r="AT85" i="236"/>
  <c r="CA79" i="236"/>
  <c r="AT79" i="236"/>
  <c r="AJ87" i="236"/>
  <c r="AJ81" i="236"/>
  <c r="BQ81" i="236"/>
  <c r="U83" i="236"/>
  <c r="U77" i="236"/>
  <c r="BB77" i="236"/>
  <c r="AK83" i="236"/>
  <c r="AK77" i="236"/>
  <c r="BR77" i="236"/>
  <c r="U87" i="236"/>
  <c r="U81" i="236"/>
  <c r="BB81" i="236"/>
  <c r="AK87" i="236"/>
  <c r="AK81" i="236"/>
  <c r="BR81" i="236"/>
  <c r="V83" i="236"/>
  <c r="BC77" i="236"/>
  <c r="V77" i="236"/>
  <c r="AL83" i="236"/>
  <c r="BS77" i="236"/>
  <c r="AL77" i="236"/>
  <c r="AA84" i="236"/>
  <c r="BH78" i="236"/>
  <c r="AA78" i="236"/>
  <c r="AQ84" i="236"/>
  <c r="BX78" i="236"/>
  <c r="AQ78" i="236"/>
  <c r="AB85" i="236"/>
  <c r="BI79" i="236"/>
  <c r="AB79" i="236"/>
  <c r="AR85" i="236"/>
  <c r="BY79" i="236"/>
  <c r="AR79" i="236"/>
  <c r="V87" i="236"/>
  <c r="BC81" i="236"/>
  <c r="V81" i="236"/>
  <c r="AL87" i="236"/>
  <c r="BS81" i="236"/>
  <c r="AL81" i="236"/>
  <c r="R79" i="236"/>
  <c r="AY79" i="236"/>
  <c r="S85" i="236"/>
  <c r="AZ79" i="236"/>
  <c r="S79" i="236"/>
  <c r="U85" i="236"/>
  <c r="BB79" i="236"/>
  <c r="U79" i="236"/>
  <c r="AK85" i="236"/>
  <c r="BR79" i="236"/>
  <c r="AK79" i="236"/>
  <c r="W86" i="236"/>
  <c r="BD80" i="236"/>
  <c r="W80" i="236"/>
  <c r="AM86" i="236"/>
  <c r="BT80" i="236"/>
  <c r="AM80" i="236"/>
  <c r="AA87" i="236"/>
  <c r="AA81" i="236"/>
  <c r="BH81" i="236"/>
  <c r="AQ87" i="236"/>
  <c r="BX81" i="236"/>
  <c r="AQ81" i="236"/>
  <c r="AN84" i="236"/>
  <c r="BU78" i="236"/>
  <c r="AN78" i="236"/>
  <c r="AN86" i="236"/>
  <c r="AN80" i="236"/>
  <c r="BU80" i="236"/>
  <c r="AJ86" i="236"/>
  <c r="AJ80" i="236"/>
  <c r="BQ80" i="236"/>
  <c r="AU83" i="236"/>
  <c r="CB77" i="236"/>
  <c r="AU77" i="236"/>
  <c r="AA83" i="236"/>
  <c r="BH77" i="236"/>
  <c r="AA77" i="236"/>
  <c r="AI83" i="236"/>
  <c r="BP77" i="236"/>
  <c r="AI77" i="236"/>
  <c r="AG86" i="236"/>
  <c r="BN80" i="236"/>
  <c r="AG80" i="236"/>
  <c r="X84" i="236"/>
  <c r="BE78" i="236"/>
  <c r="X78" i="236"/>
  <c r="AU85" i="236"/>
  <c r="CB79" i="236"/>
  <c r="AU79" i="236"/>
  <c r="AP84" i="236"/>
  <c r="AP78" i="236"/>
  <c r="BW78" i="236"/>
  <c r="V84" i="236"/>
  <c r="V78" i="236"/>
  <c r="BC78" i="236"/>
  <c r="AJ84" i="236"/>
  <c r="BQ78" i="236"/>
  <c r="AJ78" i="236"/>
  <c r="AR86" i="236"/>
  <c r="BY80" i="236"/>
  <c r="AR80" i="236"/>
  <c r="L76" i="236" a="1"/>
  <c r="L76" i="236" s="1"/>
  <c r="K76" i="236" a="1"/>
  <c r="K76" i="236" s="1"/>
  <c r="K78" i="236" a="1"/>
  <c r="K78" i="236" s="1"/>
  <c r="L80" i="236" a="1"/>
  <c r="L80" i="236" s="1"/>
  <c r="K77" i="236" a="1"/>
  <c r="K77" i="236" s="1"/>
  <c r="L77" i="236" a="1"/>
  <c r="L77" i="236" s="1"/>
  <c r="K81" i="236" a="1"/>
  <c r="K81" i="236" s="1"/>
  <c r="R87" i="236"/>
  <c r="L81" i="236" a="1"/>
  <c r="L81" i="236" s="1"/>
  <c r="K80" i="236" a="1"/>
  <c r="K80" i="236" s="1"/>
  <c r="K79" i="236" a="1"/>
  <c r="K79" i="236" s="1"/>
  <c r="L79" i="236" a="1"/>
  <c r="L79" i="236" s="1"/>
  <c r="R85" i="236"/>
  <c r="L78" i="236" a="1"/>
  <c r="L78" i="236" s="1"/>
  <c r="M76" i="236"/>
  <c r="U4" i="459"/>
  <c r="B4" i="458"/>
  <c r="D23" i="455"/>
  <c r="V23" i="455" s="1"/>
  <c r="W23" i="455"/>
  <c r="U23" i="455"/>
  <c r="A251" i="5"/>
  <c r="A247" i="5"/>
  <c r="B19" i="436"/>
  <c r="B17" i="436"/>
  <c r="C14" i="437"/>
  <c r="C18" i="436" s="1"/>
  <c r="D16" i="436" s="1"/>
  <c r="B16" i="436"/>
  <c r="AO42" i="453"/>
  <c r="BJ42" i="453" s="1"/>
  <c r="CE42" i="453" s="1"/>
  <c r="CZ42" i="453" s="1"/>
  <c r="AO43" i="453"/>
  <c r="BJ43" i="453" s="1"/>
  <c r="CE43" i="453" s="1"/>
  <c r="CZ43" i="453" s="1"/>
  <c r="AO41" i="453"/>
  <c r="BJ41" i="453" s="1"/>
  <c r="CE41" i="453" s="1"/>
  <c r="CZ41" i="453" s="1"/>
  <c r="M78" i="236" l="1"/>
  <c r="M81" i="236"/>
  <c r="M77" i="236"/>
  <c r="M79" i="236"/>
  <c r="M80" i="236"/>
  <c r="D4" i="437"/>
  <c r="AF1" i="436"/>
  <c r="AV1" i="436"/>
  <c r="A1" i="452"/>
  <c r="C16" i="453"/>
  <c r="C15" i="453"/>
  <c r="C14" i="453"/>
  <c r="C13" i="453"/>
  <c r="C12" i="453"/>
  <c r="C11" i="453"/>
  <c r="C10" i="453"/>
  <c r="C9" i="453"/>
  <c r="C8" i="453"/>
  <c r="E38" i="453"/>
  <c r="B38" i="453"/>
  <c r="B3" i="453"/>
  <c r="B2" i="453"/>
  <c r="G1" i="453"/>
  <c r="B1" i="453"/>
  <c r="D6" i="452"/>
  <c r="BS4" i="453"/>
  <c r="AX4" i="453"/>
  <c r="AC4" i="453"/>
  <c r="H4" i="453"/>
  <c r="T51" i="452"/>
  <c r="AA51" i="452" s="1"/>
  <c r="AH51" i="452" s="1"/>
  <c r="T50" i="452"/>
  <c r="AA50" i="452" s="1"/>
  <c r="AH50" i="452" s="1"/>
  <c r="T49" i="452"/>
  <c r="AA49" i="452" s="1"/>
  <c r="AH49" i="452" s="1"/>
  <c r="H85" i="420" l="1"/>
  <c r="AL76" i="234"/>
  <c r="AM76" i="234"/>
  <c r="AN76" i="234"/>
  <c r="H86" i="420"/>
  <c r="AL77" i="234"/>
  <c r="AM77" i="234"/>
  <c r="AN77" i="234"/>
  <c r="BC2" i="238"/>
  <c r="BC3" i="238" s="1"/>
  <c r="E15" i="450"/>
  <c r="D15" i="450"/>
  <c r="B43" i="450"/>
  <c r="B44" i="450"/>
  <c r="B45" i="450"/>
  <c r="B46" i="450"/>
  <c r="B47" i="450"/>
  <c r="B48" i="450"/>
  <c r="B42" i="450"/>
  <c r="B41" i="450"/>
  <c r="B40" i="450"/>
  <c r="B39" i="450"/>
  <c r="B38" i="450"/>
  <c r="B37" i="450"/>
  <c r="B36" i="450"/>
  <c r="B35" i="450"/>
  <c r="B34" i="450"/>
  <c r="B33" i="450"/>
  <c r="B32" i="450"/>
  <c r="B31" i="450"/>
  <c r="B30" i="450"/>
  <c r="B29" i="450"/>
  <c r="B28" i="450"/>
  <c r="B27" i="450"/>
  <c r="B26" i="450"/>
  <c r="B25" i="450"/>
  <c r="B24" i="450"/>
  <c r="B23" i="450"/>
  <c r="B22" i="450"/>
  <c r="B21" i="450"/>
  <c r="B20" i="450"/>
  <c r="B19" i="450"/>
  <c r="B4" i="451"/>
  <c r="A2" i="451"/>
  <c r="B1" i="451"/>
  <c r="B5" i="450"/>
  <c r="B4" i="450"/>
  <c r="E2" i="450"/>
  <c r="D2" i="450"/>
  <c r="E1" i="450"/>
  <c r="D1" i="450"/>
  <c r="D6" i="448"/>
  <c r="A4" i="448"/>
  <c r="B6" i="447"/>
  <c r="A1" i="447"/>
  <c r="H81" i="235" l="1"/>
  <c r="N81" i="236" s="1"/>
  <c r="N86" i="420" s="1"/>
  <c r="H80" i="235"/>
  <c r="N80" i="236" s="1"/>
  <c r="N85" i="420" s="1"/>
  <c r="BC5" i="238"/>
  <c r="BC7" i="238"/>
  <c r="BC9" i="238"/>
  <c r="BC11" i="238"/>
  <c r="BC13" i="238"/>
  <c r="BC15" i="238"/>
  <c r="BC17" i="238"/>
  <c r="BC19" i="238"/>
  <c r="BC21" i="238"/>
  <c r="BC23" i="238"/>
  <c r="BC25" i="238"/>
  <c r="BC27" i="238"/>
  <c r="BC29" i="238"/>
  <c r="BC31" i="238"/>
  <c r="BC4" i="238"/>
  <c r="BC6" i="238"/>
  <c r="BC8" i="238"/>
  <c r="BC10" i="238"/>
  <c r="BC12" i="238"/>
  <c r="BC14" i="238"/>
  <c r="BC16" i="238"/>
  <c r="BC18" i="238"/>
  <c r="BC20" i="238"/>
  <c r="BC22" i="238"/>
  <c r="BC24" i="238"/>
  <c r="BC26" i="238"/>
  <c r="BC28" i="238"/>
  <c r="BC30" i="238"/>
  <c r="BC32" i="238"/>
  <c r="H8" i="451"/>
  <c r="AA3" i="451"/>
  <c r="A20" i="450"/>
  <c r="A21" i="450" s="1"/>
  <c r="A22" i="450" s="1"/>
  <c r="A23" i="450" s="1"/>
  <c r="A24" i="450" s="1"/>
  <c r="A25" i="450" s="1"/>
  <c r="A26" i="450" s="1"/>
  <c r="A27" i="450" s="1"/>
  <c r="A28" i="450" s="1"/>
  <c r="A29" i="450" s="1"/>
  <c r="A30" i="450" s="1"/>
  <c r="A31" i="450" s="1"/>
  <c r="A32" i="450" s="1"/>
  <c r="A33" i="450" s="1"/>
  <c r="A34" i="450" s="1"/>
  <c r="A35" i="450" s="1"/>
  <c r="A36" i="450" s="1"/>
  <c r="A37" i="450" s="1"/>
  <c r="A38" i="450" s="1"/>
  <c r="A39" i="450" s="1"/>
  <c r="A40" i="450" s="1"/>
  <c r="A41" i="450" s="1"/>
  <c r="A42" i="450" s="1"/>
  <c r="A43" i="450" s="1"/>
  <c r="A44" i="450" s="1"/>
  <c r="A45" i="450" s="1"/>
  <c r="A46" i="450" s="1"/>
  <c r="A47" i="450" s="1"/>
  <c r="A48" i="450" s="1"/>
  <c r="B83" i="449"/>
  <c r="E62" i="449"/>
  <c r="H62" i="449" s="1"/>
  <c r="D62" i="449"/>
  <c r="G62" i="449" s="1"/>
  <c r="E58" i="449"/>
  <c r="D58" i="449"/>
  <c r="L66" i="448"/>
  <c r="K66" i="448"/>
  <c r="J66" i="448"/>
  <c r="G66" i="448"/>
  <c r="F66" i="448"/>
  <c r="E66" i="448"/>
  <c r="L65" i="448"/>
  <c r="K65" i="448"/>
  <c r="J65" i="448"/>
  <c r="G65" i="448"/>
  <c r="F65" i="448"/>
  <c r="E65" i="448"/>
  <c r="L64" i="448"/>
  <c r="K64" i="448"/>
  <c r="J64" i="448"/>
  <c r="G64" i="448"/>
  <c r="F64" i="448"/>
  <c r="E64" i="448"/>
  <c r="L63" i="448"/>
  <c r="K63" i="448"/>
  <c r="J63" i="448"/>
  <c r="G63" i="448"/>
  <c r="F63" i="448"/>
  <c r="E63" i="448"/>
  <c r="L62" i="448"/>
  <c r="K62" i="448"/>
  <c r="J62" i="448"/>
  <c r="G62" i="448"/>
  <c r="F62" i="448"/>
  <c r="E62" i="448"/>
  <c r="L61" i="448"/>
  <c r="K61" i="448"/>
  <c r="J61" i="448"/>
  <c r="G61" i="448"/>
  <c r="F61" i="448"/>
  <c r="E61" i="448"/>
  <c r="L60" i="448"/>
  <c r="K60" i="448"/>
  <c r="J60" i="448"/>
  <c r="G60" i="448"/>
  <c r="F60" i="448"/>
  <c r="E60" i="448"/>
  <c r="L59" i="448"/>
  <c r="K59" i="448"/>
  <c r="J59" i="448"/>
  <c r="G59" i="448"/>
  <c r="F59" i="448"/>
  <c r="E59" i="448"/>
  <c r="B8" i="432"/>
  <c r="C8" i="432"/>
  <c r="W8" i="432"/>
  <c r="Z8" i="432"/>
  <c r="B9" i="432"/>
  <c r="C9" i="432"/>
  <c r="W9" i="432"/>
  <c r="Z9" i="432"/>
  <c r="B10" i="432"/>
  <c r="C10" i="432"/>
  <c r="W10" i="432"/>
  <c r="Z10" i="432"/>
  <c r="B11" i="432"/>
  <c r="C11" i="432"/>
  <c r="W11" i="432"/>
  <c r="Z11" i="432"/>
  <c r="B12" i="432"/>
  <c r="C12" i="432"/>
  <c r="W12" i="432"/>
  <c r="Z12" i="432"/>
  <c r="B13" i="432"/>
  <c r="C13" i="432"/>
  <c r="W13" i="432"/>
  <c r="Z13" i="432"/>
  <c r="B14" i="432"/>
  <c r="C14" i="432"/>
  <c r="W14" i="432"/>
  <c r="Z14" i="432"/>
  <c r="B15" i="432"/>
  <c r="C15" i="432"/>
  <c r="W15" i="432"/>
  <c r="Z15" i="432"/>
  <c r="B16" i="432"/>
  <c r="C16" i="432"/>
  <c r="W16" i="432"/>
  <c r="Z16" i="432"/>
  <c r="B17" i="432"/>
  <c r="C17" i="432"/>
  <c r="W17" i="432"/>
  <c r="Z17" i="432"/>
  <c r="B18" i="432"/>
  <c r="C18" i="432"/>
  <c r="W18" i="432"/>
  <c r="Z18" i="432"/>
  <c r="B19" i="432"/>
  <c r="C19" i="432"/>
  <c r="W19" i="432"/>
  <c r="Z19" i="432"/>
  <c r="B20" i="432"/>
  <c r="C20" i="432"/>
  <c r="W20" i="432"/>
  <c r="Z20" i="432"/>
  <c r="B21" i="432"/>
  <c r="C21" i="432"/>
  <c r="W21" i="432"/>
  <c r="Z21" i="432"/>
  <c r="B22" i="432"/>
  <c r="C22" i="432"/>
  <c r="W22" i="432"/>
  <c r="Z22" i="432"/>
  <c r="B23" i="432"/>
  <c r="C23" i="432"/>
  <c r="W23" i="432"/>
  <c r="Z23" i="432"/>
  <c r="B24" i="432"/>
  <c r="C24" i="432"/>
  <c r="W24" i="432"/>
  <c r="Z24" i="432"/>
  <c r="B25" i="432"/>
  <c r="C25" i="432"/>
  <c r="W25" i="432"/>
  <c r="Z25" i="432"/>
  <c r="B26" i="432"/>
  <c r="C26" i="432"/>
  <c r="W26" i="432"/>
  <c r="Z26" i="432"/>
  <c r="B27" i="432"/>
  <c r="C27" i="432"/>
  <c r="W27" i="432"/>
  <c r="Z27" i="432"/>
  <c r="B28" i="432"/>
  <c r="C28" i="432"/>
  <c r="W28" i="432"/>
  <c r="Z28" i="432"/>
  <c r="B29" i="432"/>
  <c r="C29" i="432"/>
  <c r="W29" i="432"/>
  <c r="Z29" i="432"/>
  <c r="B30" i="432"/>
  <c r="C30" i="432"/>
  <c r="W30" i="432"/>
  <c r="Z30" i="432"/>
  <c r="B31" i="432"/>
  <c r="C31" i="432"/>
  <c r="W31" i="432"/>
  <c r="Z31" i="432"/>
  <c r="B32" i="432"/>
  <c r="C32" i="432"/>
  <c r="W32" i="432"/>
  <c r="Z32" i="432"/>
  <c r="B33" i="432"/>
  <c r="C33" i="432"/>
  <c r="W33" i="432"/>
  <c r="Z33" i="432"/>
  <c r="B34" i="432"/>
  <c r="C34" i="432"/>
  <c r="W34" i="432"/>
  <c r="Z34" i="432"/>
  <c r="B35" i="432"/>
  <c r="C35" i="432"/>
  <c r="W35" i="432"/>
  <c r="Z35" i="432"/>
  <c r="CH3" i="236"/>
  <c r="CF3" i="236"/>
  <c r="AV99" i="236"/>
  <c r="BT4" i="238"/>
  <c r="BT8" i="238"/>
  <c r="BH3" i="238"/>
  <c r="BI3" i="238"/>
  <c r="BJ3" i="238"/>
  <c r="BK3" i="238"/>
  <c r="BH4" i="238"/>
  <c r="BI4" i="238"/>
  <c r="BJ4" i="238"/>
  <c r="BK4" i="238"/>
  <c r="BH5" i="238"/>
  <c r="BI5" i="238"/>
  <c r="BJ5" i="238"/>
  <c r="BK5" i="238"/>
  <c r="BH6" i="238"/>
  <c r="BI6" i="238"/>
  <c r="BJ6" i="238"/>
  <c r="BK6" i="238"/>
  <c r="BH7" i="238"/>
  <c r="BI7" i="238"/>
  <c r="BJ7" i="238"/>
  <c r="BK7" i="238"/>
  <c r="BH8" i="238"/>
  <c r="BI8" i="238"/>
  <c r="BJ8" i="238"/>
  <c r="BK8" i="238"/>
  <c r="BH9" i="238"/>
  <c r="BI9" i="238"/>
  <c r="BJ9" i="238"/>
  <c r="BK9" i="238"/>
  <c r="BH10" i="238"/>
  <c r="BI10" i="238"/>
  <c r="BJ10" i="238"/>
  <c r="BK10" i="238"/>
  <c r="BH11" i="238"/>
  <c r="BI11" i="238"/>
  <c r="BJ11" i="238"/>
  <c r="BK11" i="238"/>
  <c r="BH12" i="238"/>
  <c r="BI12" i="238"/>
  <c r="BJ12" i="238"/>
  <c r="BK12" i="238"/>
  <c r="BH13" i="238"/>
  <c r="BI13" i="238"/>
  <c r="BJ13" i="238"/>
  <c r="BK13" i="238"/>
  <c r="BH14" i="238"/>
  <c r="BI14" i="238"/>
  <c r="BJ14" i="238"/>
  <c r="BK14" i="238"/>
  <c r="BH15" i="238"/>
  <c r="BI15" i="238"/>
  <c r="BJ15" i="238"/>
  <c r="BK15" i="238"/>
  <c r="BH16" i="238"/>
  <c r="BI16" i="238"/>
  <c r="BJ16" i="238"/>
  <c r="BK16" i="238"/>
  <c r="BH17" i="238"/>
  <c r="BI17" i="238"/>
  <c r="BJ17" i="238"/>
  <c r="BK17" i="238"/>
  <c r="BH18" i="238"/>
  <c r="BI18" i="238"/>
  <c r="BJ18" i="238"/>
  <c r="BK18" i="238"/>
  <c r="BH19" i="238"/>
  <c r="BI19" i="238"/>
  <c r="BJ19" i="238"/>
  <c r="BK19" i="238"/>
  <c r="BH20" i="238"/>
  <c r="BI20" i="238"/>
  <c r="BJ20" i="238"/>
  <c r="BK20" i="238"/>
  <c r="BH21" i="238"/>
  <c r="BI21" i="238"/>
  <c r="BJ21" i="238"/>
  <c r="BK21" i="238"/>
  <c r="BH22" i="238"/>
  <c r="BI22" i="238"/>
  <c r="BJ22" i="238"/>
  <c r="BK22" i="238"/>
  <c r="BH23" i="238"/>
  <c r="BI23" i="238"/>
  <c r="BJ23" i="238"/>
  <c r="BK23" i="238"/>
  <c r="BH24" i="238"/>
  <c r="BI24" i="238"/>
  <c r="BJ24" i="238"/>
  <c r="BK24" i="238"/>
  <c r="BH25" i="238"/>
  <c r="BI25" i="238"/>
  <c r="BJ25" i="238"/>
  <c r="BK25" i="238"/>
  <c r="BH26" i="238"/>
  <c r="BI26" i="238"/>
  <c r="BJ26" i="238"/>
  <c r="BK26" i="238"/>
  <c r="BH27" i="238"/>
  <c r="BI27" i="238"/>
  <c r="BJ27" i="238"/>
  <c r="BK27" i="238"/>
  <c r="BH28" i="238"/>
  <c r="BI28" i="238"/>
  <c r="BJ28" i="238"/>
  <c r="BK28" i="238"/>
  <c r="BH29" i="238"/>
  <c r="BI29" i="238"/>
  <c r="BJ29" i="238"/>
  <c r="BK29" i="238"/>
  <c r="BH30" i="238"/>
  <c r="BI30" i="238"/>
  <c r="BJ30" i="238"/>
  <c r="BK30" i="238"/>
  <c r="BH31" i="238"/>
  <c r="BI31" i="238"/>
  <c r="BJ31" i="238"/>
  <c r="BK31" i="238"/>
  <c r="BH32" i="238"/>
  <c r="BI32" i="238"/>
  <c r="BJ32" i="238"/>
  <c r="BK32" i="238"/>
  <c r="AJ2" i="238"/>
  <c r="BU1" i="238" s="1"/>
  <c r="AI2" i="238"/>
  <c r="BT1" i="238" s="1"/>
  <c r="AB2" i="238"/>
  <c r="BH1" i="238" s="1"/>
  <c r="AC2" i="238"/>
  <c r="BI1" i="238" s="1"/>
  <c r="AD2" i="238"/>
  <c r="BJ1" i="238" s="1"/>
  <c r="AE2" i="238"/>
  <c r="BK1" i="238" s="1"/>
  <c r="I4" i="238"/>
  <c r="J4" i="238"/>
  <c r="I5" i="238"/>
  <c r="J5" i="238"/>
  <c r="I6" i="238"/>
  <c r="J6" i="238"/>
  <c r="I7" i="238"/>
  <c r="J7" i="238"/>
  <c r="I8" i="238"/>
  <c r="J8" i="238"/>
  <c r="I9" i="238"/>
  <c r="J9" i="238"/>
  <c r="I10" i="238"/>
  <c r="J10" i="238"/>
  <c r="I11" i="238"/>
  <c r="J11" i="238"/>
  <c r="I12" i="238"/>
  <c r="J12" i="238"/>
  <c r="I13" i="238"/>
  <c r="J13" i="238"/>
  <c r="I14" i="238"/>
  <c r="J14" i="238"/>
  <c r="I15" i="238"/>
  <c r="J15" i="238"/>
  <c r="I16" i="238"/>
  <c r="J16" i="238"/>
  <c r="I17" i="238"/>
  <c r="J17" i="238"/>
  <c r="I18" i="238"/>
  <c r="J18" i="238"/>
  <c r="I19" i="238"/>
  <c r="J19" i="238"/>
  <c r="I20" i="238"/>
  <c r="J20" i="238"/>
  <c r="I21" i="238"/>
  <c r="J21" i="238"/>
  <c r="I22" i="238"/>
  <c r="J22" i="238"/>
  <c r="I23" i="238"/>
  <c r="J23" i="238"/>
  <c r="I24" i="238"/>
  <c r="J24" i="238"/>
  <c r="I25" i="238"/>
  <c r="J25" i="238"/>
  <c r="I26" i="238"/>
  <c r="J26" i="238"/>
  <c r="I27" i="238"/>
  <c r="J27" i="238"/>
  <c r="I28" i="238"/>
  <c r="J28" i="238"/>
  <c r="I29" i="238"/>
  <c r="J29" i="238"/>
  <c r="I30" i="238"/>
  <c r="J30" i="238"/>
  <c r="I31" i="238"/>
  <c r="J31" i="238"/>
  <c r="I32" i="238"/>
  <c r="J32" i="238"/>
  <c r="P3" i="420"/>
  <c r="Q3" i="420" s="1"/>
  <c r="B7" i="432"/>
  <c r="C7" i="432"/>
  <c r="W7" i="432"/>
  <c r="Z7" i="432"/>
  <c r="H61" i="449" l="1"/>
  <c r="H60" i="449" s="1"/>
  <c r="H59" i="449" s="1"/>
  <c r="H58" i="449" s="1"/>
  <c r="G61" i="449"/>
  <c r="G60" i="449" s="1"/>
  <c r="G59" i="449" s="1"/>
  <c r="G58" i="449" s="1"/>
  <c r="AB3" i="451"/>
  <c r="H9" i="451"/>
  <c r="I8" i="451"/>
  <c r="AW99" i="236"/>
  <c r="AV100" i="236"/>
  <c r="AV101" i="236" s="1"/>
  <c r="R3" i="420"/>
  <c r="S3" i="420" s="1"/>
  <c r="T3" i="420" s="1"/>
  <c r="U3" i="420" s="1"/>
  <c r="V3" i="420" s="1"/>
  <c r="W3" i="420" s="1"/>
  <c r="X3" i="420" s="1"/>
  <c r="Y3" i="420" s="1"/>
  <c r="AW101" i="236" l="1"/>
  <c r="AV102" i="236"/>
  <c r="I9" i="451"/>
  <c r="H10" i="451"/>
  <c r="H11" i="451" s="1"/>
  <c r="H12" i="451" s="1"/>
  <c r="AC3" i="451"/>
  <c r="Z3" i="420"/>
  <c r="AW100" i="236"/>
  <c r="O6" i="236"/>
  <c r="AZ2" i="236"/>
  <c r="BA2" i="236" s="1"/>
  <c r="BB2" i="236" s="1"/>
  <c r="BC2" i="236" s="1"/>
  <c r="BD2" i="236" s="1"/>
  <c r="BE2" i="236" s="1"/>
  <c r="BF2" i="236" s="1"/>
  <c r="BG2" i="236" s="1"/>
  <c r="BH2" i="236" s="1"/>
  <c r="BI2" i="236" s="1"/>
  <c r="BJ2" i="236" s="1"/>
  <c r="BK2" i="236" s="1"/>
  <c r="BL2" i="236" s="1"/>
  <c r="BM2" i="236" s="1"/>
  <c r="BN2" i="236" s="1"/>
  <c r="BO2" i="236" s="1"/>
  <c r="BP2" i="236" s="1"/>
  <c r="BQ2" i="236" s="1"/>
  <c r="BR2" i="236" s="1"/>
  <c r="BS2" i="236" s="1"/>
  <c r="BT2" i="236" s="1"/>
  <c r="BU2" i="236" s="1"/>
  <c r="BV2" i="236" s="1"/>
  <c r="BW2" i="236" s="1"/>
  <c r="BX2" i="236" s="1"/>
  <c r="BY2" i="236" s="1"/>
  <c r="BZ2" i="236" s="1"/>
  <c r="CA2" i="236" s="1"/>
  <c r="CB2" i="236" s="1"/>
  <c r="BG5" i="238"/>
  <c r="BG7" i="238"/>
  <c r="BG9" i="238"/>
  <c r="BG10" i="238"/>
  <c r="BG11" i="238"/>
  <c r="BG13" i="238"/>
  <c r="BG15" i="238"/>
  <c r="BG16" i="238"/>
  <c r="BG17" i="238"/>
  <c r="BG18" i="238"/>
  <c r="BG19" i="238"/>
  <c r="BG22" i="238"/>
  <c r="BG24" i="238"/>
  <c r="BG25" i="238"/>
  <c r="BG27" i="238"/>
  <c r="BG29" i="238"/>
  <c r="BG31" i="238"/>
  <c r="Q24" i="436"/>
  <c r="Q25" i="436"/>
  <c r="Q26" i="436"/>
  <c r="Q27" i="436"/>
  <c r="H13" i="451" l="1"/>
  <c r="I12" i="451"/>
  <c r="I11" i="451"/>
  <c r="AZ87" i="236"/>
  <c r="CB87" i="236"/>
  <c r="BT87" i="236"/>
  <c r="BH87" i="236"/>
  <c r="CA87" i="236"/>
  <c r="BW87" i="236"/>
  <c r="BS87" i="236"/>
  <c r="BO87" i="236"/>
  <c r="BK87" i="236"/>
  <c r="BG87" i="236"/>
  <c r="BC87" i="236"/>
  <c r="BL87" i="236"/>
  <c r="BZ87" i="236"/>
  <c r="BV87" i="236"/>
  <c r="BR87" i="236"/>
  <c r="BN87" i="236"/>
  <c r="BJ87" i="236"/>
  <c r="BF87" i="236"/>
  <c r="BB87" i="236"/>
  <c r="BX87" i="236"/>
  <c r="BP87" i="236"/>
  <c r="BD87" i="236"/>
  <c r="BY87" i="236"/>
  <c r="BU87" i="236"/>
  <c r="BQ87" i="236"/>
  <c r="BM87" i="236"/>
  <c r="BI87" i="236"/>
  <c r="BE87" i="236"/>
  <c r="BA87" i="236"/>
  <c r="AW102" i="236"/>
  <c r="AD3" i="451"/>
  <c r="I10" i="451"/>
  <c r="AA3" i="420"/>
  <c r="BG21" i="238"/>
  <c r="BG30" i="238"/>
  <c r="BG23" i="238"/>
  <c r="BG20" i="238"/>
  <c r="BG12" i="238"/>
  <c r="BG6" i="238"/>
  <c r="BG8" i="238"/>
  <c r="BG32" i="238"/>
  <c r="BG4" i="238"/>
  <c r="BG14" i="238"/>
  <c r="BG26" i="238"/>
  <c r="BG28" i="238"/>
  <c r="B179" i="2"/>
  <c r="C179" i="2" s="1"/>
  <c r="B182" i="2"/>
  <c r="C182" i="2" s="1"/>
  <c r="H14" i="451" l="1"/>
  <c r="I13" i="451"/>
  <c r="CP3" i="236"/>
  <c r="AE3" i="451"/>
  <c r="AB3" i="420"/>
  <c r="H15" i="451" l="1"/>
  <c r="I14" i="451"/>
  <c r="CQ3" i="236"/>
  <c r="AF3" i="451"/>
  <c r="AC3" i="420"/>
  <c r="H16" i="451" l="1"/>
  <c r="I15" i="451"/>
  <c r="AG3" i="451"/>
  <c r="AD3" i="420"/>
  <c r="H17" i="451" l="1"/>
  <c r="I16" i="451"/>
  <c r="AH3" i="451"/>
  <c r="AE3" i="420"/>
  <c r="H18" i="451" l="1"/>
  <c r="I17" i="451"/>
  <c r="AI3" i="451"/>
  <c r="AF3" i="420"/>
  <c r="H19" i="451" l="1"/>
  <c r="I18" i="451"/>
  <c r="AJ3" i="451"/>
  <c r="AG3" i="420"/>
  <c r="H20" i="451" l="1"/>
  <c r="I19" i="451"/>
  <c r="AK3" i="451"/>
  <c r="AH3" i="420"/>
  <c r="O5" i="234"/>
  <c r="T14" i="435"/>
  <c r="H21" i="451" l="1"/>
  <c r="I20" i="451"/>
  <c r="AL3" i="451"/>
  <c r="AI3" i="420"/>
  <c r="AS22" i="436"/>
  <c r="AS23" i="436" s="1"/>
  <c r="AS24" i="436" s="1"/>
  <c r="AS25" i="436" s="1"/>
  <c r="AS26" i="436" s="1"/>
  <c r="AS27" i="436" s="1"/>
  <c r="AS28" i="436" s="1"/>
  <c r="AS29" i="436" s="1"/>
  <c r="AS30" i="436" s="1"/>
  <c r="AS31" i="436" s="1"/>
  <c r="AS32" i="436" s="1"/>
  <c r="AS33" i="436" s="1"/>
  <c r="AS34" i="436" s="1"/>
  <c r="AS35" i="436" s="1"/>
  <c r="AS36" i="436" s="1"/>
  <c r="AS37" i="436" s="1"/>
  <c r="AS38" i="436" s="1"/>
  <c r="AS39" i="436" s="1"/>
  <c r="AS40" i="436" s="1"/>
  <c r="AS41" i="436" s="1"/>
  <c r="AS42" i="436" s="1"/>
  <c r="AS43" i="436" s="1"/>
  <c r="AS44" i="436" s="1"/>
  <c r="AS45" i="436" s="1"/>
  <c r="AS46" i="436" s="1"/>
  <c r="AS47" i="436" s="1"/>
  <c r="AS48" i="436" s="1"/>
  <c r="AS49" i="436" s="1"/>
  <c r="AS50" i="436" s="1"/>
  <c r="AS51" i="436" s="1"/>
  <c r="AS52" i="436" s="1"/>
  <c r="AS53" i="436" s="1"/>
  <c r="AS54" i="436" s="1"/>
  <c r="AS55" i="436" s="1"/>
  <c r="AS56" i="436" s="1"/>
  <c r="AS57" i="436" s="1"/>
  <c r="AS58" i="436" s="1"/>
  <c r="AS59" i="436" s="1"/>
  <c r="AS60" i="436" s="1"/>
  <c r="AS61" i="436" s="1"/>
  <c r="AS62" i="436" s="1"/>
  <c r="AS63" i="436" s="1"/>
  <c r="AS64" i="436" s="1"/>
  <c r="AS65" i="436" s="1"/>
  <c r="AS66" i="436" s="1"/>
  <c r="AS67" i="436" s="1"/>
  <c r="AS68" i="436" s="1"/>
  <c r="AS69" i="436" s="1"/>
  <c r="AS70" i="436" s="1"/>
  <c r="AS71" i="436" s="1"/>
  <c r="AS72" i="436" s="1"/>
  <c r="AS73" i="436" s="1"/>
  <c r="AS74" i="436" s="1"/>
  <c r="AS75" i="436" s="1"/>
  <c r="AS76" i="436" s="1"/>
  <c r="AS77" i="436" s="1"/>
  <c r="AS78" i="436" s="1"/>
  <c r="AS79" i="436" s="1"/>
  <c r="AS80" i="436" s="1"/>
  <c r="AS81" i="436" s="1"/>
  <c r="AS82" i="436" s="1"/>
  <c r="AS83" i="436" s="1"/>
  <c r="AS84" i="436" s="1"/>
  <c r="AS85" i="436" s="1"/>
  <c r="AS86" i="436" s="1"/>
  <c r="AS87" i="436" s="1"/>
  <c r="AS88" i="436" s="1"/>
  <c r="AS89" i="436" s="1"/>
  <c r="AS90" i="436" s="1"/>
  <c r="AS91" i="436" s="1"/>
  <c r="C126" i="2"/>
  <c r="H22" i="451" l="1"/>
  <c r="I21" i="451"/>
  <c r="AM3" i="451"/>
  <c r="AJ3" i="420"/>
  <c r="V4" i="108"/>
  <c r="V57" i="108" s="1"/>
  <c r="D74" i="436" s="1"/>
  <c r="AE4" i="108"/>
  <c r="AE57" i="108" s="1"/>
  <c r="D74" i="437" s="1"/>
  <c r="AE16" i="108" l="1"/>
  <c r="D33" i="437" s="1"/>
  <c r="AE51" i="108"/>
  <c r="D68" i="437" s="1"/>
  <c r="V16" i="108"/>
  <c r="D33" i="436" s="1"/>
  <c r="V51" i="108"/>
  <c r="D68" i="436" s="1"/>
  <c r="H23" i="451"/>
  <c r="I22" i="451"/>
  <c r="AE14" i="108"/>
  <c r="D31" i="437" s="1"/>
  <c r="AE19" i="108"/>
  <c r="D36" i="437" s="1"/>
  <c r="AE23" i="108"/>
  <c r="D40" i="437" s="1"/>
  <c r="AE27" i="108"/>
  <c r="D44" i="437" s="1"/>
  <c r="AE31" i="108"/>
  <c r="D48" i="437" s="1"/>
  <c r="AE35" i="108"/>
  <c r="D52" i="437" s="1"/>
  <c r="AE39" i="108"/>
  <c r="D56" i="437" s="1"/>
  <c r="AE43" i="108"/>
  <c r="D60" i="437" s="1"/>
  <c r="AE47" i="108"/>
  <c r="D64" i="437" s="1"/>
  <c r="AE52" i="108"/>
  <c r="D69" i="437" s="1"/>
  <c r="AE56" i="108"/>
  <c r="D73" i="437" s="1"/>
  <c r="AE61" i="108"/>
  <c r="D78" i="437" s="1"/>
  <c r="AE65" i="108"/>
  <c r="D82" i="437" s="1"/>
  <c r="AE69" i="108"/>
  <c r="D86" i="437" s="1"/>
  <c r="AE73" i="108"/>
  <c r="D90" i="437" s="1"/>
  <c r="AE21" i="108"/>
  <c r="D38" i="437" s="1"/>
  <c r="AE33" i="108"/>
  <c r="D50" i="437" s="1"/>
  <c r="AE41" i="108"/>
  <c r="D58" i="437" s="1"/>
  <c r="AE45" i="108"/>
  <c r="D62" i="437" s="1"/>
  <c r="AE49" i="108"/>
  <c r="D66" i="437" s="1"/>
  <c r="AE59" i="108"/>
  <c r="D76" i="437" s="1"/>
  <c r="AE63" i="108"/>
  <c r="D80" i="437" s="1"/>
  <c r="AE13" i="108"/>
  <c r="D30" i="437" s="1"/>
  <c r="AE18" i="108"/>
  <c r="D35" i="437" s="1"/>
  <c r="AE22" i="108"/>
  <c r="D39" i="437" s="1"/>
  <c r="AE26" i="108"/>
  <c r="D43" i="437" s="1"/>
  <c r="AE30" i="108"/>
  <c r="D47" i="437" s="1"/>
  <c r="AE34" i="108"/>
  <c r="D51" i="437" s="1"/>
  <c r="AE38" i="108"/>
  <c r="D55" i="437" s="1"/>
  <c r="AE42" i="108"/>
  <c r="D59" i="437" s="1"/>
  <c r="AE46" i="108"/>
  <c r="D63" i="437" s="1"/>
  <c r="AE50" i="108"/>
  <c r="D67" i="437" s="1"/>
  <c r="AE55" i="108"/>
  <c r="D72" i="437" s="1"/>
  <c r="AE60" i="108"/>
  <c r="D77" i="437" s="1"/>
  <c r="AE64" i="108"/>
  <c r="D81" i="437" s="1"/>
  <c r="AE68" i="108"/>
  <c r="D85" i="437" s="1"/>
  <c r="AE72" i="108"/>
  <c r="D89" i="437" s="1"/>
  <c r="AE17" i="108"/>
  <c r="D34" i="437" s="1"/>
  <c r="AE25" i="108"/>
  <c r="D42" i="437" s="1"/>
  <c r="AE29" i="108"/>
  <c r="D46" i="437" s="1"/>
  <c r="AE37" i="108"/>
  <c r="D54" i="437" s="1"/>
  <c r="AE54" i="108"/>
  <c r="D71" i="437" s="1"/>
  <c r="AE15" i="108"/>
  <c r="D32" i="437" s="1"/>
  <c r="AE20" i="108"/>
  <c r="D37" i="437" s="1"/>
  <c r="AE24" i="108"/>
  <c r="D41" i="437" s="1"/>
  <c r="AE28" i="108"/>
  <c r="D45" i="437" s="1"/>
  <c r="AE32" i="108"/>
  <c r="D49" i="437" s="1"/>
  <c r="AE36" i="108"/>
  <c r="D53" i="437" s="1"/>
  <c r="AE40" i="108"/>
  <c r="D57" i="437" s="1"/>
  <c r="AE44" i="108"/>
  <c r="D61" i="437" s="1"/>
  <c r="AE48" i="108"/>
  <c r="D65" i="437" s="1"/>
  <c r="AE53" i="108"/>
  <c r="D70" i="437" s="1"/>
  <c r="AE58" i="108"/>
  <c r="D75" i="437" s="1"/>
  <c r="AE62" i="108"/>
  <c r="D79" i="437" s="1"/>
  <c r="AE66" i="108"/>
  <c r="D83" i="437" s="1"/>
  <c r="AE67" i="108"/>
  <c r="D84" i="437" s="1"/>
  <c r="AE70" i="108"/>
  <c r="D87" i="437" s="1"/>
  <c r="AE71" i="108"/>
  <c r="D88" i="437" s="1"/>
  <c r="AE74" i="108"/>
  <c r="D91" i="437" s="1"/>
  <c r="V13" i="108"/>
  <c r="D30" i="436" s="1"/>
  <c r="V18" i="108"/>
  <c r="D35" i="436" s="1"/>
  <c r="V22" i="108"/>
  <c r="D39" i="436" s="1"/>
  <c r="V26" i="108"/>
  <c r="D43" i="436" s="1"/>
  <c r="V30" i="108"/>
  <c r="D47" i="436" s="1"/>
  <c r="V34" i="108"/>
  <c r="D51" i="436" s="1"/>
  <c r="V38" i="108"/>
  <c r="D55" i="436" s="1"/>
  <c r="V42" i="108"/>
  <c r="D59" i="436" s="1"/>
  <c r="V46" i="108"/>
  <c r="D63" i="436" s="1"/>
  <c r="V50" i="108"/>
  <c r="D67" i="436" s="1"/>
  <c r="V55" i="108"/>
  <c r="D72" i="436" s="1"/>
  <c r="V60" i="108"/>
  <c r="D77" i="436" s="1"/>
  <c r="V64" i="108"/>
  <c r="D81" i="436" s="1"/>
  <c r="V68" i="108"/>
  <c r="D85" i="436" s="1"/>
  <c r="V72" i="108"/>
  <c r="D89" i="436" s="1"/>
  <c r="V20" i="108"/>
  <c r="D37" i="436" s="1"/>
  <c r="V32" i="108"/>
  <c r="D49" i="436" s="1"/>
  <c r="V36" i="108"/>
  <c r="D53" i="436" s="1"/>
  <c r="V44" i="108"/>
  <c r="D61" i="436" s="1"/>
  <c r="V53" i="108"/>
  <c r="D70" i="436" s="1"/>
  <c r="V62" i="108"/>
  <c r="D79" i="436" s="1"/>
  <c r="V17" i="108"/>
  <c r="D34" i="436" s="1"/>
  <c r="V21" i="108"/>
  <c r="D38" i="436" s="1"/>
  <c r="V25" i="108"/>
  <c r="D42" i="436" s="1"/>
  <c r="V29" i="108"/>
  <c r="D46" i="436" s="1"/>
  <c r="V33" i="108"/>
  <c r="D50" i="436" s="1"/>
  <c r="V37" i="108"/>
  <c r="D54" i="436" s="1"/>
  <c r="V41" i="108"/>
  <c r="D58" i="436" s="1"/>
  <c r="V45" i="108"/>
  <c r="D62" i="436" s="1"/>
  <c r="V49" i="108"/>
  <c r="D66" i="436" s="1"/>
  <c r="V54" i="108"/>
  <c r="D71" i="436" s="1"/>
  <c r="V59" i="108"/>
  <c r="D76" i="436" s="1"/>
  <c r="V63" i="108"/>
  <c r="D80" i="436" s="1"/>
  <c r="V67" i="108"/>
  <c r="D84" i="436" s="1"/>
  <c r="V71" i="108"/>
  <c r="D88" i="436" s="1"/>
  <c r="V15" i="108"/>
  <c r="D32" i="436" s="1"/>
  <c r="V24" i="108"/>
  <c r="D41" i="436" s="1"/>
  <c r="V28" i="108"/>
  <c r="D45" i="436" s="1"/>
  <c r="V40" i="108"/>
  <c r="D57" i="436" s="1"/>
  <c r="V48" i="108"/>
  <c r="D65" i="436" s="1"/>
  <c r="V58" i="108"/>
  <c r="D75" i="436" s="1"/>
  <c r="V66" i="108"/>
  <c r="D83" i="436" s="1"/>
  <c r="V74" i="108"/>
  <c r="D91" i="436" s="1"/>
  <c r="V69" i="108"/>
  <c r="D86" i="436" s="1"/>
  <c r="V73" i="108"/>
  <c r="D90" i="436" s="1"/>
  <c r="V70" i="108"/>
  <c r="D87" i="436" s="1"/>
  <c r="V14" i="108"/>
  <c r="D31" i="436" s="1"/>
  <c r="V19" i="108"/>
  <c r="D36" i="436" s="1"/>
  <c r="V23" i="108"/>
  <c r="D40" i="436" s="1"/>
  <c r="V27" i="108"/>
  <c r="D44" i="436" s="1"/>
  <c r="V31" i="108"/>
  <c r="D48" i="436" s="1"/>
  <c r="V35" i="108"/>
  <c r="D52" i="436" s="1"/>
  <c r="V39" i="108"/>
  <c r="D56" i="436" s="1"/>
  <c r="V43" i="108"/>
  <c r="D60" i="436" s="1"/>
  <c r="V47" i="108"/>
  <c r="D64" i="436" s="1"/>
  <c r="V52" i="108"/>
  <c r="D69" i="436" s="1"/>
  <c r="V56" i="108"/>
  <c r="D73" i="436" s="1"/>
  <c r="V61" i="108"/>
  <c r="D78" i="436" s="1"/>
  <c r="V65" i="108"/>
  <c r="D82" i="436" s="1"/>
  <c r="AN3" i="451"/>
  <c r="AK3" i="420"/>
  <c r="AE11" i="108"/>
  <c r="D28" i="437" s="1"/>
  <c r="AE12" i="108"/>
  <c r="D29" i="437" s="1"/>
  <c r="AE9" i="108"/>
  <c r="D26" i="437" s="1"/>
  <c r="AE5" i="108"/>
  <c r="AE8" i="108"/>
  <c r="D25" i="437" s="1"/>
  <c r="AE7" i="108"/>
  <c r="AE10" i="108"/>
  <c r="D27" i="437" s="1"/>
  <c r="AE6" i="108"/>
  <c r="C63" i="2"/>
  <c r="H24" i="451" l="1"/>
  <c r="I23" i="451"/>
  <c r="AO3" i="451"/>
  <c r="AL3" i="420"/>
  <c r="H25" i="451" l="1"/>
  <c r="I24" i="451"/>
  <c r="AP3" i="451"/>
  <c r="AM3" i="420"/>
  <c r="J24" i="434"/>
  <c r="K24" i="434"/>
  <c r="L24" i="434"/>
  <c r="M24" i="434"/>
  <c r="N24" i="434"/>
  <c r="O24" i="434"/>
  <c r="P24" i="434"/>
  <c r="Q24" i="434"/>
  <c r="R24" i="434"/>
  <c r="S24" i="434"/>
  <c r="T24" i="434"/>
  <c r="U24" i="434"/>
  <c r="V24" i="434"/>
  <c r="W24" i="434"/>
  <c r="X24" i="434"/>
  <c r="Y24" i="434"/>
  <c r="Z24" i="434"/>
  <c r="AA24" i="434"/>
  <c r="AB24" i="434"/>
  <c r="AC24" i="434"/>
  <c r="AD24" i="434"/>
  <c r="AE24" i="434"/>
  <c r="AF24" i="434"/>
  <c r="AG24" i="434"/>
  <c r="AH24" i="434"/>
  <c r="AI24" i="434"/>
  <c r="AJ24" i="434"/>
  <c r="AK24" i="434"/>
  <c r="AL24" i="434"/>
  <c r="AM24" i="434"/>
  <c r="AN24" i="434"/>
  <c r="AO24" i="434"/>
  <c r="AP24" i="434"/>
  <c r="AQ24" i="434"/>
  <c r="AR24" i="434"/>
  <c r="AS24" i="434"/>
  <c r="AU22" i="434"/>
  <c r="G22" i="434"/>
  <c r="AZ5" i="434"/>
  <c r="H22" i="434" s="1"/>
  <c r="B9" i="108"/>
  <c r="B10" i="108"/>
  <c r="B11" i="108"/>
  <c r="B12" i="108"/>
  <c r="AO1" i="108"/>
  <c r="AP1" i="108" s="1"/>
  <c r="H119" i="2"/>
  <c r="H120" i="2"/>
  <c r="H26" i="451" l="1"/>
  <c r="I25" i="451"/>
  <c r="N9" i="108"/>
  <c r="AQ3" i="451"/>
  <c r="AN3" i="420"/>
  <c r="BA5" i="434"/>
  <c r="AQ1" i="108"/>
  <c r="AR1" i="108" s="1"/>
  <c r="AS1" i="108" s="1"/>
  <c r="E14" i="420"/>
  <c r="E13" i="420"/>
  <c r="L13" i="420" s="1"/>
  <c r="K13" i="420" s="1"/>
  <c r="E12" i="420"/>
  <c r="L11" i="420" s="1"/>
  <c r="E11" i="420"/>
  <c r="E10" i="420"/>
  <c r="AN75" i="234"/>
  <c r="AM75" i="234"/>
  <c r="AL75" i="234"/>
  <c r="AN74" i="234"/>
  <c r="AM74" i="234"/>
  <c r="AL74" i="234"/>
  <c r="AN73" i="234"/>
  <c r="AM73" i="234"/>
  <c r="AL73" i="234"/>
  <c r="AV1" i="420"/>
  <c r="AW57" i="420" l="1"/>
  <c r="AX58" i="420"/>
  <c r="AW61" i="420"/>
  <c r="AX62" i="420"/>
  <c r="AW63" i="420"/>
  <c r="AX64" i="420"/>
  <c r="AX57" i="420"/>
  <c r="AW60" i="420"/>
  <c r="AX61" i="420"/>
  <c r="AX63" i="420"/>
  <c r="AW59" i="420"/>
  <c r="AX60" i="420"/>
  <c r="AW58" i="420"/>
  <c r="AX59" i="420"/>
  <c r="AW62" i="420"/>
  <c r="AW64" i="420"/>
  <c r="H27" i="451"/>
  <c r="I26" i="451"/>
  <c r="AW22" i="420"/>
  <c r="AX22" i="420"/>
  <c r="AW23" i="420"/>
  <c r="AX23" i="420"/>
  <c r="AW15" i="420"/>
  <c r="AW17" i="420"/>
  <c r="AW19" i="420"/>
  <c r="AW21" i="420"/>
  <c r="AW24" i="420"/>
  <c r="AX15" i="420"/>
  <c r="AX17" i="420"/>
  <c r="AX19" i="420"/>
  <c r="AX21" i="420"/>
  <c r="AX24" i="420"/>
  <c r="AW16" i="420"/>
  <c r="AW18" i="420"/>
  <c r="AX20" i="420"/>
  <c r="AX26" i="420"/>
  <c r="AX28" i="420"/>
  <c r="AX30" i="420"/>
  <c r="AX16" i="420"/>
  <c r="AX25" i="420"/>
  <c r="AX27" i="420"/>
  <c r="AX29" i="420"/>
  <c r="AX31" i="420"/>
  <c r="AW25" i="420"/>
  <c r="AW30" i="420"/>
  <c r="AX32" i="420"/>
  <c r="AX34" i="420"/>
  <c r="AX36" i="420"/>
  <c r="AX38" i="420"/>
  <c r="AX40" i="420"/>
  <c r="AX18" i="420"/>
  <c r="AW28" i="420"/>
  <c r="AW31" i="420"/>
  <c r="AW33" i="420"/>
  <c r="AW35" i="420"/>
  <c r="AW37" i="420"/>
  <c r="AW39" i="420"/>
  <c r="AW41" i="420"/>
  <c r="AW43" i="420"/>
  <c r="AW45" i="420"/>
  <c r="AW47" i="420"/>
  <c r="AW20" i="420"/>
  <c r="AW26" i="420"/>
  <c r="AW34" i="420"/>
  <c r="AW32" i="420"/>
  <c r="AX35" i="420"/>
  <c r="AW40" i="420"/>
  <c r="AX42" i="420"/>
  <c r="AX44" i="420"/>
  <c r="AX46" i="420"/>
  <c r="AW48" i="420"/>
  <c r="AW29" i="420"/>
  <c r="AW27" i="420"/>
  <c r="AW36" i="420"/>
  <c r="AX39" i="420"/>
  <c r="AX43" i="420"/>
  <c r="AX45" i="420"/>
  <c r="AX33" i="420"/>
  <c r="AX37" i="420"/>
  <c r="AW46" i="420"/>
  <c r="AW44" i="420"/>
  <c r="AW49" i="420"/>
  <c r="AW51" i="420"/>
  <c r="AX53" i="420"/>
  <c r="AX56" i="420"/>
  <c r="AW65" i="420"/>
  <c r="AW66" i="420"/>
  <c r="AX47" i="420"/>
  <c r="AX48" i="420"/>
  <c r="AW50" i="420"/>
  <c r="AW52" i="420"/>
  <c r="AW54" i="420"/>
  <c r="AX55" i="420"/>
  <c r="AW67" i="420"/>
  <c r="AW68" i="420"/>
  <c r="AW69" i="420"/>
  <c r="AW38" i="420"/>
  <c r="AX49" i="420"/>
  <c r="AX54" i="420"/>
  <c r="AW56" i="420"/>
  <c r="AX65" i="420"/>
  <c r="AX50" i="420"/>
  <c r="AX52" i="420"/>
  <c r="AX68" i="420"/>
  <c r="AX70" i="420"/>
  <c r="AW71" i="420"/>
  <c r="AX41" i="420"/>
  <c r="AW53" i="420"/>
  <c r="AW55" i="420"/>
  <c r="AX66" i="420"/>
  <c r="AX71" i="420"/>
  <c r="AX51" i="420"/>
  <c r="AX69" i="420"/>
  <c r="AW75" i="420"/>
  <c r="AW77" i="420"/>
  <c r="AW79" i="420"/>
  <c r="AX67" i="420"/>
  <c r="AW72" i="420"/>
  <c r="AW73" i="420"/>
  <c r="AW74" i="420"/>
  <c r="AX75" i="420"/>
  <c r="AX77" i="420"/>
  <c r="AX79" i="420"/>
  <c r="AW42" i="420"/>
  <c r="AW70" i="420"/>
  <c r="AX72" i="420"/>
  <c r="AX73" i="420"/>
  <c r="AX74" i="420"/>
  <c r="AW76" i="420"/>
  <c r="AW78" i="420"/>
  <c r="AW80" i="420"/>
  <c r="AX76" i="420"/>
  <c r="AX78" i="420"/>
  <c r="AX80" i="420"/>
  <c r="H76" i="235"/>
  <c r="N76" i="236" s="1"/>
  <c r="N81" i="420" s="1"/>
  <c r="H79" i="235"/>
  <c r="N79" i="236" s="1"/>
  <c r="N84" i="420" s="1"/>
  <c r="H78" i="235"/>
  <c r="N78" i="236" s="1"/>
  <c r="N83" i="420" s="1"/>
  <c r="H77" i="235"/>
  <c r="N77" i="236" s="1"/>
  <c r="N82" i="420" s="1"/>
  <c r="AW81" i="420"/>
  <c r="AX83" i="420"/>
  <c r="AW86" i="420"/>
  <c r="AX81" i="420"/>
  <c r="AX86" i="420"/>
  <c r="AX82" i="420"/>
  <c r="AW83" i="420"/>
  <c r="AX84" i="420"/>
  <c r="AX85" i="420"/>
  <c r="AW82" i="420"/>
  <c r="AW84" i="420"/>
  <c r="AW85" i="420"/>
  <c r="AO74" i="234"/>
  <c r="AO75" i="234"/>
  <c r="AO76" i="234"/>
  <c r="AO73" i="234"/>
  <c r="AO77" i="234"/>
  <c r="AR3" i="451"/>
  <c r="AO3" i="420"/>
  <c r="BB5" i="434"/>
  <c r="I22" i="434"/>
  <c r="L14" i="420"/>
  <c r="K14" i="420" s="1"/>
  <c r="AT1" i="108"/>
  <c r="L12" i="420"/>
  <c r="K12" i="420" s="1"/>
  <c r="H28" i="451" l="1"/>
  <c r="I27" i="451"/>
  <c r="AS3" i="451"/>
  <c r="AP3" i="420"/>
  <c r="BC5" i="434"/>
  <c r="J22" i="434"/>
  <c r="AU1" i="108"/>
  <c r="H84" i="420"/>
  <c r="H83" i="420"/>
  <c r="H82" i="420"/>
  <c r="H29" i="451" l="1"/>
  <c r="I28" i="451"/>
  <c r="AT3" i="451"/>
  <c r="AQ3" i="420"/>
  <c r="BD5" i="434"/>
  <c r="K22" i="434"/>
  <c r="AV1" i="108"/>
  <c r="C7" i="236"/>
  <c r="D7" i="236"/>
  <c r="F7" i="236"/>
  <c r="F12" i="420" s="1"/>
  <c r="H7" i="236"/>
  <c r="M7" i="236" s="1"/>
  <c r="I7" i="236"/>
  <c r="J7" i="236"/>
  <c r="F13" i="420"/>
  <c r="F14" i="420"/>
  <c r="C44" i="27"/>
  <c r="C45" i="27"/>
  <c r="H30" i="451" l="1"/>
  <c r="I29" i="451"/>
  <c r="AU3" i="451"/>
  <c r="AR3" i="420"/>
  <c r="BE5" i="434"/>
  <c r="L22" i="434"/>
  <c r="AW1" i="108"/>
  <c r="G7" i="236"/>
  <c r="G10" i="236"/>
  <c r="H31" i="451" l="1"/>
  <c r="I30" i="451"/>
  <c r="AV3" i="451"/>
  <c r="AS3" i="420"/>
  <c r="BF5" i="434"/>
  <c r="M22" i="434"/>
  <c r="AX1" i="108"/>
  <c r="C10" i="235"/>
  <c r="D10" i="235"/>
  <c r="E10" i="235"/>
  <c r="G10" i="235"/>
  <c r="C11" i="235"/>
  <c r="D11" i="235"/>
  <c r="E11" i="235"/>
  <c r="G11" i="235"/>
  <c r="C12" i="235"/>
  <c r="D12" i="235"/>
  <c r="E12" i="235"/>
  <c r="G12" i="235"/>
  <c r="C13" i="235"/>
  <c r="D13" i="235"/>
  <c r="E13" i="235"/>
  <c r="G13" i="235"/>
  <c r="C14" i="235"/>
  <c r="D14" i="235"/>
  <c r="E14" i="235"/>
  <c r="G14" i="235"/>
  <c r="C15" i="235"/>
  <c r="D15" i="235"/>
  <c r="E15" i="235"/>
  <c r="G15" i="235"/>
  <c r="C16" i="235"/>
  <c r="D16" i="235"/>
  <c r="E16" i="235"/>
  <c r="G16" i="235"/>
  <c r="C18" i="235"/>
  <c r="D18" i="235"/>
  <c r="E18" i="235"/>
  <c r="G18" i="235"/>
  <c r="C19" i="235"/>
  <c r="D19" i="235"/>
  <c r="E19" i="235"/>
  <c r="G19" i="235"/>
  <c r="C20" i="235"/>
  <c r="D20" i="235"/>
  <c r="E20" i="235"/>
  <c r="G20" i="235"/>
  <c r="C21" i="235"/>
  <c r="D21" i="235"/>
  <c r="E21" i="235"/>
  <c r="G21" i="235"/>
  <c r="C22" i="235"/>
  <c r="D22" i="235"/>
  <c r="E22" i="235"/>
  <c r="G22" i="235"/>
  <c r="C23" i="235"/>
  <c r="D23" i="235"/>
  <c r="E23" i="235"/>
  <c r="G23" i="235"/>
  <c r="C24" i="235"/>
  <c r="D24" i="235"/>
  <c r="E24" i="235"/>
  <c r="G24" i="235"/>
  <c r="C25" i="235"/>
  <c r="D25" i="235"/>
  <c r="E25" i="235"/>
  <c r="G25" i="235"/>
  <c r="C26" i="235"/>
  <c r="D26" i="235"/>
  <c r="E26" i="235"/>
  <c r="G26" i="235"/>
  <c r="C27" i="235"/>
  <c r="D27" i="235"/>
  <c r="E27" i="235"/>
  <c r="G27" i="235"/>
  <c r="C28" i="235"/>
  <c r="D28" i="235"/>
  <c r="E28" i="235"/>
  <c r="G28" i="235"/>
  <c r="C29" i="235"/>
  <c r="D29" i="235"/>
  <c r="E29" i="235"/>
  <c r="G29" i="235"/>
  <c r="C30" i="235"/>
  <c r="D30" i="235"/>
  <c r="E30" i="235"/>
  <c r="G30" i="235"/>
  <c r="C31" i="235"/>
  <c r="D31" i="235"/>
  <c r="E31" i="235"/>
  <c r="G31" i="235"/>
  <c r="C32" i="235"/>
  <c r="D32" i="235"/>
  <c r="E32" i="235"/>
  <c r="G32" i="235"/>
  <c r="C33" i="235"/>
  <c r="D33" i="235"/>
  <c r="E33" i="235"/>
  <c r="G33" i="235"/>
  <c r="C34" i="235"/>
  <c r="D34" i="235"/>
  <c r="E34" i="235"/>
  <c r="G34" i="235"/>
  <c r="C35" i="235"/>
  <c r="D35" i="235"/>
  <c r="E35" i="235"/>
  <c r="G35" i="235"/>
  <c r="C36" i="235"/>
  <c r="D36" i="235"/>
  <c r="E36" i="235"/>
  <c r="G36" i="235"/>
  <c r="C37" i="235"/>
  <c r="D37" i="235"/>
  <c r="E37" i="235"/>
  <c r="G37" i="235"/>
  <c r="C38" i="235"/>
  <c r="D38" i="235"/>
  <c r="E38" i="235"/>
  <c r="G38" i="235"/>
  <c r="C39" i="235"/>
  <c r="D39" i="235"/>
  <c r="E39" i="235"/>
  <c r="G39" i="235"/>
  <c r="C40" i="235"/>
  <c r="D40" i="235"/>
  <c r="E40" i="235"/>
  <c r="G40" i="235"/>
  <c r="C41" i="235"/>
  <c r="D41" i="235"/>
  <c r="E41" i="235"/>
  <c r="G41" i="235"/>
  <c r="C42" i="235"/>
  <c r="D42" i="235"/>
  <c r="E42" i="235"/>
  <c r="G42" i="235"/>
  <c r="C43" i="235"/>
  <c r="D43" i="235"/>
  <c r="E43" i="235"/>
  <c r="G43" i="235"/>
  <c r="C44" i="235"/>
  <c r="D44" i="235"/>
  <c r="E44" i="235"/>
  <c r="G44" i="235"/>
  <c r="C45" i="235"/>
  <c r="D45" i="235"/>
  <c r="E45" i="235"/>
  <c r="G45" i="235"/>
  <c r="C46" i="235"/>
  <c r="D46" i="235"/>
  <c r="E46" i="235"/>
  <c r="G46" i="235"/>
  <c r="C47" i="235"/>
  <c r="D47" i="235"/>
  <c r="E47" i="235"/>
  <c r="G47" i="235"/>
  <c r="C48" i="235"/>
  <c r="D48" i="235"/>
  <c r="E48" i="235"/>
  <c r="G48" i="235"/>
  <c r="C49" i="235"/>
  <c r="D49" i="235"/>
  <c r="E49" i="235"/>
  <c r="G49" i="235"/>
  <c r="C50" i="235"/>
  <c r="D50" i="235"/>
  <c r="E50" i="235"/>
  <c r="G50" i="235"/>
  <c r="C51" i="235"/>
  <c r="D51" i="235"/>
  <c r="E51" i="235"/>
  <c r="G51" i="235"/>
  <c r="C53" i="235"/>
  <c r="D53" i="235"/>
  <c r="E53" i="235"/>
  <c r="G53" i="235"/>
  <c r="C54" i="235"/>
  <c r="D54" i="235"/>
  <c r="E54" i="235"/>
  <c r="G54" i="235"/>
  <c r="C55" i="235"/>
  <c r="D55" i="235"/>
  <c r="E55" i="235"/>
  <c r="G55" i="235"/>
  <c r="C56" i="235"/>
  <c r="D56" i="235"/>
  <c r="E56" i="235"/>
  <c r="G56" i="235"/>
  <c r="C57" i="235"/>
  <c r="D57" i="235"/>
  <c r="E57" i="235"/>
  <c r="G57" i="235"/>
  <c r="C59" i="235"/>
  <c r="D59" i="235"/>
  <c r="E59" i="235"/>
  <c r="G59" i="235"/>
  <c r="C60" i="235"/>
  <c r="D60" i="235"/>
  <c r="E60" i="235"/>
  <c r="G60" i="235"/>
  <c r="C61" i="235"/>
  <c r="D61" i="235"/>
  <c r="E61" i="235"/>
  <c r="G61" i="235"/>
  <c r="C62" i="235"/>
  <c r="D62" i="235"/>
  <c r="E62" i="235"/>
  <c r="G62" i="235"/>
  <c r="C63" i="235"/>
  <c r="D63" i="235"/>
  <c r="E63" i="235"/>
  <c r="G63" i="235"/>
  <c r="C64" i="235"/>
  <c r="D64" i="235"/>
  <c r="E64" i="235"/>
  <c r="G64" i="235"/>
  <c r="C65" i="235"/>
  <c r="D65" i="235"/>
  <c r="E65" i="235"/>
  <c r="G65" i="235"/>
  <c r="C66" i="235"/>
  <c r="D66" i="235"/>
  <c r="E66" i="235"/>
  <c r="G66" i="235"/>
  <c r="C67" i="235"/>
  <c r="D67" i="235"/>
  <c r="E67" i="235"/>
  <c r="G67" i="235"/>
  <c r="C68" i="235"/>
  <c r="D68" i="235"/>
  <c r="E68" i="235"/>
  <c r="G68" i="235"/>
  <c r="C69" i="235"/>
  <c r="D69" i="235"/>
  <c r="E69" i="235"/>
  <c r="G69" i="235"/>
  <c r="C70" i="235"/>
  <c r="D70" i="235"/>
  <c r="E70" i="235"/>
  <c r="G70" i="235"/>
  <c r="C71" i="235"/>
  <c r="D71" i="235"/>
  <c r="E71" i="235"/>
  <c r="G71" i="235"/>
  <c r="C72" i="235"/>
  <c r="D72" i="235"/>
  <c r="E72" i="235"/>
  <c r="G72" i="235"/>
  <c r="C73" i="235"/>
  <c r="D73" i="235"/>
  <c r="E73" i="235"/>
  <c r="G73" i="235"/>
  <c r="C74" i="235"/>
  <c r="D74" i="235"/>
  <c r="E74" i="235"/>
  <c r="G74" i="235"/>
  <c r="C75" i="235"/>
  <c r="D75" i="235"/>
  <c r="E75" i="235"/>
  <c r="G75" i="235"/>
  <c r="AN2" i="234"/>
  <c r="H32" i="451" l="1"/>
  <c r="I31" i="451"/>
  <c r="O75" i="235"/>
  <c r="V75" i="236" s="1" a="1"/>
  <c r="V75" i="236" s="1"/>
  <c r="S75" i="235"/>
  <c r="Z75" i="236" s="1" a="1"/>
  <c r="Z75" i="236" s="1"/>
  <c r="W75" i="235"/>
  <c r="AD75" i="236" s="1" a="1"/>
  <c r="AD75" i="236" s="1"/>
  <c r="AA75" i="235"/>
  <c r="AH75" i="236" s="1" a="1"/>
  <c r="AH75" i="236" s="1"/>
  <c r="AE75" i="235"/>
  <c r="AL75" i="236" s="1" a="1"/>
  <c r="AL75" i="236" s="1"/>
  <c r="AI75" i="235"/>
  <c r="AP75" i="236" s="1" a="1"/>
  <c r="AP75" i="236" s="1"/>
  <c r="AM75" i="235"/>
  <c r="AT75" i="236" s="1" a="1"/>
  <c r="AT75" i="236" s="1"/>
  <c r="N75" i="235"/>
  <c r="U75" i="236" s="1" a="1"/>
  <c r="U75" i="236" s="1"/>
  <c r="T75" i="235"/>
  <c r="AA75" i="236" s="1" a="1"/>
  <c r="AA75" i="236" s="1"/>
  <c r="Y75" i="235"/>
  <c r="AF75" i="236" s="1" a="1"/>
  <c r="AF75" i="236" s="1"/>
  <c r="AD75" i="235"/>
  <c r="AK75" i="236" s="1" a="1"/>
  <c r="AK75" i="236" s="1"/>
  <c r="AJ75" i="235"/>
  <c r="AQ75" i="236" s="1" a="1"/>
  <c r="AQ75" i="236" s="1"/>
  <c r="L75" i="235"/>
  <c r="S75" i="236" s="1" a="1"/>
  <c r="S75" i="236" s="1"/>
  <c r="Q75" i="235"/>
  <c r="X75" i="236" s="1" a="1"/>
  <c r="X75" i="236" s="1"/>
  <c r="V75" i="235"/>
  <c r="AC75" i="236" s="1" a="1"/>
  <c r="AC75" i="236" s="1"/>
  <c r="AB75" i="235"/>
  <c r="AI75" i="236" s="1" a="1"/>
  <c r="AI75" i="236" s="1"/>
  <c r="AG75" i="235"/>
  <c r="AN75" i="236" s="1" a="1"/>
  <c r="AN75" i="236" s="1"/>
  <c r="P75" i="235"/>
  <c r="W75" i="236" s="1" a="1"/>
  <c r="W75" i="236" s="1"/>
  <c r="Z75" i="235"/>
  <c r="AG75" i="236" s="1" a="1"/>
  <c r="AG75" i="236" s="1"/>
  <c r="AK75" i="235"/>
  <c r="AR75" i="236" s="1" a="1"/>
  <c r="AR75" i="236" s="1"/>
  <c r="U75" i="235"/>
  <c r="AB75" i="236" s="1" a="1"/>
  <c r="AB75" i="236" s="1"/>
  <c r="AN75" i="235"/>
  <c r="AU75" i="236" s="1" a="1"/>
  <c r="AU75" i="236" s="1"/>
  <c r="R75" i="235"/>
  <c r="Y75" i="236" s="1" a="1"/>
  <c r="Y75" i="236" s="1"/>
  <c r="AC75" i="235"/>
  <c r="AJ75" i="236" s="1" a="1"/>
  <c r="AJ75" i="236" s="1"/>
  <c r="AL75" i="235"/>
  <c r="AS75" i="236" s="1" a="1"/>
  <c r="AS75" i="236" s="1"/>
  <c r="AF75" i="235"/>
  <c r="AM75" i="236" s="1" a="1"/>
  <c r="AM75" i="236" s="1"/>
  <c r="M75" i="235"/>
  <c r="T75" i="236" s="1" a="1"/>
  <c r="T75" i="236" s="1"/>
  <c r="X75" i="235"/>
  <c r="AE75" i="236" s="1" a="1"/>
  <c r="AE75" i="236" s="1"/>
  <c r="AH75" i="235"/>
  <c r="AO75" i="236" s="1" a="1"/>
  <c r="AO75" i="236" s="1"/>
  <c r="M74" i="235"/>
  <c r="T74" i="236" s="1" a="1"/>
  <c r="T74" i="236" s="1"/>
  <c r="Q74" i="235"/>
  <c r="X74" i="236" s="1" a="1"/>
  <c r="X74" i="236" s="1"/>
  <c r="U74" i="235"/>
  <c r="AB74" i="236" s="1" a="1"/>
  <c r="AB74" i="236" s="1"/>
  <c r="Y74" i="235"/>
  <c r="AF74" i="236" s="1" a="1"/>
  <c r="AF74" i="236" s="1"/>
  <c r="AC74" i="235"/>
  <c r="AJ74" i="236" s="1" a="1"/>
  <c r="AJ74" i="236" s="1"/>
  <c r="AG74" i="235"/>
  <c r="AN74" i="236" s="1" a="1"/>
  <c r="AN74" i="236" s="1"/>
  <c r="AK74" i="235"/>
  <c r="AR74" i="236" s="1" a="1"/>
  <c r="AR74" i="236" s="1"/>
  <c r="P74" i="235"/>
  <c r="W74" i="236" s="1" a="1"/>
  <c r="W74" i="236" s="1"/>
  <c r="V74" i="235"/>
  <c r="AC74" i="236" s="1" a="1"/>
  <c r="AC74" i="236" s="1"/>
  <c r="AA74" i="235"/>
  <c r="AH74" i="236" s="1" a="1"/>
  <c r="AH74" i="236" s="1"/>
  <c r="AF74" i="235"/>
  <c r="AM74" i="236" s="1" a="1"/>
  <c r="AM74" i="236" s="1"/>
  <c r="AL74" i="235"/>
  <c r="AS74" i="236" s="1" a="1"/>
  <c r="AS74" i="236" s="1"/>
  <c r="N74" i="235"/>
  <c r="U74" i="236" s="1" a="1"/>
  <c r="U74" i="236" s="1"/>
  <c r="S74" i="235"/>
  <c r="Z74" i="236" s="1" a="1"/>
  <c r="Z74" i="236" s="1"/>
  <c r="X74" i="235"/>
  <c r="AE74" i="236" s="1" a="1"/>
  <c r="AE74" i="236" s="1"/>
  <c r="AD74" i="235"/>
  <c r="AK74" i="236" s="1" a="1"/>
  <c r="AK74" i="236" s="1"/>
  <c r="AI74" i="235"/>
  <c r="AP74" i="236" s="1" a="1"/>
  <c r="AP74" i="236" s="1"/>
  <c r="AN74" i="235"/>
  <c r="AU74" i="236" s="1" a="1"/>
  <c r="AU74" i="236" s="1"/>
  <c r="L74" i="235"/>
  <c r="S74" i="236" s="1" a="1"/>
  <c r="S74" i="236" s="1"/>
  <c r="W74" i="235"/>
  <c r="AD74" i="236" s="1" a="1"/>
  <c r="AD74" i="236" s="1"/>
  <c r="AH74" i="235"/>
  <c r="AO74" i="236" s="1" a="1"/>
  <c r="AO74" i="236" s="1"/>
  <c r="R74" i="235"/>
  <c r="Y74" i="236" s="1" a="1"/>
  <c r="Y74" i="236" s="1"/>
  <c r="AM74" i="235"/>
  <c r="AT74" i="236" s="1" a="1"/>
  <c r="AT74" i="236" s="1"/>
  <c r="O74" i="235"/>
  <c r="V74" i="236" s="1" a="1"/>
  <c r="V74" i="236" s="1"/>
  <c r="Z74" i="235"/>
  <c r="AG74" i="236" s="1" a="1"/>
  <c r="AG74" i="236" s="1"/>
  <c r="AJ74" i="235"/>
  <c r="AQ74" i="236" s="1" a="1"/>
  <c r="AQ74" i="236" s="1"/>
  <c r="AB74" i="235"/>
  <c r="AI74" i="236" s="1" a="1"/>
  <c r="AI74" i="236" s="1"/>
  <c r="T74" i="235"/>
  <c r="AA74" i="236" s="1" a="1"/>
  <c r="AA74" i="236" s="1"/>
  <c r="AE74" i="235"/>
  <c r="AL74" i="236" s="1" a="1"/>
  <c r="AL74" i="236" s="1"/>
  <c r="O73" i="235"/>
  <c r="S73" i="235"/>
  <c r="W73" i="235"/>
  <c r="AA73" i="235"/>
  <c r="AE73" i="235"/>
  <c r="AI73" i="235"/>
  <c r="AM73" i="235"/>
  <c r="M73" i="235"/>
  <c r="R73" i="235"/>
  <c r="X73" i="235"/>
  <c r="AC73" i="235"/>
  <c r="AH73" i="235"/>
  <c r="AN73" i="235"/>
  <c r="P73" i="235"/>
  <c r="U73" i="235"/>
  <c r="Z73" i="235"/>
  <c r="AF73" i="235"/>
  <c r="AK73" i="235"/>
  <c r="T73" i="235"/>
  <c r="AD73" i="235"/>
  <c r="N73" i="235"/>
  <c r="Y73" i="235"/>
  <c r="L73" i="235"/>
  <c r="V73" i="235"/>
  <c r="AG73" i="235"/>
  <c r="AJ73" i="235"/>
  <c r="Q73" i="235"/>
  <c r="AB73" i="235"/>
  <c r="AL73" i="235"/>
  <c r="M72" i="235"/>
  <c r="T72" i="236" s="1" a="1"/>
  <c r="T72" i="236" s="1"/>
  <c r="Q72" i="235"/>
  <c r="X72" i="236" s="1" a="1"/>
  <c r="X72" i="236" s="1"/>
  <c r="U72" i="235"/>
  <c r="AB72" i="236" s="1" a="1"/>
  <c r="AB72" i="236" s="1"/>
  <c r="Y72" i="235"/>
  <c r="AF72" i="236" s="1" a="1"/>
  <c r="AF72" i="236" s="1"/>
  <c r="AC72" i="235"/>
  <c r="AJ72" i="236" s="1" a="1"/>
  <c r="AJ72" i="236" s="1"/>
  <c r="AG72" i="235"/>
  <c r="AN72" i="236" s="1" a="1"/>
  <c r="AN72" i="236" s="1"/>
  <c r="AK72" i="235"/>
  <c r="AR72" i="236" s="1" a="1"/>
  <c r="AR72" i="236" s="1"/>
  <c r="O72" i="235"/>
  <c r="V72" i="236" s="1" a="1"/>
  <c r="V72" i="236" s="1"/>
  <c r="T72" i="235"/>
  <c r="AA72" i="236" s="1" a="1"/>
  <c r="AA72" i="236" s="1"/>
  <c r="Z72" i="235"/>
  <c r="AG72" i="236" s="1" a="1"/>
  <c r="AG72" i="236" s="1"/>
  <c r="AE72" i="235"/>
  <c r="AL72" i="236" s="1" a="1"/>
  <c r="AL72" i="236" s="1"/>
  <c r="AJ72" i="235"/>
  <c r="AQ72" i="236" s="1" a="1"/>
  <c r="AQ72" i="236" s="1"/>
  <c r="L72" i="235"/>
  <c r="S72" i="236" s="1" a="1"/>
  <c r="S72" i="236" s="1"/>
  <c r="R72" i="235"/>
  <c r="Y72" i="236" s="1" a="1"/>
  <c r="Y72" i="236" s="1"/>
  <c r="W72" i="235"/>
  <c r="AD72" i="236" s="1" a="1"/>
  <c r="AD72" i="236" s="1"/>
  <c r="AB72" i="235"/>
  <c r="AI72" i="236" s="1" a="1"/>
  <c r="AI72" i="236" s="1"/>
  <c r="AH72" i="235"/>
  <c r="AO72" i="236" s="1" a="1"/>
  <c r="AO72" i="236" s="1"/>
  <c r="AM72" i="235"/>
  <c r="AT72" i="236" s="1" a="1"/>
  <c r="AT72" i="236" s="1"/>
  <c r="P72" i="235"/>
  <c r="W72" i="236" s="1" a="1"/>
  <c r="W72" i="236" s="1"/>
  <c r="AA72" i="235"/>
  <c r="AH72" i="236" s="1" a="1"/>
  <c r="AH72" i="236" s="1"/>
  <c r="AL72" i="235"/>
  <c r="AS72" i="236" s="1" a="1"/>
  <c r="AS72" i="236" s="1"/>
  <c r="V72" i="235"/>
  <c r="AC72" i="236" s="1" a="1"/>
  <c r="AC72" i="236" s="1"/>
  <c r="AF72" i="235"/>
  <c r="AM72" i="236" s="1" a="1"/>
  <c r="AM72" i="236" s="1"/>
  <c r="S72" i="235"/>
  <c r="Z72" i="236" s="1" a="1"/>
  <c r="Z72" i="236" s="1"/>
  <c r="AD72" i="235"/>
  <c r="AK72" i="236" s="1" a="1"/>
  <c r="AK72" i="236" s="1"/>
  <c r="AN72" i="235"/>
  <c r="AU72" i="236" s="1" a="1"/>
  <c r="AU72" i="236" s="1"/>
  <c r="N72" i="235"/>
  <c r="U72" i="236" s="1" a="1"/>
  <c r="U72" i="236" s="1"/>
  <c r="X72" i="235"/>
  <c r="AE72" i="236" s="1" a="1"/>
  <c r="AE72" i="236" s="1"/>
  <c r="AI72" i="235"/>
  <c r="AP72" i="236" s="1" a="1"/>
  <c r="AP72" i="236" s="1"/>
  <c r="O71" i="235"/>
  <c r="S71" i="235"/>
  <c r="W71" i="235"/>
  <c r="AA71" i="235"/>
  <c r="AE71" i="235"/>
  <c r="AI71" i="235"/>
  <c r="AM71" i="235"/>
  <c r="L71" i="235"/>
  <c r="Q71" i="235"/>
  <c r="V71" i="235"/>
  <c r="AB71" i="235"/>
  <c r="AG71" i="235"/>
  <c r="AL71" i="235"/>
  <c r="N71" i="235"/>
  <c r="T71" i="235"/>
  <c r="Y71" i="235"/>
  <c r="AD71" i="235"/>
  <c r="AJ71" i="235"/>
  <c r="M71" i="235"/>
  <c r="X71" i="235"/>
  <c r="AH71" i="235"/>
  <c r="R71" i="235"/>
  <c r="AC71" i="235"/>
  <c r="AN71" i="235"/>
  <c r="P71" i="235"/>
  <c r="Z71" i="235"/>
  <c r="AK71" i="235"/>
  <c r="U71" i="235"/>
  <c r="AF71" i="235"/>
  <c r="M70" i="235"/>
  <c r="T70" i="236" s="1" a="1"/>
  <c r="T70" i="236" s="1"/>
  <c r="Q70" i="235"/>
  <c r="X70" i="236" s="1" a="1"/>
  <c r="X70" i="236" s="1"/>
  <c r="U70" i="235"/>
  <c r="AB70" i="236" s="1" a="1"/>
  <c r="AB70" i="236" s="1"/>
  <c r="Y70" i="235"/>
  <c r="AF70" i="236" s="1" a="1"/>
  <c r="AF70" i="236" s="1"/>
  <c r="AC70" i="235"/>
  <c r="AJ70" i="236" s="1" a="1"/>
  <c r="AJ70" i="236" s="1"/>
  <c r="AG70" i="235"/>
  <c r="AN70" i="236" s="1" a="1"/>
  <c r="AN70" i="236" s="1"/>
  <c r="AK70" i="235"/>
  <c r="AR70" i="236" s="1" a="1"/>
  <c r="AR70" i="236" s="1"/>
  <c r="N70" i="235"/>
  <c r="U70" i="236" s="1" a="1"/>
  <c r="U70" i="236" s="1"/>
  <c r="S70" i="235"/>
  <c r="Z70" i="236" s="1" a="1"/>
  <c r="Z70" i="236" s="1"/>
  <c r="X70" i="235"/>
  <c r="AE70" i="236" s="1" a="1"/>
  <c r="AE70" i="236" s="1"/>
  <c r="AD70" i="235"/>
  <c r="AK70" i="236" s="1" a="1"/>
  <c r="AK70" i="236" s="1"/>
  <c r="AI70" i="235"/>
  <c r="AP70" i="236" s="1" a="1"/>
  <c r="AP70" i="236" s="1"/>
  <c r="AN70" i="235"/>
  <c r="AU70" i="236" s="1" a="1"/>
  <c r="AU70" i="236" s="1"/>
  <c r="P70" i="235"/>
  <c r="W70" i="236" s="1" a="1"/>
  <c r="W70" i="236" s="1"/>
  <c r="V70" i="235"/>
  <c r="AC70" i="236" s="1" a="1"/>
  <c r="AC70" i="236" s="1"/>
  <c r="AA70" i="235"/>
  <c r="AH70" i="236" s="1" a="1"/>
  <c r="AH70" i="236" s="1"/>
  <c r="AF70" i="235"/>
  <c r="AM70" i="236" s="1" a="1"/>
  <c r="AM70" i="236" s="1"/>
  <c r="AL70" i="235"/>
  <c r="AS70" i="236" s="1" a="1"/>
  <c r="AS70" i="236" s="1"/>
  <c r="T70" i="235"/>
  <c r="AA70" i="236" s="1" a="1"/>
  <c r="AA70" i="236" s="1"/>
  <c r="AE70" i="235"/>
  <c r="AL70" i="236" s="1" a="1"/>
  <c r="AL70" i="236" s="1"/>
  <c r="Z70" i="235"/>
  <c r="AG70" i="236" s="1" a="1"/>
  <c r="AG70" i="236" s="1"/>
  <c r="AJ70" i="235"/>
  <c r="AQ70" i="236" s="1" a="1"/>
  <c r="AQ70" i="236" s="1"/>
  <c r="L70" i="235"/>
  <c r="S70" i="236" s="1" a="1"/>
  <c r="S70" i="236" s="1"/>
  <c r="W70" i="235"/>
  <c r="AD70" i="236" s="1" a="1"/>
  <c r="AD70" i="236" s="1"/>
  <c r="AH70" i="235"/>
  <c r="AO70" i="236" s="1" a="1"/>
  <c r="AO70" i="236" s="1"/>
  <c r="O70" i="235"/>
  <c r="V70" i="236" s="1" a="1"/>
  <c r="V70" i="236" s="1"/>
  <c r="R70" i="235"/>
  <c r="Y70" i="236" s="1" a="1"/>
  <c r="Y70" i="236" s="1"/>
  <c r="AB70" i="235"/>
  <c r="AI70" i="236" s="1" a="1"/>
  <c r="AI70" i="236" s="1"/>
  <c r="AM70" i="235"/>
  <c r="AT70" i="236" s="1" a="1"/>
  <c r="AT70" i="236" s="1"/>
  <c r="O69" i="235"/>
  <c r="V69" i="236" s="1" a="1"/>
  <c r="V69" i="236" s="1"/>
  <c r="S69" i="235"/>
  <c r="Z69" i="236" s="1" a="1"/>
  <c r="Z69" i="236" s="1"/>
  <c r="W69" i="235"/>
  <c r="AD69" i="236" s="1" a="1"/>
  <c r="AD69" i="236" s="1"/>
  <c r="AA69" i="235"/>
  <c r="AH69" i="236" s="1" a="1"/>
  <c r="AH69" i="236" s="1"/>
  <c r="AE69" i="235"/>
  <c r="AL69" i="236" s="1" a="1"/>
  <c r="AL69" i="236" s="1"/>
  <c r="AI69" i="235"/>
  <c r="AP69" i="236" s="1" a="1"/>
  <c r="AP69" i="236" s="1"/>
  <c r="AM69" i="235"/>
  <c r="AT69" i="236" s="1" a="1"/>
  <c r="AT69" i="236" s="1"/>
  <c r="P69" i="235"/>
  <c r="W69" i="236" s="1" a="1"/>
  <c r="W69" i="236" s="1"/>
  <c r="U69" i="235"/>
  <c r="AB69" i="236" s="1" a="1"/>
  <c r="AB69" i="236" s="1"/>
  <c r="Z69" i="235"/>
  <c r="AG69" i="236" s="1" a="1"/>
  <c r="AG69" i="236" s="1"/>
  <c r="AF69" i="235"/>
  <c r="AM69" i="236" s="1" a="1"/>
  <c r="AM69" i="236" s="1"/>
  <c r="AK69" i="235"/>
  <c r="AR69" i="236" s="1" a="1"/>
  <c r="AR69" i="236" s="1"/>
  <c r="M69" i="235"/>
  <c r="T69" i="236" s="1" a="1"/>
  <c r="T69" i="236" s="1"/>
  <c r="R69" i="235"/>
  <c r="Y69" i="236" s="1" a="1"/>
  <c r="Y69" i="236" s="1"/>
  <c r="X69" i="235"/>
  <c r="AE69" i="236" s="1" a="1"/>
  <c r="AE69" i="236" s="1"/>
  <c r="AC69" i="235"/>
  <c r="AJ69" i="236" s="1" a="1"/>
  <c r="AJ69" i="236" s="1"/>
  <c r="AH69" i="235"/>
  <c r="AO69" i="236" s="1" a="1"/>
  <c r="AO69" i="236" s="1"/>
  <c r="AN69" i="235"/>
  <c r="AU69" i="236" s="1" a="1"/>
  <c r="AU69" i="236" s="1"/>
  <c r="Q69" i="235"/>
  <c r="X69" i="236" s="1" a="1"/>
  <c r="X69" i="236" s="1"/>
  <c r="AB69" i="235"/>
  <c r="AI69" i="236" s="1" a="1"/>
  <c r="AI69" i="236" s="1"/>
  <c r="AL69" i="235"/>
  <c r="AS69" i="236" s="1" a="1"/>
  <c r="AS69" i="236" s="1"/>
  <c r="L69" i="235"/>
  <c r="S69" i="236" s="1" a="1"/>
  <c r="S69" i="236" s="1"/>
  <c r="V69" i="235"/>
  <c r="AC69" i="236" s="1" a="1"/>
  <c r="AC69" i="236" s="1"/>
  <c r="AG69" i="235"/>
  <c r="AN69" i="236" s="1" a="1"/>
  <c r="AN69" i="236" s="1"/>
  <c r="T69" i="235"/>
  <c r="AA69" i="236" s="1" a="1"/>
  <c r="AA69" i="236" s="1"/>
  <c r="AD69" i="235"/>
  <c r="AK69" i="236" s="1" a="1"/>
  <c r="AK69" i="236" s="1"/>
  <c r="N69" i="235"/>
  <c r="U69" i="236" s="1" a="1"/>
  <c r="U69" i="236" s="1"/>
  <c r="Y69" i="235"/>
  <c r="AF69" i="236" s="1" a="1"/>
  <c r="AF69" i="236" s="1"/>
  <c r="AJ69" i="235"/>
  <c r="AQ69" i="236" s="1" a="1"/>
  <c r="AQ69" i="236" s="1"/>
  <c r="M68" i="235"/>
  <c r="T68" i="236" s="1" a="1"/>
  <c r="T68" i="236" s="1"/>
  <c r="Q68" i="235"/>
  <c r="X68" i="236" s="1" a="1"/>
  <c r="X68" i="236" s="1"/>
  <c r="U68" i="235"/>
  <c r="AB68" i="236" s="1" a="1"/>
  <c r="AB68" i="236" s="1"/>
  <c r="Y68" i="235"/>
  <c r="AF68" i="236" s="1" a="1"/>
  <c r="AF68" i="236" s="1"/>
  <c r="AC68" i="235"/>
  <c r="AJ68" i="236" s="1" a="1"/>
  <c r="AJ68" i="236" s="1"/>
  <c r="AG68" i="235"/>
  <c r="AN68" i="236" s="1" a="1"/>
  <c r="AN68" i="236" s="1"/>
  <c r="AK68" i="235"/>
  <c r="AR68" i="236" s="1" a="1"/>
  <c r="AR68" i="236" s="1"/>
  <c r="L68" i="235"/>
  <c r="S68" i="236" s="1" a="1"/>
  <c r="S68" i="236" s="1"/>
  <c r="R68" i="235"/>
  <c r="Y68" i="236" s="1" a="1"/>
  <c r="Y68" i="236" s="1"/>
  <c r="W68" i="235"/>
  <c r="AD68" i="236" s="1" a="1"/>
  <c r="AD68" i="236" s="1"/>
  <c r="AB68" i="235"/>
  <c r="AI68" i="236" s="1" a="1"/>
  <c r="AI68" i="236" s="1"/>
  <c r="AH68" i="235"/>
  <c r="AO68" i="236" s="1" a="1"/>
  <c r="AO68" i="236" s="1"/>
  <c r="AM68" i="235"/>
  <c r="AT68" i="236" s="1" a="1"/>
  <c r="AT68" i="236" s="1"/>
  <c r="O68" i="235"/>
  <c r="V68" i="236" s="1" a="1"/>
  <c r="V68" i="236" s="1"/>
  <c r="T68" i="235"/>
  <c r="AA68" i="236" s="1" a="1"/>
  <c r="AA68" i="236" s="1"/>
  <c r="Z68" i="235"/>
  <c r="AG68" i="236" s="1" a="1"/>
  <c r="AG68" i="236" s="1"/>
  <c r="AE68" i="235"/>
  <c r="AL68" i="236" s="1" a="1"/>
  <c r="AL68" i="236" s="1"/>
  <c r="AJ68" i="235"/>
  <c r="AQ68" i="236" s="1" a="1"/>
  <c r="AQ68" i="236" s="1"/>
  <c r="N68" i="235"/>
  <c r="U68" i="236" s="1" a="1"/>
  <c r="U68" i="236" s="1"/>
  <c r="X68" i="235"/>
  <c r="AE68" i="236" s="1" a="1"/>
  <c r="AE68" i="236" s="1"/>
  <c r="AI68" i="235"/>
  <c r="AP68" i="236" s="1" a="1"/>
  <c r="AP68" i="236" s="1"/>
  <c r="S68" i="235"/>
  <c r="Z68" i="236" s="1" a="1"/>
  <c r="Z68" i="236" s="1"/>
  <c r="AD68" i="235"/>
  <c r="AK68" i="236" s="1" a="1"/>
  <c r="AK68" i="236" s="1"/>
  <c r="AN68" i="235"/>
  <c r="AU68" i="236" s="1" a="1"/>
  <c r="AU68" i="236" s="1"/>
  <c r="P68" i="235"/>
  <c r="W68" i="236" s="1" a="1"/>
  <c r="W68" i="236" s="1"/>
  <c r="AA68" i="235"/>
  <c r="AH68" i="236" s="1" a="1"/>
  <c r="AH68" i="236" s="1"/>
  <c r="AL68" i="235"/>
  <c r="AS68" i="236" s="1" a="1"/>
  <c r="AS68" i="236" s="1"/>
  <c r="V68" i="235"/>
  <c r="AC68" i="236" s="1" a="1"/>
  <c r="AC68" i="236" s="1"/>
  <c r="AF68" i="235"/>
  <c r="AM68" i="236" s="1" a="1"/>
  <c r="AM68" i="236" s="1"/>
  <c r="O67" i="235"/>
  <c r="S67" i="235"/>
  <c r="W67" i="235"/>
  <c r="AA67" i="235"/>
  <c r="AE67" i="235"/>
  <c r="AI67" i="235"/>
  <c r="AM67" i="235"/>
  <c r="N67" i="235"/>
  <c r="T67" i="235"/>
  <c r="Y67" i="235"/>
  <c r="AD67" i="235"/>
  <c r="AJ67" i="235"/>
  <c r="L67" i="235"/>
  <c r="Q67" i="235"/>
  <c r="V67" i="235"/>
  <c r="AB67" i="235"/>
  <c r="AG67" i="235"/>
  <c r="AL67" i="235"/>
  <c r="U67" i="235"/>
  <c r="AF67" i="235"/>
  <c r="P67" i="235"/>
  <c r="Z67" i="235"/>
  <c r="AK67" i="235"/>
  <c r="M67" i="235"/>
  <c r="X67" i="235"/>
  <c r="AH67" i="235"/>
  <c r="R67" i="235"/>
  <c r="AC67" i="235"/>
  <c r="AN67" i="235"/>
  <c r="M66" i="235"/>
  <c r="T66" i="236" s="1" a="1"/>
  <c r="T66" i="236" s="1"/>
  <c r="Q66" i="235"/>
  <c r="X66" i="236" s="1" a="1"/>
  <c r="X66" i="236" s="1"/>
  <c r="U66" i="235"/>
  <c r="AB66" i="236" s="1" a="1"/>
  <c r="AB66" i="236" s="1"/>
  <c r="Y66" i="235"/>
  <c r="AF66" i="236" s="1" a="1"/>
  <c r="AF66" i="236" s="1"/>
  <c r="AC66" i="235"/>
  <c r="AJ66" i="236" s="1" a="1"/>
  <c r="AJ66" i="236" s="1"/>
  <c r="AG66" i="235"/>
  <c r="AN66" i="236" s="1" a="1"/>
  <c r="AN66" i="236" s="1"/>
  <c r="AK66" i="235"/>
  <c r="AR66" i="236" s="1" a="1"/>
  <c r="AR66" i="236" s="1"/>
  <c r="P66" i="235"/>
  <c r="W66" i="236" s="1" a="1"/>
  <c r="W66" i="236" s="1"/>
  <c r="V66" i="235"/>
  <c r="AC66" i="236" s="1" a="1"/>
  <c r="AC66" i="236" s="1"/>
  <c r="AA66" i="235"/>
  <c r="AH66" i="236" s="1" a="1"/>
  <c r="AH66" i="236" s="1"/>
  <c r="AF66" i="235"/>
  <c r="AM66" i="236" s="1" a="1"/>
  <c r="AM66" i="236" s="1"/>
  <c r="AL66" i="235"/>
  <c r="AS66" i="236" s="1" a="1"/>
  <c r="AS66" i="236" s="1"/>
  <c r="N66" i="235"/>
  <c r="U66" i="236" s="1" a="1"/>
  <c r="U66" i="236" s="1"/>
  <c r="S66" i="235"/>
  <c r="Z66" i="236" s="1" a="1"/>
  <c r="Z66" i="236" s="1"/>
  <c r="X66" i="235"/>
  <c r="AE66" i="236" s="1" a="1"/>
  <c r="AE66" i="236" s="1"/>
  <c r="AD66" i="235"/>
  <c r="AK66" i="236" s="1" a="1"/>
  <c r="AK66" i="236" s="1"/>
  <c r="AI66" i="235"/>
  <c r="AP66" i="236" s="1" a="1"/>
  <c r="AP66" i="236" s="1"/>
  <c r="AN66" i="235"/>
  <c r="AU66" i="236" s="1" a="1"/>
  <c r="AU66" i="236" s="1"/>
  <c r="R66" i="235"/>
  <c r="Y66" i="236" s="1" a="1"/>
  <c r="Y66" i="236" s="1"/>
  <c r="AB66" i="235"/>
  <c r="AI66" i="236" s="1" a="1"/>
  <c r="AI66" i="236" s="1"/>
  <c r="AM66" i="235"/>
  <c r="AT66" i="236" s="1" a="1"/>
  <c r="AT66" i="236" s="1"/>
  <c r="L66" i="235"/>
  <c r="S66" i="236" s="1" a="1"/>
  <c r="S66" i="236" s="1"/>
  <c r="W66" i="235"/>
  <c r="AD66" i="236" s="1" a="1"/>
  <c r="AD66" i="236" s="1"/>
  <c r="AH66" i="235"/>
  <c r="AO66" i="236" s="1" a="1"/>
  <c r="AO66" i="236" s="1"/>
  <c r="T66" i="235"/>
  <c r="AA66" i="236" s="1" a="1"/>
  <c r="AA66" i="236" s="1"/>
  <c r="AE66" i="235"/>
  <c r="AL66" i="236" s="1" a="1"/>
  <c r="AL66" i="236" s="1"/>
  <c r="O66" i="235"/>
  <c r="V66" i="236" s="1" a="1"/>
  <c r="V66" i="236" s="1"/>
  <c r="Z66" i="235"/>
  <c r="AG66" i="236" s="1" a="1"/>
  <c r="AG66" i="236" s="1"/>
  <c r="AJ66" i="235"/>
  <c r="AQ66" i="236" s="1" a="1"/>
  <c r="AQ66" i="236" s="1"/>
  <c r="O65" i="235"/>
  <c r="V65" i="236" s="1" a="1"/>
  <c r="V65" i="236" s="1"/>
  <c r="S65" i="235"/>
  <c r="Z65" i="236" s="1" a="1"/>
  <c r="Z65" i="236" s="1"/>
  <c r="W65" i="235"/>
  <c r="AD65" i="236" s="1" a="1"/>
  <c r="AD65" i="236" s="1"/>
  <c r="AA65" i="235"/>
  <c r="AH65" i="236" s="1" a="1"/>
  <c r="AH65" i="236" s="1"/>
  <c r="AE65" i="235"/>
  <c r="AL65" i="236" s="1" a="1"/>
  <c r="AL65" i="236" s="1"/>
  <c r="AI65" i="235"/>
  <c r="AP65" i="236" s="1" a="1"/>
  <c r="AP65" i="236" s="1"/>
  <c r="AM65" i="235"/>
  <c r="AT65" i="236" s="1" a="1"/>
  <c r="AT65" i="236" s="1"/>
  <c r="L65" i="235"/>
  <c r="S65" i="236" s="1" a="1"/>
  <c r="S65" i="236" s="1"/>
  <c r="P65" i="235"/>
  <c r="W65" i="236" s="1" a="1"/>
  <c r="W65" i="236" s="1"/>
  <c r="T65" i="235"/>
  <c r="AA65" i="236" s="1" a="1"/>
  <c r="AA65" i="236" s="1"/>
  <c r="X65" i="235"/>
  <c r="AE65" i="236" s="1" a="1"/>
  <c r="AE65" i="236" s="1"/>
  <c r="AB65" i="235"/>
  <c r="AI65" i="236" s="1" a="1"/>
  <c r="AI65" i="236" s="1"/>
  <c r="AF65" i="235"/>
  <c r="AM65" i="236" s="1" a="1"/>
  <c r="AM65" i="236" s="1"/>
  <c r="AJ65" i="235"/>
  <c r="AQ65" i="236" s="1" a="1"/>
  <c r="AQ65" i="236" s="1"/>
  <c r="AN65" i="235"/>
  <c r="AU65" i="236" s="1" a="1"/>
  <c r="AU65" i="236" s="1"/>
  <c r="M65" i="235"/>
  <c r="T65" i="236" s="1" a="1"/>
  <c r="T65" i="236" s="1"/>
  <c r="U65" i="235"/>
  <c r="AB65" i="236" s="1" a="1"/>
  <c r="AB65" i="236" s="1"/>
  <c r="AC65" i="235"/>
  <c r="AJ65" i="236" s="1" a="1"/>
  <c r="AJ65" i="236" s="1"/>
  <c r="AK65" i="235"/>
  <c r="AR65" i="236" s="1" a="1"/>
  <c r="AR65" i="236" s="1"/>
  <c r="N65" i="235"/>
  <c r="U65" i="236" s="1" a="1"/>
  <c r="U65" i="236" s="1"/>
  <c r="V65" i="235"/>
  <c r="AC65" i="236" s="1" a="1"/>
  <c r="AC65" i="236" s="1"/>
  <c r="AD65" i="235"/>
  <c r="AK65" i="236" s="1" a="1"/>
  <c r="AK65" i="236" s="1"/>
  <c r="Q65" i="235"/>
  <c r="X65" i="236" s="1" a="1"/>
  <c r="X65" i="236" s="1"/>
  <c r="Y65" i="235"/>
  <c r="AF65" i="236" s="1" a="1"/>
  <c r="AF65" i="236" s="1"/>
  <c r="AG65" i="235"/>
  <c r="AN65" i="236" s="1" a="1"/>
  <c r="AN65" i="236" s="1"/>
  <c r="Z65" i="235"/>
  <c r="AG65" i="236" s="1" a="1"/>
  <c r="AG65" i="236" s="1"/>
  <c r="AL65" i="235"/>
  <c r="AS65" i="236" s="1" a="1"/>
  <c r="AS65" i="236" s="1"/>
  <c r="AH65" i="235"/>
  <c r="AO65" i="236" s="1" a="1"/>
  <c r="AO65" i="236" s="1"/>
  <c r="R65" i="235"/>
  <c r="Y65" i="236" s="1" a="1"/>
  <c r="Y65" i="236" s="1"/>
  <c r="M64" i="235"/>
  <c r="T64" i="236" s="1" a="1"/>
  <c r="T64" i="236" s="1"/>
  <c r="Q64" i="235"/>
  <c r="X64" i="236" s="1" a="1"/>
  <c r="X64" i="236" s="1"/>
  <c r="U64" i="235"/>
  <c r="AB64" i="236" s="1" a="1"/>
  <c r="AB64" i="236" s="1"/>
  <c r="Y64" i="235"/>
  <c r="AF64" i="236" s="1" a="1"/>
  <c r="AF64" i="236" s="1"/>
  <c r="AC64" i="235"/>
  <c r="AJ64" i="236" s="1" a="1"/>
  <c r="AJ64" i="236" s="1"/>
  <c r="AG64" i="235"/>
  <c r="AN64" i="236" s="1" a="1"/>
  <c r="AN64" i="236" s="1"/>
  <c r="AK64" i="235"/>
  <c r="AR64" i="236" s="1" a="1"/>
  <c r="AR64" i="236" s="1"/>
  <c r="N64" i="235"/>
  <c r="U64" i="236" s="1" a="1"/>
  <c r="U64" i="236" s="1"/>
  <c r="R64" i="235"/>
  <c r="Y64" i="236" s="1" a="1"/>
  <c r="Y64" i="236" s="1"/>
  <c r="V64" i="235"/>
  <c r="AC64" i="236" s="1" a="1"/>
  <c r="AC64" i="236" s="1"/>
  <c r="Z64" i="235"/>
  <c r="AG64" i="236" s="1" a="1"/>
  <c r="AG64" i="236" s="1"/>
  <c r="AD64" i="235"/>
  <c r="AK64" i="236" s="1" a="1"/>
  <c r="AK64" i="236" s="1"/>
  <c r="AH64" i="235"/>
  <c r="AO64" i="236" s="1" a="1"/>
  <c r="AO64" i="236" s="1"/>
  <c r="AL64" i="235"/>
  <c r="AS64" i="236" s="1" a="1"/>
  <c r="AS64" i="236" s="1"/>
  <c r="O64" i="235"/>
  <c r="V64" i="236" s="1" a="1"/>
  <c r="V64" i="236" s="1"/>
  <c r="W64" i="235"/>
  <c r="AD64" i="236" s="1" a="1"/>
  <c r="AD64" i="236" s="1"/>
  <c r="AE64" i="235"/>
  <c r="AL64" i="236" s="1" a="1"/>
  <c r="AL64" i="236" s="1"/>
  <c r="AM64" i="235"/>
  <c r="AT64" i="236" s="1" a="1"/>
  <c r="AT64" i="236" s="1"/>
  <c r="P64" i="235"/>
  <c r="W64" i="236" s="1" a="1"/>
  <c r="W64" i="236" s="1"/>
  <c r="X64" i="235"/>
  <c r="AE64" i="236" s="1" a="1"/>
  <c r="AE64" i="236" s="1"/>
  <c r="AF64" i="235"/>
  <c r="AM64" i="236" s="1" a="1"/>
  <c r="AM64" i="236" s="1"/>
  <c r="AN64" i="235"/>
  <c r="AU64" i="236" s="1" a="1"/>
  <c r="AU64" i="236" s="1"/>
  <c r="S64" i="235"/>
  <c r="Z64" i="236" s="1" a="1"/>
  <c r="Z64" i="236" s="1"/>
  <c r="AA64" i="235"/>
  <c r="AH64" i="236" s="1" a="1"/>
  <c r="AH64" i="236" s="1"/>
  <c r="AI64" i="235"/>
  <c r="AP64" i="236" s="1" a="1"/>
  <c r="AP64" i="236" s="1"/>
  <c r="L64" i="235"/>
  <c r="S64" i="236" s="1" a="1"/>
  <c r="S64" i="236" s="1"/>
  <c r="AB64" i="235"/>
  <c r="AI64" i="236" s="1" a="1"/>
  <c r="AI64" i="236" s="1"/>
  <c r="T64" i="235"/>
  <c r="AA64" i="236" s="1" a="1"/>
  <c r="AA64" i="236" s="1"/>
  <c r="AJ64" i="235"/>
  <c r="AQ64" i="236" s="1" a="1"/>
  <c r="AQ64" i="236" s="1"/>
  <c r="O63" i="235"/>
  <c r="S63" i="235"/>
  <c r="W63" i="235"/>
  <c r="AA63" i="235"/>
  <c r="AE63" i="235"/>
  <c r="AI63" i="235"/>
  <c r="AM63" i="235"/>
  <c r="L63" i="235"/>
  <c r="P63" i="235"/>
  <c r="T63" i="235"/>
  <c r="X63" i="235"/>
  <c r="AB63" i="235"/>
  <c r="AF63" i="235"/>
  <c r="AJ63" i="235"/>
  <c r="AN63" i="235"/>
  <c r="Q63" i="235"/>
  <c r="Y63" i="235"/>
  <c r="AG63" i="235"/>
  <c r="R63" i="235"/>
  <c r="Z63" i="235"/>
  <c r="AH63" i="235"/>
  <c r="M63" i="235"/>
  <c r="U63" i="235"/>
  <c r="AC63" i="235"/>
  <c r="AK63" i="235"/>
  <c r="AD63" i="235"/>
  <c r="N63" i="235"/>
  <c r="AL63" i="235"/>
  <c r="V63" i="235"/>
  <c r="L62" i="235"/>
  <c r="P62" i="235"/>
  <c r="T62" i="235"/>
  <c r="O62" i="235"/>
  <c r="U62" i="235"/>
  <c r="Y62" i="235"/>
  <c r="AC62" i="235"/>
  <c r="AG62" i="235"/>
  <c r="AK62" i="235"/>
  <c r="Q62" i="235"/>
  <c r="V62" i="235"/>
  <c r="Z62" i="235"/>
  <c r="AD62" i="235"/>
  <c r="AH62" i="235"/>
  <c r="AL62" i="235"/>
  <c r="R62" i="235"/>
  <c r="AA62" i="235"/>
  <c r="AI62" i="235"/>
  <c r="S62" i="235"/>
  <c r="AB62" i="235"/>
  <c r="AJ62" i="235"/>
  <c r="M62" i="235"/>
  <c r="W62" i="235"/>
  <c r="AE62" i="235"/>
  <c r="AM62" i="235"/>
  <c r="N62" i="235"/>
  <c r="AF62" i="235"/>
  <c r="X62" i="235"/>
  <c r="AN62" i="235"/>
  <c r="N61" i="235"/>
  <c r="R61" i="235"/>
  <c r="V61" i="235"/>
  <c r="Z61" i="235"/>
  <c r="AD61" i="235"/>
  <c r="AH61" i="235"/>
  <c r="AL61" i="235"/>
  <c r="L61" i="235"/>
  <c r="Q61" i="235"/>
  <c r="W61" i="235"/>
  <c r="AB61" i="235"/>
  <c r="AG61" i="235"/>
  <c r="AM61" i="235"/>
  <c r="M61" i="235"/>
  <c r="S61" i="235"/>
  <c r="X61" i="235"/>
  <c r="AC61" i="235"/>
  <c r="AI61" i="235"/>
  <c r="AN61" i="235"/>
  <c r="O61" i="235"/>
  <c r="Y61" i="235"/>
  <c r="AJ61" i="235"/>
  <c r="P61" i="235"/>
  <c r="AA61" i="235"/>
  <c r="AK61" i="235"/>
  <c r="T61" i="235"/>
  <c r="AE61" i="235"/>
  <c r="U61" i="235"/>
  <c r="AF61" i="235"/>
  <c r="L60" i="235"/>
  <c r="P60" i="235"/>
  <c r="T60" i="235"/>
  <c r="X60" i="235"/>
  <c r="AB60" i="235"/>
  <c r="AF60" i="235"/>
  <c r="AJ60" i="235"/>
  <c r="AN60" i="235"/>
  <c r="N60" i="235"/>
  <c r="S60" i="235"/>
  <c r="Y60" i="235"/>
  <c r="AD60" i="235"/>
  <c r="AI60" i="235"/>
  <c r="O60" i="235"/>
  <c r="U60" i="235"/>
  <c r="Z60" i="235"/>
  <c r="AE60" i="235"/>
  <c r="AK60" i="235"/>
  <c r="V60" i="235"/>
  <c r="AG60" i="235"/>
  <c r="M60" i="235"/>
  <c r="W60" i="235"/>
  <c r="AH60" i="235"/>
  <c r="Q60" i="235"/>
  <c r="AA60" i="235"/>
  <c r="AL60" i="235"/>
  <c r="AC60" i="235"/>
  <c r="AM60" i="235"/>
  <c r="R60" i="235"/>
  <c r="N59" i="235"/>
  <c r="R59" i="235"/>
  <c r="V59" i="235"/>
  <c r="Z59" i="235"/>
  <c r="AD59" i="235"/>
  <c r="AH59" i="235"/>
  <c r="AL59" i="235"/>
  <c r="P59" i="235"/>
  <c r="U59" i="235"/>
  <c r="AA59" i="235"/>
  <c r="AF59" i="235"/>
  <c r="AK59" i="235"/>
  <c r="L59" i="235"/>
  <c r="Q59" i="235"/>
  <c r="W59" i="235"/>
  <c r="AB59" i="235"/>
  <c r="AG59" i="235"/>
  <c r="AM59" i="235"/>
  <c r="S59" i="235"/>
  <c r="AC59" i="235"/>
  <c r="AN59" i="235"/>
  <c r="T59" i="235"/>
  <c r="AE59" i="235"/>
  <c r="M59" i="235"/>
  <c r="X59" i="235"/>
  <c r="AI59" i="235"/>
  <c r="AJ59" i="235"/>
  <c r="O59" i="235"/>
  <c r="Y59" i="235"/>
  <c r="L57" i="235"/>
  <c r="S57" i="236" s="1" a="1"/>
  <c r="S57" i="236" s="1"/>
  <c r="P57" i="235"/>
  <c r="W57" i="236" s="1" a="1"/>
  <c r="W57" i="236" s="1"/>
  <c r="T57" i="235"/>
  <c r="AA57" i="236" s="1" a="1"/>
  <c r="AA57" i="236" s="1"/>
  <c r="X57" i="235"/>
  <c r="AE57" i="236" s="1" a="1"/>
  <c r="AE57" i="236" s="1"/>
  <c r="AB57" i="235"/>
  <c r="AI57" i="236" s="1" a="1"/>
  <c r="AI57" i="236" s="1"/>
  <c r="AF57" i="235"/>
  <c r="AM57" i="236" s="1" a="1"/>
  <c r="AM57" i="236" s="1"/>
  <c r="AJ57" i="235"/>
  <c r="AQ57" i="236" s="1" a="1"/>
  <c r="AQ57" i="236" s="1"/>
  <c r="AN57" i="235"/>
  <c r="AU57" i="236" s="1" a="1"/>
  <c r="AU57" i="236" s="1"/>
  <c r="M57" i="235"/>
  <c r="T57" i="236" s="1" a="1"/>
  <c r="T57" i="236" s="1"/>
  <c r="R57" i="235"/>
  <c r="Y57" i="236" s="1" a="1"/>
  <c r="Y57" i="236" s="1"/>
  <c r="W57" i="235"/>
  <c r="AD57" i="236" s="1" a="1"/>
  <c r="AD57" i="236" s="1"/>
  <c r="AC57" i="235"/>
  <c r="AJ57" i="236" s="1" a="1"/>
  <c r="AJ57" i="236" s="1"/>
  <c r="AH57" i="235"/>
  <c r="AO57" i="236" s="1" a="1"/>
  <c r="AO57" i="236" s="1"/>
  <c r="AM57" i="235"/>
  <c r="AT57" i="236" s="1" a="1"/>
  <c r="AT57" i="236" s="1"/>
  <c r="N57" i="235"/>
  <c r="U57" i="236" s="1" a="1"/>
  <c r="U57" i="236" s="1"/>
  <c r="S57" i="235"/>
  <c r="Z57" i="236" s="1" a="1"/>
  <c r="Z57" i="236" s="1"/>
  <c r="Y57" i="235"/>
  <c r="AF57" i="236" s="1" a="1"/>
  <c r="AF57" i="236" s="1"/>
  <c r="AD57" i="235"/>
  <c r="AK57" i="236" s="1" a="1"/>
  <c r="AK57" i="236" s="1"/>
  <c r="AI57" i="235"/>
  <c r="AP57" i="236" s="1" a="1"/>
  <c r="AP57" i="236" s="1"/>
  <c r="V57" i="235"/>
  <c r="AC57" i="236" s="1" a="1"/>
  <c r="AC57" i="236" s="1"/>
  <c r="AG57" i="235"/>
  <c r="AN57" i="236" s="1" a="1"/>
  <c r="AN57" i="236" s="1"/>
  <c r="U57" i="235"/>
  <c r="AB57" i="236" s="1" a="1"/>
  <c r="AB57" i="236" s="1"/>
  <c r="AK57" i="235"/>
  <c r="AR57" i="236" s="1" a="1"/>
  <c r="AR57" i="236" s="1"/>
  <c r="Z57" i="235"/>
  <c r="AG57" i="236" s="1" a="1"/>
  <c r="AG57" i="236" s="1"/>
  <c r="AL57" i="235"/>
  <c r="AS57" i="236" s="1" a="1"/>
  <c r="AS57" i="236" s="1"/>
  <c r="O57" i="235"/>
  <c r="V57" i="236" s="1" a="1"/>
  <c r="V57" i="236" s="1"/>
  <c r="AA57" i="235"/>
  <c r="AH57" i="236" s="1" a="1"/>
  <c r="AH57" i="236" s="1"/>
  <c r="Q57" i="235"/>
  <c r="X57" i="236" s="1" a="1"/>
  <c r="X57" i="236" s="1"/>
  <c r="AE57" i="235"/>
  <c r="AL57" i="236" s="1" a="1"/>
  <c r="AL57" i="236" s="1"/>
  <c r="N56" i="235"/>
  <c r="R56" i="235"/>
  <c r="V56" i="235"/>
  <c r="Z56" i="235"/>
  <c r="AD56" i="235"/>
  <c r="AH56" i="235"/>
  <c r="AL56" i="235"/>
  <c r="O56" i="235"/>
  <c r="T56" i="235"/>
  <c r="Y56" i="235"/>
  <c r="AE56" i="235"/>
  <c r="AJ56" i="235"/>
  <c r="P56" i="235"/>
  <c r="U56" i="235"/>
  <c r="AA56" i="235"/>
  <c r="AF56" i="235"/>
  <c r="AK56" i="235"/>
  <c r="S56" i="235"/>
  <c r="AC56" i="235"/>
  <c r="AN56" i="235"/>
  <c r="M56" i="235"/>
  <c r="AB56" i="235"/>
  <c r="Q56" i="235"/>
  <c r="AG56" i="235"/>
  <c r="W56" i="235"/>
  <c r="AI56" i="235"/>
  <c r="AM56" i="235"/>
  <c r="L56" i="235"/>
  <c r="X56" i="235"/>
  <c r="L55" i="235"/>
  <c r="S55" i="236" s="1" a="1"/>
  <c r="S55" i="236" s="1"/>
  <c r="P55" i="235"/>
  <c r="W55" i="236" s="1" a="1"/>
  <c r="W55" i="236" s="1"/>
  <c r="T55" i="235"/>
  <c r="AA55" i="236" s="1" a="1"/>
  <c r="AA55" i="236" s="1"/>
  <c r="X55" i="235"/>
  <c r="AE55" i="236" s="1" a="1"/>
  <c r="AE55" i="236" s="1"/>
  <c r="AB55" i="235"/>
  <c r="AI55" i="236" s="1" a="1"/>
  <c r="AI55" i="236" s="1"/>
  <c r="AF55" i="235"/>
  <c r="AM55" i="236" s="1" a="1"/>
  <c r="AM55" i="236" s="1"/>
  <c r="AJ55" i="235"/>
  <c r="AQ55" i="236" s="1" a="1"/>
  <c r="AQ55" i="236" s="1"/>
  <c r="AN55" i="235"/>
  <c r="AU55" i="236" s="1" a="1"/>
  <c r="AU55" i="236" s="1"/>
  <c r="Q55" i="235"/>
  <c r="X55" i="236" s="1" a="1"/>
  <c r="X55" i="236" s="1"/>
  <c r="V55" i="235"/>
  <c r="AC55" i="236" s="1" a="1"/>
  <c r="AC55" i="236" s="1"/>
  <c r="AA55" i="235"/>
  <c r="AH55" i="236" s="1" a="1"/>
  <c r="AH55" i="236" s="1"/>
  <c r="AG55" i="235"/>
  <c r="AN55" i="236" s="1" a="1"/>
  <c r="AN55" i="236" s="1"/>
  <c r="AL55" i="235"/>
  <c r="AS55" i="236" s="1" a="1"/>
  <c r="AS55" i="236" s="1"/>
  <c r="M55" i="235"/>
  <c r="T55" i="236" s="1" a="1"/>
  <c r="T55" i="236" s="1"/>
  <c r="R55" i="235"/>
  <c r="Y55" i="236" s="1" a="1"/>
  <c r="Y55" i="236" s="1"/>
  <c r="W55" i="235"/>
  <c r="AD55" i="236" s="1" a="1"/>
  <c r="AD55" i="236" s="1"/>
  <c r="AC55" i="235"/>
  <c r="AJ55" i="236" s="1" a="1"/>
  <c r="AJ55" i="236" s="1"/>
  <c r="AH55" i="235"/>
  <c r="AO55" i="236" s="1" a="1"/>
  <c r="AO55" i="236" s="1"/>
  <c r="AM55" i="235"/>
  <c r="AT55" i="236" s="1" a="1"/>
  <c r="AT55" i="236" s="1"/>
  <c r="O55" i="235"/>
  <c r="V55" i="236" s="1" a="1"/>
  <c r="V55" i="236" s="1"/>
  <c r="Z55" i="235"/>
  <c r="AG55" i="236" s="1" a="1"/>
  <c r="AG55" i="236" s="1"/>
  <c r="AK55" i="235"/>
  <c r="AR55" i="236" s="1" a="1"/>
  <c r="AR55" i="236" s="1"/>
  <c r="U55" i="235"/>
  <c r="AB55" i="236" s="1" a="1"/>
  <c r="AB55" i="236" s="1"/>
  <c r="AI55" i="235"/>
  <c r="AP55" i="236" s="1" a="1"/>
  <c r="AP55" i="236" s="1"/>
  <c r="Y55" i="235"/>
  <c r="AF55" i="236" s="1" a="1"/>
  <c r="AF55" i="236" s="1"/>
  <c r="N55" i="235"/>
  <c r="U55" i="236" s="1" a="1"/>
  <c r="U55" i="236" s="1"/>
  <c r="AD55" i="235"/>
  <c r="AK55" i="236" s="1" a="1"/>
  <c r="AK55" i="236" s="1"/>
  <c r="AE55" i="235"/>
  <c r="AL55" i="236" s="1" a="1"/>
  <c r="AL55" i="236" s="1"/>
  <c r="S55" i="235"/>
  <c r="Z55" i="236" s="1" a="1"/>
  <c r="Z55" i="236" s="1"/>
  <c r="N54" i="235"/>
  <c r="R54" i="235"/>
  <c r="V54" i="235"/>
  <c r="Z54" i="235"/>
  <c r="AD54" i="235"/>
  <c r="AH54" i="235"/>
  <c r="AL54" i="235"/>
  <c r="M54" i="235"/>
  <c r="S54" i="235"/>
  <c r="X54" i="235"/>
  <c r="AC54" i="235"/>
  <c r="AI54" i="235"/>
  <c r="AN54" i="235"/>
  <c r="O54" i="235"/>
  <c r="T54" i="235"/>
  <c r="Y54" i="235"/>
  <c r="AE54" i="235"/>
  <c r="AJ54" i="235"/>
  <c r="L54" i="235"/>
  <c r="W54" i="235"/>
  <c r="AG54" i="235"/>
  <c r="P54" i="235"/>
  <c r="AB54" i="235"/>
  <c r="Q54" i="235"/>
  <c r="AF54" i="235"/>
  <c r="U54" i="235"/>
  <c r="AK54" i="235"/>
  <c r="AA54" i="235"/>
  <c r="AM54" i="235"/>
  <c r="O53" i="235"/>
  <c r="P53" i="235"/>
  <c r="T53" i="235"/>
  <c r="X53" i="235"/>
  <c r="AB53" i="235"/>
  <c r="AF53" i="235"/>
  <c r="AJ53" i="235"/>
  <c r="AN53" i="235"/>
  <c r="N53" i="235"/>
  <c r="U53" i="235"/>
  <c r="Z53" i="235"/>
  <c r="AE53" i="235"/>
  <c r="AK53" i="235"/>
  <c r="Q53" i="235"/>
  <c r="V53" i="235"/>
  <c r="AA53" i="235"/>
  <c r="AG53" i="235"/>
  <c r="AL53" i="235"/>
  <c r="S53" i="235"/>
  <c r="AD53" i="235"/>
  <c r="W53" i="235"/>
  <c r="AI53" i="235"/>
  <c r="L53" i="235"/>
  <c r="Y53" i="235"/>
  <c r="AM53" i="235"/>
  <c r="M53" i="235"/>
  <c r="AC53" i="235"/>
  <c r="R53" i="235"/>
  <c r="AH53" i="235"/>
  <c r="M51" i="235"/>
  <c r="Q51" i="235"/>
  <c r="U51" i="235"/>
  <c r="Y51" i="235"/>
  <c r="AC51" i="235"/>
  <c r="AG51" i="235"/>
  <c r="AK51" i="235"/>
  <c r="L51" i="235"/>
  <c r="R51" i="235"/>
  <c r="W51" i="235"/>
  <c r="AB51" i="235"/>
  <c r="AH51" i="235"/>
  <c r="AM51" i="235"/>
  <c r="O51" i="235"/>
  <c r="V51" i="235"/>
  <c r="AD51" i="235"/>
  <c r="AJ51" i="235"/>
  <c r="P51" i="235"/>
  <c r="X51" i="235"/>
  <c r="AE51" i="235"/>
  <c r="AL51" i="235"/>
  <c r="N51" i="235"/>
  <c r="AA51" i="235"/>
  <c r="T51" i="235"/>
  <c r="AI51" i="235"/>
  <c r="S51" i="235"/>
  <c r="AN51" i="235"/>
  <c r="Z51" i="235"/>
  <c r="AF51" i="235"/>
  <c r="O50" i="235"/>
  <c r="V50" i="236" s="1" a="1"/>
  <c r="V50" i="236" s="1"/>
  <c r="S50" i="235"/>
  <c r="Z50" i="236" s="1" a="1"/>
  <c r="Z50" i="236" s="1"/>
  <c r="W50" i="235"/>
  <c r="AD50" i="236" s="1" a="1"/>
  <c r="AD50" i="236" s="1"/>
  <c r="AA50" i="235"/>
  <c r="AH50" i="236" s="1" a="1"/>
  <c r="AH50" i="236" s="1"/>
  <c r="AE50" i="235"/>
  <c r="AL50" i="236" s="1" a="1"/>
  <c r="AL50" i="236" s="1"/>
  <c r="AI50" i="235"/>
  <c r="AP50" i="236" s="1" a="1"/>
  <c r="AP50" i="236" s="1"/>
  <c r="AM50" i="235"/>
  <c r="AT50" i="236" s="1" a="1"/>
  <c r="AT50" i="236" s="1"/>
  <c r="N50" i="235"/>
  <c r="U50" i="236" s="1" a="1"/>
  <c r="U50" i="236" s="1"/>
  <c r="T50" i="235"/>
  <c r="AA50" i="236" s="1" a="1"/>
  <c r="AA50" i="236" s="1"/>
  <c r="Y50" i="235"/>
  <c r="AF50" i="236" s="1" a="1"/>
  <c r="AF50" i="236" s="1"/>
  <c r="AD50" i="235"/>
  <c r="AK50" i="236" s="1" a="1"/>
  <c r="AK50" i="236" s="1"/>
  <c r="AJ50" i="235"/>
  <c r="AQ50" i="236" s="1" a="1"/>
  <c r="AQ50" i="236" s="1"/>
  <c r="P50" i="235"/>
  <c r="W50" i="236" s="1" a="1"/>
  <c r="W50" i="236" s="1"/>
  <c r="V50" i="235"/>
  <c r="AC50" i="236" s="1" a="1"/>
  <c r="AC50" i="236" s="1"/>
  <c r="AC50" i="235"/>
  <c r="AJ50" i="236" s="1" a="1"/>
  <c r="AJ50" i="236" s="1"/>
  <c r="AK50" i="235"/>
  <c r="AR50" i="236" s="1" a="1"/>
  <c r="AR50" i="236" s="1"/>
  <c r="Q50" i="235"/>
  <c r="X50" i="236" s="1" a="1"/>
  <c r="X50" i="236" s="1"/>
  <c r="X50" i="235"/>
  <c r="AE50" i="236" s="1" a="1"/>
  <c r="AE50" i="236" s="1"/>
  <c r="AF50" i="235"/>
  <c r="AM50" i="236" s="1" a="1"/>
  <c r="AM50" i="236" s="1"/>
  <c r="AL50" i="235"/>
  <c r="AS50" i="236" s="1" a="1"/>
  <c r="AS50" i="236" s="1"/>
  <c r="U50" i="235"/>
  <c r="AB50" i="236" s="1" a="1"/>
  <c r="AB50" i="236" s="1"/>
  <c r="AH50" i="235"/>
  <c r="AO50" i="236" s="1" a="1"/>
  <c r="AO50" i="236" s="1"/>
  <c r="L50" i="235"/>
  <c r="S50" i="236" s="1" a="1"/>
  <c r="S50" i="236" s="1"/>
  <c r="Z50" i="235"/>
  <c r="AG50" i="236" s="1" a="1"/>
  <c r="AG50" i="236" s="1"/>
  <c r="AN50" i="235"/>
  <c r="AU50" i="236" s="1" a="1"/>
  <c r="AU50" i="236" s="1"/>
  <c r="M50" i="235"/>
  <c r="T50" i="236" s="1" a="1"/>
  <c r="T50" i="236" s="1"/>
  <c r="AB50" i="235"/>
  <c r="AI50" i="236" s="1" a="1"/>
  <c r="AI50" i="236" s="1"/>
  <c r="R50" i="235"/>
  <c r="Y50" i="236" s="1" a="1"/>
  <c r="Y50" i="236" s="1"/>
  <c r="AG50" i="235"/>
  <c r="AN50" i="236" s="1" a="1"/>
  <c r="AN50" i="236" s="1"/>
  <c r="M49" i="235"/>
  <c r="T49" i="236" s="1" a="1"/>
  <c r="T49" i="236" s="1"/>
  <c r="Q49" i="235"/>
  <c r="X49" i="236" s="1" a="1"/>
  <c r="X49" i="236" s="1"/>
  <c r="U49" i="235"/>
  <c r="AB49" i="236" s="1" a="1"/>
  <c r="AB49" i="236" s="1"/>
  <c r="Y49" i="235"/>
  <c r="AF49" i="236" s="1" a="1"/>
  <c r="AF49" i="236" s="1"/>
  <c r="AC49" i="235"/>
  <c r="AJ49" i="236" s="1" a="1"/>
  <c r="AJ49" i="236" s="1"/>
  <c r="AG49" i="235"/>
  <c r="AN49" i="236" s="1" a="1"/>
  <c r="AN49" i="236" s="1"/>
  <c r="AK49" i="235"/>
  <c r="AR49" i="236" s="1" a="1"/>
  <c r="AR49" i="236" s="1"/>
  <c r="P49" i="235"/>
  <c r="W49" i="236" s="1" a="1"/>
  <c r="W49" i="236" s="1"/>
  <c r="V49" i="235"/>
  <c r="AC49" i="236" s="1" a="1"/>
  <c r="AC49" i="236" s="1"/>
  <c r="AA49" i="235"/>
  <c r="AH49" i="236" s="1" a="1"/>
  <c r="AH49" i="236" s="1"/>
  <c r="AF49" i="235"/>
  <c r="AM49" i="236" s="1" a="1"/>
  <c r="AM49" i="236" s="1"/>
  <c r="AL49" i="235"/>
  <c r="AS49" i="236" s="1" a="1"/>
  <c r="AS49" i="236" s="1"/>
  <c r="O49" i="235"/>
  <c r="V49" i="236" s="1" a="1"/>
  <c r="V49" i="236" s="1"/>
  <c r="W49" i="235"/>
  <c r="AD49" i="236" s="1" a="1"/>
  <c r="AD49" i="236" s="1"/>
  <c r="AD49" i="235"/>
  <c r="AK49" i="236" s="1" a="1"/>
  <c r="AK49" i="236" s="1"/>
  <c r="AJ49" i="235"/>
  <c r="AQ49" i="236" s="1" a="1"/>
  <c r="AQ49" i="236" s="1"/>
  <c r="R49" i="235"/>
  <c r="Y49" i="236" s="1" a="1"/>
  <c r="Y49" i="236" s="1"/>
  <c r="X49" i="235"/>
  <c r="AE49" i="236" s="1" a="1"/>
  <c r="AE49" i="236" s="1"/>
  <c r="AE49" i="235"/>
  <c r="AL49" i="236" s="1" a="1"/>
  <c r="AL49" i="236" s="1"/>
  <c r="AM49" i="235"/>
  <c r="AT49" i="236" s="1" a="1"/>
  <c r="AT49" i="236" s="1"/>
  <c r="N49" i="235"/>
  <c r="U49" i="236" s="1" a="1"/>
  <c r="U49" i="236" s="1"/>
  <c r="AB49" i="235"/>
  <c r="AI49" i="236" s="1" a="1"/>
  <c r="AI49" i="236" s="1"/>
  <c r="S49" i="235"/>
  <c r="Z49" i="236" s="1" a="1"/>
  <c r="Z49" i="236" s="1"/>
  <c r="AH49" i="235"/>
  <c r="AO49" i="236" s="1" a="1"/>
  <c r="AO49" i="236" s="1"/>
  <c r="T49" i="235"/>
  <c r="AA49" i="236" s="1" a="1"/>
  <c r="AA49" i="236" s="1"/>
  <c r="AI49" i="235"/>
  <c r="AP49" i="236" s="1" a="1"/>
  <c r="AP49" i="236" s="1"/>
  <c r="L49" i="235"/>
  <c r="S49" i="236" s="1" a="1"/>
  <c r="S49" i="236" s="1"/>
  <c r="Z49" i="235"/>
  <c r="AG49" i="236" s="1" a="1"/>
  <c r="AG49" i="236" s="1"/>
  <c r="AN49" i="235"/>
  <c r="AU49" i="236" s="1" a="1"/>
  <c r="AU49" i="236" s="1"/>
  <c r="O48" i="235"/>
  <c r="V48" i="236" s="1" a="1"/>
  <c r="V48" i="236" s="1"/>
  <c r="S48" i="235"/>
  <c r="Z48" i="236" s="1" a="1"/>
  <c r="Z48" i="236" s="1"/>
  <c r="W48" i="235"/>
  <c r="AD48" i="236" s="1" a="1"/>
  <c r="AD48" i="236" s="1"/>
  <c r="AA48" i="235"/>
  <c r="AH48" i="236" s="1" a="1"/>
  <c r="AH48" i="236" s="1"/>
  <c r="AE48" i="235"/>
  <c r="AL48" i="236" s="1" a="1"/>
  <c r="AL48" i="236" s="1"/>
  <c r="AI48" i="235"/>
  <c r="AP48" i="236" s="1" a="1"/>
  <c r="AP48" i="236" s="1"/>
  <c r="AM48" i="235"/>
  <c r="AT48" i="236" s="1" a="1"/>
  <c r="AT48" i="236" s="1"/>
  <c r="M48" i="235"/>
  <c r="T48" i="236" s="1" a="1"/>
  <c r="T48" i="236" s="1"/>
  <c r="R48" i="235"/>
  <c r="Y48" i="236" s="1" a="1"/>
  <c r="Y48" i="236" s="1"/>
  <c r="X48" i="235"/>
  <c r="AE48" i="236" s="1" a="1"/>
  <c r="AE48" i="236" s="1"/>
  <c r="AC48" i="235"/>
  <c r="AJ48" i="236" s="1" a="1"/>
  <c r="AJ48" i="236" s="1"/>
  <c r="AH48" i="235"/>
  <c r="AO48" i="236" s="1" a="1"/>
  <c r="AO48" i="236" s="1"/>
  <c r="AN48" i="235"/>
  <c r="AU48" i="236" s="1" a="1"/>
  <c r="AU48" i="236" s="1"/>
  <c r="P48" i="235"/>
  <c r="W48" i="236" s="1" a="1"/>
  <c r="W48" i="236" s="1"/>
  <c r="V48" i="235"/>
  <c r="AC48" i="236" s="1" a="1"/>
  <c r="AC48" i="236" s="1"/>
  <c r="AD48" i="235"/>
  <c r="AK48" i="236" s="1" a="1"/>
  <c r="AK48" i="236" s="1"/>
  <c r="AK48" i="235"/>
  <c r="AR48" i="236" s="1" a="1"/>
  <c r="AR48" i="236" s="1"/>
  <c r="Q48" i="235"/>
  <c r="X48" i="236" s="1" a="1"/>
  <c r="X48" i="236" s="1"/>
  <c r="Y48" i="235"/>
  <c r="AF48" i="236" s="1" a="1"/>
  <c r="AF48" i="236" s="1"/>
  <c r="AF48" i="235"/>
  <c r="AM48" i="236" s="1" a="1"/>
  <c r="AM48" i="236" s="1"/>
  <c r="AL48" i="235"/>
  <c r="AS48" i="236" s="1" a="1"/>
  <c r="AS48" i="236" s="1"/>
  <c r="U48" i="235"/>
  <c r="AB48" i="236" s="1" a="1"/>
  <c r="AB48" i="236" s="1"/>
  <c r="AJ48" i="235"/>
  <c r="AQ48" i="236" s="1" a="1"/>
  <c r="AQ48" i="236" s="1"/>
  <c r="L48" i="235"/>
  <c r="S48" i="236" s="1" a="1"/>
  <c r="S48" i="236" s="1"/>
  <c r="Z48" i="235"/>
  <c r="AG48" i="236" s="1" a="1"/>
  <c r="AG48" i="236" s="1"/>
  <c r="N48" i="235"/>
  <c r="U48" i="236" s="1" a="1"/>
  <c r="U48" i="236" s="1"/>
  <c r="AB48" i="235"/>
  <c r="AI48" i="236" s="1" a="1"/>
  <c r="AI48" i="236" s="1"/>
  <c r="T48" i="235"/>
  <c r="AA48" i="236" s="1" a="1"/>
  <c r="AA48" i="236" s="1"/>
  <c r="AG48" i="235"/>
  <c r="AN48" i="236" s="1" a="1"/>
  <c r="AN48" i="236" s="1"/>
  <c r="M47" i="235"/>
  <c r="Q47" i="235"/>
  <c r="U47" i="235"/>
  <c r="Y47" i="235"/>
  <c r="AC47" i="235"/>
  <c r="AG47" i="235"/>
  <c r="AK47" i="235"/>
  <c r="O47" i="235"/>
  <c r="T47" i="235"/>
  <c r="Z47" i="235"/>
  <c r="AE47" i="235"/>
  <c r="AJ47" i="235"/>
  <c r="P47" i="235"/>
  <c r="W47" i="235"/>
  <c r="AD47" i="235"/>
  <c r="AL47" i="235"/>
  <c r="R47" i="235"/>
  <c r="X47" i="235"/>
  <c r="AF47" i="235"/>
  <c r="AM47" i="235"/>
  <c r="N47" i="235"/>
  <c r="AB47" i="235"/>
  <c r="S47" i="235"/>
  <c r="AH47" i="235"/>
  <c r="V47" i="235"/>
  <c r="AI47" i="235"/>
  <c r="AN47" i="235"/>
  <c r="L47" i="235"/>
  <c r="AA47" i="235"/>
  <c r="O46" i="235"/>
  <c r="S46" i="235"/>
  <c r="W46" i="235"/>
  <c r="AA46" i="235"/>
  <c r="AE46" i="235"/>
  <c r="AI46" i="235"/>
  <c r="AM46" i="235"/>
  <c r="L46" i="235"/>
  <c r="Q46" i="235"/>
  <c r="V46" i="235"/>
  <c r="AB46" i="235"/>
  <c r="AG46" i="235"/>
  <c r="AL46" i="235"/>
  <c r="P46" i="235"/>
  <c r="X46" i="235"/>
  <c r="AD46" i="235"/>
  <c r="AK46" i="235"/>
  <c r="R46" i="235"/>
  <c r="Y46" i="235"/>
  <c r="AF46" i="235"/>
  <c r="AN46" i="235"/>
  <c r="U46" i="235"/>
  <c r="AJ46" i="235"/>
  <c r="M46" i="235"/>
  <c r="Z46" i="235"/>
  <c r="N46" i="235"/>
  <c r="AC46" i="235"/>
  <c r="AH46" i="235"/>
  <c r="T46" i="235"/>
  <c r="M45" i="235"/>
  <c r="Q45" i="235"/>
  <c r="U45" i="235"/>
  <c r="Y45" i="235"/>
  <c r="AC45" i="235"/>
  <c r="AG45" i="235"/>
  <c r="AK45" i="235"/>
  <c r="N45" i="235"/>
  <c r="S45" i="235"/>
  <c r="Z45" i="236" s="1" a="1"/>
  <c r="Z45" i="236" s="1"/>
  <c r="X45" i="235"/>
  <c r="AD45" i="235"/>
  <c r="AK45" i="236" s="1" a="1"/>
  <c r="AK45" i="236" s="1"/>
  <c r="AI45" i="235"/>
  <c r="AP45" i="236" s="1" a="1"/>
  <c r="AP45" i="236" s="1"/>
  <c r="AN45" i="235"/>
  <c r="P45" i="235"/>
  <c r="W45" i="235"/>
  <c r="AE45" i="235"/>
  <c r="AL45" i="235"/>
  <c r="AS45" i="236" s="1" a="1"/>
  <c r="AS45" i="236" s="1"/>
  <c r="R45" i="235"/>
  <c r="Z45" i="235"/>
  <c r="AF45" i="235"/>
  <c r="AM45" i="235"/>
  <c r="AT45" i="236" s="1" a="1"/>
  <c r="AT45" i="236" s="1"/>
  <c r="O45" i="235"/>
  <c r="V45" i="236" s="1" a="1"/>
  <c r="V45" i="236" s="1"/>
  <c r="AB45" i="235"/>
  <c r="T45" i="235"/>
  <c r="AH45" i="235"/>
  <c r="V45" i="235"/>
  <c r="AJ45" i="235"/>
  <c r="AA45" i="235"/>
  <c r="L45" i="235"/>
  <c r="O44" i="235"/>
  <c r="S44" i="235"/>
  <c r="W44" i="235"/>
  <c r="AA44" i="235"/>
  <c r="AE44" i="235"/>
  <c r="AI44" i="235"/>
  <c r="AM44" i="235"/>
  <c r="P44" i="235"/>
  <c r="U44" i="235"/>
  <c r="Z44" i="235"/>
  <c r="AF44" i="235"/>
  <c r="AK44" i="235"/>
  <c r="Q44" i="235"/>
  <c r="X44" i="235"/>
  <c r="AD44" i="235"/>
  <c r="AL44" i="235"/>
  <c r="L44" i="235"/>
  <c r="R44" i="235"/>
  <c r="Y44" i="235"/>
  <c r="AG44" i="235"/>
  <c r="AN44" i="235"/>
  <c r="V44" i="235"/>
  <c r="AJ44" i="235"/>
  <c r="M44" i="235"/>
  <c r="AB44" i="235"/>
  <c r="N44" i="235"/>
  <c r="AC44" i="235"/>
  <c r="T44" i="235"/>
  <c r="AH44" i="235"/>
  <c r="M43" i="235"/>
  <c r="Q43" i="235"/>
  <c r="U43" i="235"/>
  <c r="Y43" i="235"/>
  <c r="AC43" i="235"/>
  <c r="AG43" i="235"/>
  <c r="AK43" i="235"/>
  <c r="L43" i="235"/>
  <c r="R43" i="235"/>
  <c r="W43" i="235"/>
  <c r="AB43" i="235"/>
  <c r="AH43" i="235"/>
  <c r="AM43" i="235"/>
  <c r="P43" i="235"/>
  <c r="X43" i="235"/>
  <c r="AE43" i="235"/>
  <c r="AL43" i="235"/>
  <c r="S43" i="235"/>
  <c r="Z43" i="235"/>
  <c r="AF43" i="235"/>
  <c r="AN43" i="235"/>
  <c r="O43" i="235"/>
  <c r="AD43" i="235"/>
  <c r="T43" i="235"/>
  <c r="AI43" i="235"/>
  <c r="V43" i="235"/>
  <c r="AJ43" i="235"/>
  <c r="N43" i="235"/>
  <c r="AA43" i="235"/>
  <c r="O42" i="235"/>
  <c r="S42" i="235"/>
  <c r="W42" i="235"/>
  <c r="AA42" i="235"/>
  <c r="AE42" i="235"/>
  <c r="AI42" i="235"/>
  <c r="AM42" i="235"/>
  <c r="N42" i="235"/>
  <c r="T42" i="235"/>
  <c r="Y42" i="235"/>
  <c r="AD42" i="235"/>
  <c r="AJ42" i="235"/>
  <c r="Q42" i="235"/>
  <c r="X42" i="235"/>
  <c r="AF42" i="235"/>
  <c r="AL42" i="235"/>
  <c r="L42" i="235"/>
  <c r="R42" i="235"/>
  <c r="Z42" i="235"/>
  <c r="AG42" i="235"/>
  <c r="AN42" i="235"/>
  <c r="V42" i="235"/>
  <c r="AK42" i="235"/>
  <c r="M42" i="235"/>
  <c r="AB42" i="235"/>
  <c r="P42" i="235"/>
  <c r="AC42" i="235"/>
  <c r="U42" i="235"/>
  <c r="AH42" i="235"/>
  <c r="M41" i="235"/>
  <c r="T41" i="236" s="1" a="1"/>
  <c r="T41" i="236" s="1"/>
  <c r="Q41" i="235"/>
  <c r="X41" i="236" s="1" a="1"/>
  <c r="X41" i="236" s="1"/>
  <c r="U41" i="235"/>
  <c r="AB41" i="236" s="1" a="1"/>
  <c r="AB41" i="236" s="1"/>
  <c r="Y41" i="235"/>
  <c r="AF41" i="236" s="1" a="1"/>
  <c r="AF41" i="236" s="1"/>
  <c r="AC41" i="235"/>
  <c r="AJ41" i="236" s="1" a="1"/>
  <c r="AJ41" i="236" s="1"/>
  <c r="AG41" i="235"/>
  <c r="AN41" i="236" s="1" a="1"/>
  <c r="AN41" i="236" s="1"/>
  <c r="AK41" i="235"/>
  <c r="AR41" i="236" s="1" a="1"/>
  <c r="AR41" i="236" s="1"/>
  <c r="P41" i="235"/>
  <c r="W41" i="236" s="1" a="1"/>
  <c r="W41" i="236" s="1"/>
  <c r="V41" i="235"/>
  <c r="AC41" i="236" s="1" a="1"/>
  <c r="AC41" i="236" s="1"/>
  <c r="AA41" i="235"/>
  <c r="AH41" i="236" s="1" a="1"/>
  <c r="AH41" i="236" s="1"/>
  <c r="AF41" i="235"/>
  <c r="AM41" i="236" s="1" a="1"/>
  <c r="AM41" i="236" s="1"/>
  <c r="AL41" i="235"/>
  <c r="AS41" i="236" s="1" a="1"/>
  <c r="AS41" i="236" s="1"/>
  <c r="R41" i="235"/>
  <c r="Y41" i="236" s="1" a="1"/>
  <c r="Y41" i="236" s="1"/>
  <c r="X41" i="235"/>
  <c r="AE41" i="236" s="1" a="1"/>
  <c r="AE41" i="236" s="1"/>
  <c r="AE41" i="235"/>
  <c r="AL41" i="236" s="1" a="1"/>
  <c r="AL41" i="236" s="1"/>
  <c r="AM41" i="235"/>
  <c r="AT41" i="236" s="1" a="1"/>
  <c r="AT41" i="236" s="1"/>
  <c r="L41" i="235"/>
  <c r="S41" i="236" s="1" a="1"/>
  <c r="S41" i="236" s="1"/>
  <c r="S41" i="235"/>
  <c r="Z41" i="236" s="1" a="1"/>
  <c r="Z41" i="236" s="1"/>
  <c r="Z41" i="235"/>
  <c r="AG41" i="236" s="1" a="1"/>
  <c r="AG41" i="236" s="1"/>
  <c r="AH41" i="235"/>
  <c r="AO41" i="236" s="1" a="1"/>
  <c r="AO41" i="236" s="1"/>
  <c r="AN41" i="235"/>
  <c r="AU41" i="236" s="1" a="1"/>
  <c r="AU41" i="236" s="1"/>
  <c r="O41" i="235"/>
  <c r="V41" i="236" s="1" a="1"/>
  <c r="V41" i="236" s="1"/>
  <c r="AD41" i="235"/>
  <c r="AK41" i="236" s="1" a="1"/>
  <c r="AK41" i="236" s="1"/>
  <c r="T41" i="235"/>
  <c r="AA41" i="236" s="1" a="1"/>
  <c r="AA41" i="236" s="1"/>
  <c r="AI41" i="235"/>
  <c r="AP41" i="236" s="1" a="1"/>
  <c r="AP41" i="236" s="1"/>
  <c r="W41" i="235"/>
  <c r="AD41" i="236" s="1" a="1"/>
  <c r="AD41" i="236" s="1"/>
  <c r="AJ41" i="235"/>
  <c r="AQ41" i="236" s="1" a="1"/>
  <c r="AQ41" i="236" s="1"/>
  <c r="N41" i="235"/>
  <c r="U41" i="236" s="1" a="1"/>
  <c r="U41" i="236" s="1"/>
  <c r="AB41" i="235"/>
  <c r="AI41" i="236" s="1" a="1"/>
  <c r="AI41" i="236" s="1"/>
  <c r="O40" i="235"/>
  <c r="S40" i="235"/>
  <c r="W40" i="235"/>
  <c r="AA40" i="235"/>
  <c r="AE40" i="235"/>
  <c r="AI40" i="235"/>
  <c r="AM40" i="235"/>
  <c r="M40" i="235"/>
  <c r="R40" i="235"/>
  <c r="X40" i="235"/>
  <c r="AC40" i="235"/>
  <c r="AH40" i="235"/>
  <c r="AN40" i="235"/>
  <c r="Q40" i="235"/>
  <c r="Y40" i="235"/>
  <c r="AF40" i="235"/>
  <c r="AL40" i="235"/>
  <c r="L40" i="235"/>
  <c r="T40" i="235"/>
  <c r="Z40" i="235"/>
  <c r="AG40" i="235"/>
  <c r="V40" i="235"/>
  <c r="AK40" i="235"/>
  <c r="N40" i="235"/>
  <c r="AB40" i="235"/>
  <c r="P40" i="235"/>
  <c r="AD40" i="235"/>
  <c r="U40" i="235"/>
  <c r="AJ40" i="235"/>
  <c r="M39" i="235"/>
  <c r="Q39" i="235"/>
  <c r="U39" i="235"/>
  <c r="Y39" i="235"/>
  <c r="AC39" i="235"/>
  <c r="AG39" i="235"/>
  <c r="AK39" i="235"/>
  <c r="O39" i="235"/>
  <c r="T39" i="235"/>
  <c r="Z39" i="235"/>
  <c r="AE39" i="235"/>
  <c r="AJ39" i="235"/>
  <c r="R39" i="235"/>
  <c r="X39" i="235"/>
  <c r="AF39" i="235"/>
  <c r="AM39" i="235"/>
  <c r="L39" i="235"/>
  <c r="S39" i="235"/>
  <c r="AA39" i="235"/>
  <c r="AH39" i="235"/>
  <c r="AN39" i="235"/>
  <c r="P39" i="235"/>
  <c r="AD39" i="235"/>
  <c r="V39" i="235"/>
  <c r="AI39" i="235"/>
  <c r="W39" i="235"/>
  <c r="AL39" i="235"/>
  <c r="N39" i="235"/>
  <c r="AB39" i="235"/>
  <c r="O38" i="235"/>
  <c r="V38" i="236" s="1" a="1"/>
  <c r="V38" i="236" s="1"/>
  <c r="S38" i="235"/>
  <c r="Z38" i="236" s="1" a="1"/>
  <c r="Z38" i="236" s="1"/>
  <c r="W38" i="235"/>
  <c r="AD38" i="236" s="1" a="1"/>
  <c r="AD38" i="236" s="1"/>
  <c r="AA38" i="235"/>
  <c r="AH38" i="236" s="1" a="1"/>
  <c r="AH38" i="236" s="1"/>
  <c r="AE38" i="235"/>
  <c r="AL38" i="236" s="1" a="1"/>
  <c r="AL38" i="236" s="1"/>
  <c r="AI38" i="235"/>
  <c r="AP38" i="236" s="1" a="1"/>
  <c r="AP38" i="236" s="1"/>
  <c r="AM38" i="235"/>
  <c r="AT38" i="236" s="1" a="1"/>
  <c r="AT38" i="236" s="1"/>
  <c r="L38" i="235"/>
  <c r="S38" i="236" s="1" a="1"/>
  <c r="S38" i="236" s="1"/>
  <c r="Q38" i="235"/>
  <c r="X38" i="236" s="1" a="1"/>
  <c r="X38" i="236" s="1"/>
  <c r="V38" i="235"/>
  <c r="AC38" i="236" s="1" a="1"/>
  <c r="AC38" i="236" s="1"/>
  <c r="AB38" i="235"/>
  <c r="AI38" i="236" s="1" a="1"/>
  <c r="AI38" i="236" s="1"/>
  <c r="AG38" i="235"/>
  <c r="AN38" i="236" s="1" a="1"/>
  <c r="AN38" i="236" s="1"/>
  <c r="AL38" i="235"/>
  <c r="AS38" i="236" s="1" a="1"/>
  <c r="AS38" i="236" s="1"/>
  <c r="R38" i="235"/>
  <c r="Y38" i="236" s="1" a="1"/>
  <c r="Y38" i="236" s="1"/>
  <c r="Y38" i="235"/>
  <c r="AF38" i="236" s="1" a="1"/>
  <c r="AF38" i="236" s="1"/>
  <c r="AF38" i="235"/>
  <c r="AM38" i="236" s="1" a="1"/>
  <c r="AM38" i="236" s="1"/>
  <c r="AN38" i="235"/>
  <c r="AU38" i="236" s="1" a="1"/>
  <c r="AU38" i="236" s="1"/>
  <c r="M38" i="235"/>
  <c r="T38" i="236" s="1" a="1"/>
  <c r="T38" i="236" s="1"/>
  <c r="T38" i="235"/>
  <c r="AA38" i="236" s="1" a="1"/>
  <c r="AA38" i="236" s="1"/>
  <c r="Z38" i="235"/>
  <c r="AG38" i="236" s="1" a="1"/>
  <c r="AG38" i="236" s="1"/>
  <c r="AH38" i="235"/>
  <c r="AO38" i="236" s="1" a="1"/>
  <c r="AO38" i="236" s="1"/>
  <c r="X38" i="235"/>
  <c r="AE38" i="236" s="1" a="1"/>
  <c r="AE38" i="236" s="1"/>
  <c r="AK38" i="235"/>
  <c r="AR38" i="236" s="1" a="1"/>
  <c r="AR38" i="236" s="1"/>
  <c r="N38" i="235"/>
  <c r="U38" i="236" s="1" a="1"/>
  <c r="U38" i="236" s="1"/>
  <c r="AC38" i="235"/>
  <c r="AJ38" i="236" s="1" a="1"/>
  <c r="AJ38" i="236" s="1"/>
  <c r="P38" i="235"/>
  <c r="W38" i="236" s="1" a="1"/>
  <c r="W38" i="236" s="1"/>
  <c r="AD38" i="235"/>
  <c r="AK38" i="236" s="1" a="1"/>
  <c r="AK38" i="236" s="1"/>
  <c r="AJ38" i="235"/>
  <c r="AQ38" i="236" s="1" a="1"/>
  <c r="AQ38" i="236" s="1"/>
  <c r="U38" i="235"/>
  <c r="AB38" i="236" s="1" a="1"/>
  <c r="AB38" i="236" s="1"/>
  <c r="M37" i="235"/>
  <c r="Q37" i="235"/>
  <c r="U37" i="235"/>
  <c r="Y37" i="235"/>
  <c r="AC37" i="235"/>
  <c r="AG37" i="235"/>
  <c r="AK37" i="235"/>
  <c r="N37" i="235"/>
  <c r="S37" i="235"/>
  <c r="X37" i="235"/>
  <c r="AD37" i="235"/>
  <c r="AI37" i="235"/>
  <c r="AN37" i="235"/>
  <c r="R37" i="235"/>
  <c r="Z37" i="235"/>
  <c r="AF37" i="235"/>
  <c r="AM37" i="235"/>
  <c r="L37" i="235"/>
  <c r="T37" i="235"/>
  <c r="AA37" i="235"/>
  <c r="AH37" i="235"/>
  <c r="P37" i="235"/>
  <c r="AE37" i="235"/>
  <c r="V37" i="235"/>
  <c r="AJ37" i="235"/>
  <c r="W37" i="235"/>
  <c r="AL37" i="235"/>
  <c r="AB37" i="235"/>
  <c r="O37" i="235"/>
  <c r="O36" i="235"/>
  <c r="V36" i="236" s="1" a="1"/>
  <c r="V36" i="236" s="1"/>
  <c r="S36" i="235"/>
  <c r="Z36" i="236" s="1" a="1"/>
  <c r="Z36" i="236" s="1"/>
  <c r="W36" i="235"/>
  <c r="AD36" i="236" s="1" a="1"/>
  <c r="AD36" i="236" s="1"/>
  <c r="AA36" i="235"/>
  <c r="AH36" i="236" s="1" a="1"/>
  <c r="AH36" i="236" s="1"/>
  <c r="AE36" i="235"/>
  <c r="AL36" i="236" s="1" a="1"/>
  <c r="AL36" i="236" s="1"/>
  <c r="AI36" i="235"/>
  <c r="AP36" i="236" s="1" a="1"/>
  <c r="AP36" i="236" s="1"/>
  <c r="AM36" i="235"/>
  <c r="AT36" i="236" s="1" a="1"/>
  <c r="AT36" i="236" s="1"/>
  <c r="P36" i="235"/>
  <c r="W36" i="236" s="1" a="1"/>
  <c r="W36" i="236" s="1"/>
  <c r="U36" i="235"/>
  <c r="AB36" i="236" s="1" a="1"/>
  <c r="AB36" i="236" s="1"/>
  <c r="Z36" i="235"/>
  <c r="AG36" i="236" s="1" a="1"/>
  <c r="AG36" i="236" s="1"/>
  <c r="AF36" i="235"/>
  <c r="AM36" i="236" s="1" a="1"/>
  <c r="AM36" i="236" s="1"/>
  <c r="AK36" i="235"/>
  <c r="AR36" i="236" s="1" a="1"/>
  <c r="AR36" i="236" s="1"/>
  <c r="L36" i="235"/>
  <c r="S36" i="236" s="1" a="1"/>
  <c r="S36" i="236" s="1"/>
  <c r="R36" i="235"/>
  <c r="Y36" i="236" s="1" a="1"/>
  <c r="Y36" i="236" s="1"/>
  <c r="Y36" i="235"/>
  <c r="AF36" i="236" s="1" a="1"/>
  <c r="AF36" i="236" s="1"/>
  <c r="AG36" i="235"/>
  <c r="AN36" i="236" s="1" a="1"/>
  <c r="AN36" i="236" s="1"/>
  <c r="AN36" i="235"/>
  <c r="AU36" i="236" s="1" a="1"/>
  <c r="AU36" i="236" s="1"/>
  <c r="M36" i="235"/>
  <c r="T36" i="236" s="1" a="1"/>
  <c r="T36" i="236" s="1"/>
  <c r="T36" i="235"/>
  <c r="AA36" i="236" s="1" a="1"/>
  <c r="AA36" i="236" s="1"/>
  <c r="AB36" i="235"/>
  <c r="AI36" i="236" s="1" a="1"/>
  <c r="AI36" i="236" s="1"/>
  <c r="AH36" i="235"/>
  <c r="AO36" i="236" s="1" a="1"/>
  <c r="AO36" i="236" s="1"/>
  <c r="X36" i="235"/>
  <c r="AE36" i="236" s="1" a="1"/>
  <c r="AE36" i="236" s="1"/>
  <c r="AL36" i="235"/>
  <c r="AS36" i="236" s="1" a="1"/>
  <c r="AS36" i="236" s="1"/>
  <c r="N36" i="235"/>
  <c r="U36" i="236" s="1" a="1"/>
  <c r="U36" i="236" s="1"/>
  <c r="AC36" i="235"/>
  <c r="AJ36" i="236" s="1" a="1"/>
  <c r="AJ36" i="236" s="1"/>
  <c r="Q36" i="235"/>
  <c r="X36" i="236" s="1" a="1"/>
  <c r="X36" i="236" s="1"/>
  <c r="AD36" i="235"/>
  <c r="AK36" i="236" s="1" a="1"/>
  <c r="AK36" i="236" s="1"/>
  <c r="V36" i="235"/>
  <c r="AC36" i="236" s="1" a="1"/>
  <c r="AC36" i="236" s="1"/>
  <c r="AJ36" i="235"/>
  <c r="AQ36" i="236" s="1" a="1"/>
  <c r="AQ36" i="236" s="1"/>
  <c r="M35" i="235"/>
  <c r="T35" i="236" s="1" a="1"/>
  <c r="T35" i="236" s="1"/>
  <c r="Q35" i="235"/>
  <c r="X35" i="236" s="1" a="1"/>
  <c r="X35" i="236" s="1"/>
  <c r="U35" i="235"/>
  <c r="AB35" i="236" s="1" a="1"/>
  <c r="AB35" i="236" s="1"/>
  <c r="Y35" i="235"/>
  <c r="AF35" i="236" s="1" a="1"/>
  <c r="AF35" i="236" s="1"/>
  <c r="AC35" i="235"/>
  <c r="AJ35" i="236" s="1" a="1"/>
  <c r="AJ35" i="236" s="1"/>
  <c r="AG35" i="235"/>
  <c r="AN35" i="236" s="1" a="1"/>
  <c r="AN35" i="236" s="1"/>
  <c r="AK35" i="235"/>
  <c r="AR35" i="236" s="1" a="1"/>
  <c r="AR35" i="236" s="1"/>
  <c r="L35" i="235"/>
  <c r="S35" i="236" s="1" a="1"/>
  <c r="S35" i="236" s="1"/>
  <c r="R35" i="235"/>
  <c r="Y35" i="236" s="1" a="1"/>
  <c r="Y35" i="236" s="1"/>
  <c r="W35" i="235"/>
  <c r="AD35" i="236" s="1" a="1"/>
  <c r="AD35" i="236" s="1"/>
  <c r="AB35" i="235"/>
  <c r="AI35" i="236" s="1" a="1"/>
  <c r="AI35" i="236" s="1"/>
  <c r="AH35" i="235"/>
  <c r="AO35" i="236" s="1" a="1"/>
  <c r="AO35" i="236" s="1"/>
  <c r="AM35" i="235"/>
  <c r="AT35" i="236" s="1" a="1"/>
  <c r="AT35" i="236" s="1"/>
  <c r="S35" i="235"/>
  <c r="Z35" i="236" s="1" a="1"/>
  <c r="Z35" i="236" s="1"/>
  <c r="Z35" i="235"/>
  <c r="AG35" i="236" s="1" a="1"/>
  <c r="AG35" i="236" s="1"/>
  <c r="AF35" i="235"/>
  <c r="AM35" i="236" s="1" a="1"/>
  <c r="AM35" i="236" s="1"/>
  <c r="AN35" i="235"/>
  <c r="AU35" i="236" s="1" a="1"/>
  <c r="AU35" i="236" s="1"/>
  <c r="N35" i="235"/>
  <c r="U35" i="236" s="1" a="1"/>
  <c r="U35" i="236" s="1"/>
  <c r="T35" i="235"/>
  <c r="AA35" i="236" s="1" a="1"/>
  <c r="AA35" i="236" s="1"/>
  <c r="AA35" i="235"/>
  <c r="AH35" i="236" s="1" a="1"/>
  <c r="AH35" i="236" s="1"/>
  <c r="AI35" i="235"/>
  <c r="AP35" i="236" s="1" a="1"/>
  <c r="AP35" i="236" s="1"/>
  <c r="P35" i="235"/>
  <c r="W35" i="236" s="1" a="1"/>
  <c r="W35" i="236" s="1"/>
  <c r="AE35" i="235"/>
  <c r="AL35" i="236" s="1" a="1"/>
  <c r="AL35" i="236" s="1"/>
  <c r="V35" i="235"/>
  <c r="AC35" i="236" s="1" a="1"/>
  <c r="AC35" i="236" s="1"/>
  <c r="AJ35" i="235"/>
  <c r="AQ35" i="236" s="1" a="1"/>
  <c r="AQ35" i="236" s="1"/>
  <c r="X35" i="235"/>
  <c r="AE35" i="236" s="1" a="1"/>
  <c r="AE35" i="236" s="1"/>
  <c r="AL35" i="235"/>
  <c r="AS35" i="236" s="1" a="1"/>
  <c r="AS35" i="236" s="1"/>
  <c r="O35" i="235"/>
  <c r="V35" i="236" s="1" a="1"/>
  <c r="V35" i="236" s="1"/>
  <c r="AD35" i="235"/>
  <c r="AK35" i="236" s="1" a="1"/>
  <c r="AK35" i="236" s="1"/>
  <c r="L34" i="235"/>
  <c r="P34" i="235"/>
  <c r="T34" i="235"/>
  <c r="M34" i="235"/>
  <c r="R34" i="235"/>
  <c r="W34" i="235"/>
  <c r="AA34" i="235"/>
  <c r="AE34" i="235"/>
  <c r="AI34" i="235"/>
  <c r="AM34" i="235"/>
  <c r="S34" i="235"/>
  <c r="Y34" i="235"/>
  <c r="AD34" i="235"/>
  <c r="AJ34" i="235"/>
  <c r="Q34" i="235"/>
  <c r="Z34" i="235"/>
  <c r="AG34" i="235"/>
  <c r="AN34" i="235"/>
  <c r="U34" i="235"/>
  <c r="AB34" i="235"/>
  <c r="AH34" i="235"/>
  <c r="X34" i="235"/>
  <c r="AL34" i="235"/>
  <c r="N34" i="235"/>
  <c r="AC34" i="235"/>
  <c r="O34" i="235"/>
  <c r="AF34" i="235"/>
  <c r="V34" i="235"/>
  <c r="AK34" i="235"/>
  <c r="N33" i="235"/>
  <c r="R33" i="235"/>
  <c r="V33" i="235"/>
  <c r="Z33" i="235"/>
  <c r="AD33" i="235"/>
  <c r="AH33" i="235"/>
  <c r="AL33" i="235"/>
  <c r="O33" i="235"/>
  <c r="T33" i="235"/>
  <c r="Y33" i="235"/>
  <c r="AE33" i="235"/>
  <c r="AJ33" i="235"/>
  <c r="L33" i="235"/>
  <c r="S33" i="235"/>
  <c r="AA33" i="235"/>
  <c r="AG33" i="235"/>
  <c r="AN33" i="235"/>
  <c r="U33" i="235"/>
  <c r="AC33" i="235"/>
  <c r="AM33" i="235"/>
  <c r="M33" i="235"/>
  <c r="W33" i="235"/>
  <c r="AF33" i="235"/>
  <c r="Q33" i="235"/>
  <c r="AK33" i="235"/>
  <c r="X33" i="235"/>
  <c r="AB33" i="235"/>
  <c r="P33" i="235"/>
  <c r="AI33" i="235"/>
  <c r="L32" i="235"/>
  <c r="S32" i="236" s="1" a="1"/>
  <c r="S32" i="236" s="1"/>
  <c r="P32" i="235"/>
  <c r="W32" i="236" s="1" a="1"/>
  <c r="W32" i="236" s="1"/>
  <c r="T32" i="235"/>
  <c r="AA32" i="236" s="1" a="1"/>
  <c r="AA32" i="236" s="1"/>
  <c r="X32" i="235"/>
  <c r="AE32" i="236" s="1" a="1"/>
  <c r="AE32" i="236" s="1"/>
  <c r="AB32" i="235"/>
  <c r="AI32" i="236" s="1" a="1"/>
  <c r="AI32" i="236" s="1"/>
  <c r="AF32" i="235"/>
  <c r="AM32" i="236" s="1" a="1"/>
  <c r="AM32" i="236" s="1"/>
  <c r="AJ32" i="235"/>
  <c r="AQ32" i="236" s="1" a="1"/>
  <c r="AQ32" i="236" s="1"/>
  <c r="AN32" i="235"/>
  <c r="AU32" i="236" s="1" a="1"/>
  <c r="AU32" i="236" s="1"/>
  <c r="Q32" i="235"/>
  <c r="X32" i="236" s="1" a="1"/>
  <c r="X32" i="236" s="1"/>
  <c r="V32" i="235"/>
  <c r="AC32" i="236" s="1" a="1"/>
  <c r="AC32" i="236" s="1"/>
  <c r="AA32" i="235"/>
  <c r="AH32" i="236" s="1" a="1"/>
  <c r="AH32" i="236" s="1"/>
  <c r="AG32" i="235"/>
  <c r="AN32" i="236" s="1" a="1"/>
  <c r="AN32" i="236" s="1"/>
  <c r="AL32" i="235"/>
  <c r="AS32" i="236" s="1" a="1"/>
  <c r="AS32" i="236" s="1"/>
  <c r="M32" i="235"/>
  <c r="T32" i="236" s="1" a="1"/>
  <c r="T32" i="236" s="1"/>
  <c r="S32" i="235"/>
  <c r="Z32" i="236" s="1" a="1"/>
  <c r="Z32" i="236" s="1"/>
  <c r="Z32" i="235"/>
  <c r="AG32" i="236" s="1" a="1"/>
  <c r="AG32" i="236" s="1"/>
  <c r="AH32" i="235"/>
  <c r="AO32" i="236" s="1" a="1"/>
  <c r="AO32" i="236" s="1"/>
  <c r="N32" i="235"/>
  <c r="U32" i="236" s="1" a="1"/>
  <c r="U32" i="236" s="1"/>
  <c r="W32" i="235"/>
  <c r="AD32" i="236" s="1" a="1"/>
  <c r="AD32" i="236" s="1"/>
  <c r="AE32" i="235"/>
  <c r="AL32" i="236" s="1" a="1"/>
  <c r="AL32" i="236" s="1"/>
  <c r="O32" i="235"/>
  <c r="V32" i="236" s="1" a="1"/>
  <c r="V32" i="236" s="1"/>
  <c r="Y32" i="235"/>
  <c r="AF32" i="236" s="1" a="1"/>
  <c r="AF32" i="236" s="1"/>
  <c r="AI32" i="235"/>
  <c r="AP32" i="236" s="1" a="1"/>
  <c r="AP32" i="236" s="1"/>
  <c r="AD32" i="235"/>
  <c r="AK32" i="236" s="1" a="1"/>
  <c r="AK32" i="236" s="1"/>
  <c r="R32" i="235"/>
  <c r="Y32" i="236" s="1" a="1"/>
  <c r="Y32" i="236" s="1"/>
  <c r="AK32" i="235"/>
  <c r="AR32" i="236" s="1" a="1"/>
  <c r="AR32" i="236" s="1"/>
  <c r="U32" i="235"/>
  <c r="AB32" i="236" s="1" a="1"/>
  <c r="AB32" i="236" s="1"/>
  <c r="AM32" i="235"/>
  <c r="AT32" i="236" s="1" a="1"/>
  <c r="AT32" i="236" s="1"/>
  <c r="AC32" i="235"/>
  <c r="AJ32" i="236" s="1" a="1"/>
  <c r="AJ32" i="236" s="1"/>
  <c r="N31" i="235"/>
  <c r="U31" i="236" s="1" a="1"/>
  <c r="U31" i="236" s="1"/>
  <c r="R31" i="235"/>
  <c r="Y31" i="236" s="1" a="1"/>
  <c r="Y31" i="236" s="1"/>
  <c r="V31" i="235"/>
  <c r="AC31" i="236" s="1" a="1"/>
  <c r="AC31" i="236" s="1"/>
  <c r="Z31" i="235"/>
  <c r="AG31" i="236" s="1" a="1"/>
  <c r="AG31" i="236" s="1"/>
  <c r="AD31" i="235"/>
  <c r="AK31" i="236" s="1" a="1"/>
  <c r="AK31" i="236" s="1"/>
  <c r="AH31" i="235"/>
  <c r="AO31" i="236" s="1" a="1"/>
  <c r="AO31" i="236" s="1"/>
  <c r="AL31" i="235"/>
  <c r="AS31" i="236" s="1" a="1"/>
  <c r="AS31" i="236" s="1"/>
  <c r="M31" i="235"/>
  <c r="T31" i="236" s="1" a="1"/>
  <c r="T31" i="236" s="1"/>
  <c r="S31" i="235"/>
  <c r="Z31" i="236" s="1" a="1"/>
  <c r="Z31" i="236" s="1"/>
  <c r="X31" i="235"/>
  <c r="AE31" i="236" s="1" a="1"/>
  <c r="AE31" i="236" s="1"/>
  <c r="AC31" i="235"/>
  <c r="AJ31" i="236" s="1" a="1"/>
  <c r="AJ31" i="236" s="1"/>
  <c r="AI31" i="235"/>
  <c r="AP31" i="236" s="1" a="1"/>
  <c r="AP31" i="236" s="1"/>
  <c r="AN31" i="235"/>
  <c r="AU31" i="236" s="1" a="1"/>
  <c r="AU31" i="236" s="1"/>
  <c r="L31" i="235"/>
  <c r="S31" i="236" s="1" a="1"/>
  <c r="S31" i="236" s="1"/>
  <c r="T31" i="235"/>
  <c r="AA31" i="236" s="1" a="1"/>
  <c r="AA31" i="236" s="1"/>
  <c r="AA31" i="235"/>
  <c r="AH31" i="236" s="1" a="1"/>
  <c r="AH31" i="236" s="1"/>
  <c r="AG31" i="235"/>
  <c r="AN31" i="236" s="1" a="1"/>
  <c r="AN31" i="236" s="1"/>
  <c r="P31" i="235"/>
  <c r="W31" i="236" s="1" a="1"/>
  <c r="W31" i="236" s="1"/>
  <c r="Y31" i="235"/>
  <c r="AF31" i="236" s="1" a="1"/>
  <c r="AF31" i="236" s="1"/>
  <c r="AJ31" i="235"/>
  <c r="AQ31" i="236" s="1" a="1"/>
  <c r="AQ31" i="236" s="1"/>
  <c r="Q31" i="235"/>
  <c r="X31" i="236" s="1" a="1"/>
  <c r="X31" i="236" s="1"/>
  <c r="AB31" i="235"/>
  <c r="AI31" i="236" s="1" a="1"/>
  <c r="AI31" i="236" s="1"/>
  <c r="AK31" i="235"/>
  <c r="AR31" i="236" s="1" a="1"/>
  <c r="AR31" i="236" s="1"/>
  <c r="W31" i="235"/>
  <c r="AD31" i="236" s="1" a="1"/>
  <c r="AD31" i="236" s="1"/>
  <c r="AE31" i="235"/>
  <c r="AL31" i="236" s="1" a="1"/>
  <c r="AL31" i="236" s="1"/>
  <c r="O31" i="235"/>
  <c r="V31" i="236" s="1" a="1"/>
  <c r="V31" i="236" s="1"/>
  <c r="AF31" i="235"/>
  <c r="AM31" i="236" s="1" a="1"/>
  <c r="AM31" i="236" s="1"/>
  <c r="U31" i="235"/>
  <c r="AB31" i="236" s="1" a="1"/>
  <c r="AB31" i="236" s="1"/>
  <c r="AM31" i="235"/>
  <c r="AT31" i="236" s="1" a="1"/>
  <c r="AT31" i="236" s="1"/>
  <c r="O30" i="235"/>
  <c r="S30" i="235"/>
  <c r="W30" i="235"/>
  <c r="AA30" i="235"/>
  <c r="AE30" i="235"/>
  <c r="AI30" i="235"/>
  <c r="AM30" i="235"/>
  <c r="L30" i="235"/>
  <c r="P30" i="235"/>
  <c r="T30" i="235"/>
  <c r="X30" i="235"/>
  <c r="AB30" i="235"/>
  <c r="AF30" i="235"/>
  <c r="AJ30" i="235"/>
  <c r="AN30" i="235"/>
  <c r="M30" i="235"/>
  <c r="U30" i="235"/>
  <c r="AC30" i="235"/>
  <c r="AK30" i="235"/>
  <c r="N30" i="235"/>
  <c r="Y30" i="235"/>
  <c r="AH30" i="235"/>
  <c r="Q30" i="235"/>
  <c r="AD30" i="235"/>
  <c r="R30" i="235"/>
  <c r="AG30" i="235"/>
  <c r="Z30" i="235"/>
  <c r="AL30" i="235"/>
  <c r="V30" i="235"/>
  <c r="M29" i="235"/>
  <c r="Q29" i="235"/>
  <c r="U29" i="235"/>
  <c r="Y29" i="235"/>
  <c r="AC29" i="235"/>
  <c r="AG29" i="235"/>
  <c r="AK29" i="235"/>
  <c r="N29" i="235"/>
  <c r="R29" i="235"/>
  <c r="V29" i="235"/>
  <c r="Z29" i="235"/>
  <c r="AD29" i="235"/>
  <c r="AH29" i="235"/>
  <c r="AL29" i="235"/>
  <c r="O29" i="235"/>
  <c r="W29" i="235"/>
  <c r="AE29" i="235"/>
  <c r="AM29" i="235"/>
  <c r="T29" i="235"/>
  <c r="AF29" i="235"/>
  <c r="X29" i="235"/>
  <c r="AJ29" i="235"/>
  <c r="L29" i="235"/>
  <c r="AA29" i="235"/>
  <c r="AN29" i="235"/>
  <c r="S29" i="235"/>
  <c r="AB29" i="235"/>
  <c r="AI29" i="235"/>
  <c r="P29" i="235"/>
  <c r="O28" i="235"/>
  <c r="S28" i="235"/>
  <c r="W28" i="235"/>
  <c r="AA28" i="235"/>
  <c r="AE28" i="235"/>
  <c r="AI28" i="235"/>
  <c r="AM28" i="235"/>
  <c r="L28" i="235"/>
  <c r="P28" i="235"/>
  <c r="T28" i="235"/>
  <c r="X28" i="235"/>
  <c r="AB28" i="235"/>
  <c r="AF28" i="235"/>
  <c r="AJ28" i="235"/>
  <c r="AN28" i="235"/>
  <c r="Q28" i="235"/>
  <c r="Y28" i="235"/>
  <c r="AG28" i="235"/>
  <c r="R28" i="235"/>
  <c r="AC28" i="235"/>
  <c r="AL28" i="235"/>
  <c r="N28" i="235"/>
  <c r="AD28" i="235"/>
  <c r="U28" i="235"/>
  <c r="AH28" i="235"/>
  <c r="M28" i="235"/>
  <c r="V28" i="235"/>
  <c r="Z28" i="235"/>
  <c r="AK28" i="235"/>
  <c r="M27" i="235"/>
  <c r="Q27" i="235"/>
  <c r="U27" i="235"/>
  <c r="Y27" i="235"/>
  <c r="AC27" i="235"/>
  <c r="AG27" i="235"/>
  <c r="AK27" i="235"/>
  <c r="N27" i="235"/>
  <c r="R27" i="235"/>
  <c r="V27" i="235"/>
  <c r="Z27" i="235"/>
  <c r="AD27" i="235"/>
  <c r="AH27" i="235"/>
  <c r="AL27" i="235"/>
  <c r="S27" i="235"/>
  <c r="AA27" i="235"/>
  <c r="AI27" i="235"/>
  <c r="O27" i="235"/>
  <c r="X27" i="235"/>
  <c r="AJ27" i="235"/>
  <c r="W27" i="235"/>
  <c r="AM27" i="235"/>
  <c r="L27" i="235"/>
  <c r="AB27" i="235"/>
  <c r="AN27" i="235"/>
  <c r="AF27" i="235"/>
  <c r="P27" i="235"/>
  <c r="T27" i="235"/>
  <c r="AE27" i="235"/>
  <c r="O26" i="235"/>
  <c r="S26" i="235"/>
  <c r="W26" i="235"/>
  <c r="AA26" i="235"/>
  <c r="AE26" i="235"/>
  <c r="AI26" i="235"/>
  <c r="AM26" i="235"/>
  <c r="L26" i="235"/>
  <c r="P26" i="235"/>
  <c r="T26" i="235"/>
  <c r="X26" i="235"/>
  <c r="AB26" i="235"/>
  <c r="AF26" i="235"/>
  <c r="AJ26" i="235"/>
  <c r="AN26" i="235"/>
  <c r="R26" i="235"/>
  <c r="Z26" i="235"/>
  <c r="AH26" i="235"/>
  <c r="M26" i="235"/>
  <c r="U26" i="235"/>
  <c r="AC26" i="235"/>
  <c r="AK26" i="235"/>
  <c r="Q26" i="235"/>
  <c r="AG26" i="235"/>
  <c r="N26" i="235"/>
  <c r="AL26" i="235"/>
  <c r="V26" i="235"/>
  <c r="Y26" i="235"/>
  <c r="AD26" i="235"/>
  <c r="M25" i="235"/>
  <c r="T25" i="236" s="1" a="1"/>
  <c r="T25" i="236" s="1"/>
  <c r="Q25" i="235"/>
  <c r="X25" i="236" s="1" a="1"/>
  <c r="X25" i="236" s="1"/>
  <c r="U25" i="235"/>
  <c r="AB25" i="236" s="1" a="1"/>
  <c r="AB25" i="236" s="1"/>
  <c r="Y25" i="235"/>
  <c r="AF25" i="236" s="1" a="1"/>
  <c r="AF25" i="236" s="1"/>
  <c r="AC25" i="235"/>
  <c r="AJ25" i="236" s="1" a="1"/>
  <c r="AJ25" i="236" s="1"/>
  <c r="AG25" i="235"/>
  <c r="AN25" i="236" s="1" a="1"/>
  <c r="AN25" i="236" s="1"/>
  <c r="AK25" i="235"/>
  <c r="AR25" i="236" s="1" a="1"/>
  <c r="AR25" i="236" s="1"/>
  <c r="N25" i="235"/>
  <c r="U25" i="236" s="1" a="1"/>
  <c r="U25" i="236" s="1"/>
  <c r="R25" i="235"/>
  <c r="Y25" i="236" s="1" a="1"/>
  <c r="Y25" i="236" s="1"/>
  <c r="V25" i="235"/>
  <c r="AC25" i="236" s="1" a="1"/>
  <c r="AC25" i="236" s="1"/>
  <c r="Z25" i="235"/>
  <c r="AG25" i="236" s="1" a="1"/>
  <c r="AG25" i="236" s="1"/>
  <c r="AD25" i="235"/>
  <c r="AK25" i="236" s="1" a="1"/>
  <c r="AK25" i="236" s="1"/>
  <c r="AH25" i="235"/>
  <c r="AO25" i="236" s="1" a="1"/>
  <c r="AO25" i="236" s="1"/>
  <c r="AL25" i="235"/>
  <c r="AS25" i="236" s="1" a="1"/>
  <c r="AS25" i="236" s="1"/>
  <c r="L25" i="235"/>
  <c r="S25" i="236" s="1" a="1"/>
  <c r="S25" i="236" s="1"/>
  <c r="T25" i="235"/>
  <c r="AA25" i="236" s="1" a="1"/>
  <c r="AA25" i="236" s="1"/>
  <c r="AB25" i="235"/>
  <c r="AI25" i="236" s="1" a="1"/>
  <c r="AI25" i="236" s="1"/>
  <c r="AJ25" i="235"/>
  <c r="AQ25" i="236" s="1" a="1"/>
  <c r="AQ25" i="236" s="1"/>
  <c r="O25" i="235"/>
  <c r="V25" i="236" s="1" a="1"/>
  <c r="V25" i="236" s="1"/>
  <c r="W25" i="235"/>
  <c r="AD25" i="236" s="1" a="1"/>
  <c r="AD25" i="236" s="1"/>
  <c r="AE25" i="235"/>
  <c r="AL25" i="236" s="1" a="1"/>
  <c r="AL25" i="236" s="1"/>
  <c r="AM25" i="235"/>
  <c r="AT25" i="236" s="1" a="1"/>
  <c r="AT25" i="236" s="1"/>
  <c r="S25" i="235"/>
  <c r="Z25" i="236" s="1" a="1"/>
  <c r="Z25" i="236" s="1"/>
  <c r="AI25" i="235"/>
  <c r="AP25" i="236" s="1" a="1"/>
  <c r="AP25" i="236" s="1"/>
  <c r="X25" i="235"/>
  <c r="AE25" i="236" s="1" a="1"/>
  <c r="AE25" i="236" s="1"/>
  <c r="AA25" i="235"/>
  <c r="AH25" i="236" s="1" a="1"/>
  <c r="AH25" i="236" s="1"/>
  <c r="P25" i="235"/>
  <c r="W25" i="236" s="1" a="1"/>
  <c r="W25" i="236" s="1"/>
  <c r="AF25" i="235"/>
  <c r="AM25" i="236" s="1" a="1"/>
  <c r="AM25" i="236" s="1"/>
  <c r="AN25" i="235"/>
  <c r="AU25" i="236" s="1" a="1"/>
  <c r="AU25" i="236" s="1"/>
  <c r="O24" i="235"/>
  <c r="V24" i="236" s="1" a="1"/>
  <c r="V24" i="236" s="1"/>
  <c r="S24" i="235"/>
  <c r="Z24" i="236" s="1" a="1"/>
  <c r="Z24" i="236" s="1"/>
  <c r="W24" i="235"/>
  <c r="AD24" i="236" s="1" a="1"/>
  <c r="AD24" i="236" s="1"/>
  <c r="AA24" i="235"/>
  <c r="AH24" i="236" s="1" a="1"/>
  <c r="AH24" i="236" s="1"/>
  <c r="AE24" i="235"/>
  <c r="AL24" i="236" s="1" a="1"/>
  <c r="AL24" i="236" s="1"/>
  <c r="AI24" i="235"/>
  <c r="AP24" i="236" s="1" a="1"/>
  <c r="AP24" i="236" s="1"/>
  <c r="AM24" i="235"/>
  <c r="AT24" i="236" s="1" a="1"/>
  <c r="AT24" i="236" s="1"/>
  <c r="L24" i="235"/>
  <c r="S24" i="236" s="1" a="1"/>
  <c r="S24" i="236" s="1"/>
  <c r="P24" i="235"/>
  <c r="W24" i="236" s="1" a="1"/>
  <c r="W24" i="236" s="1"/>
  <c r="T24" i="235"/>
  <c r="AA24" i="236" s="1" a="1"/>
  <c r="AA24" i="236" s="1"/>
  <c r="X24" i="235"/>
  <c r="AE24" i="236" s="1" a="1"/>
  <c r="AE24" i="236" s="1"/>
  <c r="AB24" i="235"/>
  <c r="AI24" i="236" s="1" a="1"/>
  <c r="AI24" i="236" s="1"/>
  <c r="AF24" i="235"/>
  <c r="AM24" i="236" s="1" a="1"/>
  <c r="AM24" i="236" s="1"/>
  <c r="AJ24" i="235"/>
  <c r="AQ24" i="236" s="1" a="1"/>
  <c r="AQ24" i="236" s="1"/>
  <c r="AN24" i="235"/>
  <c r="AU24" i="236" s="1" a="1"/>
  <c r="AU24" i="236" s="1"/>
  <c r="N24" i="235"/>
  <c r="U24" i="236" s="1" a="1"/>
  <c r="U24" i="236" s="1"/>
  <c r="V24" i="235"/>
  <c r="AC24" i="236" s="1" a="1"/>
  <c r="AC24" i="236" s="1"/>
  <c r="AD24" i="235"/>
  <c r="AK24" i="236" s="1" a="1"/>
  <c r="AK24" i="236" s="1"/>
  <c r="AL24" i="235"/>
  <c r="AS24" i="236" s="1" a="1"/>
  <c r="AS24" i="236" s="1"/>
  <c r="Q24" i="235"/>
  <c r="X24" i="236" s="1" a="1"/>
  <c r="X24" i="236" s="1"/>
  <c r="Y24" i="235"/>
  <c r="AF24" i="236" s="1" a="1"/>
  <c r="AF24" i="236" s="1"/>
  <c r="AG24" i="235"/>
  <c r="AN24" i="236" s="1" a="1"/>
  <c r="AN24" i="236" s="1"/>
  <c r="U24" i="235"/>
  <c r="AB24" i="236" s="1" a="1"/>
  <c r="AB24" i="236" s="1"/>
  <c r="AK24" i="235"/>
  <c r="AR24" i="236" s="1" a="1"/>
  <c r="AR24" i="236" s="1"/>
  <c r="AC24" i="235"/>
  <c r="AJ24" i="236" s="1" a="1"/>
  <c r="AJ24" i="236" s="1"/>
  <c r="M24" i="235"/>
  <c r="T24" i="236" s="1" a="1"/>
  <c r="T24" i="236" s="1"/>
  <c r="AH24" i="235"/>
  <c r="AO24" i="236" s="1" a="1"/>
  <c r="AO24" i="236" s="1"/>
  <c r="Z24" i="235"/>
  <c r="AG24" i="236" s="1" a="1"/>
  <c r="AG24" i="236" s="1"/>
  <c r="R24" i="235"/>
  <c r="Y24" i="236" s="1" a="1"/>
  <c r="Y24" i="236" s="1"/>
  <c r="M23" i="235"/>
  <c r="T23" i="236" s="1" a="1"/>
  <c r="T23" i="236" s="1"/>
  <c r="Q23" i="235"/>
  <c r="X23" i="236" s="1" a="1"/>
  <c r="X23" i="236" s="1"/>
  <c r="U23" i="235"/>
  <c r="AB23" i="236" s="1" a="1"/>
  <c r="AB23" i="236" s="1"/>
  <c r="Y23" i="235"/>
  <c r="AF23" i="236" s="1" a="1"/>
  <c r="AF23" i="236" s="1"/>
  <c r="AC23" i="235"/>
  <c r="AJ23" i="236" s="1" a="1"/>
  <c r="AJ23" i="236" s="1"/>
  <c r="AG23" i="235"/>
  <c r="AN23" i="236" s="1" a="1"/>
  <c r="AN23" i="236" s="1"/>
  <c r="AK23" i="235"/>
  <c r="AR23" i="236" s="1" a="1"/>
  <c r="AR23" i="236" s="1"/>
  <c r="N23" i="235"/>
  <c r="U23" i="236" s="1" a="1"/>
  <c r="U23" i="236" s="1"/>
  <c r="R23" i="235"/>
  <c r="Y23" i="236" s="1" a="1"/>
  <c r="Y23" i="236" s="1"/>
  <c r="V23" i="235"/>
  <c r="AC23" i="236" s="1" a="1"/>
  <c r="AC23" i="236" s="1"/>
  <c r="Z23" i="235"/>
  <c r="AG23" i="236" s="1" a="1"/>
  <c r="AG23" i="236" s="1"/>
  <c r="AD23" i="235"/>
  <c r="AK23" i="236" s="1" a="1"/>
  <c r="AK23" i="236" s="1"/>
  <c r="AH23" i="235"/>
  <c r="AO23" i="236" s="1" a="1"/>
  <c r="AO23" i="236" s="1"/>
  <c r="AL23" i="235"/>
  <c r="AS23" i="236" s="1" a="1"/>
  <c r="AS23" i="236" s="1"/>
  <c r="L23" i="235"/>
  <c r="S23" i="236" s="1" a="1"/>
  <c r="S23" i="236" s="1"/>
  <c r="T23" i="235"/>
  <c r="AA23" i="236" s="1" a="1"/>
  <c r="AA23" i="236" s="1"/>
  <c r="AB23" i="235"/>
  <c r="AI23" i="236" s="1" a="1"/>
  <c r="AI23" i="236" s="1"/>
  <c r="AJ23" i="235"/>
  <c r="AQ23" i="236" s="1" a="1"/>
  <c r="AQ23" i="236" s="1"/>
  <c r="O23" i="235"/>
  <c r="V23" i="236" s="1" a="1"/>
  <c r="V23" i="236" s="1"/>
  <c r="W23" i="235"/>
  <c r="AD23" i="236" s="1" a="1"/>
  <c r="AD23" i="236" s="1"/>
  <c r="AE23" i="235"/>
  <c r="AL23" i="236" s="1" a="1"/>
  <c r="AL23" i="236" s="1"/>
  <c r="AM23" i="235"/>
  <c r="AT23" i="236" s="1" a="1"/>
  <c r="AT23" i="236" s="1"/>
  <c r="S23" i="235"/>
  <c r="Z23" i="236" s="1" a="1"/>
  <c r="Z23" i="236" s="1"/>
  <c r="AI23" i="235"/>
  <c r="AP23" i="236" s="1" a="1"/>
  <c r="AP23" i="236" s="1"/>
  <c r="X23" i="235"/>
  <c r="AE23" i="236" s="1" a="1"/>
  <c r="AE23" i="236" s="1"/>
  <c r="AN23" i="235"/>
  <c r="AU23" i="236" s="1" a="1"/>
  <c r="AU23" i="236" s="1"/>
  <c r="P23" i="235"/>
  <c r="W23" i="236" s="1" a="1"/>
  <c r="W23" i="236" s="1"/>
  <c r="AA23" i="235"/>
  <c r="AH23" i="236" s="1" a="1"/>
  <c r="AH23" i="236" s="1"/>
  <c r="AF23" i="235"/>
  <c r="AM23" i="236" s="1" a="1"/>
  <c r="AM23" i="236" s="1"/>
  <c r="O22" i="235"/>
  <c r="S22" i="235"/>
  <c r="W22" i="235"/>
  <c r="AA22" i="235"/>
  <c r="AE22" i="235"/>
  <c r="AI22" i="235"/>
  <c r="AM22" i="235"/>
  <c r="L22" i="235"/>
  <c r="P22" i="235"/>
  <c r="T22" i="235"/>
  <c r="X22" i="235"/>
  <c r="AB22" i="235"/>
  <c r="AF22" i="235"/>
  <c r="AJ22" i="235"/>
  <c r="AN22" i="235"/>
  <c r="N22" i="235"/>
  <c r="V22" i="235"/>
  <c r="AD22" i="235"/>
  <c r="AL22" i="235"/>
  <c r="Q22" i="235"/>
  <c r="Y22" i="235"/>
  <c r="AG22" i="235"/>
  <c r="U22" i="235"/>
  <c r="AK22" i="235"/>
  <c r="Z22" i="235"/>
  <c r="AH22" i="235"/>
  <c r="R22" i="235"/>
  <c r="AC22" i="235"/>
  <c r="M22" i="235"/>
  <c r="M21" i="235"/>
  <c r="Q21" i="235"/>
  <c r="U21" i="235"/>
  <c r="Y21" i="235"/>
  <c r="AC21" i="235"/>
  <c r="AG21" i="235"/>
  <c r="AK21" i="235"/>
  <c r="N21" i="235"/>
  <c r="R21" i="235"/>
  <c r="V21" i="235"/>
  <c r="Z21" i="235"/>
  <c r="AD21" i="235"/>
  <c r="AH21" i="235"/>
  <c r="AL21" i="235"/>
  <c r="P21" i="235"/>
  <c r="X21" i="235"/>
  <c r="AF21" i="235"/>
  <c r="AN21" i="235"/>
  <c r="S21" i="235"/>
  <c r="AA21" i="235"/>
  <c r="AI21" i="235"/>
  <c r="W21" i="235"/>
  <c r="AM21" i="235"/>
  <c r="L21" i="235"/>
  <c r="AB21" i="235"/>
  <c r="T21" i="235"/>
  <c r="AE21" i="235"/>
  <c r="AJ21" i="235"/>
  <c r="O21" i="235"/>
  <c r="O20" i="235"/>
  <c r="S20" i="235"/>
  <c r="W20" i="235"/>
  <c r="AA20" i="235"/>
  <c r="AE20" i="235"/>
  <c r="AI20" i="235"/>
  <c r="AM20" i="235"/>
  <c r="L20" i="235"/>
  <c r="P20" i="235"/>
  <c r="T20" i="235"/>
  <c r="X20" i="235"/>
  <c r="AB20" i="235"/>
  <c r="AF20" i="235"/>
  <c r="AJ20" i="235"/>
  <c r="AN20" i="235"/>
  <c r="R20" i="235"/>
  <c r="Z20" i="235"/>
  <c r="AH20" i="235"/>
  <c r="M20" i="235"/>
  <c r="U20" i="235"/>
  <c r="AC20" i="235"/>
  <c r="AK20" i="235"/>
  <c r="Y20" i="235"/>
  <c r="N20" i="235"/>
  <c r="AD20" i="235"/>
  <c r="AL20" i="235"/>
  <c r="AG20" i="235"/>
  <c r="Q20" i="235"/>
  <c r="V20" i="235"/>
  <c r="M19" i="235"/>
  <c r="Q19" i="235"/>
  <c r="U19" i="235"/>
  <c r="Y19" i="235"/>
  <c r="AC19" i="235"/>
  <c r="AG19" i="235"/>
  <c r="AK19" i="235"/>
  <c r="N19" i="235"/>
  <c r="R19" i="235"/>
  <c r="V19" i="235"/>
  <c r="Z19" i="235"/>
  <c r="AD19" i="235"/>
  <c r="AH19" i="235"/>
  <c r="AL19" i="235"/>
  <c r="L19" i="235"/>
  <c r="T19" i="235"/>
  <c r="AB19" i="235"/>
  <c r="AJ19" i="235"/>
  <c r="O19" i="235"/>
  <c r="W19" i="235"/>
  <c r="AE19" i="235"/>
  <c r="AM19" i="235"/>
  <c r="AA19" i="235"/>
  <c r="P19" i="235"/>
  <c r="AF19" i="235"/>
  <c r="X19" i="235"/>
  <c r="AN19" i="235"/>
  <c r="AI19" i="235"/>
  <c r="S19" i="235"/>
  <c r="O18" i="235"/>
  <c r="S18" i="235"/>
  <c r="W18" i="235"/>
  <c r="AA18" i="235"/>
  <c r="AE18" i="235"/>
  <c r="AI18" i="235"/>
  <c r="AM18" i="235"/>
  <c r="L18" i="235"/>
  <c r="P18" i="235"/>
  <c r="T18" i="235"/>
  <c r="X18" i="235"/>
  <c r="AB18" i="235"/>
  <c r="AF18" i="235"/>
  <c r="AJ18" i="235"/>
  <c r="AN18" i="235"/>
  <c r="N18" i="235"/>
  <c r="V18" i="235"/>
  <c r="AD18" i="235"/>
  <c r="AL18" i="235"/>
  <c r="Q18" i="235"/>
  <c r="Y18" i="235"/>
  <c r="AG18" i="235"/>
  <c r="M18" i="235"/>
  <c r="AC18" i="235"/>
  <c r="R18" i="235"/>
  <c r="AH18" i="235"/>
  <c r="U18" i="235"/>
  <c r="Z18" i="235"/>
  <c r="AK18" i="235"/>
  <c r="M16" i="235"/>
  <c r="Q16" i="235"/>
  <c r="U16" i="235"/>
  <c r="Y16" i="235"/>
  <c r="AC16" i="235"/>
  <c r="AG16" i="235"/>
  <c r="AK16" i="235"/>
  <c r="N16" i="235"/>
  <c r="R16" i="235"/>
  <c r="V16" i="235"/>
  <c r="Z16" i="235"/>
  <c r="AD16" i="235"/>
  <c r="AH16" i="235"/>
  <c r="AL16" i="235"/>
  <c r="P16" i="235"/>
  <c r="X16" i="235"/>
  <c r="AF16" i="235"/>
  <c r="AN16" i="235"/>
  <c r="S16" i="235"/>
  <c r="AA16" i="235"/>
  <c r="AI16" i="235"/>
  <c r="O16" i="235"/>
  <c r="AE16" i="235"/>
  <c r="T16" i="235"/>
  <c r="AJ16" i="235"/>
  <c r="AB16" i="235"/>
  <c r="L16" i="235"/>
  <c r="W16" i="235"/>
  <c r="AM16" i="235"/>
  <c r="O15" i="235"/>
  <c r="S15" i="235"/>
  <c r="W15" i="235"/>
  <c r="AA15" i="235"/>
  <c r="AE15" i="235"/>
  <c r="AI15" i="235"/>
  <c r="AM15" i="235"/>
  <c r="L15" i="235"/>
  <c r="P15" i="235"/>
  <c r="T15" i="235"/>
  <c r="AA15" i="236" s="1" a="1"/>
  <c r="AA15" i="236" s="1"/>
  <c r="X15" i="235"/>
  <c r="AB15" i="235"/>
  <c r="AF15" i="235"/>
  <c r="AJ15" i="235"/>
  <c r="AN15" i="235"/>
  <c r="R15" i="235"/>
  <c r="Z15" i="235"/>
  <c r="AH15" i="235"/>
  <c r="M15" i="235"/>
  <c r="U15" i="235"/>
  <c r="AC15" i="235"/>
  <c r="AK15" i="235"/>
  <c r="Q15" i="235"/>
  <c r="AG15" i="235"/>
  <c r="V15" i="235"/>
  <c r="AL15" i="235"/>
  <c r="N15" i="235"/>
  <c r="Y15" i="235"/>
  <c r="AD15" i="235"/>
  <c r="L14" i="235"/>
  <c r="P14" i="235"/>
  <c r="T14" i="235"/>
  <c r="X14" i="235"/>
  <c r="AB14" i="235"/>
  <c r="AF14" i="235"/>
  <c r="AJ14" i="235"/>
  <c r="O14" i="235"/>
  <c r="U14" i="235"/>
  <c r="Z14" i="235"/>
  <c r="AE14" i="235"/>
  <c r="AK14" i="235"/>
  <c r="Q14" i="235"/>
  <c r="V14" i="235"/>
  <c r="AA14" i="235"/>
  <c r="AG14" i="235"/>
  <c r="AL14" i="235"/>
  <c r="N14" i="235"/>
  <c r="Y14" i="235"/>
  <c r="AI14" i="235"/>
  <c r="R14" i="235"/>
  <c r="AC14" i="235"/>
  <c r="AM14" i="235"/>
  <c r="M14" i="235"/>
  <c r="AH14" i="235"/>
  <c r="S14" i="235"/>
  <c r="AN14" i="235"/>
  <c r="AD14" i="235"/>
  <c r="W14" i="235"/>
  <c r="N13" i="235"/>
  <c r="R13" i="235"/>
  <c r="V13" i="235"/>
  <c r="Z13" i="235"/>
  <c r="AD13" i="235"/>
  <c r="AH13" i="235"/>
  <c r="AL13" i="235"/>
  <c r="L13" i="235"/>
  <c r="Q13" i="235"/>
  <c r="W13" i="235"/>
  <c r="AB13" i="235"/>
  <c r="AG13" i="235"/>
  <c r="AM13" i="235"/>
  <c r="M13" i="235"/>
  <c r="S13" i="235"/>
  <c r="X13" i="235"/>
  <c r="AC13" i="235"/>
  <c r="AI13" i="235"/>
  <c r="AN13" i="235"/>
  <c r="U13" i="235"/>
  <c r="AF13" i="235"/>
  <c r="O13" i="235"/>
  <c r="Y13" i="235"/>
  <c r="AJ13" i="235"/>
  <c r="T13" i="235"/>
  <c r="AA13" i="235"/>
  <c r="AK13" i="235"/>
  <c r="P13" i="235"/>
  <c r="AE13" i="235"/>
  <c r="L12" i="235"/>
  <c r="S12" i="236" s="1" a="1"/>
  <c r="S12" i="236" s="1"/>
  <c r="P12" i="235"/>
  <c r="W12" i="236" s="1" a="1"/>
  <c r="W12" i="236" s="1"/>
  <c r="T12" i="235"/>
  <c r="AA12" i="236" s="1" a="1"/>
  <c r="AA12" i="236" s="1"/>
  <c r="X12" i="235"/>
  <c r="AE12" i="236" s="1" a="1"/>
  <c r="AE12" i="236" s="1"/>
  <c r="AB12" i="235"/>
  <c r="AI12" i="236" s="1" a="1"/>
  <c r="AI12" i="236" s="1"/>
  <c r="AF12" i="235"/>
  <c r="AM12" i="236" s="1" a="1"/>
  <c r="AM12" i="236" s="1"/>
  <c r="AJ12" i="235"/>
  <c r="AQ12" i="236" s="1" a="1"/>
  <c r="AQ12" i="236" s="1"/>
  <c r="AN12" i="235"/>
  <c r="AU12" i="236" s="1" a="1"/>
  <c r="AU12" i="236" s="1"/>
  <c r="O12" i="235"/>
  <c r="V12" i="236" s="1" a="1"/>
  <c r="V12" i="236" s="1"/>
  <c r="U12" i="235"/>
  <c r="AB12" i="236" s="1" a="1"/>
  <c r="AB12" i="236" s="1"/>
  <c r="Z12" i="235"/>
  <c r="AG12" i="236" s="1" a="1"/>
  <c r="AG12" i="236" s="1"/>
  <c r="AE12" i="235"/>
  <c r="AL12" i="236" s="1" a="1"/>
  <c r="AL12" i="236" s="1"/>
  <c r="AK12" i="235"/>
  <c r="AR12" i="236" s="1" a="1"/>
  <c r="AR12" i="236" s="1"/>
  <c r="Q12" i="235"/>
  <c r="X12" i="236" s="1" a="1"/>
  <c r="X12" i="236" s="1"/>
  <c r="W12" i="235"/>
  <c r="AD12" i="236" s="1" a="1"/>
  <c r="AD12" i="236" s="1"/>
  <c r="AD12" i="235"/>
  <c r="AK12" i="236" s="1" a="1"/>
  <c r="AK12" i="236" s="1"/>
  <c r="AL12" i="235"/>
  <c r="AS12" i="236" s="1" a="1"/>
  <c r="AS12" i="236" s="1"/>
  <c r="R12" i="235"/>
  <c r="Y12" i="236" s="1" a="1"/>
  <c r="Y12" i="236" s="1"/>
  <c r="Y12" i="235"/>
  <c r="AF12" i="236" s="1" a="1"/>
  <c r="AF12" i="236" s="1"/>
  <c r="AG12" i="235"/>
  <c r="AN12" i="236" s="1" a="1"/>
  <c r="AN12" i="236" s="1"/>
  <c r="AM12" i="235"/>
  <c r="AT12" i="236" s="1" a="1"/>
  <c r="AT12" i="236" s="1"/>
  <c r="V12" i="235"/>
  <c r="AC12" i="236" s="1" a="1"/>
  <c r="AC12" i="236" s="1"/>
  <c r="AI12" i="235"/>
  <c r="AP12" i="236" s="1" a="1"/>
  <c r="AP12" i="236" s="1"/>
  <c r="M12" i="235"/>
  <c r="T12" i="236" s="1" a="1"/>
  <c r="T12" i="236" s="1"/>
  <c r="AA12" i="235"/>
  <c r="AH12" i="236" s="1" a="1"/>
  <c r="AH12" i="236" s="1"/>
  <c r="S12" i="235"/>
  <c r="Z12" i="236" s="1" a="1"/>
  <c r="Z12" i="236" s="1"/>
  <c r="AC12" i="235"/>
  <c r="AJ12" i="236" s="1" a="1"/>
  <c r="AJ12" i="236" s="1"/>
  <c r="N12" i="235"/>
  <c r="U12" i="236" s="1" a="1"/>
  <c r="U12" i="236" s="1"/>
  <c r="AH12" i="235"/>
  <c r="AO12" i="236" s="1" a="1"/>
  <c r="AO12" i="236" s="1"/>
  <c r="N11" i="235"/>
  <c r="U11" i="236" s="1" a="1"/>
  <c r="U11" i="236" s="1"/>
  <c r="R11" i="235"/>
  <c r="Y11" i="236" s="1" a="1"/>
  <c r="Y11" i="236" s="1"/>
  <c r="V11" i="235"/>
  <c r="AC11" i="236" s="1" a="1"/>
  <c r="AC11" i="236" s="1"/>
  <c r="Z11" i="235"/>
  <c r="AG11" i="236" s="1" a="1"/>
  <c r="AG11" i="236" s="1"/>
  <c r="AD11" i="235"/>
  <c r="AK11" i="236" s="1" a="1"/>
  <c r="AK11" i="236" s="1"/>
  <c r="AH11" i="235"/>
  <c r="AO11" i="236" s="1" a="1"/>
  <c r="AO11" i="236" s="1"/>
  <c r="AL11" i="235"/>
  <c r="AS11" i="236" s="1" a="1"/>
  <c r="AS11" i="236" s="1"/>
  <c r="L11" i="235"/>
  <c r="S11" i="236" s="1" a="1"/>
  <c r="S11" i="236" s="1"/>
  <c r="Q11" i="235"/>
  <c r="X11" i="236" s="1" a="1"/>
  <c r="X11" i="236" s="1"/>
  <c r="W11" i="235"/>
  <c r="AD11" i="236" s="1" a="1"/>
  <c r="AD11" i="236" s="1"/>
  <c r="AB11" i="235"/>
  <c r="AI11" i="236" s="1" a="1"/>
  <c r="AI11" i="236" s="1"/>
  <c r="AG11" i="235"/>
  <c r="AN11" i="236" s="1" a="1"/>
  <c r="AN11" i="236" s="1"/>
  <c r="AM11" i="235"/>
  <c r="AT11" i="236" s="1" a="1"/>
  <c r="AT11" i="236" s="1"/>
  <c r="P11" i="235"/>
  <c r="W11" i="236" s="1" a="1"/>
  <c r="W11" i="236" s="1"/>
  <c r="X11" i="235"/>
  <c r="AE11" i="236" s="1" a="1"/>
  <c r="AE11" i="236" s="1"/>
  <c r="AE11" i="235"/>
  <c r="AL11" i="236" s="1" a="1"/>
  <c r="AL11" i="236" s="1"/>
  <c r="AK11" i="235"/>
  <c r="AR11" i="236" s="1" a="1"/>
  <c r="AR11" i="236" s="1"/>
  <c r="S11" i="235"/>
  <c r="Z11" i="236" s="1" a="1"/>
  <c r="Z11" i="236" s="1"/>
  <c r="Y11" i="235"/>
  <c r="AF11" i="236" s="1" a="1"/>
  <c r="AF11" i="236" s="1"/>
  <c r="AF11" i="235"/>
  <c r="AM11" i="236" s="1" a="1"/>
  <c r="AM11" i="236" s="1"/>
  <c r="AN11" i="235"/>
  <c r="AU11" i="236" s="1" a="1"/>
  <c r="AU11" i="236" s="1"/>
  <c r="O11" i="235"/>
  <c r="V11" i="236" s="1" a="1"/>
  <c r="V11" i="236" s="1"/>
  <c r="AC11" i="235"/>
  <c r="AJ11" i="236" s="1" a="1"/>
  <c r="AJ11" i="236" s="1"/>
  <c r="T11" i="235"/>
  <c r="AA11" i="236" s="1" a="1"/>
  <c r="AA11" i="236" s="1"/>
  <c r="AI11" i="235"/>
  <c r="AP11" i="236" s="1" a="1"/>
  <c r="AP11" i="236" s="1"/>
  <c r="M11" i="235"/>
  <c r="T11" i="236" s="1" a="1"/>
  <c r="T11" i="236" s="1"/>
  <c r="U11" i="235"/>
  <c r="AB11" i="236" s="1" a="1"/>
  <c r="AB11" i="236" s="1"/>
  <c r="AJ11" i="235"/>
  <c r="AQ11" i="236" s="1" a="1"/>
  <c r="AQ11" i="236" s="1"/>
  <c r="AA11" i="235"/>
  <c r="AH11" i="236" s="1" a="1"/>
  <c r="AH11" i="236" s="1"/>
  <c r="L10" i="235"/>
  <c r="P10" i="235"/>
  <c r="T10" i="235"/>
  <c r="X10" i="235"/>
  <c r="AB10" i="235"/>
  <c r="AF10" i="235"/>
  <c r="AJ10" i="235"/>
  <c r="AN10" i="235"/>
  <c r="N10" i="235"/>
  <c r="S10" i="235"/>
  <c r="Y10" i="235"/>
  <c r="AD10" i="235"/>
  <c r="AI10" i="235"/>
  <c r="Q10" i="235"/>
  <c r="W10" i="235"/>
  <c r="AE10" i="235"/>
  <c r="AL10" i="235"/>
  <c r="R10" i="235"/>
  <c r="Z10" i="235"/>
  <c r="AG10" i="235"/>
  <c r="AM10" i="235"/>
  <c r="V10" i="235"/>
  <c r="AK10" i="235"/>
  <c r="M10" i="235"/>
  <c r="AA10" i="235"/>
  <c r="AH10" i="235"/>
  <c r="O10" i="235"/>
  <c r="AC10" i="235"/>
  <c r="U10" i="235"/>
  <c r="AW3" i="451"/>
  <c r="I74" i="235"/>
  <c r="I70" i="235"/>
  <c r="I68" i="235"/>
  <c r="I64" i="235"/>
  <c r="I62" i="235"/>
  <c r="I60" i="235"/>
  <c r="I57" i="235"/>
  <c r="I42" i="235"/>
  <c r="I38" i="235"/>
  <c r="I36" i="235"/>
  <c r="I31" i="235"/>
  <c r="I30" i="235"/>
  <c r="I15" i="235"/>
  <c r="BG5" i="434"/>
  <c r="N22" i="434"/>
  <c r="K73" i="235"/>
  <c r="I71" i="235"/>
  <c r="K71" i="235"/>
  <c r="K66" i="235"/>
  <c r="R66" i="236" s="1" a="1"/>
  <c r="R66" i="236" s="1"/>
  <c r="K59" i="235"/>
  <c r="I55" i="235"/>
  <c r="K55" i="235"/>
  <c r="R55" i="236" s="1" a="1"/>
  <c r="R55" i="236" s="1"/>
  <c r="K50" i="235"/>
  <c r="R50" i="236" s="1" a="1"/>
  <c r="R50" i="236" s="1"/>
  <c r="K35" i="235"/>
  <c r="R35" i="236" s="1" a="1"/>
  <c r="R35" i="236" s="1"/>
  <c r="I32" i="235"/>
  <c r="K32" i="235"/>
  <c r="R32" i="236" s="1" a="1"/>
  <c r="R32" i="236" s="1"/>
  <c r="I29" i="235"/>
  <c r="K29" i="235"/>
  <c r="I26" i="235"/>
  <c r="K26" i="235"/>
  <c r="K25" i="235"/>
  <c r="R25" i="236" s="1" a="1"/>
  <c r="R25" i="236" s="1"/>
  <c r="K20" i="235"/>
  <c r="K18" i="235"/>
  <c r="K69" i="235"/>
  <c r="R69" i="236" s="1" a="1"/>
  <c r="R69" i="236" s="1"/>
  <c r="K63" i="235"/>
  <c r="K46" i="235"/>
  <c r="K45" i="235"/>
  <c r="I44" i="235"/>
  <c r="K44" i="235"/>
  <c r="I40" i="235"/>
  <c r="K40" i="235"/>
  <c r="I13" i="235"/>
  <c r="K13" i="235"/>
  <c r="K72" i="235"/>
  <c r="R72" i="236" s="1" a="1"/>
  <c r="R72" i="236" s="1"/>
  <c r="K39" i="235"/>
  <c r="K74" i="235"/>
  <c r="R74" i="236" s="1" a="1"/>
  <c r="R74" i="236" s="1"/>
  <c r="K70" i="235"/>
  <c r="R70" i="236" s="1" a="1"/>
  <c r="R70" i="236" s="1"/>
  <c r="K65" i="235"/>
  <c r="R65" i="236" s="1" a="1"/>
  <c r="R65" i="236" s="1"/>
  <c r="K51" i="235"/>
  <c r="K41" i="235"/>
  <c r="R41" i="236" s="1" a="1"/>
  <c r="R41" i="236" s="1"/>
  <c r="K37" i="235"/>
  <c r="K33" i="235"/>
  <c r="K30" i="235"/>
  <c r="K24" i="235"/>
  <c r="R24" i="236" s="1" a="1"/>
  <c r="R24" i="236" s="1"/>
  <c r="K19" i="235"/>
  <c r="K16" i="235"/>
  <c r="K14" i="235"/>
  <c r="K11" i="235"/>
  <c r="R11" i="236" s="1" a="1"/>
  <c r="R11" i="236" s="1"/>
  <c r="K10" i="235"/>
  <c r="K62" i="235"/>
  <c r="K57" i="235"/>
  <c r="R57" i="236" s="1" a="1"/>
  <c r="R57" i="236" s="1"/>
  <c r="K42" i="235"/>
  <c r="K38" i="235"/>
  <c r="R38" i="236" s="1" a="1"/>
  <c r="R38" i="236" s="1"/>
  <c r="K34" i="235"/>
  <c r="K22" i="235"/>
  <c r="K15" i="235"/>
  <c r="K68" i="235"/>
  <c r="R68" i="236" s="1" a="1"/>
  <c r="R68" i="236" s="1"/>
  <c r="K64" i="235"/>
  <c r="R64" i="236" s="1" a="1"/>
  <c r="R64" i="236" s="1"/>
  <c r="K60" i="235"/>
  <c r="K54" i="235"/>
  <c r="K49" i="235"/>
  <c r="R49" i="236" s="1" a="1"/>
  <c r="R49" i="236" s="1"/>
  <c r="K47" i="235"/>
  <c r="K36" i="235"/>
  <c r="R36" i="236" s="1" a="1"/>
  <c r="R36" i="236" s="1"/>
  <c r="K31" i="235"/>
  <c r="R31" i="236" s="1" a="1"/>
  <c r="R31" i="236" s="1"/>
  <c r="K28" i="235"/>
  <c r="K23" i="235"/>
  <c r="R23" i="236" s="1" a="1"/>
  <c r="R23" i="236" s="1"/>
  <c r="K12" i="235"/>
  <c r="R12" i="236" s="1" a="1"/>
  <c r="R12" i="236" s="1"/>
  <c r="K75" i="235"/>
  <c r="R75" i="236" s="1" a="1"/>
  <c r="R75" i="236" s="1"/>
  <c r="K67" i="235"/>
  <c r="K61" i="235"/>
  <c r="K56" i="235"/>
  <c r="K53" i="235"/>
  <c r="K48" i="235"/>
  <c r="R48" i="236" s="1" a="1"/>
  <c r="R48" i="236" s="1"/>
  <c r="K43" i="235"/>
  <c r="K27" i="235"/>
  <c r="K21" i="235"/>
  <c r="AY1" i="108"/>
  <c r="I50" i="235"/>
  <c r="I10" i="235"/>
  <c r="I72" i="235"/>
  <c r="I20" i="235"/>
  <c r="I54" i="235"/>
  <c r="I34" i="235"/>
  <c r="I14" i="235"/>
  <c r="I11" i="235"/>
  <c r="I75" i="235"/>
  <c r="I63" i="235"/>
  <c r="I49" i="235"/>
  <c r="I46" i="235"/>
  <c r="I45" i="235"/>
  <c r="I37" i="235"/>
  <c r="I22" i="235"/>
  <c r="I48" i="235"/>
  <c r="I25" i="235"/>
  <c r="I59" i="235"/>
  <c r="I53" i="235"/>
  <c r="I41" i="235"/>
  <c r="I33" i="235"/>
  <c r="I23" i="235"/>
  <c r="I21" i="235"/>
  <c r="I19" i="235"/>
  <c r="I61" i="235"/>
  <c r="I56" i="235"/>
  <c r="I51" i="235"/>
  <c r="I47" i="235"/>
  <c r="I43" i="235"/>
  <c r="I39" i="235"/>
  <c r="I35" i="235"/>
  <c r="I16" i="235"/>
  <c r="I12" i="235"/>
  <c r="I24" i="235"/>
  <c r="I18" i="235"/>
  <c r="I27" i="235"/>
  <c r="I67" i="235"/>
  <c r="I28" i="235"/>
  <c r="I65" i="235"/>
  <c r="I73" i="235"/>
  <c r="I69" i="235"/>
  <c r="I66" i="235"/>
  <c r="AN71" i="234"/>
  <c r="AN70" i="234"/>
  <c r="AN69" i="234"/>
  <c r="AN68" i="234"/>
  <c r="AN67" i="234"/>
  <c r="AN66" i="234"/>
  <c r="AN65" i="234"/>
  <c r="AN64" i="234"/>
  <c r="AN63" i="234"/>
  <c r="AN62" i="234"/>
  <c r="AN61" i="234"/>
  <c r="AN60" i="234"/>
  <c r="AN59" i="234"/>
  <c r="AN58" i="234"/>
  <c r="AN57" i="234"/>
  <c r="AN56" i="234"/>
  <c r="AN55" i="234"/>
  <c r="AN53" i="234"/>
  <c r="AN52" i="234"/>
  <c r="AN51" i="234"/>
  <c r="AN50" i="234"/>
  <c r="AN49" i="234"/>
  <c r="AN47" i="234"/>
  <c r="AN46" i="234"/>
  <c r="AN45" i="234"/>
  <c r="AN44" i="234"/>
  <c r="AN43" i="234"/>
  <c r="AN42" i="234"/>
  <c r="AN41" i="234"/>
  <c r="AN40" i="234"/>
  <c r="AN39" i="234"/>
  <c r="AN38" i="234"/>
  <c r="AN37" i="234"/>
  <c r="AN36" i="234"/>
  <c r="AN35" i="234"/>
  <c r="AN34" i="234"/>
  <c r="AN33" i="234"/>
  <c r="AN32" i="234"/>
  <c r="AN31" i="234"/>
  <c r="AN30" i="234"/>
  <c r="AN29" i="234"/>
  <c r="AN28" i="234"/>
  <c r="AN27" i="234"/>
  <c r="AN26" i="234"/>
  <c r="AN25" i="234"/>
  <c r="AN24" i="234"/>
  <c r="AN23" i="234"/>
  <c r="AN22" i="234"/>
  <c r="AN21" i="234"/>
  <c r="AN20" i="234"/>
  <c r="AN19" i="234"/>
  <c r="AN18" i="234"/>
  <c r="AN17" i="234"/>
  <c r="AN16" i="234"/>
  <c r="AN15" i="234"/>
  <c r="AN14" i="234"/>
  <c r="AN12" i="234"/>
  <c r="AN11" i="234"/>
  <c r="AN10" i="234"/>
  <c r="AN9" i="234"/>
  <c r="AN8" i="234"/>
  <c r="AN7" i="234"/>
  <c r="AN6" i="234"/>
  <c r="AN5" i="234"/>
  <c r="AN4" i="234"/>
  <c r="AN3" i="234"/>
  <c r="H33" i="451" l="1"/>
  <c r="I32" i="451"/>
  <c r="AH11" i="234"/>
  <c r="I15" i="236" s="1"/>
  <c r="M15" i="236" s="1"/>
  <c r="AI41" i="234"/>
  <c r="J45" i="236" s="1"/>
  <c r="M45" i="236" s="1"/>
  <c r="AC45" i="236" s="1" a="1"/>
  <c r="AC45" i="236" s="1"/>
  <c r="BO11" i="236"/>
  <c r="BW11" i="236"/>
  <c r="CB11" i="236"/>
  <c r="BY11" i="236"/>
  <c r="CA11" i="236"/>
  <c r="BE11" i="236"/>
  <c r="BR11" i="236"/>
  <c r="BB11" i="236"/>
  <c r="BG12" i="236"/>
  <c r="BJ12" i="236"/>
  <c r="BF12" i="236"/>
  <c r="BE12" i="236"/>
  <c r="BI12" i="236"/>
  <c r="BT12" i="236"/>
  <c r="BD12" i="236"/>
  <c r="BO23" i="236"/>
  <c r="BX11" i="236"/>
  <c r="BT11" i="236"/>
  <c r="BU11" i="236"/>
  <c r="BN11" i="236"/>
  <c r="CA12" i="236"/>
  <c r="BY12" i="236"/>
  <c r="BC12" i="236"/>
  <c r="AZ12" i="236"/>
  <c r="BH11" i="236"/>
  <c r="BS11" i="236"/>
  <c r="AZ11" i="236"/>
  <c r="BV12" i="236"/>
  <c r="BO12" i="236"/>
  <c r="BZ12" i="236"/>
  <c r="BP12" i="236"/>
  <c r="BW23" i="236"/>
  <c r="BK23" i="236"/>
  <c r="BH23" i="236"/>
  <c r="BR23" i="236"/>
  <c r="BB23" i="236"/>
  <c r="BM23" i="236"/>
  <c r="BF24" i="236"/>
  <c r="BQ24" i="236"/>
  <c r="BM24" i="236"/>
  <c r="BJ24" i="236"/>
  <c r="BT24" i="236"/>
  <c r="BD24" i="236"/>
  <c r="BS24" i="236"/>
  <c r="BC24" i="236"/>
  <c r="BO25" i="236"/>
  <c r="CA25" i="236"/>
  <c r="BX25" i="236"/>
  <c r="BZ25" i="236"/>
  <c r="BJ25" i="236"/>
  <c r="BU25" i="236"/>
  <c r="BE25" i="236"/>
  <c r="BI31" i="236"/>
  <c r="BK31" i="236"/>
  <c r="BX31" i="236"/>
  <c r="BO31" i="236"/>
  <c r="BW31" i="236"/>
  <c r="BA31" i="236"/>
  <c r="BN31" i="236"/>
  <c r="BQ32" i="236"/>
  <c r="BF32" i="236"/>
  <c r="BC32" i="236"/>
  <c r="BV32" i="236"/>
  <c r="BZ32" i="236"/>
  <c r="BE32" i="236"/>
  <c r="BP32" i="236"/>
  <c r="AZ32" i="236"/>
  <c r="BC35" i="236"/>
  <c r="BJ35" i="236"/>
  <c r="BO35" i="236"/>
  <c r="BT35" i="236"/>
  <c r="BV35" i="236"/>
  <c r="AZ35" i="236"/>
  <c r="BM35" i="236"/>
  <c r="BX36" i="236"/>
  <c r="BQ36" i="236"/>
  <c r="BV36" i="236"/>
  <c r="CB36" i="236"/>
  <c r="AZ36" i="236"/>
  <c r="BI36" i="236"/>
  <c r="BS36" i="236"/>
  <c r="BC36" i="236"/>
  <c r="BR38" i="236"/>
  <c r="BY38" i="236"/>
  <c r="BH38" i="236"/>
  <c r="BM38" i="236"/>
  <c r="BP38" i="236"/>
  <c r="CA38" i="236"/>
  <c r="BK38" i="236"/>
  <c r="BK41" i="236"/>
  <c r="BC41" i="236"/>
  <c r="BG41" i="236"/>
  <c r="BL41" i="236"/>
  <c r="BO41" i="236"/>
  <c r="BU41" i="236"/>
  <c r="BE41" i="236"/>
  <c r="BU48" i="236"/>
  <c r="BN48" i="236"/>
  <c r="BZ48" i="236"/>
  <c r="BY48" i="236"/>
  <c r="CB48" i="236"/>
  <c r="BF48" i="236"/>
  <c r="BS48" i="236"/>
  <c r="BC48" i="236"/>
  <c r="BW49" i="236"/>
  <c r="BP49" i="236"/>
  <c r="BL49" i="236"/>
  <c r="BK49" i="236"/>
  <c r="BO49" i="236"/>
  <c r="BU49" i="236"/>
  <c r="BE49" i="236"/>
  <c r="BP50" i="236"/>
  <c r="AZ50" i="236"/>
  <c r="BT50" i="236"/>
  <c r="BQ50" i="236"/>
  <c r="BR50" i="236"/>
  <c r="CA50" i="236"/>
  <c r="BK50" i="236"/>
  <c r="BR55" i="236"/>
  <c r="BI55" i="236"/>
  <c r="CA55" i="236"/>
  <c r="BF55" i="236"/>
  <c r="BO55" i="236"/>
  <c r="BX55" i="236"/>
  <c r="BH55" i="236"/>
  <c r="BS57" i="236"/>
  <c r="BZ57" i="236"/>
  <c r="BU57" i="236"/>
  <c r="BM57" i="236"/>
  <c r="BA57" i="236"/>
  <c r="BP57" i="236"/>
  <c r="AZ57" i="236"/>
  <c r="BP64" i="236"/>
  <c r="BG64" i="236"/>
  <c r="BD64" i="236"/>
  <c r="BC64" i="236"/>
  <c r="BN64" i="236"/>
  <c r="BY64" i="236"/>
  <c r="BI64" i="236"/>
  <c r="BV65" i="236"/>
  <c r="BM65" i="236"/>
  <c r="BB65" i="236"/>
  <c r="BA65" i="236"/>
  <c r="BP65" i="236"/>
  <c r="AZ65" i="236"/>
  <c r="BO65" i="236"/>
  <c r="BX66" i="236"/>
  <c r="BH66" i="236"/>
  <c r="CA66" i="236"/>
  <c r="BW66" i="236"/>
  <c r="BB66" i="236"/>
  <c r="BJ66" i="236"/>
  <c r="BQ66" i="236"/>
  <c r="BA66" i="236"/>
  <c r="BZ68" i="236"/>
  <c r="BR68" i="236"/>
  <c r="BB68" i="236"/>
  <c r="BH68" i="236"/>
  <c r="BP68" i="236"/>
  <c r="BY68" i="236"/>
  <c r="BI68" i="236"/>
  <c r="BM69" i="236"/>
  <c r="BU69" i="236"/>
  <c r="BP69" i="236"/>
  <c r="BQ69" i="236"/>
  <c r="BY69" i="236"/>
  <c r="BD69" i="236"/>
  <c r="BO69" i="236"/>
  <c r="CA70" i="236"/>
  <c r="BV70" i="236"/>
  <c r="BN70" i="236"/>
  <c r="BT70" i="236"/>
  <c r="CB70" i="236"/>
  <c r="BG70" i="236"/>
  <c r="BQ70" i="236"/>
  <c r="BA70" i="236"/>
  <c r="BB72" i="236"/>
  <c r="BT72" i="236"/>
  <c r="BD72" i="236"/>
  <c r="BK72" i="236"/>
  <c r="BS72" i="236"/>
  <c r="BY72" i="236"/>
  <c r="BI72" i="236"/>
  <c r="BS74" i="236"/>
  <c r="BN74" i="236"/>
  <c r="BV74" i="236"/>
  <c r="BW74" i="236"/>
  <c r="BB74" i="236"/>
  <c r="BJ74" i="236"/>
  <c r="BQ74" i="236"/>
  <c r="BA74" i="236"/>
  <c r="BT75" i="236"/>
  <c r="CB75" i="236"/>
  <c r="BD75" i="236"/>
  <c r="BE75" i="236"/>
  <c r="BM75" i="236"/>
  <c r="BW75" i="236"/>
  <c r="BG75" i="236"/>
  <c r="BD23" i="236"/>
  <c r="BN23" i="236"/>
  <c r="BN24" i="236"/>
  <c r="BP24" i="236"/>
  <c r="BO24" i="236"/>
  <c r="BL25" i="236"/>
  <c r="BP25" i="236"/>
  <c r="BV25" i="236"/>
  <c r="BF25" i="236"/>
  <c r="BQ25" i="236"/>
  <c r="BA25" i="236"/>
  <c r="BT31" i="236"/>
  <c r="BY31" i="236"/>
  <c r="BM31" i="236"/>
  <c r="BH31" i="236"/>
  <c r="BQ31" i="236"/>
  <c r="BZ31" i="236"/>
  <c r="BJ31" i="236"/>
  <c r="CA32" i="236"/>
  <c r="BR32" i="236"/>
  <c r="BS32" i="236"/>
  <c r="BN32" i="236"/>
  <c r="BU32" i="236"/>
  <c r="CB32" i="236"/>
  <c r="BL32" i="236"/>
  <c r="BZ35" i="236"/>
  <c r="BS35" i="236"/>
  <c r="BH35" i="236"/>
  <c r="BN35" i="236"/>
  <c r="BP35" i="236"/>
  <c r="BY35" i="236"/>
  <c r="BI35" i="236"/>
  <c r="BJ36" i="236"/>
  <c r="BB36" i="236"/>
  <c r="BP36" i="236"/>
  <c r="BU36" i="236"/>
  <c r="BY36" i="236"/>
  <c r="BD36" i="236"/>
  <c r="BO36" i="236"/>
  <c r="BD38" i="236"/>
  <c r="BL38" i="236"/>
  <c r="BA38" i="236"/>
  <c r="BF38" i="236"/>
  <c r="BJ38" i="236"/>
  <c r="BW38" i="236"/>
  <c r="BG38" i="236"/>
  <c r="BP41" i="236"/>
  <c r="BW41" i="236"/>
  <c r="CB41" i="236"/>
  <c r="AZ41" i="236"/>
  <c r="BF41" i="236"/>
  <c r="BJ41" i="236"/>
  <c r="BQ41" i="236"/>
  <c r="BA41" i="236"/>
  <c r="BH48" i="236"/>
  <c r="AZ48" i="236"/>
  <c r="BT48" i="236"/>
  <c r="BR48" i="236"/>
  <c r="BV48" i="236"/>
  <c r="BA48" i="236"/>
  <c r="BO48" i="236"/>
  <c r="CB49" i="236"/>
  <c r="BH49" i="236"/>
  <c r="BB49" i="236"/>
  <c r="BF49" i="236"/>
  <c r="BC49" i="236"/>
  <c r="BJ49" i="236"/>
  <c r="BQ49" i="236"/>
  <c r="BA49" i="236"/>
  <c r="BA50" i="236"/>
  <c r="BV50" i="236"/>
  <c r="BL50" i="236"/>
  <c r="BJ50" i="236"/>
  <c r="BM50" i="236"/>
  <c r="BW50" i="236"/>
  <c r="BG50" i="236"/>
  <c r="BB55" i="236"/>
  <c r="BY55" i="236"/>
  <c r="BV55" i="236"/>
  <c r="BA55" i="236"/>
  <c r="BJ55" i="236"/>
  <c r="BT55" i="236"/>
  <c r="BD55" i="236"/>
  <c r="BE57" i="236"/>
  <c r="BN57" i="236"/>
  <c r="BJ57" i="236"/>
  <c r="BG57" i="236"/>
  <c r="BQ57" i="236"/>
  <c r="CB57" i="236"/>
  <c r="BL57" i="236"/>
  <c r="AZ64" i="236"/>
  <c r="CB64" i="236"/>
  <c r="CA64" i="236"/>
  <c r="BZ64" i="236"/>
  <c r="BJ64" i="236"/>
  <c r="BU64" i="236"/>
  <c r="BE64" i="236"/>
  <c r="BZ65" i="236"/>
  <c r="BE65" i="236"/>
  <c r="BY65" i="236"/>
  <c r="CB65" i="236"/>
  <c r="BL65" i="236"/>
  <c r="CA65" i="236"/>
  <c r="BK65" i="236"/>
  <c r="BN66" i="236"/>
  <c r="BV66" i="236"/>
  <c r="BP66" i="236"/>
  <c r="BR66" i="236"/>
  <c r="BZ66" i="236"/>
  <c r="BD66" i="236"/>
  <c r="BM66" i="236"/>
  <c r="BO68" i="236"/>
  <c r="BG68" i="236"/>
  <c r="BX68" i="236"/>
  <c r="BC68" i="236"/>
  <c r="BK68" i="236"/>
  <c r="BU68" i="236"/>
  <c r="BE68" i="236"/>
  <c r="BB69" i="236"/>
  <c r="BJ69" i="236"/>
  <c r="BE69" i="236"/>
  <c r="BL69" i="236"/>
  <c r="BT69" i="236"/>
  <c r="CA69" i="236"/>
  <c r="BK69" i="236"/>
  <c r="BP70" i="236"/>
  <c r="BK70" i="236"/>
  <c r="BS70" i="236"/>
  <c r="BO70" i="236"/>
  <c r="BW70" i="236"/>
  <c r="BB70" i="236"/>
  <c r="BM70" i="236"/>
  <c r="CB72" i="236"/>
  <c r="BJ72" i="236"/>
  <c r="CA72" i="236"/>
  <c r="BF72" i="236"/>
  <c r="BN72" i="236"/>
  <c r="BU72" i="236"/>
  <c r="BE72" i="236"/>
  <c r="BH74" i="236"/>
  <c r="BC74" i="236"/>
  <c r="BK74" i="236"/>
  <c r="BR74" i="236"/>
  <c r="BZ74" i="236"/>
  <c r="BD74" i="236"/>
  <c r="BM74" i="236"/>
  <c r="BV75" i="236"/>
  <c r="BZ75" i="236"/>
  <c r="BI75" i="236"/>
  <c r="BU75" i="236"/>
  <c r="AZ75" i="236"/>
  <c r="BH75" i="236"/>
  <c r="BS75" i="236"/>
  <c r="BC75" i="236"/>
  <c r="BG23" i="236"/>
  <c r="AZ23" i="236"/>
  <c r="BI23" i="236"/>
  <c r="BE24" i="236"/>
  <c r="AZ24" i="236"/>
  <c r="BI11" i="236"/>
  <c r="BQ11" i="236"/>
  <c r="BM11" i="236"/>
  <c r="BL11" i="236"/>
  <c r="BP11" i="236"/>
  <c r="BZ11" i="236"/>
  <c r="BJ11" i="236"/>
  <c r="BB12" i="236"/>
  <c r="BA12" i="236"/>
  <c r="BU12" i="236"/>
  <c r="BR12" i="236"/>
  <c r="BS12" i="236"/>
  <c r="CB12" i="236"/>
  <c r="BL12" i="236"/>
  <c r="CB23" i="236"/>
  <c r="CA23" i="236"/>
  <c r="BX23" i="236"/>
  <c r="BZ23" i="236"/>
  <c r="BJ23" i="236"/>
  <c r="BU23" i="236"/>
  <c r="BE23" i="236"/>
  <c r="BV24" i="236"/>
  <c r="BI24" i="236"/>
  <c r="BZ24" i="236"/>
  <c r="CB24" i="236"/>
  <c r="BL24" i="236"/>
  <c r="CA24" i="236"/>
  <c r="BK24" i="236"/>
  <c r="BT25" i="236"/>
  <c r="BW25" i="236"/>
  <c r="BK25" i="236"/>
  <c r="BH25" i="236"/>
  <c r="BR25" i="236"/>
  <c r="BB25" i="236"/>
  <c r="BM25" i="236"/>
  <c r="BC31" i="236"/>
  <c r="BP31" i="236"/>
  <c r="BD31" i="236"/>
  <c r="AZ31" i="236"/>
  <c r="BL31" i="236"/>
  <c r="BV31" i="236"/>
  <c r="BF31" i="236"/>
  <c r="BI32" i="236"/>
  <c r="BW32" i="236"/>
  <c r="BK32" i="236"/>
  <c r="BG32" i="236"/>
  <c r="BO32" i="236"/>
  <c r="BX32" i="236"/>
  <c r="BH32" i="236"/>
  <c r="BL35" i="236"/>
  <c r="BD35" i="236"/>
  <c r="BB35" i="236"/>
  <c r="BG35" i="236"/>
  <c r="BK35" i="236"/>
  <c r="BU35" i="236"/>
  <c r="BE35" i="236"/>
  <c r="BR36" i="236"/>
  <c r="BZ36" i="236"/>
  <c r="BH36" i="236"/>
  <c r="BM36" i="236"/>
  <c r="BT36" i="236"/>
  <c r="CA36" i="236"/>
  <c r="BK36" i="236"/>
  <c r="BI38" i="236"/>
  <c r="BQ38" i="236"/>
  <c r="BV38" i="236"/>
  <c r="CB38" i="236"/>
  <c r="BZ38" i="236"/>
  <c r="BE38" i="236"/>
  <c r="BS38" i="236"/>
  <c r="BC38" i="236"/>
  <c r="BB41" i="236"/>
  <c r="BH41" i="236"/>
  <c r="BV41" i="236"/>
  <c r="CA41" i="236"/>
  <c r="BZ41" i="236"/>
  <c r="BD41" i="236"/>
  <c r="BM41" i="236"/>
  <c r="BP48" i="236"/>
  <c r="BX48" i="236"/>
  <c r="BM48" i="236"/>
  <c r="BJ48" i="236"/>
  <c r="BQ48" i="236"/>
  <c r="CA48" i="236"/>
  <c r="BK48" i="236"/>
  <c r="BN49" i="236"/>
  <c r="BV49" i="236"/>
  <c r="CA49" i="236"/>
  <c r="BX49" i="236"/>
  <c r="BZ49" i="236"/>
  <c r="BD49" i="236"/>
  <c r="BM49" i="236"/>
  <c r="BU50" i="236"/>
  <c r="CB50" i="236"/>
  <c r="BI50" i="236"/>
  <c r="BE50" i="236"/>
  <c r="BD50" i="236"/>
  <c r="BH50" i="236"/>
  <c r="BS50" i="236"/>
  <c r="BC50" i="236"/>
  <c r="BG55" i="236"/>
  <c r="BM55" i="236"/>
  <c r="BN55" i="236"/>
  <c r="BQ55" i="236"/>
  <c r="BZ55" i="236"/>
  <c r="BE55" i="236"/>
  <c r="BP55" i="236"/>
  <c r="AZ55" i="236"/>
  <c r="BO57" i="236"/>
  <c r="BY57" i="236"/>
  <c r="BW57" i="236"/>
  <c r="BB57" i="236"/>
  <c r="BK57" i="236"/>
  <c r="BX57" i="236"/>
  <c r="BH57" i="236"/>
  <c r="BX64" i="236"/>
  <c r="BW64" i="236"/>
  <c r="BT64" i="236"/>
  <c r="BS64" i="236"/>
  <c r="BV64" i="236"/>
  <c r="BF64" i="236"/>
  <c r="BQ64" i="236"/>
  <c r="BA64" i="236"/>
  <c r="BN65" i="236"/>
  <c r="BR65" i="236"/>
  <c r="BQ65" i="236"/>
  <c r="BX65" i="236"/>
  <c r="BH65" i="236"/>
  <c r="BW65" i="236"/>
  <c r="BG65" i="236"/>
  <c r="BC66" i="236"/>
  <c r="BK66" i="236"/>
  <c r="BF66" i="236"/>
  <c r="BL66" i="236"/>
  <c r="BT66" i="236"/>
  <c r="BY66" i="236"/>
  <c r="BI66" i="236"/>
  <c r="BT68" i="236"/>
  <c r="BD68" i="236"/>
  <c r="BW68" i="236"/>
  <c r="BS68" i="236"/>
  <c r="CA68" i="236"/>
  <c r="BF68" i="236"/>
  <c r="BQ68" i="236"/>
  <c r="BA68" i="236"/>
  <c r="BR69" i="236"/>
  <c r="AZ69" i="236"/>
  <c r="CB69" i="236"/>
  <c r="BF69" i="236"/>
  <c r="BN69" i="236"/>
  <c r="BW69" i="236"/>
  <c r="BG69" i="236"/>
  <c r="BF70" i="236"/>
  <c r="AZ70" i="236"/>
  <c r="BH70" i="236"/>
  <c r="BJ70" i="236"/>
  <c r="BR70" i="236"/>
  <c r="BY70" i="236"/>
  <c r="BI70" i="236"/>
  <c r="BW72" i="236"/>
  <c r="BR72" i="236"/>
  <c r="BZ72" i="236"/>
  <c r="BV72" i="236"/>
  <c r="AZ72" i="236"/>
  <c r="BH72" i="236"/>
  <c r="BQ72" i="236"/>
  <c r="BA72" i="236"/>
  <c r="BP74" i="236"/>
  <c r="CA74" i="236"/>
  <c r="AZ74" i="236"/>
  <c r="BL74" i="236"/>
  <c r="BT74" i="236"/>
  <c r="BY74" i="236"/>
  <c r="BI74" i="236"/>
  <c r="BL75" i="236"/>
  <c r="BQ75" i="236"/>
  <c r="BY75" i="236"/>
  <c r="BP75" i="236"/>
  <c r="BX75" i="236"/>
  <c r="BB75" i="236"/>
  <c r="BO75" i="236"/>
  <c r="BC23" i="236"/>
  <c r="BY23" i="236"/>
  <c r="BY24" i="236"/>
  <c r="BB24" i="236"/>
  <c r="CB25" i="236"/>
  <c r="BS25" i="236"/>
  <c r="BA11" i="236"/>
  <c r="BC11" i="236"/>
  <c r="BG11" i="236"/>
  <c r="BD11" i="236"/>
  <c r="BK11" i="236"/>
  <c r="BV11" i="236"/>
  <c r="BF11" i="236"/>
  <c r="BQ12" i="236"/>
  <c r="BW12" i="236"/>
  <c r="BM12" i="236"/>
  <c r="BK12" i="236"/>
  <c r="BN12" i="236"/>
  <c r="BX12" i="236"/>
  <c r="BH12" i="236"/>
  <c r="BT23" i="236"/>
  <c r="BL23" i="236"/>
  <c r="BS23" i="236"/>
  <c r="BP23" i="236"/>
  <c r="BV23" i="236"/>
  <c r="BF23" i="236"/>
  <c r="BQ23" i="236"/>
  <c r="BA23" i="236"/>
  <c r="BA24" i="236"/>
  <c r="BU24" i="236"/>
  <c r="BR24" i="236"/>
  <c r="BX24" i="236"/>
  <c r="BH24" i="236"/>
  <c r="BW24" i="236"/>
  <c r="BG24" i="236"/>
  <c r="BD25" i="236"/>
  <c r="BG25" i="236"/>
  <c r="BC25" i="236"/>
  <c r="AZ25" i="236"/>
  <c r="BN25" i="236"/>
  <c r="BY25" i="236"/>
  <c r="BI25" i="236"/>
  <c r="CA31" i="236"/>
  <c r="BS31" i="236"/>
  <c r="BE31" i="236"/>
  <c r="BU31" i="236"/>
  <c r="CB31" i="236"/>
  <c r="BG31" i="236"/>
  <c r="BR31" i="236"/>
  <c r="BB31" i="236"/>
  <c r="BY32" i="236"/>
  <c r="BM32" i="236"/>
  <c r="BB32" i="236"/>
  <c r="BA32" i="236"/>
  <c r="BJ32" i="236"/>
  <c r="BT32" i="236"/>
  <c r="BD32" i="236"/>
  <c r="BR35" i="236"/>
  <c r="BX35" i="236"/>
  <c r="BW35" i="236"/>
  <c r="CB35" i="236"/>
  <c r="CA35" i="236"/>
  <c r="BF35" i="236"/>
  <c r="BQ35" i="236"/>
  <c r="BA35" i="236"/>
  <c r="BE36" i="236"/>
  <c r="BL36" i="236"/>
  <c r="BA36" i="236"/>
  <c r="BF36" i="236"/>
  <c r="BN36" i="236"/>
  <c r="BW36" i="236"/>
  <c r="BG36" i="236"/>
  <c r="BX38" i="236"/>
  <c r="BB38" i="236"/>
  <c r="BN38" i="236"/>
  <c r="BT38" i="236"/>
  <c r="BU38" i="236"/>
  <c r="AZ38" i="236"/>
  <c r="BO38" i="236"/>
  <c r="BX41" i="236"/>
  <c r="BR41" i="236"/>
  <c r="BN41" i="236"/>
  <c r="BS41" i="236"/>
  <c r="BT41" i="236"/>
  <c r="BY41" i="236"/>
  <c r="BI41" i="236"/>
  <c r="BB48" i="236"/>
  <c r="BI48" i="236"/>
  <c r="BE48" i="236"/>
  <c r="BD48" i="236"/>
  <c r="BL48" i="236"/>
  <c r="BW48" i="236"/>
  <c r="BG48" i="236"/>
  <c r="AZ49" i="236"/>
  <c r="BG49" i="236"/>
  <c r="BS49" i="236"/>
  <c r="BR49" i="236"/>
  <c r="BT49" i="236"/>
  <c r="BY49" i="236"/>
  <c r="BI49" i="236"/>
  <c r="BF50" i="236"/>
  <c r="BN50" i="236"/>
  <c r="BZ50" i="236"/>
  <c r="BY50" i="236"/>
  <c r="BX50" i="236"/>
  <c r="BB50" i="236"/>
  <c r="BO50" i="236"/>
  <c r="BS55" i="236"/>
  <c r="BW55" i="236"/>
  <c r="BC55" i="236"/>
  <c r="BK55" i="236"/>
  <c r="BU55" i="236"/>
  <c r="CB55" i="236"/>
  <c r="BL55" i="236"/>
  <c r="BC57" i="236"/>
  <c r="BI57" i="236"/>
  <c r="BR57" i="236"/>
  <c r="CA57" i="236"/>
  <c r="BF57" i="236"/>
  <c r="BT57" i="236"/>
  <c r="BD57" i="236"/>
  <c r="BH64" i="236"/>
  <c r="BO64" i="236"/>
  <c r="BL64" i="236"/>
  <c r="BK64" i="236"/>
  <c r="BR64" i="236"/>
  <c r="BB64" i="236"/>
  <c r="BM64" i="236"/>
  <c r="BF65" i="236"/>
  <c r="BU65" i="236"/>
  <c r="BJ65" i="236"/>
  <c r="BI65" i="236"/>
  <c r="BT65" i="236"/>
  <c r="BD65" i="236"/>
  <c r="BS65" i="236"/>
  <c r="BC65" i="236"/>
  <c r="BS66" i="236"/>
  <c r="AZ66" i="236"/>
  <c r="CB66" i="236"/>
  <c r="BG66" i="236"/>
  <c r="BO66" i="236"/>
  <c r="BU66" i="236"/>
  <c r="BE66" i="236"/>
  <c r="BJ68" i="236"/>
  <c r="CB68" i="236"/>
  <c r="BL68" i="236"/>
  <c r="BN68" i="236"/>
  <c r="BV68" i="236"/>
  <c r="AZ68" i="236"/>
  <c r="BM68" i="236"/>
  <c r="BX69" i="236"/>
  <c r="BH69" i="236"/>
  <c r="BZ69" i="236"/>
  <c r="BV69" i="236"/>
  <c r="BA69" i="236"/>
  <c r="BI69" i="236"/>
  <c r="BS69" i="236"/>
  <c r="BC69" i="236"/>
  <c r="BC70" i="236"/>
  <c r="BX70" i="236"/>
  <c r="BZ70" i="236"/>
  <c r="BD70" i="236"/>
  <c r="BL70" i="236"/>
  <c r="BU70" i="236"/>
  <c r="BE70" i="236"/>
  <c r="BL72" i="236"/>
  <c r="BG72" i="236"/>
  <c r="BO72" i="236"/>
  <c r="BP72" i="236"/>
  <c r="BX72" i="236"/>
  <c r="BC72" i="236"/>
  <c r="BM72" i="236"/>
  <c r="BX74" i="236"/>
  <c r="BF74" i="236"/>
  <c r="CB74" i="236"/>
  <c r="BG74" i="236"/>
  <c r="BO74" i="236"/>
  <c r="BU74" i="236"/>
  <c r="BE74" i="236"/>
  <c r="BA75" i="236"/>
  <c r="BF75" i="236"/>
  <c r="BN75" i="236"/>
  <c r="BJ75" i="236"/>
  <c r="BR75" i="236"/>
  <c r="CA75" i="236"/>
  <c r="BK75" i="236"/>
  <c r="BV57" i="236"/>
  <c r="K27" i="236" a="1"/>
  <c r="K27" i="236" s="1"/>
  <c r="L27" i="236" a="1"/>
  <c r="L27" i="236" s="1"/>
  <c r="K56" i="236" a="1"/>
  <c r="K56" i="236" s="1"/>
  <c r="L56" i="236" a="1"/>
  <c r="L56" i="236" s="1"/>
  <c r="L12" i="236" a="1"/>
  <c r="L12" i="236" s="1"/>
  <c r="K12" i="236" a="1"/>
  <c r="K12" i="236" s="1"/>
  <c r="AY12" i="236"/>
  <c r="K36" i="236" a="1"/>
  <c r="K36" i="236" s="1"/>
  <c r="L36" i="236" a="1"/>
  <c r="L36" i="236" s="1"/>
  <c r="AY36" i="236"/>
  <c r="K60" i="236" a="1"/>
  <c r="K60" i="236" s="1"/>
  <c r="L60" i="236" a="1"/>
  <c r="L60" i="236" s="1"/>
  <c r="K22" i="236" a="1"/>
  <c r="K22" i="236" s="1"/>
  <c r="L22" i="236" a="1"/>
  <c r="L22" i="236" s="1"/>
  <c r="K57" i="236" a="1"/>
  <c r="K57" i="236" s="1"/>
  <c r="L57" i="236" a="1"/>
  <c r="L57" i="236" s="1"/>
  <c r="AY57" i="236"/>
  <c r="K14" i="236" a="1"/>
  <c r="K14" i="236" s="1"/>
  <c r="L14" i="236" a="1"/>
  <c r="L14" i="236" s="1"/>
  <c r="K30" i="236" a="1"/>
  <c r="K30" i="236" s="1"/>
  <c r="L30" i="236" a="1"/>
  <c r="L30" i="236" s="1"/>
  <c r="K51" i="236" a="1"/>
  <c r="K51" i="236" s="1"/>
  <c r="L51" i="236" a="1"/>
  <c r="L51" i="236" s="1"/>
  <c r="K39" i="236" a="1"/>
  <c r="K39" i="236" s="1"/>
  <c r="L39" i="236" a="1"/>
  <c r="L39" i="236" s="1"/>
  <c r="K40" i="236" a="1"/>
  <c r="K40" i="236" s="1"/>
  <c r="L40" i="236" a="1"/>
  <c r="L40" i="236" s="1"/>
  <c r="L45" i="236" a="1"/>
  <c r="L45" i="236" s="1"/>
  <c r="K45" i="236" a="1"/>
  <c r="K45" i="236" s="1"/>
  <c r="K18" i="236" a="1"/>
  <c r="K18" i="236" s="1"/>
  <c r="L18" i="236" a="1"/>
  <c r="L18" i="236" s="1"/>
  <c r="K43" i="236" a="1"/>
  <c r="K43" i="236" s="1"/>
  <c r="L43" i="236" a="1"/>
  <c r="L43" i="236" s="1"/>
  <c r="K61" i="236" a="1"/>
  <c r="K61" i="236" s="1"/>
  <c r="L61" i="236" a="1"/>
  <c r="L61" i="236" s="1"/>
  <c r="K23" i="236" a="1"/>
  <c r="K23" i="236" s="1"/>
  <c r="L23" i="236" a="1"/>
  <c r="L23" i="236" s="1"/>
  <c r="AY23" i="236"/>
  <c r="K47" i="236" a="1"/>
  <c r="K47" i="236" s="1"/>
  <c r="L47" i="236" a="1"/>
  <c r="L47" i="236" s="1"/>
  <c r="K64" i="236" a="1"/>
  <c r="K64" i="236" s="1"/>
  <c r="L64" i="236" a="1"/>
  <c r="L64" i="236" s="1"/>
  <c r="AY64" i="236"/>
  <c r="K34" i="236" a="1"/>
  <c r="K34" i="236" s="1"/>
  <c r="L34" i="236" a="1"/>
  <c r="L34" i="236" s="1"/>
  <c r="K62" i="236" a="1"/>
  <c r="K62" i="236" s="1"/>
  <c r="L62" i="236" a="1"/>
  <c r="L62" i="236" s="1"/>
  <c r="L16" i="236" a="1"/>
  <c r="L16" i="236" s="1"/>
  <c r="K16" i="236" a="1"/>
  <c r="K16" i="236" s="1"/>
  <c r="L33" i="236" a="1"/>
  <c r="L33" i="236" s="1"/>
  <c r="K33" i="236" a="1"/>
  <c r="K33" i="236" s="1"/>
  <c r="K65" i="236" a="1"/>
  <c r="K65" i="236" s="1"/>
  <c r="L65" i="236" a="1"/>
  <c r="L65" i="236" s="1"/>
  <c r="AY65" i="236"/>
  <c r="L72" i="236" a="1"/>
  <c r="L72" i="236" s="1"/>
  <c r="K72" i="236" a="1"/>
  <c r="K72" i="236" s="1"/>
  <c r="AY72" i="236"/>
  <c r="K46" i="236" a="1"/>
  <c r="K46" i="236" s="1"/>
  <c r="L46" i="236" a="1"/>
  <c r="L46" i="236" s="1"/>
  <c r="M46" i="236" s="1"/>
  <c r="U46" i="236" s="1" a="1"/>
  <c r="U46" i="236" s="1"/>
  <c r="BB46" i="236" s="1"/>
  <c r="K20" i="236" a="1"/>
  <c r="K20" i="236" s="1"/>
  <c r="L20" i="236" a="1"/>
  <c r="L20" i="236" s="1"/>
  <c r="L29" i="236" a="1"/>
  <c r="L29" i="236" s="1"/>
  <c r="K29" i="236" a="1"/>
  <c r="K29" i="236" s="1"/>
  <c r="K35" i="236" a="1"/>
  <c r="K35" i="236" s="1"/>
  <c r="L35" i="236" a="1"/>
  <c r="L35" i="236" s="1"/>
  <c r="AY35" i="236"/>
  <c r="L59" i="236" a="1"/>
  <c r="L59" i="236" s="1"/>
  <c r="K59" i="236" a="1"/>
  <c r="K59" i="236" s="1"/>
  <c r="K73" i="236" a="1"/>
  <c r="K73" i="236" s="1"/>
  <c r="L73" i="236" a="1"/>
  <c r="L73" i="236" s="1"/>
  <c r="K48" i="236" a="1"/>
  <c r="K48" i="236" s="1"/>
  <c r="L48" i="236" a="1"/>
  <c r="L48" i="236" s="1"/>
  <c r="AY48" i="236"/>
  <c r="L67" i="236" a="1"/>
  <c r="L67" i="236" s="1"/>
  <c r="K67" i="236" a="1"/>
  <c r="K67" i="236" s="1"/>
  <c r="K28" i="236" a="1"/>
  <c r="K28" i="236" s="1"/>
  <c r="L28" i="236" a="1"/>
  <c r="L28" i="236" s="1"/>
  <c r="L49" i="236" a="1"/>
  <c r="L49" i="236" s="1"/>
  <c r="K49" i="236" a="1"/>
  <c r="K49" i="236" s="1"/>
  <c r="AY49" i="236"/>
  <c r="L68" i="236" a="1"/>
  <c r="L68" i="236" s="1"/>
  <c r="K68" i="236" a="1"/>
  <c r="K68" i="236" s="1"/>
  <c r="AY68" i="236"/>
  <c r="K38" i="236" a="1"/>
  <c r="K38" i="236" s="1"/>
  <c r="L38" i="236" a="1"/>
  <c r="L38" i="236" s="1"/>
  <c r="AY38" i="236"/>
  <c r="K10" i="236" a="1"/>
  <c r="K10" i="236" s="1"/>
  <c r="L10" i="236" a="1"/>
  <c r="L10" i="236" s="1"/>
  <c r="K19" i="236" a="1"/>
  <c r="K19" i="236" s="1"/>
  <c r="L19" i="236" a="1"/>
  <c r="L19" i="236" s="1"/>
  <c r="L37" i="236" a="1"/>
  <c r="L37" i="236" s="1"/>
  <c r="K37" i="236" a="1"/>
  <c r="K37" i="236" s="1"/>
  <c r="K70" i="236" a="1"/>
  <c r="K70" i="236" s="1"/>
  <c r="L70" i="236" a="1"/>
  <c r="L70" i="236" s="1"/>
  <c r="AY70" i="236"/>
  <c r="K13" i="236" a="1"/>
  <c r="K13" i="236" s="1"/>
  <c r="L13" i="236" a="1"/>
  <c r="L13" i="236" s="1"/>
  <c r="K44" i="236" a="1"/>
  <c r="K44" i="236" s="1"/>
  <c r="L44" i="236" a="1"/>
  <c r="L44" i="236" s="1"/>
  <c r="L63" i="236" a="1"/>
  <c r="L63" i="236" s="1"/>
  <c r="K63" i="236" a="1"/>
  <c r="K63" i="236" s="1"/>
  <c r="L25" i="236" a="1"/>
  <c r="L25" i="236" s="1"/>
  <c r="K25" i="236" a="1"/>
  <c r="K25" i="236" s="1"/>
  <c r="AY25" i="236"/>
  <c r="K50" i="236" a="1"/>
  <c r="K50" i="236" s="1"/>
  <c r="L50" i="236" a="1"/>
  <c r="L50" i="236" s="1"/>
  <c r="AY50" i="236"/>
  <c r="K66" i="236" a="1"/>
  <c r="K66" i="236" s="1"/>
  <c r="L66" i="236" a="1"/>
  <c r="L66" i="236" s="1"/>
  <c r="AY66" i="236"/>
  <c r="L21" i="236" a="1"/>
  <c r="L21" i="236" s="1"/>
  <c r="K21" i="236" a="1"/>
  <c r="K21" i="236" s="1"/>
  <c r="K53" i="236" a="1"/>
  <c r="K53" i="236" s="1"/>
  <c r="L53" i="236" a="1"/>
  <c r="L53" i="236" s="1"/>
  <c r="L75" i="236" a="1"/>
  <c r="L75" i="236" s="1"/>
  <c r="K75" i="236" a="1"/>
  <c r="K75" i="236" s="1"/>
  <c r="AY75" i="236"/>
  <c r="K31" i="236" a="1"/>
  <c r="K31" i="236" s="1"/>
  <c r="L31" i="236" a="1"/>
  <c r="L31" i="236" s="1"/>
  <c r="AY31" i="236"/>
  <c r="L54" i="236" a="1"/>
  <c r="L54" i="236" s="1"/>
  <c r="K54" i="236" a="1"/>
  <c r="K54" i="236" s="1"/>
  <c r="K15" i="236" a="1"/>
  <c r="K15" i="236" s="1"/>
  <c r="L15" i="236" a="1"/>
  <c r="L15" i="236" s="1"/>
  <c r="K42" i="236" a="1"/>
  <c r="K42" i="236" s="1"/>
  <c r="L42" i="236" a="1"/>
  <c r="L42" i="236" s="1"/>
  <c r="K11" i="236" a="1"/>
  <c r="K11" i="236" s="1"/>
  <c r="L11" i="236" a="1"/>
  <c r="L11" i="236" s="1"/>
  <c r="AY11" i="236"/>
  <c r="K24" i="236" a="1"/>
  <c r="K24" i="236" s="1"/>
  <c r="L24" i="236" a="1"/>
  <c r="L24" i="236" s="1"/>
  <c r="AY24" i="236"/>
  <c r="L41" i="236" a="1"/>
  <c r="L41" i="236" s="1"/>
  <c r="K41" i="236" a="1"/>
  <c r="K41" i="236" s="1"/>
  <c r="AY41" i="236"/>
  <c r="K74" i="236" a="1"/>
  <c r="K74" i="236" s="1"/>
  <c r="L74" i="236" a="1"/>
  <c r="L74" i="236" s="1"/>
  <c r="AY74" i="236"/>
  <c r="K69" i="236" a="1"/>
  <c r="K69" i="236" s="1"/>
  <c r="L69" i="236" a="1"/>
  <c r="L69" i="236" s="1"/>
  <c r="AY69" i="236"/>
  <c r="K26" i="236" a="1"/>
  <c r="K26" i="236" s="1"/>
  <c r="L26" i="236" a="1"/>
  <c r="L26" i="236" s="1"/>
  <c r="K32" i="236" a="1"/>
  <c r="K32" i="236" s="1"/>
  <c r="L32" i="236" a="1"/>
  <c r="L32" i="236" s="1"/>
  <c r="AY32" i="236"/>
  <c r="K55" i="236" a="1"/>
  <c r="K55" i="236" s="1"/>
  <c r="L55" i="236" a="1"/>
  <c r="L55" i="236" s="1"/>
  <c r="AY55" i="236"/>
  <c r="L71" i="236" a="1"/>
  <c r="L71" i="236" s="1"/>
  <c r="K71" i="236" a="1"/>
  <c r="K71" i="236" s="1"/>
  <c r="AX3" i="451"/>
  <c r="BH5" i="434"/>
  <c r="O22" i="434"/>
  <c r="E61" i="236"/>
  <c r="E64" i="236"/>
  <c r="AZ1" i="108"/>
  <c r="E75" i="236"/>
  <c r="E60" i="236"/>
  <c r="E65" i="236"/>
  <c r="E66" i="236"/>
  <c r="F14" i="234"/>
  <c r="E18" i="236" s="1"/>
  <c r="F9" i="234"/>
  <c r="E13" i="236" s="1"/>
  <c r="C16" i="234"/>
  <c r="A55" i="434" s="1"/>
  <c r="E16" i="234"/>
  <c r="D20" i="236" s="1"/>
  <c r="V16" i="234"/>
  <c r="AL16" i="234"/>
  <c r="AM16" i="234"/>
  <c r="AR45" i="236" l="1" a="1"/>
  <c r="AR45" i="236" s="1"/>
  <c r="AQ45" i="236" a="1"/>
  <c r="AQ45" i="236" s="1"/>
  <c r="AF45" i="236" a="1"/>
  <c r="AF45" i="236" s="1"/>
  <c r="AA45" i="236" a="1"/>
  <c r="AA45" i="236" s="1"/>
  <c r="T45" i="236" a="1"/>
  <c r="T45" i="236" s="1"/>
  <c r="S45" i="236" a="1"/>
  <c r="S45" i="236" s="1"/>
  <c r="AE45" i="236" a="1"/>
  <c r="AE45" i="236" s="1"/>
  <c r="AP15" i="236" a="1"/>
  <c r="AP15" i="236" s="1"/>
  <c r="AS15" i="236" a="1"/>
  <c r="AS15" i="236" s="1"/>
  <c r="AT15" i="236" a="1"/>
  <c r="AT15" i="236" s="1"/>
  <c r="X15" i="236" a="1"/>
  <c r="X15" i="236" s="1"/>
  <c r="AH15" i="236" a="1"/>
  <c r="AH15" i="236" s="1"/>
  <c r="AB15" i="236" a="1"/>
  <c r="AB15" i="236" s="1"/>
  <c r="V15" i="236" a="1"/>
  <c r="V15" i="236" s="1"/>
  <c r="AG15" i="236" a="1"/>
  <c r="AG15" i="236" s="1"/>
  <c r="AD45" i="236" a="1"/>
  <c r="AD45" i="236" s="1"/>
  <c r="U45" i="236" a="1"/>
  <c r="U45" i="236" s="1"/>
  <c r="AH45" i="236" a="1"/>
  <c r="AH45" i="236" s="1"/>
  <c r="AJ45" i="236" a="1"/>
  <c r="AJ45" i="236" s="1"/>
  <c r="W45" i="236" a="1"/>
  <c r="W45" i="236" s="1"/>
  <c r="AQ15" i="236" a="1"/>
  <c r="AQ15" i="236" s="1"/>
  <c r="AE15" i="236" a="1"/>
  <c r="AE15" i="236" s="1"/>
  <c r="U15" i="236" a="1"/>
  <c r="U15" i="236" s="1"/>
  <c r="S15" i="236" a="1"/>
  <c r="S15" i="236" s="1"/>
  <c r="AN15" i="236" a="1"/>
  <c r="AN15" i="236" s="1"/>
  <c r="R45" i="236" a="1"/>
  <c r="R45" i="236" s="1"/>
  <c r="AL15" i="236" a="1"/>
  <c r="AL15" i="236" s="1"/>
  <c r="AJ15" i="236" a="1"/>
  <c r="AJ15" i="236" s="1"/>
  <c r="AJ46" i="236" a="1"/>
  <c r="AJ46" i="236" s="1"/>
  <c r="BQ46" i="236" s="1"/>
  <c r="AG45" i="236" a="1"/>
  <c r="AG45" i="236" s="1"/>
  <c r="AL45" i="236" a="1"/>
  <c r="AL45" i="236" s="1"/>
  <c r="AU45" i="236" a="1"/>
  <c r="AU45" i="236" s="1"/>
  <c r="X45" i="236" a="1"/>
  <c r="X45" i="236" s="1"/>
  <c r="Y45" i="236" a="1"/>
  <c r="Y45" i="236" s="1"/>
  <c r="AO15" i="236" a="1"/>
  <c r="AO15" i="236" s="1"/>
  <c r="AU15" i="236" a="1"/>
  <c r="AU15" i="236" s="1"/>
  <c r="AI15" i="236" a="1"/>
  <c r="AI15" i="236" s="1"/>
  <c r="AF15" i="236" a="1"/>
  <c r="AF15" i="236" s="1"/>
  <c r="W15" i="236" a="1"/>
  <c r="W15" i="236" s="1"/>
  <c r="AC15" i="236" a="1"/>
  <c r="AC15" i="236" s="1"/>
  <c r="R15" i="236" a="1"/>
  <c r="R15" i="236" s="1"/>
  <c r="M34" i="236"/>
  <c r="AQ34" i="236" s="1" a="1"/>
  <c r="AQ34" i="236" s="1"/>
  <c r="BX34" i="236" s="1"/>
  <c r="AB45" i="236" a="1"/>
  <c r="AB45" i="236" s="1"/>
  <c r="AI45" i="236" a="1"/>
  <c r="AI45" i="236" s="1"/>
  <c r="AM45" i="236" a="1"/>
  <c r="AM45" i="236" s="1"/>
  <c r="AO45" i="236" a="1"/>
  <c r="AO45" i="236" s="1"/>
  <c r="AN45" i="236" a="1"/>
  <c r="AN45" i="236" s="1"/>
  <c r="Z15" i="236" a="1"/>
  <c r="Z15" i="236" s="1"/>
  <c r="AR15" i="236" a="1"/>
  <c r="AR15" i="236" s="1"/>
  <c r="AD15" i="236" a="1"/>
  <c r="AD15" i="236" s="1"/>
  <c r="T15" i="236" a="1"/>
  <c r="T15" i="236" s="1"/>
  <c r="Y15" i="236" a="1"/>
  <c r="Y15" i="236" s="1"/>
  <c r="AM15" i="236" a="1"/>
  <c r="AM15" i="236" s="1"/>
  <c r="AK15" i="236" a="1"/>
  <c r="AK15" i="236" s="1"/>
  <c r="AS46" i="236" a="1"/>
  <c r="AS46" i="236" s="1"/>
  <c r="BZ46" i="236" s="1"/>
  <c r="AN46" i="236" a="1"/>
  <c r="AN46" i="236" s="1"/>
  <c r="BU46" i="236" s="1"/>
  <c r="AA46" i="236" a="1"/>
  <c r="AA46" i="236" s="1"/>
  <c r="BH46" i="236" s="1"/>
  <c r="AO46" i="236" a="1"/>
  <c r="AO46" i="236" s="1"/>
  <c r="BV46" i="236" s="1"/>
  <c r="AC46" i="236" a="1"/>
  <c r="AC46" i="236" s="1"/>
  <c r="BJ46" i="236" s="1"/>
  <c r="AQ46" i="236" a="1"/>
  <c r="AQ46" i="236" s="1"/>
  <c r="BX46" i="236" s="1"/>
  <c r="AK46" i="236" a="1"/>
  <c r="AK46" i="236" s="1"/>
  <c r="BR46" i="236" s="1"/>
  <c r="R46" i="236" a="1"/>
  <c r="R46" i="236" s="1"/>
  <c r="AY46" i="236" s="1"/>
  <c r="V46" i="236" a="1"/>
  <c r="V46" i="236" s="1"/>
  <c r="BC46" i="236" s="1"/>
  <c r="AR46" i="236" a="1"/>
  <c r="AR46" i="236" s="1"/>
  <c r="BY46" i="236" s="1"/>
  <c r="AI46" i="236" a="1"/>
  <c r="AI46" i="236" s="1"/>
  <c r="BP46" i="236" s="1"/>
  <c r="W46" i="236" a="1"/>
  <c r="W46" i="236" s="1"/>
  <c r="BD46" i="236" s="1"/>
  <c r="AT46" i="236" a="1"/>
  <c r="AT46" i="236" s="1"/>
  <c r="CA46" i="236" s="1"/>
  <c r="AH46" i="236" a="1"/>
  <c r="AH46" i="236" s="1"/>
  <c r="BO46" i="236" s="1"/>
  <c r="AM46" i="236" a="1"/>
  <c r="AM46" i="236" s="1"/>
  <c r="BT46" i="236" s="1"/>
  <c r="AD46" i="236" a="1"/>
  <c r="AD46" i="236" s="1"/>
  <c r="BK46" i="236" s="1"/>
  <c r="AL46" i="236" a="1"/>
  <c r="AL46" i="236" s="1"/>
  <c r="BS46" i="236" s="1"/>
  <c r="AU46" i="236" a="1"/>
  <c r="AU46" i="236" s="1"/>
  <c r="CB46" i="236" s="1"/>
  <c r="Z46" i="236" a="1"/>
  <c r="Z46" i="236" s="1"/>
  <c r="BG46" i="236" s="1"/>
  <c r="Y46" i="236" a="1"/>
  <c r="Y46" i="236" s="1"/>
  <c r="BF46" i="236" s="1"/>
  <c r="AF46" i="236" a="1"/>
  <c r="AF46" i="236" s="1"/>
  <c r="BM46" i="236" s="1"/>
  <c r="S46" i="236" a="1"/>
  <c r="S46" i="236" s="1"/>
  <c r="AZ46" i="236" s="1"/>
  <c r="T46" i="236" a="1"/>
  <c r="T46" i="236" s="1"/>
  <c r="BA46" i="236" s="1"/>
  <c r="AE46" i="236" a="1"/>
  <c r="AE46" i="236" s="1"/>
  <c r="BL46" i="236" s="1"/>
  <c r="X46" i="236" a="1"/>
  <c r="X46" i="236" s="1"/>
  <c r="BE46" i="236" s="1"/>
  <c r="AG46" i="236" a="1"/>
  <c r="AG46" i="236" s="1"/>
  <c r="BN46" i="236" s="1"/>
  <c r="AP46" i="236" a="1"/>
  <c r="AP46" i="236" s="1"/>
  <c r="BW46" i="236" s="1"/>
  <c r="AB46" i="236" a="1"/>
  <c r="AB46" i="236" s="1"/>
  <c r="BI46" i="236" s="1"/>
  <c r="AF34" i="236" a="1"/>
  <c r="AF34" i="236" s="1"/>
  <c r="BM34" i="236" s="1"/>
  <c r="R34" i="236" a="1"/>
  <c r="R34" i="236" s="1"/>
  <c r="AY34" i="236" s="1"/>
  <c r="AN34" i="236" a="1"/>
  <c r="AN34" i="236" s="1"/>
  <c r="BU34" i="236" s="1"/>
  <c r="AC34" i="236" a="1"/>
  <c r="AC34" i="236" s="1"/>
  <c r="BJ34" i="236" s="1"/>
  <c r="AM34" i="236" a="1"/>
  <c r="AM34" i="236" s="1"/>
  <c r="BT34" i="236" s="1"/>
  <c r="V34" i="236" a="1"/>
  <c r="V34" i="236" s="1"/>
  <c r="BC34" i="236" s="1"/>
  <c r="S34" i="236" a="1"/>
  <c r="S34" i="236" s="1"/>
  <c r="AZ34" i="236" s="1"/>
  <c r="AG34" i="236" a="1"/>
  <c r="AG34" i="236" s="1"/>
  <c r="BN34" i="236" s="1"/>
  <c r="AA34" i="236" a="1"/>
  <c r="AA34" i="236" s="1"/>
  <c r="BH34" i="236" s="1"/>
  <c r="Y34" i="236" a="1"/>
  <c r="Y34" i="236" s="1"/>
  <c r="BF34" i="236" s="1"/>
  <c r="AO34" i="236" a="1"/>
  <c r="AO34" i="236" s="1"/>
  <c r="BV34" i="236" s="1"/>
  <c r="AH34" i="236" a="1"/>
  <c r="AH34" i="236" s="1"/>
  <c r="BO34" i="236" s="1"/>
  <c r="W34" i="236" a="1"/>
  <c r="W34" i="236" s="1"/>
  <c r="BD34" i="236" s="1"/>
  <c r="AU34" i="236" a="1"/>
  <c r="AU34" i="236" s="1"/>
  <c r="CB34" i="236" s="1"/>
  <c r="T34" i="236" a="1"/>
  <c r="T34" i="236" s="1"/>
  <c r="BA34" i="236" s="1"/>
  <c r="AI34" i="236" a="1"/>
  <c r="AI34" i="236" s="1"/>
  <c r="BP34" i="236" s="1"/>
  <c r="Z34" i="236" a="1"/>
  <c r="Z34" i="236" s="1"/>
  <c r="BG34" i="236" s="1"/>
  <c r="AP34" i="236" a="1"/>
  <c r="AP34" i="236" s="1"/>
  <c r="BW34" i="236" s="1"/>
  <c r="AJ34" i="236" a="1"/>
  <c r="AJ34" i="236" s="1"/>
  <c r="BQ34" i="236" s="1"/>
  <c r="X34" i="236" a="1"/>
  <c r="X34" i="236" s="1"/>
  <c r="BE34" i="236" s="1"/>
  <c r="AD34" i="236" a="1"/>
  <c r="AD34" i="236" s="1"/>
  <c r="BK34" i="236" s="1"/>
  <c r="AE34" i="236" a="1"/>
  <c r="AE34" i="236" s="1"/>
  <c r="BL34" i="236" s="1"/>
  <c r="AL34" i="236" a="1"/>
  <c r="AL34" i="236" s="1"/>
  <c r="BS34" i="236" s="1"/>
  <c r="U34" i="236" a="1"/>
  <c r="U34" i="236" s="1"/>
  <c r="BB34" i="236" s="1"/>
  <c r="AS34" i="236" a="1"/>
  <c r="AS34" i="236" s="1"/>
  <c r="BZ34" i="236" s="1"/>
  <c r="AK34" i="236" a="1"/>
  <c r="AK34" i="236" s="1"/>
  <c r="BR34" i="236" s="1"/>
  <c r="AR34" i="236" a="1"/>
  <c r="AR34" i="236" s="1"/>
  <c r="BY34" i="236" s="1"/>
  <c r="AB34" i="236" a="1"/>
  <c r="AB34" i="236" s="1"/>
  <c r="BI34" i="236" s="1"/>
  <c r="AT34" i="236" a="1"/>
  <c r="AT34" i="236" s="1"/>
  <c r="CA34" i="236" s="1"/>
  <c r="H34" i="451"/>
  <c r="I34" i="451" s="1"/>
  <c r="I33" i="451"/>
  <c r="M19" i="236"/>
  <c r="W19" i="236" s="1" a="1"/>
  <c r="W19" i="236" s="1"/>
  <c r="M29" i="236"/>
  <c r="AS29" i="236" s="1" a="1"/>
  <c r="AS29" i="236" s="1"/>
  <c r="M27" i="236"/>
  <c r="W27" i="236" s="1" a="1"/>
  <c r="W27" i="236" s="1"/>
  <c r="M28" i="236"/>
  <c r="T28" i="236" s="1" a="1"/>
  <c r="T28" i="236" s="1"/>
  <c r="M20" i="236"/>
  <c r="AU20" i="236" s="1" a="1"/>
  <c r="AU20" i="236" s="1"/>
  <c r="M61" i="236"/>
  <c r="AM61" i="236" s="1" a="1"/>
  <c r="AM61" i="236" s="1"/>
  <c r="M40" i="236"/>
  <c r="S40" i="236" s="1" a="1"/>
  <c r="S40" i="236" s="1"/>
  <c r="M51" i="236"/>
  <c r="AJ51" i="236" s="1" a="1"/>
  <c r="AJ51" i="236" s="1"/>
  <c r="BQ51" i="236" s="1"/>
  <c r="M14" i="236"/>
  <c r="AN14" i="236" s="1" a="1"/>
  <c r="AN14" i="236" s="1"/>
  <c r="M16" i="236"/>
  <c r="AH16" i="236" s="1" a="1"/>
  <c r="AH16" i="236" s="1"/>
  <c r="M60" i="236"/>
  <c r="AI60" i="236" s="1" a="1"/>
  <c r="AI60" i="236" s="1"/>
  <c r="M56" i="236"/>
  <c r="AO56" i="236" s="1" a="1"/>
  <c r="AO56" i="236" s="1"/>
  <c r="M54" i="236"/>
  <c r="R54" i="236" s="1" a="1"/>
  <c r="R54" i="236" s="1"/>
  <c r="AY54" i="236" s="1"/>
  <c r="A36" i="437"/>
  <c r="M10" i="236"/>
  <c r="AB10" i="236" s="1" a="1"/>
  <c r="AB10" i="236" s="1"/>
  <c r="M44" i="236"/>
  <c r="AO44" i="236" s="1" a="1"/>
  <c r="AO44" i="236" s="1"/>
  <c r="C19" i="108"/>
  <c r="N20" i="236"/>
  <c r="N25" i="420" s="1"/>
  <c r="D19" i="108"/>
  <c r="E19" i="108" s="1"/>
  <c r="AY3" i="451"/>
  <c r="BI5" i="434"/>
  <c r="P22" i="434"/>
  <c r="H20" i="235"/>
  <c r="BA1" i="108"/>
  <c r="J5" i="5"/>
  <c r="AE10" i="236" l="1" a="1"/>
  <c r="AE10" i="236" s="1"/>
  <c r="BL10" i="236" s="1"/>
  <c r="U19" i="236" a="1"/>
  <c r="U19" i="236" s="1"/>
  <c r="AA14" i="236" a="1"/>
  <c r="AA14" i="236" s="1"/>
  <c r="AU19" i="236" a="1"/>
  <c r="AU19" i="236" s="1"/>
  <c r="CB19" i="236" s="1"/>
  <c r="AJ14" i="236" a="1"/>
  <c r="AJ14" i="236" s="1"/>
  <c r="AE16" i="236" a="1"/>
  <c r="AE16" i="236" s="1"/>
  <c r="AH10" i="236" a="1"/>
  <c r="AH10" i="236" s="1"/>
  <c r="AO19" i="236" a="1"/>
  <c r="AO19" i="236" s="1"/>
  <c r="BV19" i="236" s="1"/>
  <c r="V28" i="236" a="1"/>
  <c r="V28" i="236" s="1"/>
  <c r="AL51" i="236" a="1"/>
  <c r="AL51" i="236" s="1"/>
  <c r="BS51" i="236" s="1"/>
  <c r="AQ60" i="236" a="1"/>
  <c r="AQ60" i="236" s="1"/>
  <c r="S27" i="236" a="1"/>
  <c r="S27" i="236" s="1"/>
  <c r="AZ27" i="236" s="1"/>
  <c r="AL29" i="236" a="1"/>
  <c r="AL29" i="236" s="1"/>
  <c r="AR44" i="236" a="1"/>
  <c r="AR44" i="236" s="1"/>
  <c r="AM54" i="236" a="1"/>
  <c r="AM54" i="236" s="1"/>
  <c r="AR60" i="236" a="1"/>
  <c r="AR60" i="236" s="1"/>
  <c r="AE20" i="236" a="1"/>
  <c r="AE20" i="236" s="1"/>
  <c r="AD28" i="236" a="1"/>
  <c r="AD28" i="236" s="1"/>
  <c r="AQ44" i="236" a="1"/>
  <c r="AQ44" i="236" s="1"/>
  <c r="AD51" i="236" a="1"/>
  <c r="AD51" i="236" s="1"/>
  <c r="BK51" i="236" s="1"/>
  <c r="Y56" i="236" a="1"/>
  <c r="Y56" i="236" s="1"/>
  <c r="BF56" i="236" s="1"/>
  <c r="AS20" i="236" a="1"/>
  <c r="AS20" i="236" s="1"/>
  <c r="U28" i="236" a="1"/>
  <c r="U28" i="236" s="1"/>
  <c r="X40" i="236" a="1"/>
  <c r="X40" i="236" s="1"/>
  <c r="BE40" i="236" s="1"/>
  <c r="AE56" i="236" a="1"/>
  <c r="AE56" i="236" s="1"/>
  <c r="BL56" i="236" s="1"/>
  <c r="AR61" i="236" a="1"/>
  <c r="AR61" i="236" s="1"/>
  <c r="AL10" i="236" a="1"/>
  <c r="AL10" i="236" s="1"/>
  <c r="AF19" i="236" a="1"/>
  <c r="AF19" i="236" s="1"/>
  <c r="BM19" i="236" s="1"/>
  <c r="AA10" i="236" a="1"/>
  <c r="AA10" i="236" s="1"/>
  <c r="AQ16" i="236" a="1"/>
  <c r="AQ16" i="236" s="1"/>
  <c r="R16" i="236" a="1"/>
  <c r="R16" i="236" s="1"/>
  <c r="W14" i="236" a="1"/>
  <c r="W14" i="236" s="1"/>
  <c r="BD14" i="236" s="1"/>
  <c r="AT19" i="236" a="1"/>
  <c r="AT19" i="236" s="1"/>
  <c r="CA19" i="236" s="1"/>
  <c r="AI10" i="236" a="1"/>
  <c r="AI10" i="236" s="1"/>
  <c r="S16" i="236" a="1"/>
  <c r="S16" i="236" s="1"/>
  <c r="AG20" i="236" a="1"/>
  <c r="AG20" i="236" s="1"/>
  <c r="BN20" i="236" s="1"/>
  <c r="AM28" i="236" a="1"/>
  <c r="AM28" i="236" s="1"/>
  <c r="Y40" i="236" a="1"/>
  <c r="Y40" i="236" s="1"/>
  <c r="AN56" i="236" a="1"/>
  <c r="AN56" i="236" s="1"/>
  <c r="AE61" i="236" a="1"/>
  <c r="AE61" i="236" s="1"/>
  <c r="BL61" i="236" s="1"/>
  <c r="AB27" i="236" a="1"/>
  <c r="AB27" i="236" s="1"/>
  <c r="AB40" i="236" a="1"/>
  <c r="AB40" i="236" s="1"/>
  <c r="AK54" i="236" a="1"/>
  <c r="AK54" i="236" s="1"/>
  <c r="BR54" i="236" s="1"/>
  <c r="AL61" i="236" a="1"/>
  <c r="AL61" i="236" s="1"/>
  <c r="BS61" i="236" s="1"/>
  <c r="V27" i="236" a="1"/>
  <c r="V27" i="236" s="1"/>
  <c r="AK29" i="236" a="1"/>
  <c r="AK29" i="236" s="1"/>
  <c r="AD44" i="236" a="1"/>
  <c r="AD44" i="236" s="1"/>
  <c r="AD54" i="236" a="1"/>
  <c r="AD54" i="236" s="1"/>
  <c r="BK54" i="236" s="1"/>
  <c r="AP60" i="236" a="1"/>
  <c r="AP60" i="236" s="1"/>
  <c r="BW60" i="236" s="1"/>
  <c r="AP20" i="236" a="1"/>
  <c r="AP20" i="236" s="1"/>
  <c r="Z28" i="236" a="1"/>
  <c r="Z28" i="236" s="1"/>
  <c r="AC44" i="236" a="1"/>
  <c r="AC44" i="236" s="1"/>
  <c r="BJ44" i="236" s="1"/>
  <c r="AT51" i="236" a="1"/>
  <c r="AT51" i="236" s="1"/>
  <c r="CA51" i="236" s="1"/>
  <c r="AA56" i="236" a="1"/>
  <c r="AA56" i="236" s="1"/>
  <c r="AK61" i="236" a="1"/>
  <c r="AK61" i="236" s="1"/>
  <c r="BR61" i="236" s="1"/>
  <c r="T14" i="236" a="1"/>
  <c r="T14" i="236" s="1"/>
  <c r="BA14" i="236" s="1"/>
  <c r="AU16" i="236" a="1"/>
  <c r="AU16" i="236" s="1"/>
  <c r="CB16" i="236" s="1"/>
  <c r="R60" i="236" a="1"/>
  <c r="R60" i="236" s="1"/>
  <c r="AL14" i="236" a="1"/>
  <c r="AL14" i="236" s="1"/>
  <c r="AJ16" i="236" a="1"/>
  <c r="AJ16" i="236" s="1"/>
  <c r="BQ16" i="236" s="1"/>
  <c r="Y10" i="236" a="1"/>
  <c r="Y10" i="236" s="1"/>
  <c r="BF10" i="236" s="1"/>
  <c r="X19" i="236" a="1"/>
  <c r="X19" i="236" s="1"/>
  <c r="AS14" i="236" a="1"/>
  <c r="AS14" i="236" s="1"/>
  <c r="AR16" i="236" a="1"/>
  <c r="AR16" i="236" s="1"/>
  <c r="BY16" i="236" s="1"/>
  <c r="AA27" i="236" a="1"/>
  <c r="AA27" i="236" s="1"/>
  <c r="BH27" i="236" s="1"/>
  <c r="AQ29" i="236" a="1"/>
  <c r="AQ29" i="236" s="1"/>
  <c r="AU44" i="236" a="1"/>
  <c r="AU44" i="236" s="1"/>
  <c r="AO51" i="236" a="1"/>
  <c r="AO51" i="236" s="1"/>
  <c r="BV51" i="236" s="1"/>
  <c r="AG56" i="236" a="1"/>
  <c r="AG56" i="236" s="1"/>
  <c r="AB20" i="236" a="1"/>
  <c r="AB20" i="236" s="1"/>
  <c r="AI28" i="236" a="1"/>
  <c r="AI28" i="236" s="1"/>
  <c r="T40" i="236" a="1"/>
  <c r="T40" i="236" s="1"/>
  <c r="BA40" i="236" s="1"/>
  <c r="AE51" i="236" a="1"/>
  <c r="AE51" i="236" s="1"/>
  <c r="BL51" i="236" s="1"/>
  <c r="AH56" i="236" a="1"/>
  <c r="AH56" i="236" s="1"/>
  <c r="AS61" i="236" a="1"/>
  <c r="AS61" i="236" s="1"/>
  <c r="BZ61" i="236" s="1"/>
  <c r="AC28" i="236" a="1"/>
  <c r="AC28" i="236" s="1"/>
  <c r="BJ28" i="236" s="1"/>
  <c r="AA40" i="236" a="1"/>
  <c r="AA40" i="236" s="1"/>
  <c r="AP56" i="236" a="1"/>
  <c r="AP56" i="236" s="1"/>
  <c r="AQ61" i="236" a="1"/>
  <c r="AQ61" i="236" s="1"/>
  <c r="BX61" i="236" s="1"/>
  <c r="AP27" i="236" a="1"/>
  <c r="AP27" i="236" s="1"/>
  <c r="BW27" i="236" s="1"/>
  <c r="AG29" i="236" a="1"/>
  <c r="AG29" i="236" s="1"/>
  <c r="Z44" i="236" a="1"/>
  <c r="Z44" i="236" s="1"/>
  <c r="AI54" i="236" a="1"/>
  <c r="AI54" i="236" s="1"/>
  <c r="BP54" i="236" s="1"/>
  <c r="AN60" i="236" a="1"/>
  <c r="AN60" i="236" s="1"/>
  <c r="BU60" i="236" s="1"/>
  <c r="T10" i="236" a="1"/>
  <c r="T10" i="236" s="1"/>
  <c r="BA10" i="236" s="1"/>
  <c r="AK19" i="236" a="1"/>
  <c r="AK19" i="236" s="1"/>
  <c r="AF10" i="236" a="1"/>
  <c r="AF10" i="236" s="1"/>
  <c r="X20" i="236" a="1"/>
  <c r="X20" i="236" s="1"/>
  <c r="BE20" i="236" s="1"/>
  <c r="AG14" i="236" a="1"/>
  <c r="AG14" i="236" s="1"/>
  <c r="BN14" i="236" s="1"/>
  <c r="AF16" i="236" a="1"/>
  <c r="AF16" i="236" s="1"/>
  <c r="AP10" i="236" a="1"/>
  <c r="AP10" i="236" s="1"/>
  <c r="T19" i="236" a="1"/>
  <c r="T19" i="236" s="1"/>
  <c r="BA19" i="236" s="1"/>
  <c r="AS28" i="236" a="1"/>
  <c r="AS28" i="236" s="1"/>
  <c r="BZ28" i="236" s="1"/>
  <c r="AS40" i="236" a="1"/>
  <c r="AS40" i="236" s="1"/>
  <c r="Y54" i="236" a="1"/>
  <c r="Y54" i="236" s="1"/>
  <c r="AH61" i="236" a="1"/>
  <c r="AH61" i="236" s="1"/>
  <c r="BO61" i="236" s="1"/>
  <c r="AG27" i="236" a="1"/>
  <c r="AG27" i="236" s="1"/>
  <c r="AJ29" i="236" a="1"/>
  <c r="AJ29" i="236" s="1"/>
  <c r="AU54" i="236" a="1"/>
  <c r="AU54" i="236" s="1"/>
  <c r="CB54" i="236" s="1"/>
  <c r="AM60" i="236" a="1"/>
  <c r="AM60" i="236" s="1"/>
  <c r="BT60" i="236" s="1"/>
  <c r="AM27" i="236" a="1"/>
  <c r="AM27" i="236" s="1"/>
  <c r="AM29" i="236" a="1"/>
  <c r="AM29" i="236" s="1"/>
  <c r="AM44" i="236" a="1"/>
  <c r="AM44" i="236" s="1"/>
  <c r="AH54" i="236" a="1"/>
  <c r="AH54" i="236" s="1"/>
  <c r="BO54" i="236" s="1"/>
  <c r="T60" i="236" a="1"/>
  <c r="T60" i="236" s="1"/>
  <c r="AQ20" i="236" a="1"/>
  <c r="AQ20" i="236" s="1"/>
  <c r="AA28" i="236" a="1"/>
  <c r="AA28" i="236" s="1"/>
  <c r="Z40" i="236" a="1"/>
  <c r="Z40" i="236" s="1"/>
  <c r="BG40" i="236" s="1"/>
  <c r="AS51" i="236" a="1"/>
  <c r="AS51" i="236" s="1"/>
  <c r="BZ51" i="236" s="1"/>
  <c r="AR56" i="236" a="1"/>
  <c r="AR56" i="236" s="1"/>
  <c r="AT61" i="236" a="1"/>
  <c r="AT61" i="236" s="1"/>
  <c r="CA61" i="236" s="1"/>
  <c r="R51" i="236" a="1"/>
  <c r="R51" i="236" s="1"/>
  <c r="AY51" i="236" s="1"/>
  <c r="AN10" i="236" a="1"/>
  <c r="AN10" i="236" s="1"/>
  <c r="BU10" i="236" s="1"/>
  <c r="AR10" i="236" a="1"/>
  <c r="AR10" i="236" s="1"/>
  <c r="AG19" i="236" a="1"/>
  <c r="AG19" i="236" s="1"/>
  <c r="AM14" i="236" a="1"/>
  <c r="AM14" i="236" s="1"/>
  <c r="BT14" i="236" s="1"/>
  <c r="AE19" i="236" a="1"/>
  <c r="AE19" i="236" s="1"/>
  <c r="U10" i="236" a="1"/>
  <c r="U10" i="236" s="1"/>
  <c r="AL20" i="236" a="1"/>
  <c r="AL20" i="236" s="1"/>
  <c r="AU40" i="236" a="1"/>
  <c r="AU40" i="236" s="1"/>
  <c r="CB40" i="236" s="1"/>
  <c r="AF51" i="236" a="1"/>
  <c r="AF51" i="236" s="1"/>
  <c r="BM51" i="236" s="1"/>
  <c r="V61" i="236" a="1"/>
  <c r="V61" i="236" s="1"/>
  <c r="BC61" i="236" s="1"/>
  <c r="AR27" i="236" a="1"/>
  <c r="AR27" i="236" s="1"/>
  <c r="T29" i="236" a="1"/>
  <c r="T29" i="236" s="1"/>
  <c r="BA29" i="236" s="1"/>
  <c r="Z54" i="236" a="1"/>
  <c r="Z54" i="236" s="1"/>
  <c r="BG54" i="236" s="1"/>
  <c r="W60" i="236" a="1"/>
  <c r="W60" i="236" s="1"/>
  <c r="AT27" i="236" a="1"/>
  <c r="AT27" i="236" s="1"/>
  <c r="AD29" i="236" a="1"/>
  <c r="AD29" i="236" s="1"/>
  <c r="BK29" i="236" s="1"/>
  <c r="AT44" i="236" a="1"/>
  <c r="AT44" i="236" s="1"/>
  <c r="X54" i="236" a="1"/>
  <c r="X54" i="236" s="1"/>
  <c r="AL60" i="236" a="1"/>
  <c r="AL60" i="236" s="1"/>
  <c r="AA20" i="236" a="1"/>
  <c r="AA20" i="236" s="1"/>
  <c r="BH20" i="236" s="1"/>
  <c r="AP28" i="236" a="1"/>
  <c r="AP28" i="236" s="1"/>
  <c r="BW28" i="236" s="1"/>
  <c r="U44" i="236" a="1"/>
  <c r="U44" i="236" s="1"/>
  <c r="AQ51" i="236" a="1"/>
  <c r="AQ51" i="236" s="1"/>
  <c r="BX51" i="236" s="1"/>
  <c r="W56" i="236" a="1"/>
  <c r="W56" i="236" s="1"/>
  <c r="BD56" i="236" s="1"/>
  <c r="X61" i="236" a="1"/>
  <c r="X61" i="236" s="1"/>
  <c r="BE61" i="236" s="1"/>
  <c r="AK14" i="236" a="1"/>
  <c r="AK14" i="236" s="1"/>
  <c r="V16" i="236" a="1"/>
  <c r="V16" i="236" s="1"/>
  <c r="R56" i="236" a="1"/>
  <c r="R56" i="236" s="1"/>
  <c r="AY56" i="236" s="1"/>
  <c r="AH14" i="236" a="1"/>
  <c r="AH14" i="236" s="1"/>
  <c r="BO14" i="236" s="1"/>
  <c r="Y16" i="236" a="1"/>
  <c r="Y16" i="236" s="1"/>
  <c r="AC10" i="236" a="1"/>
  <c r="AC10" i="236" s="1"/>
  <c r="AN19" i="236" a="1"/>
  <c r="AN19" i="236" s="1"/>
  <c r="BU19" i="236" s="1"/>
  <c r="Y14" i="236" a="1"/>
  <c r="Y14" i="236" s="1"/>
  <c r="BF14" i="236" s="1"/>
  <c r="AG16" i="236" a="1"/>
  <c r="AG16" i="236" s="1"/>
  <c r="V20" i="236" a="1"/>
  <c r="V20" i="236" s="1"/>
  <c r="Z29" i="236" a="1"/>
  <c r="Z29" i="236" s="1"/>
  <c r="BG29" i="236" s="1"/>
  <c r="AI44" i="236" a="1"/>
  <c r="AI44" i="236" s="1"/>
  <c r="AK51" i="236" a="1"/>
  <c r="AK51" i="236" s="1"/>
  <c r="BR51" i="236" s="1"/>
  <c r="V56" i="236" a="1"/>
  <c r="V56" i="236" s="1"/>
  <c r="U20" i="236" a="1"/>
  <c r="U20" i="236" s="1"/>
  <c r="BB20" i="236" s="1"/>
  <c r="X28" i="236" a="1"/>
  <c r="X28" i="236" s="1"/>
  <c r="AO40" i="236" a="1"/>
  <c r="AO40" i="236" s="1"/>
  <c r="AH51" i="236" a="1"/>
  <c r="AH51" i="236" s="1"/>
  <c r="BO51" i="236" s="1"/>
  <c r="AJ56" i="236" a="1"/>
  <c r="AJ56" i="236" s="1"/>
  <c r="BQ56" i="236" s="1"/>
  <c r="AI61" i="236" a="1"/>
  <c r="AI61" i="236" s="1"/>
  <c r="BP61" i="236" s="1"/>
  <c r="X27" i="236" a="1"/>
  <c r="X27" i="236" s="1"/>
  <c r="AR40" i="236" a="1"/>
  <c r="AR40" i="236" s="1"/>
  <c r="AG54" i="236" a="1"/>
  <c r="AG54" i="236" s="1"/>
  <c r="BN54" i="236" s="1"/>
  <c r="AA61" i="236" a="1"/>
  <c r="AA61" i="236" s="1"/>
  <c r="BH61" i="236" s="1"/>
  <c r="AD27" i="236" a="1"/>
  <c r="AD27" i="236" s="1"/>
  <c r="V29" i="236" a="1"/>
  <c r="V29" i="236" s="1"/>
  <c r="AP44" i="236" a="1"/>
  <c r="AP44" i="236" s="1"/>
  <c r="BW44" i="236" s="1"/>
  <c r="AR54" i="236" a="1"/>
  <c r="AR54" i="236" s="1"/>
  <c r="BY54" i="236" s="1"/>
  <c r="X60" i="236" a="1"/>
  <c r="X60" i="236" s="1"/>
  <c r="BE60" i="236" s="1"/>
  <c r="V14" i="236" a="1"/>
  <c r="V14" i="236" s="1"/>
  <c r="X16" i="236" a="1"/>
  <c r="X16" i="236" s="1"/>
  <c r="BE16" i="236" s="1"/>
  <c r="V19" i="236" a="1"/>
  <c r="V19" i="236" s="1"/>
  <c r="W10" i="236" a="1"/>
  <c r="W10" i="236" s="1"/>
  <c r="AA16" i="236" a="1"/>
  <c r="AA16" i="236" s="1"/>
  <c r="R44" i="236" a="1"/>
  <c r="R44" i="236" s="1"/>
  <c r="AY44" i="236" s="1"/>
  <c r="S14" i="236" a="1"/>
  <c r="S14" i="236" s="1"/>
  <c r="AZ14" i="236" s="1"/>
  <c r="AL19" i="236" a="1"/>
  <c r="AL19" i="236" s="1"/>
  <c r="AK27" i="236" a="1"/>
  <c r="AK27" i="236" s="1"/>
  <c r="AN29" i="236" a="1"/>
  <c r="AN29" i="236" s="1"/>
  <c r="BU29" i="236" s="1"/>
  <c r="AL44" i="236" a="1"/>
  <c r="AL44" i="236" s="1"/>
  <c r="BS44" i="236" s="1"/>
  <c r="W54" i="236" a="1"/>
  <c r="W54" i="236" s="1"/>
  <c r="AB60" i="236" a="1"/>
  <c r="AB60" i="236" s="1"/>
  <c r="AH20" i="236" a="1"/>
  <c r="AH20" i="236" s="1"/>
  <c r="BO20" i="236" s="1"/>
  <c r="AU29" i="236" a="1"/>
  <c r="AU29" i="236" s="1"/>
  <c r="AN44" i="236" a="1"/>
  <c r="AN44" i="236" s="1"/>
  <c r="AB51" i="236" a="1"/>
  <c r="AB51" i="236" s="1"/>
  <c r="BI51" i="236" s="1"/>
  <c r="AS60" i="236" a="1"/>
  <c r="AS60" i="236" s="1"/>
  <c r="BZ60" i="236" s="1"/>
  <c r="T20" i="236" a="1"/>
  <c r="T20" i="236" s="1"/>
  <c r="BA20" i="236" s="1"/>
  <c r="AE28" i="236" a="1"/>
  <c r="AE28" i="236" s="1"/>
  <c r="AD40" i="236" a="1"/>
  <c r="AD40" i="236" s="1"/>
  <c r="W51" i="236" a="1"/>
  <c r="W51" i="236" s="1"/>
  <c r="BD51" i="236" s="1"/>
  <c r="AF56" i="236" a="1"/>
  <c r="AF56" i="236" s="1"/>
  <c r="BM56" i="236" s="1"/>
  <c r="AO61" i="236" a="1"/>
  <c r="AO61" i="236" s="1"/>
  <c r="T27" i="236" a="1"/>
  <c r="T27" i="236" s="1"/>
  <c r="AC40" i="236" a="1"/>
  <c r="AC40" i="236" s="1"/>
  <c r="BJ40" i="236" s="1"/>
  <c r="AS54" i="236" a="1"/>
  <c r="AS54" i="236" s="1"/>
  <c r="BZ54" i="236" s="1"/>
  <c r="AE60" i="236" a="1"/>
  <c r="AE60" i="236" s="1"/>
  <c r="AU10" i="236" a="1"/>
  <c r="AU10" i="236" s="1"/>
  <c r="AK20" i="236" a="1"/>
  <c r="AK20" i="236" s="1"/>
  <c r="BR20" i="236" s="1"/>
  <c r="AT14" i="236" a="1"/>
  <c r="AT14" i="236" s="1"/>
  <c r="AM16" i="236" a="1"/>
  <c r="AM16" i="236" s="1"/>
  <c r="R29" i="236" a="1"/>
  <c r="R29" i="236" s="1"/>
  <c r="AS19" i="236" a="1"/>
  <c r="AS19" i="236" s="1"/>
  <c r="BZ19" i="236" s="1"/>
  <c r="AD14" i="236" a="1"/>
  <c r="AD14" i="236" s="1"/>
  <c r="BK14" i="236" s="1"/>
  <c r="Z16" i="236" a="1"/>
  <c r="Z16" i="236" s="1"/>
  <c r="W20" i="236" a="1"/>
  <c r="W20" i="236" s="1"/>
  <c r="BD20" i="236" s="1"/>
  <c r="AL28" i="236" a="1"/>
  <c r="AL28" i="236" s="1"/>
  <c r="BS28" i="236" s="1"/>
  <c r="V40" i="236" a="1"/>
  <c r="V40" i="236" s="1"/>
  <c r="AA51" i="236" a="1"/>
  <c r="AA51" i="236" s="1"/>
  <c r="BH51" i="236" s="1"/>
  <c r="AM56" i="236" a="1"/>
  <c r="AM56" i="236" s="1"/>
  <c r="S61" i="236" a="1"/>
  <c r="S61" i="236" s="1"/>
  <c r="AZ61" i="236" s="1"/>
  <c r="AB28" i="236" a="1"/>
  <c r="AB28" i="236" s="1"/>
  <c r="BI28" i="236" s="1"/>
  <c r="AG40" i="236" a="1"/>
  <c r="AG40" i="236" s="1"/>
  <c r="AT56" i="236" a="1"/>
  <c r="AT56" i="236" s="1"/>
  <c r="AU61" i="236" a="1"/>
  <c r="AU61" i="236" s="1"/>
  <c r="CB61" i="236" s="1"/>
  <c r="AC27" i="236" a="1"/>
  <c r="AC27" i="236" s="1"/>
  <c r="BJ27" i="236" s="1"/>
  <c r="AF29" i="236" a="1"/>
  <c r="AF29" i="236" s="1"/>
  <c r="AP54" i="236" a="1"/>
  <c r="AP54" i="236" s="1"/>
  <c r="BW54" i="236" s="1"/>
  <c r="AL27" i="236" a="1"/>
  <c r="AL27" i="236" s="1"/>
  <c r="BS27" i="236" s="1"/>
  <c r="S29" i="236" a="1"/>
  <c r="S29" i="236" s="1"/>
  <c r="AZ29" i="236" s="1"/>
  <c r="AE44" i="236" a="1"/>
  <c r="AE44" i="236" s="1"/>
  <c r="U56" i="236" a="1"/>
  <c r="U56" i="236" s="1"/>
  <c r="AJ20" i="236" a="1"/>
  <c r="AJ20" i="236" s="1"/>
  <c r="BQ20" i="236" s="1"/>
  <c r="R27" i="236" a="1"/>
  <c r="R27" i="236" s="1"/>
  <c r="AQ40" i="236" a="1"/>
  <c r="AQ40" i="236" s="1"/>
  <c r="S56" i="236" a="1"/>
  <c r="S56" i="236" s="1"/>
  <c r="AQ10" i="236" a="1"/>
  <c r="AQ10" i="236" s="1"/>
  <c r="BX10" i="236" s="1"/>
  <c r="AT16" i="236" a="1"/>
  <c r="AT16" i="236" s="1"/>
  <c r="CA16" i="236" s="1"/>
  <c r="AO10" i="236" a="1"/>
  <c r="AO10" i="236" s="1"/>
  <c r="AC19" i="236" a="1"/>
  <c r="AC19" i="236" s="1"/>
  <c r="AO14" i="236" a="1"/>
  <c r="AO14" i="236" s="1"/>
  <c r="BV14" i="236" s="1"/>
  <c r="W16" i="236" a="1"/>
  <c r="W16" i="236" s="1"/>
  <c r="BD16" i="236" s="1"/>
  <c r="AQ27" i="236" a="1"/>
  <c r="AQ27" i="236" s="1"/>
  <c r="X44" i="236" a="1"/>
  <c r="X44" i="236" s="1"/>
  <c r="V54" i="236" a="1"/>
  <c r="V54" i="236" s="1"/>
  <c r="BC54" i="236" s="1"/>
  <c r="AG61" i="236" a="1"/>
  <c r="AG61" i="236" s="1"/>
  <c r="BN61" i="236" s="1"/>
  <c r="AJ28" i="236" a="1"/>
  <c r="AJ28" i="236" s="1"/>
  <c r="AM40" i="236" a="1"/>
  <c r="AM40" i="236" s="1"/>
  <c r="AU51" i="236" a="1"/>
  <c r="AU51" i="236" s="1"/>
  <c r="CB51" i="236" s="1"/>
  <c r="X56" i="236" a="1"/>
  <c r="X56" i="236" s="1"/>
  <c r="BE56" i="236" s="1"/>
  <c r="Z61" i="236" a="1"/>
  <c r="Z61" i="236" s="1"/>
  <c r="BG61" i="236" s="1"/>
  <c r="AN27" i="236" a="1"/>
  <c r="AN27" i="236" s="1"/>
  <c r="AK40" i="236" a="1"/>
  <c r="AK40" i="236" s="1"/>
  <c r="BR40" i="236" s="1"/>
  <c r="T54" i="236" a="1"/>
  <c r="T54" i="236" s="1"/>
  <c r="BA54" i="236" s="1"/>
  <c r="S60" i="236" a="1"/>
  <c r="S60" i="236" s="1"/>
  <c r="AU27" i="236" a="1"/>
  <c r="AU27" i="236" s="1"/>
  <c r="AA29" i="236" a="1"/>
  <c r="AA29" i="236" s="1"/>
  <c r="BH29" i="236" s="1"/>
  <c r="AG44" i="236" a="1"/>
  <c r="AG44" i="236" s="1"/>
  <c r="BN44" i="236" s="1"/>
  <c r="T51" i="236" a="1"/>
  <c r="T51" i="236" s="1"/>
  <c r="BA51" i="236" s="1"/>
  <c r="AT60" i="236" a="1"/>
  <c r="AT60" i="236" s="1"/>
  <c r="AR14" i="236" a="1"/>
  <c r="AR14" i="236" s="1"/>
  <c r="BY14" i="236" s="1"/>
  <c r="AN16" i="236" a="1"/>
  <c r="AN16" i="236" s="1"/>
  <c r="BU16" i="236" s="1"/>
  <c r="R40" i="236" a="1"/>
  <c r="R40" i="236" s="1"/>
  <c r="AH19" i="236" a="1"/>
  <c r="AH19" i="236" s="1"/>
  <c r="AM10" i="236" a="1"/>
  <c r="AM10" i="236" s="1"/>
  <c r="BT10" i="236" s="1"/>
  <c r="AD16" i="236" a="1"/>
  <c r="AD16" i="236" s="1"/>
  <c r="BK16" i="236" s="1"/>
  <c r="R19" i="236" a="1"/>
  <c r="R19" i="236" s="1"/>
  <c r="AI14" i="236" a="1"/>
  <c r="AI14" i="236" s="1"/>
  <c r="BP14" i="236" s="1"/>
  <c r="AM19" i="236" a="1"/>
  <c r="AM19" i="236" s="1"/>
  <c r="BT19" i="236" s="1"/>
  <c r="AH27" i="236" a="1"/>
  <c r="AH27" i="236" s="1"/>
  <c r="BO27" i="236" s="1"/>
  <c r="AC29" i="236" a="1"/>
  <c r="AC29" i="236" s="1"/>
  <c r="AB44" i="236" a="1"/>
  <c r="AB44" i="236" s="1"/>
  <c r="AB54" i="236" a="1"/>
  <c r="AB54" i="236" s="1"/>
  <c r="BI54" i="236" s="1"/>
  <c r="AC60" i="236" a="1"/>
  <c r="AC60" i="236" s="1"/>
  <c r="BJ60" i="236" s="1"/>
  <c r="S20" i="236" a="1"/>
  <c r="S20" i="236" s="1"/>
  <c r="W29" i="236" a="1"/>
  <c r="W29" i="236" s="1"/>
  <c r="T44" i="236" a="1"/>
  <c r="T44" i="236" s="1"/>
  <c r="BA44" i="236" s="1"/>
  <c r="AR51" i="236" a="1"/>
  <c r="AR51" i="236" s="1"/>
  <c r="BY51" i="236" s="1"/>
  <c r="AC56" i="236" a="1"/>
  <c r="AC56" i="236" s="1"/>
  <c r="AF20" i="236" a="1"/>
  <c r="AF20" i="236" s="1"/>
  <c r="AU28" i="236" a="1"/>
  <c r="AU28" i="236" s="1"/>
  <c r="CB28" i="236" s="1"/>
  <c r="AT40" i="236" a="1"/>
  <c r="AT40" i="236" s="1"/>
  <c r="CA40" i="236" s="1"/>
  <c r="U51" i="236" a="1"/>
  <c r="U51" i="236" s="1"/>
  <c r="BB51" i="236" s="1"/>
  <c r="AB56" i="236" a="1"/>
  <c r="AB56" i="236" s="1"/>
  <c r="AD61" i="236" a="1"/>
  <c r="AD61" i="236" s="1"/>
  <c r="BK61" i="236" s="1"/>
  <c r="AJ27" i="236" a="1"/>
  <c r="AJ27" i="236" s="1"/>
  <c r="BQ27" i="236" s="1"/>
  <c r="W40" i="236" a="1"/>
  <c r="W40" i="236" s="1"/>
  <c r="AJ54" i="236" a="1"/>
  <c r="AJ54" i="236" s="1"/>
  <c r="AU60" i="236" a="1"/>
  <c r="AU60" i="236" s="1"/>
  <c r="CB60" i="236" s="1"/>
  <c r="AJ10" i="236" a="1"/>
  <c r="AJ10" i="236" s="1"/>
  <c r="BQ10" i="236" s="1"/>
  <c r="AA19" i="236" a="1"/>
  <c r="AA19" i="236" s="1"/>
  <c r="AD10" i="236" a="1"/>
  <c r="AD10" i="236" s="1"/>
  <c r="AB19" i="236" a="1"/>
  <c r="AB19" i="236" s="1"/>
  <c r="BI19" i="236" s="1"/>
  <c r="AC14" i="236" a="1"/>
  <c r="AC14" i="236" s="1"/>
  <c r="BJ14" i="236" s="1"/>
  <c r="U16" i="236" a="1"/>
  <c r="U16" i="236" s="1"/>
  <c r="AS10" i="236" a="1"/>
  <c r="AS10" i="236" s="1"/>
  <c r="AJ19" i="236" a="1"/>
  <c r="AJ19" i="236" s="1"/>
  <c r="BQ19" i="236" s="1"/>
  <c r="AO28" i="236" a="1"/>
  <c r="AO28" i="236" s="1"/>
  <c r="BV28" i="236" s="1"/>
  <c r="AN40" i="236" a="1"/>
  <c r="AN40" i="236" s="1"/>
  <c r="AO54" i="236" a="1"/>
  <c r="AO54" i="236" s="1"/>
  <c r="BV54" i="236" s="1"/>
  <c r="AB61" i="236" a="1"/>
  <c r="AB61" i="236" s="1"/>
  <c r="BI61" i="236" s="1"/>
  <c r="Z27" i="236" a="1"/>
  <c r="Z27" i="236" s="1"/>
  <c r="BG27" i="236" s="1"/>
  <c r="Y29" i="236" a="1"/>
  <c r="Y29" i="236" s="1"/>
  <c r="AH44" i="236" a="1"/>
  <c r="AH44" i="236" s="1"/>
  <c r="AL54" i="236" a="1"/>
  <c r="AL54" i="236" s="1"/>
  <c r="BS54" i="236" s="1"/>
  <c r="Z60" i="236" a="1"/>
  <c r="Z60" i="236" s="1"/>
  <c r="BG60" i="236" s="1"/>
  <c r="AD20" i="236" a="1"/>
  <c r="AD20" i="236" s="1"/>
  <c r="AH29" i="236" a="1"/>
  <c r="AH29" i="236" s="1"/>
  <c r="AK44" i="236" a="1"/>
  <c r="AK44" i="236" s="1"/>
  <c r="BR44" i="236" s="1"/>
  <c r="X51" i="236" a="1"/>
  <c r="X51" i="236" s="1"/>
  <c r="AH60" i="236" a="1"/>
  <c r="AH60" i="236" s="1"/>
  <c r="AO20" i="236" a="1"/>
  <c r="AO20" i="236" s="1"/>
  <c r="AQ28" i="236" a="1"/>
  <c r="AQ28" i="236" s="1"/>
  <c r="BX28" i="236" s="1"/>
  <c r="AP40" i="236" a="1"/>
  <c r="AP40" i="236" s="1"/>
  <c r="BW40" i="236" s="1"/>
  <c r="AP51" i="236" a="1"/>
  <c r="AP51" i="236" s="1"/>
  <c r="BW51" i="236" s="1"/>
  <c r="T56" i="236" a="1"/>
  <c r="T56" i="236" s="1"/>
  <c r="AJ61" i="236" a="1"/>
  <c r="AJ61" i="236" s="1"/>
  <c r="BQ61" i="236" s="1"/>
  <c r="AP14" i="236" a="1"/>
  <c r="AP14" i="236" s="1"/>
  <c r="BW14" i="236" s="1"/>
  <c r="AS16" i="236" a="1"/>
  <c r="AS16" i="236" s="1"/>
  <c r="R14" i="236" a="1"/>
  <c r="R14" i="236" s="1"/>
  <c r="AQ14" i="236" a="1"/>
  <c r="AQ14" i="236" s="1"/>
  <c r="BX14" i="236" s="1"/>
  <c r="T16" i="236" a="1"/>
  <c r="T16" i="236" s="1"/>
  <c r="BA16" i="236" s="1"/>
  <c r="X10" i="236" a="1"/>
  <c r="X10" i="236" s="1"/>
  <c r="BE10" i="236" s="1"/>
  <c r="R28" i="236" a="1"/>
  <c r="R28" i="236" s="1"/>
  <c r="X14" i="236" a="1"/>
  <c r="X14" i="236" s="1"/>
  <c r="BE14" i="236" s="1"/>
  <c r="AB16" i="236" a="1"/>
  <c r="AB16" i="236" s="1"/>
  <c r="AI27" i="236" a="1"/>
  <c r="AI27" i="236" s="1"/>
  <c r="AT29" i="236" a="1"/>
  <c r="AT29" i="236" s="1"/>
  <c r="S44" i="236" a="1"/>
  <c r="S44" i="236" s="1"/>
  <c r="AZ44" i="236" s="1"/>
  <c r="S51" i="236" a="1"/>
  <c r="S51" i="236" s="1"/>
  <c r="AZ51" i="236" s="1"/>
  <c r="AJ60" i="236" a="1"/>
  <c r="AJ60" i="236" s="1"/>
  <c r="BQ60" i="236" s="1"/>
  <c r="Y20" i="236" a="1"/>
  <c r="Y20" i="236" s="1"/>
  <c r="S28" i="236" a="1"/>
  <c r="S28" i="236" s="1"/>
  <c r="AZ28" i="236" s="1"/>
  <c r="AH40" i="236" a="1"/>
  <c r="AH40" i="236" s="1"/>
  <c r="BO40" i="236" s="1"/>
  <c r="AC51" i="236" a="1"/>
  <c r="AC51" i="236" s="1"/>
  <c r="BJ51" i="236" s="1"/>
  <c r="AL56" i="236" a="1"/>
  <c r="AL56" i="236" s="1"/>
  <c r="AC61" i="236" a="1"/>
  <c r="AC61" i="236" s="1"/>
  <c r="BJ61" i="236" s="1"/>
  <c r="AK28" i="236" a="1"/>
  <c r="AK28" i="236" s="1"/>
  <c r="BR28" i="236" s="1"/>
  <c r="AF40" i="236" a="1"/>
  <c r="AF40" i="236" s="1"/>
  <c r="BM40" i="236" s="1"/>
  <c r="AI56" i="236" a="1"/>
  <c r="AI56" i="236" s="1"/>
  <c r="AP61" i="236" a="1"/>
  <c r="AP61" i="236" s="1"/>
  <c r="BW61" i="236" s="1"/>
  <c r="AO27" i="236" a="1"/>
  <c r="AO27" i="236" s="1"/>
  <c r="BV27" i="236" s="1"/>
  <c r="AR29" i="236" a="1"/>
  <c r="AR29" i="236" s="1"/>
  <c r="S54" i="236" a="1"/>
  <c r="S54" i="236" s="1"/>
  <c r="AZ54" i="236" s="1"/>
  <c r="AG60" i="236" a="1"/>
  <c r="AG60" i="236" s="1"/>
  <c r="BN60" i="236" s="1"/>
  <c r="AF28" i="236" a="1"/>
  <c r="AF28" i="236" s="1"/>
  <c r="AI16" i="236" a="1"/>
  <c r="AI16" i="236" s="1"/>
  <c r="BP16" i="236" s="1"/>
  <c r="R61" i="236" a="1"/>
  <c r="R61" i="236" s="1"/>
  <c r="AY61" i="236" s="1"/>
  <c r="AO60" i="236" a="1"/>
  <c r="AO60" i="236" s="1"/>
  <c r="BV60" i="236" s="1"/>
  <c r="AC16" i="236" a="1"/>
  <c r="AC16" i="236" s="1"/>
  <c r="BJ16" i="236" s="1"/>
  <c r="AF14" i="236" a="1"/>
  <c r="AF14" i="236" s="1"/>
  <c r="BM14" i="236" s="1"/>
  <c r="AO16" i="236" a="1"/>
  <c r="AO16" i="236" s="1"/>
  <c r="Z10" i="236" a="1"/>
  <c r="Z10" i="236" s="1"/>
  <c r="BG10" i="236" s="1"/>
  <c r="R10" i="236" a="1"/>
  <c r="R10" i="236" s="1"/>
  <c r="AY10" i="236" s="1"/>
  <c r="AB14" i="236" a="1"/>
  <c r="AB14" i="236" s="1"/>
  <c r="Z19" i="236" a="1"/>
  <c r="Z19" i="236" s="1"/>
  <c r="AF27" i="236" a="1"/>
  <c r="AF27" i="236" s="1"/>
  <c r="BM27" i="236" s="1"/>
  <c r="AQ56" i="236" a="1"/>
  <c r="AQ56" i="236" s="1"/>
  <c r="BX56" i="236" s="1"/>
  <c r="AI20" i="236" a="1"/>
  <c r="AI20" i="236" s="1"/>
  <c r="BP20" i="236" s="1"/>
  <c r="AH28" i="236" a="1"/>
  <c r="AH28" i="236" s="1"/>
  <c r="AA44" i="236" a="1"/>
  <c r="AA44" i="236" s="1"/>
  <c r="BH44" i="236" s="1"/>
  <c r="AI51" i="236" a="1"/>
  <c r="AI51" i="236" s="1"/>
  <c r="BP51" i="236" s="1"/>
  <c r="AS56" i="236" a="1"/>
  <c r="AS56" i="236" s="1"/>
  <c r="AN20" i="236" a="1"/>
  <c r="AN20" i="236" s="1"/>
  <c r="Y28" i="236" a="1"/>
  <c r="Y28" i="236" s="1"/>
  <c r="BF28" i="236" s="1"/>
  <c r="AJ40" i="236" a="1"/>
  <c r="AJ40" i="236" s="1"/>
  <c r="BQ40" i="236" s="1"/>
  <c r="Z51" i="236" a="1"/>
  <c r="Z51" i="236" s="1"/>
  <c r="BG51" i="236" s="1"/>
  <c r="Z56" i="236" a="1"/>
  <c r="Z56" i="236" s="1"/>
  <c r="T61" i="236" a="1"/>
  <c r="T61" i="236" s="1"/>
  <c r="BA61" i="236" s="1"/>
  <c r="Y27" i="236" a="1"/>
  <c r="Y27" i="236" s="1"/>
  <c r="AB29" i="236" a="1"/>
  <c r="AB29" i="236" s="1"/>
  <c r="BI29" i="236" s="1"/>
  <c r="AA54" i="236" a="1"/>
  <c r="AA54" i="236" s="1"/>
  <c r="BH54" i="236" s="1"/>
  <c r="AK60" i="236" a="1"/>
  <c r="AK60" i="236" s="1"/>
  <c r="BR60" i="236" s="1"/>
  <c r="AD19" i="236" a="1"/>
  <c r="AD19" i="236" s="1"/>
  <c r="BK19" i="236" s="1"/>
  <c r="AG10" i="236" a="1"/>
  <c r="AG10" i="236" s="1"/>
  <c r="BN10" i="236" s="1"/>
  <c r="AR19" i="236" a="1"/>
  <c r="AR19" i="236" s="1"/>
  <c r="U14" i="236" a="1"/>
  <c r="U14" i="236" s="1"/>
  <c r="BB14" i="236" s="1"/>
  <c r="AK16" i="236" a="1"/>
  <c r="AK16" i="236" s="1"/>
  <c r="BR16" i="236" s="1"/>
  <c r="AT10" i="236" a="1"/>
  <c r="AT10" i="236" s="1"/>
  <c r="CA10" i="236" s="1"/>
  <c r="Y19" i="236" a="1"/>
  <c r="Y19" i="236" s="1"/>
  <c r="AR28" i="236" a="1"/>
  <c r="AR28" i="236" s="1"/>
  <c r="BY28" i="236" s="1"/>
  <c r="AI40" i="236" a="1"/>
  <c r="AI40" i="236" s="1"/>
  <c r="BP40" i="236" s="1"/>
  <c r="AE54" i="236" a="1"/>
  <c r="AE54" i="236" s="1"/>
  <c r="BL54" i="236" s="1"/>
  <c r="AA60" i="236" a="1"/>
  <c r="AA60" i="236" s="1"/>
  <c r="AE27" i="236" a="1"/>
  <c r="AE27" i="236" s="1"/>
  <c r="BL27" i="236" s="1"/>
  <c r="AO29" i="236" a="1"/>
  <c r="AO29" i="236" s="1"/>
  <c r="BV29" i="236" s="1"/>
  <c r="W44" i="236" a="1"/>
  <c r="W44" i="236" s="1"/>
  <c r="AN54" i="236" a="1"/>
  <c r="AN54" i="236" s="1"/>
  <c r="V60" i="236" a="1"/>
  <c r="V60" i="236" s="1"/>
  <c r="BC60" i="236" s="1"/>
  <c r="AT20" i="236" a="1"/>
  <c r="AT20" i="236" s="1"/>
  <c r="CA20" i="236" s="1"/>
  <c r="AP29" i="236" a="1"/>
  <c r="AP29" i="236" s="1"/>
  <c r="BW29" i="236" s="1"/>
  <c r="AF44" i="236" a="1"/>
  <c r="AF44" i="236" s="1"/>
  <c r="AN51" i="236" a="1"/>
  <c r="AN51" i="236" s="1"/>
  <c r="BU51" i="236" s="1"/>
  <c r="Y60" i="236" a="1"/>
  <c r="Y60" i="236" s="1"/>
  <c r="BF60" i="236" s="1"/>
  <c r="AR20" i="236" a="1"/>
  <c r="AR20" i="236" s="1"/>
  <c r="BY20" i="236" s="1"/>
  <c r="AN28" i="236" a="1"/>
  <c r="AN28" i="236" s="1"/>
  <c r="AE40" i="236" a="1"/>
  <c r="AE40" i="236" s="1"/>
  <c r="BL40" i="236" s="1"/>
  <c r="AM51" i="236" a="1"/>
  <c r="AM51" i="236" s="1"/>
  <c r="BT51" i="236" s="1"/>
  <c r="AD56" i="236" a="1"/>
  <c r="AD56" i="236" s="1"/>
  <c r="BK56" i="236" s="1"/>
  <c r="AF61" i="236" a="1"/>
  <c r="AF61" i="236" s="1"/>
  <c r="AK10" i="236" a="1"/>
  <c r="AK10" i="236" s="1"/>
  <c r="BR10" i="236" s="1"/>
  <c r="AC20" i="236" a="1"/>
  <c r="AC20" i="236" s="1"/>
  <c r="BJ20" i="236" s="1"/>
  <c r="AU14" i="236" a="1"/>
  <c r="AU14" i="236" s="1"/>
  <c r="CB14" i="236" s="1"/>
  <c r="AP16" i="236" a="1"/>
  <c r="AP16" i="236" s="1"/>
  <c r="R20" i="236" a="1"/>
  <c r="R20" i="236" s="1"/>
  <c r="AY20" i="236" s="1"/>
  <c r="AQ19" i="236" a="1"/>
  <c r="AQ19" i="236" s="1"/>
  <c r="BX19" i="236" s="1"/>
  <c r="S10" i="236" a="1"/>
  <c r="S10" i="236" s="1"/>
  <c r="AZ10" i="236" s="1"/>
  <c r="AL16" i="236" a="1"/>
  <c r="AL16" i="236" s="1"/>
  <c r="AM20" i="236" a="1"/>
  <c r="AM20" i="236" s="1"/>
  <c r="BT20" i="236" s="1"/>
  <c r="W28" i="236" a="1"/>
  <c r="W28" i="236" s="1"/>
  <c r="BD28" i="236" s="1"/>
  <c r="AL40" i="236" a="1"/>
  <c r="AL40" i="236" s="1"/>
  <c r="BS40" i="236" s="1"/>
  <c r="AG51" i="236" a="1"/>
  <c r="AG51" i="236" s="1"/>
  <c r="BN51" i="236" s="1"/>
  <c r="AU56" i="236" a="1"/>
  <c r="AU56" i="236" s="1"/>
  <c r="CB56" i="236" s="1"/>
  <c r="AN61" i="236" a="1"/>
  <c r="AN61" i="236" s="1"/>
  <c r="BU61" i="236" s="1"/>
  <c r="AG28" i="236" a="1"/>
  <c r="AG28" i="236" s="1"/>
  <c r="BN28" i="236" s="1"/>
  <c r="U40" i="236" a="1"/>
  <c r="U40" i="236" s="1"/>
  <c r="U54" i="236" a="1"/>
  <c r="U54" i="236" s="1"/>
  <c r="BB54" i="236" s="1"/>
  <c r="W61" i="236" a="1"/>
  <c r="W61" i="236" s="1"/>
  <c r="BD61" i="236" s="1"/>
  <c r="AS27" i="236" a="1"/>
  <c r="AS27" i="236" s="1"/>
  <c r="BZ27" i="236" s="1"/>
  <c r="U29" i="236" a="1"/>
  <c r="U29" i="236" s="1"/>
  <c r="AF54" i="236" a="1"/>
  <c r="AF54" i="236" s="1"/>
  <c r="BM54" i="236" s="1"/>
  <c r="U60" i="236" a="1"/>
  <c r="U60" i="236" s="1"/>
  <c r="BB60" i="236" s="1"/>
  <c r="Z20" i="236" a="1"/>
  <c r="Z20" i="236" s="1"/>
  <c r="BG20" i="236" s="1"/>
  <c r="AI29" i="236" a="1"/>
  <c r="AI29" i="236" s="1"/>
  <c r="Y44" i="236" a="1"/>
  <c r="Y44" i="236" s="1"/>
  <c r="BF44" i="236" s="1"/>
  <c r="Y51" i="236" a="1"/>
  <c r="Y51" i="236" s="1"/>
  <c r="BF51" i="236" s="1"/>
  <c r="AK56" i="236" a="1"/>
  <c r="AK56" i="236" s="1"/>
  <c r="BR56" i="236" s="1"/>
  <c r="U61" i="236" a="1"/>
  <c r="U61" i="236" s="1"/>
  <c r="AE14" i="236" a="1"/>
  <c r="AE14" i="236" s="1"/>
  <c r="BL14" i="236" s="1"/>
  <c r="AP19" i="236" a="1"/>
  <c r="AP19" i="236" s="1"/>
  <c r="BW19" i="236" s="1"/>
  <c r="V10" i="236" a="1"/>
  <c r="V10" i="236" s="1"/>
  <c r="BC10" i="236" s="1"/>
  <c r="S19" i="236" a="1"/>
  <c r="S19" i="236" s="1"/>
  <c r="Z14" i="236" a="1"/>
  <c r="Z14" i="236" s="1"/>
  <c r="BG14" i="236" s="1"/>
  <c r="AI19" i="236" a="1"/>
  <c r="AI19" i="236" s="1"/>
  <c r="BP19" i="236" s="1"/>
  <c r="U27" i="236" a="1"/>
  <c r="U27" i="236" s="1"/>
  <c r="BB27" i="236" s="1"/>
  <c r="X29" i="236" a="1"/>
  <c r="X29" i="236" s="1"/>
  <c r="V44" i="236" a="1"/>
  <c r="V44" i="236" s="1"/>
  <c r="BC44" i="236" s="1"/>
  <c r="AQ54" i="236" a="1"/>
  <c r="AQ54" i="236" s="1"/>
  <c r="BX54" i="236" s="1"/>
  <c r="AF60" i="236" a="1"/>
  <c r="AF60" i="236" s="1"/>
  <c r="BM60" i="236" s="1"/>
  <c r="AE29" i="236" a="1"/>
  <c r="AE29" i="236" s="1"/>
  <c r="AS44" i="236" a="1"/>
  <c r="AS44" i="236" s="1"/>
  <c r="BZ44" i="236" s="1"/>
  <c r="AT54" i="236" a="1"/>
  <c r="AT54" i="236" s="1"/>
  <c r="CA54" i="236" s="1"/>
  <c r="AD60" i="236" a="1"/>
  <c r="AD60" i="236" s="1"/>
  <c r="BK60" i="236" s="1"/>
  <c r="AT28" i="236" a="1"/>
  <c r="AT28" i="236" s="1"/>
  <c r="AJ44" i="236" a="1"/>
  <c r="AJ44" i="236" s="1"/>
  <c r="BQ44" i="236" s="1"/>
  <c r="V51" i="236" a="1"/>
  <c r="V51" i="236" s="1"/>
  <c r="BC51" i="236" s="1"/>
  <c r="Y61" i="236" a="1"/>
  <c r="Y61" i="236" s="1"/>
  <c r="BF61" i="236" s="1"/>
  <c r="AC54" i="236" a="1"/>
  <c r="AC54" i="236" s="1"/>
  <c r="BY60" i="236"/>
  <c r="BE51" i="236"/>
  <c r="BH60" i="236"/>
  <c r="BA60" i="236"/>
  <c r="BD60" i="236"/>
  <c r="BS60" i="236"/>
  <c r="BO60" i="236"/>
  <c r="BH40" i="236"/>
  <c r="BP60" i="236"/>
  <c r="BX60" i="236"/>
  <c r="AZ60" i="236"/>
  <c r="CA60" i="236"/>
  <c r="BI60" i="236"/>
  <c r="AY60" i="236"/>
  <c r="AZ40" i="236"/>
  <c r="BL60" i="236"/>
  <c r="BC40" i="236"/>
  <c r="BN40" i="236"/>
  <c r="BB40" i="236"/>
  <c r="BU40" i="236"/>
  <c r="BI40" i="236"/>
  <c r="AY40" i="236"/>
  <c r="BD40" i="236"/>
  <c r="BF40" i="236"/>
  <c r="BT40" i="236"/>
  <c r="BV40" i="236"/>
  <c r="BI44" i="236"/>
  <c r="BE54" i="236"/>
  <c r="BJ54" i="236"/>
  <c r="BQ54" i="236"/>
  <c r="BD54" i="236"/>
  <c r="BT54" i="236"/>
  <c r="BU54" i="236"/>
  <c r="BF54" i="236"/>
  <c r="BG44" i="236"/>
  <c r="BM10" i="236"/>
  <c r="BJ10" i="236"/>
  <c r="BI10" i="236"/>
  <c r="BS10" i="236"/>
  <c r="BO10" i="236"/>
  <c r="CB10" i="236"/>
  <c r="BH10" i="236"/>
  <c r="BL44" i="236"/>
  <c r="CB44" i="236"/>
  <c r="BY10" i="236"/>
  <c r="BB10" i="236"/>
  <c r="BU44" i="236"/>
  <c r="BV44" i="236"/>
  <c r="BP44" i="236"/>
  <c r="BY44" i="236"/>
  <c r="BB44" i="236"/>
  <c r="BO44" i="236"/>
  <c r="BT44" i="236"/>
  <c r="BP10" i="236"/>
  <c r="BK44" i="236"/>
  <c r="BD44" i="236"/>
  <c r="BV61" i="236"/>
  <c r="BB61" i="236"/>
  <c r="BT61" i="236"/>
  <c r="BY61" i="236"/>
  <c r="BM61" i="236"/>
  <c r="BS16" i="236"/>
  <c r="BI27" i="236"/>
  <c r="BX16" i="236"/>
  <c r="BU28" i="236"/>
  <c r="BT27" i="236"/>
  <c r="AY27" i="236"/>
  <c r="BX20" i="236"/>
  <c r="BF16" i="236"/>
  <c r="BV15" i="236"/>
  <c r="BP29" i="236"/>
  <c r="BU27" i="236"/>
  <c r="BD27" i="236"/>
  <c r="BN16" i="236"/>
  <c r="AY16" i="236"/>
  <c r="BM16" i="236"/>
  <c r="BB16" i="236"/>
  <c r="BZ16" i="236"/>
  <c r="BF20" i="236"/>
  <c r="BL20" i="236"/>
  <c r="BI15" i="236"/>
  <c r="BK15" i="236"/>
  <c r="BJ15" i="236"/>
  <c r="BE15" i="236"/>
  <c r="BR15" i="236"/>
  <c r="BB15" i="236"/>
  <c r="BN15" i="236"/>
  <c r="BS29" i="236"/>
  <c r="BL29" i="236"/>
  <c r="BF29" i="236"/>
  <c r="BR29" i="236"/>
  <c r="BZ29" i="236"/>
  <c r="BF19" i="236"/>
  <c r="BD19" i="236"/>
  <c r="BI20" i="236"/>
  <c r="BA27" i="236"/>
  <c r="BQ14" i="236"/>
  <c r="BR14" i="236"/>
  <c r="BU14" i="236"/>
  <c r="BL45" i="236"/>
  <c r="BT45" i="236"/>
  <c r="BX44" i="236"/>
  <c r="BK40" i="236"/>
  <c r="AY19" i="236"/>
  <c r="CB27" i="236"/>
  <c r="BK20" i="236"/>
  <c r="CA27" i="236"/>
  <c r="BP27" i="236"/>
  <c r="BN27" i="236"/>
  <c r="BE27" i="236"/>
  <c r="AZ16" i="236"/>
  <c r="BV16" i="236"/>
  <c r="BL16" i="236"/>
  <c r="BC16" i="236"/>
  <c r="BO16" i="236"/>
  <c r="BH16" i="236"/>
  <c r="AZ20" i="236"/>
  <c r="BC20" i="236"/>
  <c r="BU20" i="236"/>
  <c r="BV20" i="236"/>
  <c r="BO28" i="236"/>
  <c r="BH28" i="236"/>
  <c r="BP28" i="236"/>
  <c r="AY28" i="236"/>
  <c r="BM28" i="236"/>
  <c r="BF15" i="236"/>
  <c r="BW15" i="236"/>
  <c r="BO15" i="236"/>
  <c r="BH15" i="236"/>
  <c r="AY15" i="236"/>
  <c r="BE29" i="236"/>
  <c r="BB29" i="236"/>
  <c r="CB29" i="236"/>
  <c r="BS45" i="236"/>
  <c r="BY19" i="236"/>
  <c r="AZ19" i="236"/>
  <c r="BO19" i="236"/>
  <c r="BR19" i="236"/>
  <c r="BZ14" i="236"/>
  <c r="BC14" i="236"/>
  <c r="BH14" i="236"/>
  <c r="BI14" i="236"/>
  <c r="BS14" i="236"/>
  <c r="BO45" i="236"/>
  <c r="BC45" i="236"/>
  <c r="BJ45" i="236"/>
  <c r="BA45" i="236"/>
  <c r="BE44" i="236"/>
  <c r="BM29" i="236"/>
  <c r="BB28" i="236"/>
  <c r="BP45" i="236"/>
  <c r="BM20" i="236"/>
  <c r="BF27" i="236"/>
  <c r="BN45" i="236"/>
  <c r="BY27" i="236"/>
  <c r="BR27" i="236"/>
  <c r="BC27" i="236"/>
  <c r="BX27" i="236"/>
  <c r="BT16" i="236"/>
  <c r="BW16" i="236"/>
  <c r="BI16" i="236"/>
  <c r="BS20" i="236"/>
  <c r="CB20" i="236"/>
  <c r="BQ28" i="236"/>
  <c r="BA28" i="236"/>
  <c r="BX15" i="236"/>
  <c r="BY15" i="236"/>
  <c r="BM15" i="236"/>
  <c r="AZ15" i="236"/>
  <c r="CA29" i="236"/>
  <c r="BX29" i="236"/>
  <c r="BO29" i="236"/>
  <c r="BJ29" i="236"/>
  <c r="BH19" i="236"/>
  <c r="BN19" i="236"/>
  <c r="BS19" i="236"/>
  <c r="BC29" i="236"/>
  <c r="BX45" i="236"/>
  <c r="CA14" i="236"/>
  <c r="AY14" i="236"/>
  <c r="AY45" i="236"/>
  <c r="BZ45" i="236"/>
  <c r="BQ45" i="236"/>
  <c r="BZ10" i="236"/>
  <c r="BK10" i="236"/>
  <c r="BV10" i="236"/>
  <c r="BW10" i="236"/>
  <c r="BG19" i="236"/>
  <c r="BG28" i="236"/>
  <c r="BM44" i="236"/>
  <c r="BZ20" i="236"/>
  <c r="BK28" i="236"/>
  <c r="BL28" i="236"/>
  <c r="BT28" i="236"/>
  <c r="BE28" i="236"/>
  <c r="CB15" i="236"/>
  <c r="BQ15" i="236"/>
  <c r="BD15" i="236"/>
  <c r="CA15" i="236"/>
  <c r="BT15" i="236"/>
  <c r="BQ29" i="236"/>
  <c r="BY29" i="236"/>
  <c r="AY29" i="236"/>
  <c r="BD29" i="236"/>
  <c r="BJ19" i="236"/>
  <c r="BC19" i="236"/>
  <c r="BB19" i="236"/>
  <c r="BE19" i="236"/>
  <c r="BT29" i="236"/>
  <c r="BK27" i="236"/>
  <c r="BR45" i="236"/>
  <c r="BV45" i="236"/>
  <c r="AZ45" i="236"/>
  <c r="CA44" i="236"/>
  <c r="BZ40" i="236"/>
  <c r="BX40" i="236"/>
  <c r="BW20" i="236"/>
  <c r="BN29" i="236"/>
  <c r="BG15" i="236"/>
  <c r="CA28" i="236"/>
  <c r="AZ56" i="236"/>
  <c r="BO56" i="236"/>
  <c r="BW56" i="236"/>
  <c r="BT56" i="236"/>
  <c r="BA56" i="236"/>
  <c r="CA56" i="236"/>
  <c r="BS56" i="236"/>
  <c r="BP56" i="236"/>
  <c r="BV56" i="236"/>
  <c r="BC56" i="236"/>
  <c r="BY56" i="236"/>
  <c r="BB56" i="236"/>
  <c r="BZ56" i="236"/>
  <c r="BG56" i="236"/>
  <c r="BN56" i="236"/>
  <c r="BJ56" i="236"/>
  <c r="BI56" i="236"/>
  <c r="BU56" i="236"/>
  <c r="BH56" i="236"/>
  <c r="BY40" i="236"/>
  <c r="BG16" i="236"/>
  <c r="BD10" i="236"/>
  <c r="BL19" i="236"/>
  <c r="BC28" i="236"/>
  <c r="AZ3" i="451"/>
  <c r="BJ5" i="434"/>
  <c r="Q22" i="434"/>
  <c r="BB1" i="108"/>
  <c r="CA45" i="236" l="1"/>
  <c r="BW45" i="236"/>
  <c r="BM45" i="236"/>
  <c r="BK45" i="236"/>
  <c r="BG45" i="236"/>
  <c r="BB45" i="236"/>
  <c r="BF45" i="236"/>
  <c r="BD45" i="236"/>
  <c r="BH45" i="236"/>
  <c r="BE45" i="236"/>
  <c r="BU45" i="236"/>
  <c r="BI45" i="236"/>
  <c r="CB45" i="236"/>
  <c r="BY45" i="236"/>
  <c r="BL15" i="236"/>
  <c r="BS15" i="236"/>
  <c r="BZ15" i="236"/>
  <c r="BC15" i="236"/>
  <c r="BU15" i="236"/>
  <c r="BP15" i="236"/>
  <c r="BA15" i="236"/>
  <c r="BA3" i="451"/>
  <c r="BK5" i="434"/>
  <c r="R22" i="434"/>
  <c r="BC1" i="108"/>
  <c r="AM65" i="234"/>
  <c r="AL65" i="234"/>
  <c r="AM64" i="234"/>
  <c r="AL64" i="234"/>
  <c r="AM63" i="234"/>
  <c r="AL63" i="234"/>
  <c r="C63" i="234"/>
  <c r="C64" i="234"/>
  <c r="A83" i="437" l="1"/>
  <c r="A102" i="434"/>
  <c r="A84" i="437"/>
  <c r="A103" i="434"/>
  <c r="C67" i="108"/>
  <c r="C66" i="108"/>
  <c r="AO66" i="234"/>
  <c r="AO64" i="234"/>
  <c r="AO65" i="234"/>
  <c r="N67" i="236"/>
  <c r="N72" i="420" s="1"/>
  <c r="D67" i="108"/>
  <c r="E67" i="108" s="1"/>
  <c r="N69" i="236"/>
  <c r="N74" i="420" s="1"/>
  <c r="N68" i="236"/>
  <c r="N73" i="420" s="1"/>
  <c r="D66" i="108"/>
  <c r="E66" i="108" s="1"/>
  <c r="D68" i="108"/>
  <c r="E68" i="108" s="1"/>
  <c r="BB3" i="451"/>
  <c r="BL5" i="434"/>
  <c r="S22" i="434"/>
  <c r="BD1" i="108"/>
  <c r="BE1" i="108" s="1"/>
  <c r="H69" i="235"/>
  <c r="H68" i="235"/>
  <c r="H67" i="235"/>
  <c r="BF1" i="108" l="1"/>
  <c r="BC3" i="451"/>
  <c r="BM5" i="434"/>
  <c r="T22" i="434"/>
  <c r="BG1" i="108" l="1"/>
  <c r="BD3" i="451"/>
  <c r="BN5" i="434"/>
  <c r="U22" i="434"/>
  <c r="BH1" i="108" l="1"/>
  <c r="BO5" i="434"/>
  <c r="V22" i="434"/>
  <c r="BI1" i="108" l="1"/>
  <c r="BP5" i="434"/>
  <c r="W22" i="434"/>
  <c r="BJ1" i="108" l="1"/>
  <c r="BQ5" i="434"/>
  <c r="X22" i="434"/>
  <c r="BR5" i="434" l="1"/>
  <c r="Y22" i="434"/>
  <c r="AL21" i="234"/>
  <c r="AM21" i="234"/>
  <c r="V21" i="234"/>
  <c r="C21" i="234"/>
  <c r="A60" i="434" s="1"/>
  <c r="A41" i="437" l="1"/>
  <c r="C24" i="108"/>
  <c r="N25" i="236"/>
  <c r="N30" i="420" s="1"/>
  <c r="D24" i="108"/>
  <c r="E24" i="108" s="1"/>
  <c r="BS5" i="434"/>
  <c r="Z22" i="434"/>
  <c r="H25" i="235"/>
  <c r="BT5" i="434" l="1"/>
  <c r="AA22" i="434"/>
  <c r="H121" i="2"/>
  <c r="H122" i="2"/>
  <c r="BU5" i="434" l="1"/>
  <c r="AB22" i="434"/>
  <c r="D27" i="2"/>
  <c r="E3" i="436" s="1"/>
  <c r="AE1" i="436" s="1"/>
  <c r="BV5" i="434" l="1"/>
  <c r="AC22" i="434"/>
  <c r="AN4" i="108"/>
  <c r="AN57" i="108" s="1"/>
  <c r="D93" i="434" s="1"/>
  <c r="AN16" i="108" l="1"/>
  <c r="D52" i="434" s="1"/>
  <c r="AN51" i="108"/>
  <c r="D87" i="434" s="1"/>
  <c r="AN15" i="108"/>
  <c r="D51" i="434" s="1"/>
  <c r="AN20" i="108"/>
  <c r="D56" i="434" s="1"/>
  <c r="AN24" i="108"/>
  <c r="D60" i="434" s="1"/>
  <c r="AN28" i="108"/>
  <c r="D64" i="434" s="1"/>
  <c r="AN32" i="108"/>
  <c r="D68" i="434" s="1"/>
  <c r="AN36" i="108"/>
  <c r="D72" i="434" s="1"/>
  <c r="AN40" i="108"/>
  <c r="D76" i="434" s="1"/>
  <c r="AN44" i="108"/>
  <c r="D80" i="434" s="1"/>
  <c r="AN48" i="108"/>
  <c r="D84" i="434" s="1"/>
  <c r="AN53" i="108"/>
  <c r="D89" i="434" s="1"/>
  <c r="AN58" i="108"/>
  <c r="D94" i="434" s="1"/>
  <c r="AN62" i="108"/>
  <c r="D98" i="434" s="1"/>
  <c r="AN66" i="108"/>
  <c r="D102" i="434" s="1"/>
  <c r="AN70" i="108"/>
  <c r="D106" i="434" s="1"/>
  <c r="AN74" i="108"/>
  <c r="D110" i="434" s="1"/>
  <c r="AN18" i="108"/>
  <c r="D54" i="434" s="1"/>
  <c r="AN34" i="108"/>
  <c r="D70" i="434" s="1"/>
  <c r="AN42" i="108"/>
  <c r="D78" i="434" s="1"/>
  <c r="AN50" i="108"/>
  <c r="D86" i="434" s="1"/>
  <c r="AN60" i="108"/>
  <c r="D96" i="434" s="1"/>
  <c r="AN14" i="108"/>
  <c r="D50" i="434" s="1"/>
  <c r="AN19" i="108"/>
  <c r="D55" i="434" s="1"/>
  <c r="AN23" i="108"/>
  <c r="D59" i="434" s="1"/>
  <c r="AN27" i="108"/>
  <c r="D63" i="434" s="1"/>
  <c r="AN31" i="108"/>
  <c r="D67" i="434" s="1"/>
  <c r="AN35" i="108"/>
  <c r="D71" i="434" s="1"/>
  <c r="AN39" i="108"/>
  <c r="D75" i="434" s="1"/>
  <c r="AN43" i="108"/>
  <c r="D79" i="434" s="1"/>
  <c r="AN47" i="108"/>
  <c r="D83" i="434" s="1"/>
  <c r="AN52" i="108"/>
  <c r="D88" i="434" s="1"/>
  <c r="AN56" i="108"/>
  <c r="D92" i="434" s="1"/>
  <c r="AN61" i="108"/>
  <c r="D97" i="434" s="1"/>
  <c r="AN65" i="108"/>
  <c r="D101" i="434" s="1"/>
  <c r="AN69" i="108"/>
  <c r="D105" i="434" s="1"/>
  <c r="AN73" i="108"/>
  <c r="D109" i="434" s="1"/>
  <c r="AN13" i="108"/>
  <c r="D49" i="434" s="1"/>
  <c r="AN22" i="108"/>
  <c r="D58" i="434" s="1"/>
  <c r="AN26" i="108"/>
  <c r="D62" i="434" s="1"/>
  <c r="AN30" i="108"/>
  <c r="D66" i="434" s="1"/>
  <c r="AN38" i="108"/>
  <c r="D74" i="434" s="1"/>
  <c r="AN46" i="108"/>
  <c r="D82" i="434" s="1"/>
  <c r="AN55" i="108"/>
  <c r="D91" i="434" s="1"/>
  <c r="AN64" i="108"/>
  <c r="D100" i="434" s="1"/>
  <c r="AN67" i="108"/>
  <c r="D103" i="434" s="1"/>
  <c r="AN68" i="108"/>
  <c r="D104" i="434" s="1"/>
  <c r="AN71" i="108"/>
  <c r="D107" i="434" s="1"/>
  <c r="AN72" i="108"/>
  <c r="D108" i="434" s="1"/>
  <c r="AN17" i="108"/>
  <c r="D53" i="434" s="1"/>
  <c r="AN21" i="108"/>
  <c r="D57" i="434" s="1"/>
  <c r="AN25" i="108"/>
  <c r="D61" i="434" s="1"/>
  <c r="AN29" i="108"/>
  <c r="D65" i="434" s="1"/>
  <c r="AN33" i="108"/>
  <c r="D69" i="434" s="1"/>
  <c r="AN37" i="108"/>
  <c r="D73" i="434" s="1"/>
  <c r="AN41" i="108"/>
  <c r="D77" i="434" s="1"/>
  <c r="AN45" i="108"/>
  <c r="D81" i="434" s="1"/>
  <c r="AN49" i="108"/>
  <c r="D85" i="434" s="1"/>
  <c r="AN54" i="108"/>
  <c r="D90" i="434" s="1"/>
  <c r="AN59" i="108"/>
  <c r="D95" i="434" s="1"/>
  <c r="AN63" i="108"/>
  <c r="D99" i="434" s="1"/>
  <c r="AD22" i="434"/>
  <c r="BW5" i="434"/>
  <c r="AN8" i="108"/>
  <c r="D44" i="434" s="1"/>
  <c r="AN12" i="108"/>
  <c r="D48" i="434" s="1"/>
  <c r="AN10" i="108"/>
  <c r="D46" i="434" s="1"/>
  <c r="AN7" i="108"/>
  <c r="AN9" i="108"/>
  <c r="D45" i="434" s="1"/>
  <c r="AN6" i="108"/>
  <c r="AN5" i="108"/>
  <c r="AN11" i="108"/>
  <c r="D47" i="434" s="1"/>
  <c r="O10" i="420"/>
  <c r="AE22" i="434" l="1"/>
  <c r="BX5" i="434"/>
  <c r="J187" i="2"/>
  <c r="BY5" i="434" l="1"/>
  <c r="AF22" i="434"/>
  <c r="A22" i="437"/>
  <c r="A21" i="437" s="1"/>
  <c r="A5" i="437"/>
  <c r="A4" i="437"/>
  <c r="A3" i="437"/>
  <c r="A2" i="437"/>
  <c r="A3" i="436"/>
  <c r="A2" i="436"/>
  <c r="C6" i="435"/>
  <c r="C1" i="435"/>
  <c r="AU17" i="437"/>
  <c r="AT17" i="437"/>
  <c r="AS17" i="437"/>
  <c r="AR17" i="437"/>
  <c r="AQ17" i="437"/>
  <c r="AC18" i="436"/>
  <c r="AG22" i="434" l="1"/>
  <c r="BZ5" i="434"/>
  <c r="B6" i="431"/>
  <c r="C6" i="431"/>
  <c r="D6" i="431"/>
  <c r="A6" i="431"/>
  <c r="CA5" i="434" l="1"/>
  <c r="AH22" i="434"/>
  <c r="AA2" i="238"/>
  <c r="AI22" i="434" l="1"/>
  <c r="CB5" i="434"/>
  <c r="B6" i="432"/>
  <c r="CC5" i="434" l="1"/>
  <c r="AJ22" i="434"/>
  <c r="C6" i="432"/>
  <c r="Z6" i="432"/>
  <c r="A41" i="434"/>
  <c r="A40" i="434" s="1"/>
  <c r="B12" i="434"/>
  <c r="A12" i="434"/>
  <c r="A3" i="434"/>
  <c r="A2" i="434"/>
  <c r="A6" i="433"/>
  <c r="A1" i="433"/>
  <c r="B5" i="432"/>
  <c r="A5" i="432"/>
  <c r="J4" i="432"/>
  <c r="E4" i="432"/>
  <c r="D4" i="432"/>
  <c r="A2" i="432"/>
  <c r="I1" i="432"/>
  <c r="H1" i="432"/>
  <c r="G1" i="432"/>
  <c r="F1" i="432"/>
  <c r="E1" i="432"/>
  <c r="D1" i="432"/>
  <c r="C1" i="432"/>
  <c r="A1" i="432"/>
  <c r="H176" i="433"/>
  <c r="G176" i="433" s="1"/>
  <c r="E176" i="433"/>
  <c r="C176" i="433"/>
  <c r="B176" i="433" s="1"/>
  <c r="H175" i="433"/>
  <c r="G175" i="433" s="1"/>
  <c r="E175" i="433"/>
  <c r="C175" i="433"/>
  <c r="B175" i="433" s="1"/>
  <c r="H174" i="433"/>
  <c r="G174" i="433" s="1"/>
  <c r="E174" i="433"/>
  <c r="C174" i="433"/>
  <c r="B174" i="433" s="1"/>
  <c r="H173" i="433"/>
  <c r="G173" i="433" s="1"/>
  <c r="E173" i="433"/>
  <c r="C173" i="433"/>
  <c r="B173" i="433" s="1"/>
  <c r="H172" i="433"/>
  <c r="G172" i="433" s="1"/>
  <c r="E172" i="433"/>
  <c r="C172" i="433"/>
  <c r="B172" i="433" s="1"/>
  <c r="H171" i="433"/>
  <c r="G171" i="433" s="1"/>
  <c r="E171" i="433"/>
  <c r="C171" i="433"/>
  <c r="B171" i="433" s="1"/>
  <c r="H170" i="433"/>
  <c r="G170" i="433" s="1"/>
  <c r="E170" i="433"/>
  <c r="C170" i="433"/>
  <c r="B170" i="433" s="1"/>
  <c r="H169" i="433"/>
  <c r="G169" i="433" s="1"/>
  <c r="E169" i="433"/>
  <c r="C169" i="433"/>
  <c r="B169" i="433" s="1"/>
  <c r="H168" i="433"/>
  <c r="G168" i="433" s="1"/>
  <c r="E168" i="433"/>
  <c r="C168" i="433"/>
  <c r="B168" i="433" s="1"/>
  <c r="H167" i="433"/>
  <c r="G167" i="433" s="1"/>
  <c r="E167" i="433"/>
  <c r="C167" i="433"/>
  <c r="B167" i="433" s="1"/>
  <c r="H166" i="433"/>
  <c r="G166" i="433" s="1"/>
  <c r="E166" i="433"/>
  <c r="C166" i="433"/>
  <c r="B166" i="433" s="1"/>
  <c r="H165" i="433"/>
  <c r="G165" i="433" s="1"/>
  <c r="E165" i="433"/>
  <c r="C165" i="433"/>
  <c r="B165" i="433" s="1"/>
  <c r="H164" i="433"/>
  <c r="G164" i="433" s="1"/>
  <c r="E164" i="433"/>
  <c r="C164" i="433"/>
  <c r="B164" i="433" s="1"/>
  <c r="H163" i="433"/>
  <c r="G163" i="433" s="1"/>
  <c r="E163" i="433"/>
  <c r="C163" i="433"/>
  <c r="B163" i="433" s="1"/>
  <c r="H162" i="433"/>
  <c r="G162" i="433" s="1"/>
  <c r="E162" i="433"/>
  <c r="C162" i="433"/>
  <c r="B162" i="433" s="1"/>
  <c r="H161" i="433"/>
  <c r="G161" i="433" s="1"/>
  <c r="E161" i="433"/>
  <c r="C161" i="433"/>
  <c r="B161" i="433" s="1"/>
  <c r="H160" i="433"/>
  <c r="G160" i="433" s="1"/>
  <c r="E160" i="433"/>
  <c r="C160" i="433"/>
  <c r="B160" i="433" s="1"/>
  <c r="H159" i="433"/>
  <c r="G159" i="433" s="1"/>
  <c r="E159" i="433"/>
  <c r="C159" i="433"/>
  <c r="B159" i="433" s="1"/>
  <c r="H158" i="433"/>
  <c r="G158" i="433" s="1"/>
  <c r="E158" i="433"/>
  <c r="C158" i="433"/>
  <c r="B158" i="433" s="1"/>
  <c r="H157" i="433"/>
  <c r="G157" i="433" s="1"/>
  <c r="E157" i="433"/>
  <c r="C157" i="433"/>
  <c r="B157" i="433" s="1"/>
  <c r="H156" i="433"/>
  <c r="G156" i="433" s="1"/>
  <c r="E156" i="433"/>
  <c r="C156" i="433"/>
  <c r="B156" i="433" s="1"/>
  <c r="H155" i="433"/>
  <c r="G155" i="433" s="1"/>
  <c r="E155" i="433"/>
  <c r="C155" i="433"/>
  <c r="B155" i="433" s="1"/>
  <c r="H154" i="433"/>
  <c r="G154" i="433" s="1"/>
  <c r="E154" i="433"/>
  <c r="C154" i="433"/>
  <c r="B154" i="433" s="1"/>
  <c r="H153" i="433"/>
  <c r="G153" i="433" s="1"/>
  <c r="E153" i="433"/>
  <c r="C153" i="433"/>
  <c r="B153" i="433" s="1"/>
  <c r="H152" i="433"/>
  <c r="G152" i="433" s="1"/>
  <c r="E152" i="433"/>
  <c r="C152" i="433"/>
  <c r="B152" i="433" s="1"/>
  <c r="H151" i="433"/>
  <c r="G151" i="433" s="1"/>
  <c r="E151" i="433"/>
  <c r="C151" i="433"/>
  <c r="B151" i="433" s="1"/>
  <c r="H150" i="433"/>
  <c r="G150" i="433" s="1"/>
  <c r="E150" i="433"/>
  <c r="C150" i="433"/>
  <c r="B150" i="433" s="1"/>
  <c r="H149" i="433"/>
  <c r="G149" i="433" s="1"/>
  <c r="E149" i="433"/>
  <c r="C149" i="433"/>
  <c r="B149" i="433" s="1"/>
  <c r="H148" i="433"/>
  <c r="G148" i="433" s="1"/>
  <c r="E148" i="433"/>
  <c r="C148" i="433"/>
  <c r="B148" i="433" s="1"/>
  <c r="H147" i="433"/>
  <c r="G147" i="433" s="1"/>
  <c r="E147" i="433"/>
  <c r="C147" i="433"/>
  <c r="B147" i="433" s="1"/>
  <c r="H146" i="433"/>
  <c r="G146" i="433" s="1"/>
  <c r="E146" i="433"/>
  <c r="C146" i="433"/>
  <c r="B146" i="433" s="1"/>
  <c r="H145" i="433"/>
  <c r="G145" i="433" s="1"/>
  <c r="E145" i="433"/>
  <c r="C145" i="433"/>
  <c r="B145" i="433" s="1"/>
  <c r="H144" i="433"/>
  <c r="G144" i="433" s="1"/>
  <c r="E144" i="433"/>
  <c r="C144" i="433"/>
  <c r="B144" i="433" s="1"/>
  <c r="H143" i="433"/>
  <c r="G143" i="433" s="1"/>
  <c r="E143" i="433"/>
  <c r="C143" i="433"/>
  <c r="B143" i="433" s="1"/>
  <c r="H142" i="433"/>
  <c r="G142" i="433" s="1"/>
  <c r="E142" i="433"/>
  <c r="C142" i="433"/>
  <c r="B142" i="433" s="1"/>
  <c r="H141" i="433"/>
  <c r="G141" i="433" s="1"/>
  <c r="E141" i="433"/>
  <c r="C141" i="433"/>
  <c r="B141" i="433" s="1"/>
  <c r="H140" i="433"/>
  <c r="G140" i="433" s="1"/>
  <c r="E140" i="433"/>
  <c r="C140" i="433"/>
  <c r="B140" i="433" s="1"/>
  <c r="H139" i="433"/>
  <c r="G139" i="433" s="1"/>
  <c r="E139" i="433"/>
  <c r="C139" i="433"/>
  <c r="B139" i="433" s="1"/>
  <c r="H138" i="433"/>
  <c r="G138" i="433" s="1"/>
  <c r="E138" i="433"/>
  <c r="C138" i="433"/>
  <c r="B138" i="433" s="1"/>
  <c r="H137" i="433"/>
  <c r="G137" i="433" s="1"/>
  <c r="E137" i="433"/>
  <c r="C137" i="433"/>
  <c r="B137" i="433" s="1"/>
  <c r="W6" i="432"/>
  <c r="H3" i="432"/>
  <c r="AK22" i="434" l="1"/>
  <c r="CD5" i="434"/>
  <c r="C21" i="27"/>
  <c r="AE5" i="5"/>
  <c r="AE4" i="5"/>
  <c r="A6" i="5"/>
  <c r="A9" i="455" s="1"/>
  <c r="CE5" i="434" l="1"/>
  <c r="AL22" i="434"/>
  <c r="AL10" i="234"/>
  <c r="AM10" i="234"/>
  <c r="AL11" i="234"/>
  <c r="AM11" i="234"/>
  <c r="AL12" i="234"/>
  <c r="AM12" i="234"/>
  <c r="AL14" i="234"/>
  <c r="AM14" i="234"/>
  <c r="AL15" i="234"/>
  <c r="AM15" i="234"/>
  <c r="AL17" i="234"/>
  <c r="AM17" i="234"/>
  <c r="AL18" i="234"/>
  <c r="AM18" i="234"/>
  <c r="AL19" i="234"/>
  <c r="AM19" i="234"/>
  <c r="AL20" i="234"/>
  <c r="AM20" i="234"/>
  <c r="AL22" i="234"/>
  <c r="AM22" i="234"/>
  <c r="AL23" i="234"/>
  <c r="AM23" i="234"/>
  <c r="AL24" i="234"/>
  <c r="AM24" i="234"/>
  <c r="AL25" i="234"/>
  <c r="AM25" i="234"/>
  <c r="AL26" i="234"/>
  <c r="AM26" i="234"/>
  <c r="AL27" i="234"/>
  <c r="AM27" i="234"/>
  <c r="AL28" i="234"/>
  <c r="AM28" i="234"/>
  <c r="AL29" i="234"/>
  <c r="AM29" i="234"/>
  <c r="AL30" i="234"/>
  <c r="AM30" i="234"/>
  <c r="AL31" i="234"/>
  <c r="AM31" i="234"/>
  <c r="AL32" i="234"/>
  <c r="AM32" i="234"/>
  <c r="AL33" i="234"/>
  <c r="AM33" i="234"/>
  <c r="AL34" i="234"/>
  <c r="AM34" i="234"/>
  <c r="AL35" i="234"/>
  <c r="AM35" i="234"/>
  <c r="AL36" i="234"/>
  <c r="AM36" i="234"/>
  <c r="AL37" i="234"/>
  <c r="AM37" i="234"/>
  <c r="AL38" i="234"/>
  <c r="AM38" i="234"/>
  <c r="AL39" i="234"/>
  <c r="AM39" i="234"/>
  <c r="AL40" i="234"/>
  <c r="AM40" i="234"/>
  <c r="AL41" i="234"/>
  <c r="AM41" i="234"/>
  <c r="AL42" i="234"/>
  <c r="AM42" i="234"/>
  <c r="AL43" i="234"/>
  <c r="AM43" i="234"/>
  <c r="AO48" i="234" s="1"/>
  <c r="AL44" i="234"/>
  <c r="AM44" i="234"/>
  <c r="AL45" i="234"/>
  <c r="AM45" i="234"/>
  <c r="AL46" i="234"/>
  <c r="AM46" i="234"/>
  <c r="AL47" i="234"/>
  <c r="AM47" i="234"/>
  <c r="AL49" i="234"/>
  <c r="AM49" i="234"/>
  <c r="AO54" i="234" s="1"/>
  <c r="AL50" i="234"/>
  <c r="AM50" i="234"/>
  <c r="AL51" i="234"/>
  <c r="AM51" i="234"/>
  <c r="AL52" i="234"/>
  <c r="AM52" i="234"/>
  <c r="AL53" i="234"/>
  <c r="AM53" i="234"/>
  <c r="AL55" i="234"/>
  <c r="AM55" i="234"/>
  <c r="AL56" i="234"/>
  <c r="AM56" i="234"/>
  <c r="AL57" i="234"/>
  <c r="AM57" i="234"/>
  <c r="AL58" i="234"/>
  <c r="AM58" i="234"/>
  <c r="AL59" i="234"/>
  <c r="AM59" i="234"/>
  <c r="AL60" i="234"/>
  <c r="AM60" i="234"/>
  <c r="AL61" i="234"/>
  <c r="AM61" i="234"/>
  <c r="AL62" i="234"/>
  <c r="AM62" i="234"/>
  <c r="AL66" i="234"/>
  <c r="AM66" i="234"/>
  <c r="AL67" i="234"/>
  <c r="AM67" i="234"/>
  <c r="AL68" i="234"/>
  <c r="AM68" i="234"/>
  <c r="AL69" i="234"/>
  <c r="AM69" i="234"/>
  <c r="AL70" i="234"/>
  <c r="AM70" i="234"/>
  <c r="AL71" i="234"/>
  <c r="AM71" i="234"/>
  <c r="E15" i="234"/>
  <c r="D19" i="236" s="1"/>
  <c r="E14" i="234"/>
  <c r="D18" i="236" s="1"/>
  <c r="E12" i="234"/>
  <c r="D16" i="236" s="1"/>
  <c r="E11" i="234"/>
  <c r="D15" i="236" s="1"/>
  <c r="E10" i="234"/>
  <c r="D14" i="236" s="1"/>
  <c r="E9" i="234"/>
  <c r="E8" i="234"/>
  <c r="D12" i="236" s="1"/>
  <c r="C9" i="234"/>
  <c r="C10" i="234"/>
  <c r="C11" i="234"/>
  <c r="C12" i="234"/>
  <c r="C14" i="234"/>
  <c r="A53" i="434" s="1"/>
  <c r="C15" i="234"/>
  <c r="A54" i="434" s="1"/>
  <c r="C17" i="234"/>
  <c r="A56" i="434" s="1"/>
  <c r="C18" i="234"/>
  <c r="A57" i="434" s="1"/>
  <c r="C19" i="234"/>
  <c r="A58" i="434" s="1"/>
  <c r="C20" i="234"/>
  <c r="A59" i="434" s="1"/>
  <c r="C22" i="234"/>
  <c r="A61" i="434" s="1"/>
  <c r="C23" i="234"/>
  <c r="A62" i="434" s="1"/>
  <c r="C24" i="234"/>
  <c r="A63" i="434" s="1"/>
  <c r="C25" i="234"/>
  <c r="A64" i="434" s="1"/>
  <c r="C26" i="234"/>
  <c r="C27" i="234"/>
  <c r="C28" i="234"/>
  <c r="C29" i="234"/>
  <c r="C30" i="234"/>
  <c r="C31" i="234"/>
  <c r="C32" i="234"/>
  <c r="C33" i="234"/>
  <c r="C34" i="234"/>
  <c r="C35" i="234"/>
  <c r="C36" i="234"/>
  <c r="C37" i="234"/>
  <c r="C38" i="234"/>
  <c r="C39" i="234"/>
  <c r="C40" i="234"/>
  <c r="C41" i="234"/>
  <c r="C42" i="234"/>
  <c r="C43" i="234"/>
  <c r="C44" i="234"/>
  <c r="C45" i="234"/>
  <c r="C46" i="234"/>
  <c r="C47" i="234"/>
  <c r="C49" i="234"/>
  <c r="C50" i="234"/>
  <c r="C51" i="234"/>
  <c r="C52" i="234"/>
  <c r="C53" i="234"/>
  <c r="C55" i="234"/>
  <c r="C56" i="234"/>
  <c r="C57" i="234"/>
  <c r="C58" i="234"/>
  <c r="C59" i="234"/>
  <c r="C60" i="234"/>
  <c r="C61" i="234"/>
  <c r="C62" i="234"/>
  <c r="C65" i="234"/>
  <c r="C66" i="234"/>
  <c r="C67" i="234"/>
  <c r="C68" i="234"/>
  <c r="C69" i="234"/>
  <c r="C70" i="234"/>
  <c r="C71" i="234"/>
  <c r="A79" i="437" l="1"/>
  <c r="A98" i="434"/>
  <c r="A80" i="434"/>
  <c r="A61" i="437"/>
  <c r="A49" i="437"/>
  <c r="A68" i="434"/>
  <c r="A82" i="437"/>
  <c r="A101" i="434"/>
  <c r="A69" i="437"/>
  <c r="A88" i="434"/>
  <c r="A56" i="437"/>
  <c r="A75" i="434"/>
  <c r="A109" i="434"/>
  <c r="A90" i="437"/>
  <c r="A105" i="434"/>
  <c r="A86" i="437"/>
  <c r="A99" i="434"/>
  <c r="A80" i="437"/>
  <c r="A95" i="434"/>
  <c r="A76" i="437"/>
  <c r="A71" i="437"/>
  <c r="A90" i="434"/>
  <c r="A85" i="434"/>
  <c r="A66" i="437"/>
  <c r="A62" i="437"/>
  <c r="A81" i="434"/>
  <c r="A58" i="437"/>
  <c r="A77" i="434"/>
  <c r="A73" i="434"/>
  <c r="A54" i="437"/>
  <c r="A50" i="437"/>
  <c r="A69" i="434"/>
  <c r="A46" i="437"/>
  <c r="A65" i="434"/>
  <c r="A89" i="437"/>
  <c r="A108" i="434"/>
  <c r="A89" i="434"/>
  <c r="A70" i="437"/>
  <c r="A76" i="434"/>
  <c r="A57" i="437"/>
  <c r="A75" i="437"/>
  <c r="A94" i="434"/>
  <c r="A53" i="437"/>
  <c r="A72" i="434"/>
  <c r="A88" i="437"/>
  <c r="A107" i="434"/>
  <c r="A83" i="434"/>
  <c r="A64" i="437"/>
  <c r="A85" i="437"/>
  <c r="A104" i="434"/>
  <c r="A65" i="437"/>
  <c r="A84" i="434"/>
  <c r="A97" i="434"/>
  <c r="A78" i="437"/>
  <c r="A73" i="437"/>
  <c r="A92" i="434"/>
  <c r="A79" i="434"/>
  <c r="A60" i="437"/>
  <c r="A71" i="434"/>
  <c r="A52" i="437"/>
  <c r="A67" i="434"/>
  <c r="A48" i="437"/>
  <c r="A91" i="437"/>
  <c r="A110" i="434"/>
  <c r="A87" i="437"/>
  <c r="A106" i="434"/>
  <c r="A81" i="437"/>
  <c r="A100" i="434"/>
  <c r="A77" i="437"/>
  <c r="A96" i="434"/>
  <c r="A91" i="434"/>
  <c r="A72" i="437"/>
  <c r="A67" i="437"/>
  <c r="A86" i="434"/>
  <c r="A63" i="437"/>
  <c r="A82" i="434"/>
  <c r="A59" i="437"/>
  <c r="A78" i="434"/>
  <c r="A55" i="437"/>
  <c r="A74" i="434"/>
  <c r="A51" i="437"/>
  <c r="A70" i="434"/>
  <c r="A47" i="437"/>
  <c r="A66" i="434"/>
  <c r="A42" i="437"/>
  <c r="A37" i="437"/>
  <c r="A31" i="437"/>
  <c r="A50" i="434"/>
  <c r="D13" i="236"/>
  <c r="F13" i="234"/>
  <c r="E17" i="236" s="1"/>
  <c r="A45" i="437"/>
  <c r="A40" i="437"/>
  <c r="A35" i="437"/>
  <c r="A30" i="437"/>
  <c r="A49" i="434"/>
  <c r="A44" i="437"/>
  <c r="A39" i="437"/>
  <c r="A34" i="437"/>
  <c r="A29" i="437"/>
  <c r="A48" i="434"/>
  <c r="A43" i="437"/>
  <c r="A38" i="437"/>
  <c r="A51" i="434"/>
  <c r="A32" i="437"/>
  <c r="C69" i="108"/>
  <c r="C59" i="108"/>
  <c r="C49" i="108"/>
  <c r="C45" i="108"/>
  <c r="C37" i="108"/>
  <c r="C33" i="108"/>
  <c r="C29" i="108"/>
  <c r="C20" i="108"/>
  <c r="C14" i="108"/>
  <c r="C72" i="108"/>
  <c r="C68" i="108"/>
  <c r="C62" i="108"/>
  <c r="C58" i="108"/>
  <c r="C53" i="108"/>
  <c r="C48" i="108"/>
  <c r="C44" i="108"/>
  <c r="C40" i="108"/>
  <c r="C36" i="108"/>
  <c r="C32" i="108"/>
  <c r="C28" i="108"/>
  <c r="C23" i="108"/>
  <c r="C18" i="108"/>
  <c r="C13" i="108"/>
  <c r="C71" i="108"/>
  <c r="C65" i="108"/>
  <c r="C56" i="108"/>
  <c r="C47" i="108"/>
  <c r="C35" i="108"/>
  <c r="C17" i="108"/>
  <c r="C61" i="108"/>
  <c r="C52" i="108"/>
  <c r="C43" i="108"/>
  <c r="C39" i="108"/>
  <c r="C31" i="108"/>
  <c r="C27" i="108"/>
  <c r="C22" i="108"/>
  <c r="C74" i="108"/>
  <c r="C70" i="108"/>
  <c r="C64" i="108"/>
  <c r="C60" i="108"/>
  <c r="C55" i="108"/>
  <c r="C50" i="108"/>
  <c r="C46" i="108"/>
  <c r="C42" i="108"/>
  <c r="C38" i="108"/>
  <c r="C34" i="108"/>
  <c r="C30" i="108"/>
  <c r="C26" i="108"/>
  <c r="C21" i="108"/>
  <c r="C15" i="108"/>
  <c r="C73" i="108"/>
  <c r="C63" i="108"/>
  <c r="C54" i="108"/>
  <c r="C41" i="108"/>
  <c r="C25" i="108"/>
  <c r="D62" i="108"/>
  <c r="E62" i="108" s="1"/>
  <c r="D50" i="108"/>
  <c r="E50" i="108" s="1"/>
  <c r="D40" i="108"/>
  <c r="E40" i="108" s="1"/>
  <c r="D32" i="108"/>
  <c r="E32" i="108" s="1"/>
  <c r="D28" i="108"/>
  <c r="E28" i="108" s="1"/>
  <c r="D15" i="108"/>
  <c r="E15" i="108" s="1"/>
  <c r="D73" i="108"/>
  <c r="E73" i="108" s="1"/>
  <c r="D69" i="108"/>
  <c r="E69" i="108" s="1"/>
  <c r="D58" i="108"/>
  <c r="E58" i="108" s="1"/>
  <c r="D48" i="108"/>
  <c r="E48" i="108" s="1"/>
  <c r="D44" i="108"/>
  <c r="E44" i="108" s="1"/>
  <c r="D38" i="108"/>
  <c r="E38" i="108" s="1"/>
  <c r="D34" i="108"/>
  <c r="E34" i="108" s="1"/>
  <c r="D30" i="108"/>
  <c r="E30" i="108" s="1"/>
  <c r="D26" i="108"/>
  <c r="E26" i="108" s="1"/>
  <c r="D23" i="108"/>
  <c r="E23" i="108" s="1"/>
  <c r="D21" i="108"/>
  <c r="E21" i="108" s="1"/>
  <c r="D18" i="108"/>
  <c r="E18" i="108" s="1"/>
  <c r="D13" i="108"/>
  <c r="E13" i="108" s="1"/>
  <c r="N75" i="236"/>
  <c r="N80" i="420" s="1"/>
  <c r="AO70" i="234"/>
  <c r="AO71" i="234"/>
  <c r="N73" i="236"/>
  <c r="N78" i="420" s="1"/>
  <c r="AO68" i="234"/>
  <c r="N71" i="236"/>
  <c r="N76" i="420" s="1"/>
  <c r="N66" i="236"/>
  <c r="N71" i="420" s="1"/>
  <c r="N64" i="236"/>
  <c r="N69" i="420" s="1"/>
  <c r="AO69" i="234"/>
  <c r="AO67" i="234"/>
  <c r="AO63" i="234"/>
  <c r="AO59" i="234"/>
  <c r="N62" i="236"/>
  <c r="N67" i="420" s="1"/>
  <c r="N60" i="236"/>
  <c r="N65" i="420" s="1"/>
  <c r="N57" i="236"/>
  <c r="N62" i="420" s="1"/>
  <c r="N55" i="236"/>
  <c r="N60" i="420" s="1"/>
  <c r="AO53" i="234"/>
  <c r="AO51" i="234"/>
  <c r="AO52" i="234"/>
  <c r="AO50" i="234"/>
  <c r="N53" i="236"/>
  <c r="N58" i="420" s="1"/>
  <c r="N50" i="236"/>
  <c r="N55" i="420" s="1"/>
  <c r="N48" i="236"/>
  <c r="N53" i="420" s="1"/>
  <c r="N46" i="236"/>
  <c r="N51" i="420" s="1"/>
  <c r="N44" i="236"/>
  <c r="N49" i="420" s="1"/>
  <c r="AO49" i="234"/>
  <c r="AO43" i="234"/>
  <c r="AO39" i="234"/>
  <c r="AO55" i="234"/>
  <c r="N42" i="236"/>
  <c r="N47" i="420" s="1"/>
  <c r="N40" i="236"/>
  <c r="N45" i="420" s="1"/>
  <c r="N38" i="236"/>
  <c r="N43" i="420" s="1"/>
  <c r="N36" i="236"/>
  <c r="N41" i="420" s="1"/>
  <c r="N34" i="236"/>
  <c r="N39" i="420" s="1"/>
  <c r="N32" i="236"/>
  <c r="N37" i="420" s="1"/>
  <c r="AO28" i="234"/>
  <c r="AO27" i="234"/>
  <c r="N30" i="236"/>
  <c r="N35" i="420" s="1"/>
  <c r="N28" i="236"/>
  <c r="N33" i="420" s="1"/>
  <c r="AO24" i="234"/>
  <c r="AO23" i="234"/>
  <c r="AO25" i="234"/>
  <c r="N26" i="236"/>
  <c r="N31" i="420" s="1"/>
  <c r="N23" i="236"/>
  <c r="N28" i="420" s="1"/>
  <c r="AO22" i="234"/>
  <c r="AO35" i="234"/>
  <c r="AO18" i="234"/>
  <c r="AO33" i="234"/>
  <c r="AO29" i="234"/>
  <c r="AO26" i="234"/>
  <c r="N21" i="236"/>
  <c r="N26" i="420" s="1"/>
  <c r="AO16" i="234"/>
  <c r="AO15" i="234"/>
  <c r="N18" i="236"/>
  <c r="N23" i="420" s="1"/>
  <c r="N15" i="236"/>
  <c r="N20" i="420" s="1"/>
  <c r="D71" i="108"/>
  <c r="E71" i="108" s="1"/>
  <c r="D60" i="108"/>
  <c r="E60" i="108" s="1"/>
  <c r="D53" i="108"/>
  <c r="E53" i="108" s="1"/>
  <c r="D46" i="108"/>
  <c r="E46" i="108" s="1"/>
  <c r="D36" i="108"/>
  <c r="E36" i="108" s="1"/>
  <c r="D72" i="108"/>
  <c r="E72" i="108" s="1"/>
  <c r="D65" i="108"/>
  <c r="E65" i="108" s="1"/>
  <c r="D61" i="108"/>
  <c r="E61" i="108" s="1"/>
  <c r="D59" i="108"/>
  <c r="E59" i="108" s="1"/>
  <c r="D56" i="108"/>
  <c r="E56" i="108" s="1"/>
  <c r="D54" i="108"/>
  <c r="E54" i="108" s="1"/>
  <c r="D49" i="108"/>
  <c r="E49" i="108" s="1"/>
  <c r="D47" i="108"/>
  <c r="E47" i="108" s="1"/>
  <c r="D45" i="108"/>
  <c r="E45" i="108" s="1"/>
  <c r="D43" i="108"/>
  <c r="E43" i="108" s="1"/>
  <c r="D41" i="108"/>
  <c r="E41" i="108" s="1"/>
  <c r="D39" i="108"/>
  <c r="E39" i="108" s="1"/>
  <c r="D37" i="108"/>
  <c r="E37" i="108" s="1"/>
  <c r="D35" i="108"/>
  <c r="E35" i="108" s="1"/>
  <c r="D33" i="108"/>
  <c r="E33" i="108" s="1"/>
  <c r="D31" i="108"/>
  <c r="E31" i="108" s="1"/>
  <c r="D29" i="108"/>
  <c r="E29" i="108" s="1"/>
  <c r="D27" i="108"/>
  <c r="E27" i="108" s="1"/>
  <c r="D25" i="108"/>
  <c r="E25" i="108" s="1"/>
  <c r="D22" i="108"/>
  <c r="E22" i="108" s="1"/>
  <c r="D20" i="108"/>
  <c r="E20" i="108" s="1"/>
  <c r="D17" i="108"/>
  <c r="E17" i="108" s="1"/>
  <c r="D14" i="108"/>
  <c r="E14" i="108" s="1"/>
  <c r="D64" i="108"/>
  <c r="E64" i="108" s="1"/>
  <c r="D55" i="108"/>
  <c r="E55" i="108" s="1"/>
  <c r="D42" i="108"/>
  <c r="E42" i="108" s="1"/>
  <c r="D74" i="108"/>
  <c r="E74" i="108" s="1"/>
  <c r="D70" i="108"/>
  <c r="E70" i="108" s="1"/>
  <c r="D63" i="108"/>
  <c r="E63" i="108" s="1"/>
  <c r="D52" i="108"/>
  <c r="E52" i="108" s="1"/>
  <c r="N74" i="236"/>
  <c r="N79" i="420" s="1"/>
  <c r="N72" i="236"/>
  <c r="N77" i="420" s="1"/>
  <c r="N70" i="236"/>
  <c r="N75" i="420" s="1"/>
  <c r="N65" i="236"/>
  <c r="N70" i="420" s="1"/>
  <c r="AO62" i="234"/>
  <c r="AO60" i="234"/>
  <c r="AO61" i="234"/>
  <c r="N63" i="236"/>
  <c r="N68" i="420" s="1"/>
  <c r="N61" i="236"/>
  <c r="N66" i="420" s="1"/>
  <c r="AO57" i="234"/>
  <c r="AO56" i="234"/>
  <c r="N59" i="236"/>
  <c r="N64" i="420" s="1"/>
  <c r="N56" i="236"/>
  <c r="N61" i="420" s="1"/>
  <c r="N54" i="236"/>
  <c r="N59" i="420" s="1"/>
  <c r="N51" i="236"/>
  <c r="N56" i="420" s="1"/>
  <c r="N49" i="236"/>
  <c r="N54" i="420" s="1"/>
  <c r="AO44" i="234"/>
  <c r="AO46" i="234"/>
  <c r="AO47" i="234"/>
  <c r="AO45" i="234"/>
  <c r="N47" i="236"/>
  <c r="N52" i="420" s="1"/>
  <c r="N45" i="236"/>
  <c r="N50" i="420" s="1"/>
  <c r="AO40" i="234"/>
  <c r="AO41" i="234"/>
  <c r="AO42" i="234"/>
  <c r="N43" i="236"/>
  <c r="N48" i="420" s="1"/>
  <c r="N41" i="236"/>
  <c r="N46" i="420" s="1"/>
  <c r="AO36" i="234"/>
  <c r="AO37" i="234"/>
  <c r="N39" i="236"/>
  <c r="N44" i="420" s="1"/>
  <c r="AO34" i="234"/>
  <c r="N37" i="236"/>
  <c r="N42" i="420" s="1"/>
  <c r="N35" i="236"/>
  <c r="N40" i="420" s="1"/>
  <c r="AO32" i="234"/>
  <c r="AO31" i="234"/>
  <c r="AO30" i="234"/>
  <c r="N33" i="236"/>
  <c r="N38" i="420" s="1"/>
  <c r="N31" i="236"/>
  <c r="N36" i="420" s="1"/>
  <c r="N29" i="236"/>
  <c r="N34" i="420" s="1"/>
  <c r="N27" i="236"/>
  <c r="N32" i="420" s="1"/>
  <c r="N24" i="236"/>
  <c r="N29" i="420" s="1"/>
  <c r="AO20" i="234"/>
  <c r="AO19" i="234"/>
  <c r="AO21" i="234"/>
  <c r="N22" i="236"/>
  <c r="N27" i="420" s="1"/>
  <c r="N19" i="236"/>
  <c r="N24" i="420" s="1"/>
  <c r="N16" i="236"/>
  <c r="N21" i="420" s="1"/>
  <c r="N14" i="236"/>
  <c r="N19" i="420" s="1"/>
  <c r="CF5" i="434"/>
  <c r="AM22" i="434"/>
  <c r="C12" i="108"/>
  <c r="H75" i="235"/>
  <c r="H64" i="235"/>
  <c r="H62" i="235"/>
  <c r="H60" i="235"/>
  <c r="H53" i="235"/>
  <c r="H48" i="235"/>
  <c r="H46" i="235"/>
  <c r="H42" i="235"/>
  <c r="H40" i="235"/>
  <c r="H38" i="235"/>
  <c r="H36" i="235"/>
  <c r="H34" i="235"/>
  <c r="H32" i="235"/>
  <c r="H31" i="235"/>
  <c r="H29" i="235"/>
  <c r="H27" i="235"/>
  <c r="H24" i="235"/>
  <c r="H22" i="235"/>
  <c r="H19" i="235"/>
  <c r="H14" i="235"/>
  <c r="H72" i="235"/>
  <c r="H65" i="235"/>
  <c r="H51" i="235"/>
  <c r="H47" i="235"/>
  <c r="H43" i="235"/>
  <c r="H37" i="235"/>
  <c r="H35" i="235"/>
  <c r="H33" i="235"/>
  <c r="H30" i="235"/>
  <c r="H28" i="235"/>
  <c r="H26" i="235"/>
  <c r="H23" i="235"/>
  <c r="H21" i="235"/>
  <c r="H18" i="235"/>
  <c r="H15" i="235"/>
  <c r="H41" i="235"/>
  <c r="H16" i="235"/>
  <c r="H61" i="235"/>
  <c r="H74" i="235"/>
  <c r="H73" i="235"/>
  <c r="H71" i="235"/>
  <c r="H70" i="235"/>
  <c r="H66" i="235"/>
  <c r="H63" i="235"/>
  <c r="H59" i="235"/>
  <c r="H39" i="235"/>
  <c r="H57" i="235"/>
  <c r="H56" i="235"/>
  <c r="H55" i="235"/>
  <c r="H54" i="235"/>
  <c r="H50" i="235"/>
  <c r="H49" i="235"/>
  <c r="H45" i="235"/>
  <c r="H44" i="235"/>
  <c r="F12" i="234"/>
  <c r="E16" i="236" s="1"/>
  <c r="F11" i="234"/>
  <c r="E15" i="236" s="1"/>
  <c r="F10" i="234"/>
  <c r="E14" i="236" s="1"/>
  <c r="F16" i="234"/>
  <c r="E20" i="236" s="1"/>
  <c r="F15" i="234"/>
  <c r="E19" i="236" s="1"/>
  <c r="CG5" i="434" l="1"/>
  <c r="AN22" i="434"/>
  <c r="BA2" i="238"/>
  <c r="O5" i="238"/>
  <c r="E220" i="2"/>
  <c r="F220" i="2"/>
  <c r="D220" i="2"/>
  <c r="C220" i="2"/>
  <c r="N6" i="420"/>
  <c r="N4" i="420"/>
  <c r="B212" i="2"/>
  <c r="V6" i="234"/>
  <c r="V7" i="234"/>
  <c r="V8" i="234"/>
  <c r="V9" i="234"/>
  <c r="V10" i="234"/>
  <c r="V11" i="234"/>
  <c r="V12" i="234"/>
  <c r="V14" i="234"/>
  <c r="V15" i="234"/>
  <c r="V17" i="234"/>
  <c r="V18" i="234"/>
  <c r="V19" i="234"/>
  <c r="V20" i="234"/>
  <c r="V22" i="234"/>
  <c r="V23" i="234"/>
  <c r="V24" i="234"/>
  <c r="V25" i="234"/>
  <c r="V26" i="234"/>
  <c r="V28" i="234"/>
  <c r="V29" i="234"/>
  <c r="V30" i="234"/>
  <c r="V31" i="234"/>
  <c r="V32" i="234"/>
  <c r="V33" i="234"/>
  <c r="V34" i="234"/>
  <c r="V35" i="234"/>
  <c r="K11" i="420"/>
  <c r="H10" i="420"/>
  <c r="F10" i="420"/>
  <c r="B11" i="420"/>
  <c r="B10" i="420"/>
  <c r="A4" i="420"/>
  <c r="N1" i="420"/>
  <c r="A296" i="5"/>
  <c r="I225" i="5"/>
  <c r="I193" i="5"/>
  <c r="AF3" i="5"/>
  <c r="AE3" i="5"/>
  <c r="C13" i="26"/>
  <c r="C13" i="27" s="1"/>
  <c r="B7" i="108"/>
  <c r="B8" i="108"/>
  <c r="C42" i="27"/>
  <c r="C43" i="27"/>
  <c r="C19" i="26"/>
  <c r="C19" i="27" s="1"/>
  <c r="C20" i="26"/>
  <c r="C20" i="27" s="1"/>
  <c r="A86" i="5"/>
  <c r="A12" i="5"/>
  <c r="B12" i="5" s="1"/>
  <c r="AC5" i="234"/>
  <c r="H14" i="420" s="1"/>
  <c r="AC3" i="234"/>
  <c r="H12" i="420" s="1"/>
  <c r="AC4" i="234"/>
  <c r="AL4" i="234"/>
  <c r="AL5" i="234"/>
  <c r="AL6" i="234"/>
  <c r="AL7" i="234"/>
  <c r="AL8" i="234"/>
  <c r="AL9" i="234"/>
  <c r="E7" i="234"/>
  <c r="D11" i="236" s="1"/>
  <c r="E6" i="234"/>
  <c r="D10" i="236" s="1"/>
  <c r="AM9" i="234"/>
  <c r="AO13" i="234" s="1"/>
  <c r="AM7" i="234"/>
  <c r="C6" i="234"/>
  <c r="A45" i="434" s="1"/>
  <c r="C7" i="234"/>
  <c r="C8" i="234"/>
  <c r="AM6" i="234"/>
  <c r="C49" i="2"/>
  <c r="AK4" i="5"/>
  <c r="AK5" i="5"/>
  <c r="AK6" i="5"/>
  <c r="AK7" i="5"/>
  <c r="AK8" i="5"/>
  <c r="C14" i="27"/>
  <c r="V39" i="234"/>
  <c r="V42" i="234"/>
  <c r="E5" i="234"/>
  <c r="D9" i="236" s="1"/>
  <c r="A188" i="5"/>
  <c r="C188" i="5" s="1"/>
  <c r="D188" i="5" s="1"/>
  <c r="V46" i="234"/>
  <c r="V27" i="234"/>
  <c r="V45" i="234"/>
  <c r="V41" i="234"/>
  <c r="V38" i="234"/>
  <c r="V44" i="234"/>
  <c r="V40" i="234"/>
  <c r="V37" i="234"/>
  <c r="V43" i="234"/>
  <c r="V36" i="234"/>
  <c r="CD4" i="236"/>
  <c r="G4" i="455" s="1"/>
  <c r="AV95" i="236"/>
  <c r="AV89" i="236"/>
  <c r="BG3" i="238"/>
  <c r="K4" i="235"/>
  <c r="L4" i="235" s="1"/>
  <c r="AQ4" i="235" s="1"/>
  <c r="AQ3" i="235" s="1"/>
  <c r="V49" i="234"/>
  <c r="V47" i="234"/>
  <c r="H3" i="26"/>
  <c r="A1" i="27"/>
  <c r="A192" i="5"/>
  <c r="J193" i="5"/>
  <c r="F193" i="5"/>
  <c r="F194" i="5" s="1"/>
  <c r="D8" i="235"/>
  <c r="E8" i="235"/>
  <c r="G8" i="235"/>
  <c r="C9" i="235"/>
  <c r="D9" i="235"/>
  <c r="E9" i="235"/>
  <c r="G9" i="235"/>
  <c r="C8" i="235"/>
  <c r="C112" i="2"/>
  <c r="AO2" i="238"/>
  <c r="AN2" i="238"/>
  <c r="C62" i="2" s="1"/>
  <c r="Z2" i="5"/>
  <c r="Y4" i="5"/>
  <c r="Y5" i="5" s="1"/>
  <c r="K16" i="2"/>
  <c r="L16" i="2" s="1"/>
  <c r="AN1" i="454" s="1"/>
  <c r="AV1" i="238"/>
  <c r="AU1" i="238"/>
  <c r="CD1" i="236"/>
  <c r="AY84" i="236"/>
  <c r="AG3" i="5"/>
  <c r="AH3" i="5"/>
  <c r="AI3" i="5"/>
  <c r="AJ3" i="5"/>
  <c r="I121" i="2"/>
  <c r="I120" i="2"/>
  <c r="I119" i="2"/>
  <c r="I122" i="2"/>
  <c r="AM3" i="234"/>
  <c r="C111" i="2"/>
  <c r="B4" i="454" s="1"/>
  <c r="AS1" i="238"/>
  <c r="AR1" i="238"/>
  <c r="Y1" i="108"/>
  <c r="X1" i="108"/>
  <c r="C46" i="2"/>
  <c r="AC2" i="234"/>
  <c r="H11" i="420" s="1"/>
  <c r="AL3" i="234"/>
  <c r="C4" i="234"/>
  <c r="C5" i="234"/>
  <c r="A44" i="434" s="1"/>
  <c r="F4" i="234"/>
  <c r="E8" i="236" s="1"/>
  <c r="E4" i="234"/>
  <c r="F3" i="234"/>
  <c r="E7" i="236" s="1"/>
  <c r="A3" i="234"/>
  <c r="A3" i="456" s="1"/>
  <c r="B7" i="2"/>
  <c r="B3" i="450" s="1"/>
  <c r="E2" i="238"/>
  <c r="E3" i="238" s="1"/>
  <c r="O6" i="238"/>
  <c r="L2" i="238" s="1"/>
  <c r="D26" i="2"/>
  <c r="D3" i="459" s="1"/>
  <c r="D28" i="2"/>
  <c r="D29" i="2"/>
  <c r="H6" i="236"/>
  <c r="M6" i="236" s="1"/>
  <c r="A119" i="2"/>
  <c r="G6" i="236"/>
  <c r="P3" i="108"/>
  <c r="Q3" i="108" s="1"/>
  <c r="R3" i="108" s="1"/>
  <c r="C5" i="235"/>
  <c r="E6" i="235"/>
  <c r="G6" i="235"/>
  <c r="D7" i="235"/>
  <c r="E7" i="235"/>
  <c r="G7" i="235"/>
  <c r="N6" i="238"/>
  <c r="C144" i="2"/>
  <c r="C143" i="2"/>
  <c r="C9" i="2"/>
  <c r="D187" i="5"/>
  <c r="E6" i="236"/>
  <c r="C3" i="234"/>
  <c r="C50" i="2"/>
  <c r="V13" i="26"/>
  <c r="B6" i="108"/>
  <c r="F6" i="27"/>
  <c r="B43" i="2"/>
  <c r="C48" i="2"/>
  <c r="C258" i="5"/>
  <c r="B258" i="5" s="1"/>
  <c r="C259" i="5"/>
  <c r="B259" i="5" s="1"/>
  <c r="C260" i="5"/>
  <c r="B260" i="5" s="1"/>
  <c r="C261" i="5"/>
  <c r="B261" i="5" s="1"/>
  <c r="C262" i="5"/>
  <c r="B262" i="5" s="1"/>
  <c r="C263" i="5"/>
  <c r="B263" i="5" s="1"/>
  <c r="B13" i="26"/>
  <c r="A1" i="26"/>
  <c r="C280" i="5"/>
  <c r="C290" i="5" s="1"/>
  <c r="B290" i="5" s="1"/>
  <c r="Q20" i="2"/>
  <c r="P1" i="432" s="1"/>
  <c r="O4" i="238"/>
  <c r="D2" i="238"/>
  <c r="P4" i="238"/>
  <c r="P3" i="238"/>
  <c r="J3" i="238"/>
  <c r="I3" i="238"/>
  <c r="A3" i="238"/>
  <c r="A6" i="459" s="1"/>
  <c r="E6" i="459" s="1"/>
  <c r="I2" i="238"/>
  <c r="B6" i="235"/>
  <c r="C257" i="5"/>
  <c r="B257" i="5" s="1"/>
  <c r="C256" i="5"/>
  <c r="B256" i="5" s="1"/>
  <c r="D30" i="2"/>
  <c r="D31" i="2"/>
  <c r="I3" i="26"/>
  <c r="C5" i="108"/>
  <c r="B5" i="108"/>
  <c r="C89" i="2"/>
  <c r="A5" i="108"/>
  <c r="A6" i="108" s="1"/>
  <c r="A7" i="108" s="1"/>
  <c r="A8" i="108" s="1"/>
  <c r="A9" i="108" s="1"/>
  <c r="A10" i="108" s="1"/>
  <c r="A11" i="108" s="1"/>
  <c r="A12" i="108" s="1"/>
  <c r="A13" i="108" s="1"/>
  <c r="A14" i="108" s="1"/>
  <c r="A15" i="108" s="1"/>
  <c r="C1" i="189"/>
  <c r="C5" i="236"/>
  <c r="C6" i="236"/>
  <c r="E5" i="235"/>
  <c r="U13" i="26"/>
  <c r="Q3" i="26"/>
  <c r="R3" i="26"/>
  <c r="S3" i="26"/>
  <c r="J3" i="26"/>
  <c r="K3" i="26"/>
  <c r="L3" i="26"/>
  <c r="M3" i="26"/>
  <c r="N3" i="26"/>
  <c r="O3" i="26"/>
  <c r="P3" i="26"/>
  <c r="C44" i="2"/>
  <c r="E4" i="108"/>
  <c r="C8" i="2"/>
  <c r="B37" i="459" s="1"/>
  <c r="J6" i="236"/>
  <c r="I6" i="236"/>
  <c r="F6" i="236"/>
  <c r="N6" i="236" s="1"/>
  <c r="N11" i="420" s="1"/>
  <c r="D6" i="236"/>
  <c r="B6" i="236"/>
  <c r="J5" i="236"/>
  <c r="I5" i="236"/>
  <c r="H5" i="236"/>
  <c r="G5" i="236"/>
  <c r="F5" i="236"/>
  <c r="E5" i="236"/>
  <c r="D5" i="236"/>
  <c r="B5" i="236"/>
  <c r="N1" i="236"/>
  <c r="G5" i="235"/>
  <c r="B5" i="235"/>
  <c r="H1" i="235"/>
  <c r="C59" i="2"/>
  <c r="B60" i="2" s="1"/>
  <c r="E51" i="2"/>
  <c r="C51" i="2"/>
  <c r="B11" i="2"/>
  <c r="B1" i="189"/>
  <c r="G13" i="2"/>
  <c r="B19" i="2"/>
  <c r="C202" i="2"/>
  <c r="D202" i="2"/>
  <c r="AT1" i="238"/>
  <c r="D98" i="2"/>
  <c r="D17" i="2"/>
  <c r="D5" i="108"/>
  <c r="J5" i="108" s="1"/>
  <c r="H6" i="235"/>
  <c r="B5" i="5"/>
  <c r="D62" i="2"/>
  <c r="D126" i="2"/>
  <c r="AR5" i="5" l="1"/>
  <c r="AT5" i="5" s="1"/>
  <c r="B61" i="5"/>
  <c r="B76" i="5"/>
  <c r="B60" i="5"/>
  <c r="B162" i="5"/>
  <c r="B67" i="5"/>
  <c r="B51" i="5"/>
  <c r="B70" i="5"/>
  <c r="B54" i="5"/>
  <c r="B73" i="5"/>
  <c r="B57" i="5"/>
  <c r="B72" i="5"/>
  <c r="B56" i="5"/>
  <c r="B63" i="5"/>
  <c r="B78" i="5"/>
  <c r="B66" i="5"/>
  <c r="B81" i="5"/>
  <c r="B157" i="5"/>
  <c r="B69" i="5"/>
  <c r="B53" i="5"/>
  <c r="B68" i="5"/>
  <c r="B52" i="5"/>
  <c r="B75" i="5"/>
  <c r="B59" i="5"/>
  <c r="B161" i="5"/>
  <c r="B62" i="5"/>
  <c r="B77" i="5"/>
  <c r="B155" i="5"/>
  <c r="B65" i="5"/>
  <c r="B80" i="5"/>
  <c r="B64" i="5"/>
  <c r="B79" i="5"/>
  <c r="B71" i="5"/>
  <c r="B55" i="5"/>
  <c r="B74" i="5"/>
  <c r="B58" i="5"/>
  <c r="B156" i="5"/>
  <c r="AP48" i="234"/>
  <c r="AQ48" i="234" s="1"/>
  <c r="AP54" i="234"/>
  <c r="AQ54" i="234" s="1"/>
  <c r="A16" i="108"/>
  <c r="A17" i="108" s="1"/>
  <c r="A18" i="108" s="1"/>
  <c r="A19" i="108" s="1"/>
  <c r="A20" i="108" s="1"/>
  <c r="A21" i="108" s="1"/>
  <c r="A22" i="108" s="1"/>
  <c r="A23" i="108" s="1"/>
  <c r="A24" i="108" s="1"/>
  <c r="A25" i="108" s="1"/>
  <c r="A26" i="108" s="1"/>
  <c r="A27" i="108" s="1"/>
  <c r="A28" i="108" s="1"/>
  <c r="A29" i="108" s="1"/>
  <c r="A30" i="108" s="1"/>
  <c r="A31" i="108" s="1"/>
  <c r="A32" i="108" s="1"/>
  <c r="A33" i="108" s="1"/>
  <c r="A34" i="108" s="1"/>
  <c r="A35" i="108" s="1"/>
  <c r="A36" i="108" s="1"/>
  <c r="A37" i="108" s="1"/>
  <c r="A38" i="108" s="1"/>
  <c r="A39" i="108" s="1"/>
  <c r="A40" i="108" s="1"/>
  <c r="A41" i="108" s="1"/>
  <c r="A42" i="108" s="1"/>
  <c r="A43" i="108" s="1"/>
  <c r="A44" i="108" s="1"/>
  <c r="A45" i="108" s="1"/>
  <c r="A46" i="108" s="1"/>
  <c r="A47" i="108" s="1"/>
  <c r="A48" i="108" s="1"/>
  <c r="A49" i="108" s="1"/>
  <c r="A50" i="108" s="1"/>
  <c r="A51" i="108" s="1"/>
  <c r="A52" i="108" s="1"/>
  <c r="A53" i="108" s="1"/>
  <c r="A54" i="108" s="1"/>
  <c r="A55" i="108" s="1"/>
  <c r="A56" i="108" s="1"/>
  <c r="A57" i="108" s="1"/>
  <c r="A58" i="108" s="1"/>
  <c r="A27" i="437"/>
  <c r="A46" i="434"/>
  <c r="A28" i="437"/>
  <c r="A47" i="434"/>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B23" i="5"/>
  <c r="B122" i="5"/>
  <c r="B123" i="5"/>
  <c r="B24" i="5"/>
  <c r="AR23" i="5"/>
  <c r="AR13" i="5"/>
  <c r="AR21" i="5"/>
  <c r="AR16" i="5"/>
  <c r="AR19" i="5"/>
  <c r="AR11" i="5"/>
  <c r="AR9" i="5"/>
  <c r="AR17" i="5"/>
  <c r="AR12" i="5"/>
  <c r="AR22" i="5"/>
  <c r="AR14" i="5"/>
  <c r="AR15" i="5"/>
  <c r="AR24" i="5"/>
  <c r="AR8" i="5"/>
  <c r="AR10" i="5"/>
  <c r="AR25" i="5"/>
  <c r="AR18" i="5"/>
  <c r="AR20" i="5"/>
  <c r="AR7" i="5"/>
  <c r="AR6" i="5"/>
  <c r="AX5" i="5"/>
  <c r="AU5" i="5"/>
  <c r="AV5" i="5" s="1"/>
  <c r="AW5" i="5" s="1"/>
  <c r="AS5" i="5"/>
  <c r="H12" i="5" a="1"/>
  <c r="H12" i="5" s="1"/>
  <c r="E22" i="436" s="1"/>
  <c r="DK47" i="434"/>
  <c r="AP13" i="234"/>
  <c r="AQ13" i="234" s="1"/>
  <c r="B117" i="5"/>
  <c r="B146" i="5"/>
  <c r="B149" i="5"/>
  <c r="B164" i="5"/>
  <c r="B167" i="5"/>
  <c r="B175" i="5"/>
  <c r="B145" i="5"/>
  <c r="B129" i="5"/>
  <c r="B160" i="5"/>
  <c r="B174" i="5"/>
  <c r="B148" i="5"/>
  <c r="B132" i="5"/>
  <c r="B166" i="5"/>
  <c r="B143" i="5"/>
  <c r="B127" i="5"/>
  <c r="B172" i="5"/>
  <c r="B134" i="5"/>
  <c r="B141" i="5"/>
  <c r="B125" i="5"/>
  <c r="B147" i="5"/>
  <c r="B159" i="5"/>
  <c r="B144" i="5"/>
  <c r="B128" i="5"/>
  <c r="B177" i="5"/>
  <c r="B163" i="5"/>
  <c r="B139" i="5"/>
  <c r="B168" i="5"/>
  <c r="B152" i="5"/>
  <c r="B130" i="5"/>
  <c r="B151" i="5"/>
  <c r="B150" i="5"/>
  <c r="B137" i="5"/>
  <c r="B124" i="5"/>
  <c r="B153" i="5"/>
  <c r="B115" i="5"/>
  <c r="B176" i="5"/>
  <c r="B138" i="5"/>
  <c r="B133" i="5"/>
  <c r="B119" i="5"/>
  <c r="B173" i="5"/>
  <c r="B135" i="5"/>
  <c r="B165" i="5"/>
  <c r="B126" i="5"/>
  <c r="B171" i="5"/>
  <c r="B140" i="5"/>
  <c r="B169" i="5"/>
  <c r="B170" i="5"/>
  <c r="B120" i="5"/>
  <c r="B154" i="5"/>
  <c r="B136" i="5"/>
  <c r="B158" i="5"/>
  <c r="B142" i="5"/>
  <c r="B116" i="5"/>
  <c r="E116" i="5" s="1"/>
  <c r="F45" i="26" s="1"/>
  <c r="B131" i="5"/>
  <c r="B121" i="5"/>
  <c r="B118" i="5"/>
  <c r="E118" i="5" s="1"/>
  <c r="F47" i="26" s="1"/>
  <c r="D8" i="236"/>
  <c r="L248" i="5"/>
  <c r="B99" i="5"/>
  <c r="B36" i="5"/>
  <c r="B19" i="5"/>
  <c r="B45" i="5"/>
  <c r="B47" i="5"/>
  <c r="B31" i="5"/>
  <c r="B14" i="5"/>
  <c r="DK49" i="434" s="1"/>
  <c r="B101" i="5"/>
  <c r="B29" i="5"/>
  <c r="B50" i="5"/>
  <c r="B34" i="5"/>
  <c r="B17" i="5"/>
  <c r="DK52" i="434" s="1"/>
  <c r="B96" i="5"/>
  <c r="B95" i="5"/>
  <c r="B241" i="5"/>
  <c r="D241" i="5" s="1"/>
  <c r="B233" i="5"/>
  <c r="D233" i="5" s="1"/>
  <c r="B298" i="5"/>
  <c r="B313" i="5"/>
  <c r="B25" i="451" s="1"/>
  <c r="A25" i="451" s="1"/>
  <c r="L244" i="5"/>
  <c r="L236" i="5"/>
  <c r="L228" i="5"/>
  <c r="B312" i="5"/>
  <c r="B24" i="451" s="1"/>
  <c r="A24" i="451" s="1"/>
  <c r="B244" i="5"/>
  <c r="D244" i="5" s="1"/>
  <c r="B236" i="5"/>
  <c r="D236" i="5" s="1"/>
  <c r="B228" i="5"/>
  <c r="D228" i="5" s="1"/>
  <c r="F6" i="458" s="1"/>
  <c r="B17" i="457" s="1"/>
  <c r="B311" i="5"/>
  <c r="B23" i="451" s="1"/>
  <c r="A23" i="451" s="1"/>
  <c r="L241" i="5"/>
  <c r="L233" i="5"/>
  <c r="B299" i="5"/>
  <c r="B11" i="451" s="1"/>
  <c r="A11" i="451" s="1"/>
  <c r="B314" i="5"/>
  <c r="B26" i="451" s="1"/>
  <c r="A26" i="451" s="1"/>
  <c r="B319" i="5"/>
  <c r="B31" i="451" s="1"/>
  <c r="B8" i="5"/>
  <c r="K246" i="5"/>
  <c r="K245" i="5"/>
  <c r="K244" i="5"/>
  <c r="K231" i="5"/>
  <c r="K229" i="5"/>
  <c r="K230" i="5"/>
  <c r="K237" i="5"/>
  <c r="K234" i="5"/>
  <c r="B49" i="5"/>
  <c r="B48" i="5"/>
  <c r="B32" i="5"/>
  <c r="B15" i="5"/>
  <c r="B33" i="5"/>
  <c r="B43" i="5"/>
  <c r="B27" i="5"/>
  <c r="B92" i="5"/>
  <c r="B97" i="5"/>
  <c r="B16" i="5"/>
  <c r="B46" i="5"/>
  <c r="B30" i="5"/>
  <c r="B91" i="5"/>
  <c r="K239" i="5"/>
  <c r="B231" i="5"/>
  <c r="D231" i="5" s="1"/>
  <c r="L249" i="5"/>
  <c r="B309" i="5"/>
  <c r="B21" i="451" s="1"/>
  <c r="A21" i="451" s="1"/>
  <c r="L242" i="5"/>
  <c r="L234" i="5"/>
  <c r="L226" i="5"/>
  <c r="B308" i="5"/>
  <c r="B20" i="451" s="1"/>
  <c r="A20" i="451" s="1"/>
  <c r="B242" i="5"/>
  <c r="D242" i="5" s="1"/>
  <c r="B234" i="5"/>
  <c r="D234" i="5" s="1"/>
  <c r="L251" i="5"/>
  <c r="B307" i="5"/>
  <c r="B19" i="451" s="1"/>
  <c r="A19" i="451" s="1"/>
  <c r="L239" i="5"/>
  <c r="L231" i="5"/>
  <c r="L250" i="5"/>
  <c r="B310" i="5"/>
  <c r="B22" i="451" s="1"/>
  <c r="A22" i="451" s="1"/>
  <c r="K227" i="5"/>
  <c r="K240" i="5"/>
  <c r="K236" i="5"/>
  <c r="K241" i="5"/>
  <c r="K242" i="5"/>
  <c r="B7" i="5"/>
  <c r="B106" i="5"/>
  <c r="B98" i="5"/>
  <c r="K228" i="5"/>
  <c r="K238" i="5"/>
  <c r="K233" i="5"/>
  <c r="B102" i="5"/>
  <c r="B25" i="5"/>
  <c r="B44" i="5"/>
  <c r="B28" i="5"/>
  <c r="B93" i="5"/>
  <c r="B20" i="5"/>
  <c r="B39" i="5"/>
  <c r="B22" i="5"/>
  <c r="B88" i="5"/>
  <c r="A5" i="458" s="1"/>
  <c r="B114" i="5"/>
  <c r="B103" i="5"/>
  <c r="B42" i="5"/>
  <c r="B26" i="5"/>
  <c r="B104" i="5"/>
  <c r="B37" i="5"/>
  <c r="B237" i="5"/>
  <c r="D237" i="5" s="1"/>
  <c r="B229" i="5"/>
  <c r="D229" i="5" s="1"/>
  <c r="L246" i="5"/>
  <c r="B305" i="5"/>
  <c r="B17" i="451" s="1"/>
  <c r="A17" i="451" s="1"/>
  <c r="L240" i="5"/>
  <c r="L232" i="5"/>
  <c r="B246" i="5"/>
  <c r="D246" i="5" s="1"/>
  <c r="B304" i="5"/>
  <c r="B16" i="451" s="1"/>
  <c r="A16" i="451" s="1"/>
  <c r="B240" i="5"/>
  <c r="D240" i="5" s="1"/>
  <c r="B232" i="5"/>
  <c r="D232" i="5" s="1"/>
  <c r="L245" i="5"/>
  <c r="B303" i="5"/>
  <c r="B15" i="451" s="1"/>
  <c r="A15" i="451" s="1"/>
  <c r="L237" i="5"/>
  <c r="L229" i="5"/>
  <c r="L247" i="5"/>
  <c r="B306" i="5"/>
  <c r="B18" i="451" s="1"/>
  <c r="A18" i="451" s="1"/>
  <c r="B320" i="5"/>
  <c r="B32" i="451" s="1"/>
  <c r="B9" i="5"/>
  <c r="DK44" i="434" s="1"/>
  <c r="K235" i="5"/>
  <c r="K232" i="5"/>
  <c r="B90" i="5"/>
  <c r="B40" i="5"/>
  <c r="B89" i="5"/>
  <c r="C89" i="5" s="1"/>
  <c r="B107" i="5"/>
  <c r="B35" i="5"/>
  <c r="B18" i="5"/>
  <c r="DK53" i="434" s="1"/>
  <c r="B105" i="5"/>
  <c r="B41" i="5"/>
  <c r="B38" i="5"/>
  <c r="B21" i="5"/>
  <c r="B100" i="5"/>
  <c r="B94" i="5"/>
  <c r="K243" i="5"/>
  <c r="B235" i="5"/>
  <c r="D235" i="5" s="1"/>
  <c r="B227" i="5"/>
  <c r="D227" i="5" s="1"/>
  <c r="F5" i="458" s="1"/>
  <c r="B16" i="457" s="1"/>
  <c r="B317" i="5"/>
  <c r="B29" i="451" s="1"/>
  <c r="A29" i="451" s="1"/>
  <c r="B301" i="5"/>
  <c r="B13" i="451" s="1"/>
  <c r="A13" i="451" s="1"/>
  <c r="L238" i="5"/>
  <c r="L230" i="5"/>
  <c r="B316" i="5"/>
  <c r="B28" i="451" s="1"/>
  <c r="A28" i="451" s="1"/>
  <c r="B300" i="5"/>
  <c r="B12" i="451" s="1"/>
  <c r="A12" i="451" s="1"/>
  <c r="B238" i="5"/>
  <c r="D238" i="5" s="1"/>
  <c r="B230" i="5"/>
  <c r="D230" i="5" s="1"/>
  <c r="B315" i="5"/>
  <c r="B27" i="451" s="1"/>
  <c r="A27" i="451" s="1"/>
  <c r="L243" i="5"/>
  <c r="L235" i="5"/>
  <c r="L227" i="5"/>
  <c r="B245" i="5"/>
  <c r="D245" i="5" s="1"/>
  <c r="B302" i="5"/>
  <c r="B14" i="451" s="1"/>
  <c r="A14" i="451" s="1"/>
  <c r="B318" i="5"/>
  <c r="B30" i="451" s="1"/>
  <c r="B250" i="5"/>
  <c r="D250" i="5" s="1"/>
  <c r="B321" i="5"/>
  <c r="B33" i="451" s="1"/>
  <c r="K247" i="5"/>
  <c r="B248" i="5"/>
  <c r="D248" i="5" s="1"/>
  <c r="K250" i="5"/>
  <c r="K251" i="5"/>
  <c r="B239" i="5"/>
  <c r="D239" i="5" s="1"/>
  <c r="B243" i="5"/>
  <c r="D243" i="5" s="1"/>
  <c r="B322" i="5"/>
  <c r="B34" i="451" s="1"/>
  <c r="B249" i="5"/>
  <c r="D249" i="5" s="1"/>
  <c r="K249" i="5"/>
  <c r="K248" i="5"/>
  <c r="B247" i="5"/>
  <c r="D247" i="5" s="1"/>
  <c r="B251" i="5"/>
  <c r="D251" i="5" s="1"/>
  <c r="E115" i="5"/>
  <c r="F44" i="26" s="1"/>
  <c r="AV90" i="236"/>
  <c r="AW90" i="236" s="1"/>
  <c r="BA5" i="238" a="1"/>
  <c r="BA5" i="238" s="1"/>
  <c r="BA13" i="238" a="1"/>
  <c r="BA13" i="238" s="1"/>
  <c r="BA19" i="238" a="1"/>
  <c r="BA19" i="238" s="1"/>
  <c r="BA25" i="238" a="1"/>
  <c r="BA25" i="238" s="1"/>
  <c r="BA31" i="238" a="1"/>
  <c r="BA31" i="238" s="1"/>
  <c r="BA4" i="238" a="1"/>
  <c r="BA4" i="238" s="1"/>
  <c r="BA6" i="238" a="1"/>
  <c r="BA6" i="238" s="1"/>
  <c r="BA8" i="238" a="1"/>
  <c r="BA8" i="238" s="1"/>
  <c r="BA10" i="238" a="1"/>
  <c r="BA10" i="238" s="1"/>
  <c r="BA12" i="238" a="1"/>
  <c r="BA12" i="238" s="1"/>
  <c r="BA14" i="238" a="1"/>
  <c r="BA14" i="238" s="1"/>
  <c r="BA16" i="238" a="1"/>
  <c r="BA16" i="238" s="1"/>
  <c r="BA18" i="238" a="1"/>
  <c r="BA18" i="238" s="1"/>
  <c r="BA20" i="238" a="1"/>
  <c r="BA20" i="238" s="1"/>
  <c r="BA22" i="238" a="1"/>
  <c r="BA22" i="238" s="1"/>
  <c r="BA24" i="238" a="1"/>
  <c r="BA24" i="238" s="1"/>
  <c r="BA26" i="238" a="1"/>
  <c r="BA26" i="238" s="1"/>
  <c r="BA28" i="238" a="1"/>
  <c r="BA28" i="238" s="1"/>
  <c r="BA30" i="238" a="1"/>
  <c r="BA30" i="238" s="1"/>
  <c r="BA32" i="238" a="1"/>
  <c r="BA32" i="238" s="1"/>
  <c r="BA7" i="238" a="1"/>
  <c r="BA7" i="238" s="1"/>
  <c r="BA9" i="238" a="1"/>
  <c r="BA9" i="238" s="1"/>
  <c r="BA11" i="238" a="1"/>
  <c r="BA11" i="238" s="1"/>
  <c r="BA15" i="238" a="1"/>
  <c r="BA15" i="238" s="1"/>
  <c r="BA17" i="238" a="1"/>
  <c r="BA17" i="238" s="1"/>
  <c r="BA21" i="238" a="1"/>
  <c r="BA21" i="238" s="1"/>
  <c r="BA23" i="238" a="1"/>
  <c r="BA23" i="238" s="1"/>
  <c r="BA27" i="238" a="1"/>
  <c r="BA27" i="238" s="1"/>
  <c r="BA29" i="238" a="1"/>
  <c r="BA29" i="238" s="1"/>
  <c r="BA3" i="238" a="1"/>
  <c r="BA3" i="238" s="1"/>
  <c r="D7" i="108"/>
  <c r="E7" i="108" s="1"/>
  <c r="AO10" i="234"/>
  <c r="AO12" i="234"/>
  <c r="AO11" i="234"/>
  <c r="N13" i="236"/>
  <c r="N18" i="420" s="1"/>
  <c r="D10" i="108"/>
  <c r="E10" i="108" s="1"/>
  <c r="N10" i="236"/>
  <c r="N15" i="420" s="1"/>
  <c r="N11" i="236"/>
  <c r="N16" i="420" s="1"/>
  <c r="D8" i="108"/>
  <c r="E8" i="108" s="1"/>
  <c r="C226" i="5"/>
  <c r="C13" i="5"/>
  <c r="C87" i="5"/>
  <c r="C297" i="5"/>
  <c r="AO4" i="234"/>
  <c r="AO14" i="234"/>
  <c r="AO9" i="234"/>
  <c r="E226" i="5"/>
  <c r="G226" i="5" s="1"/>
  <c r="E87" i="5"/>
  <c r="C4" i="458" s="1"/>
  <c r="E13" i="5"/>
  <c r="E297" i="5"/>
  <c r="G297" i="5" s="1"/>
  <c r="H6" i="453"/>
  <c r="B8" i="455"/>
  <c r="B22" i="455"/>
  <c r="AP69" i="234"/>
  <c r="AQ69" i="234" s="1"/>
  <c r="AP63" i="234"/>
  <c r="AQ63" i="234" s="1"/>
  <c r="AP60" i="234"/>
  <c r="AQ60" i="234" s="1"/>
  <c r="AP55" i="234"/>
  <c r="AQ55" i="234" s="1"/>
  <c r="AP51" i="234"/>
  <c r="AQ51" i="234" s="1"/>
  <c r="AP45" i="234"/>
  <c r="AQ45" i="234" s="1"/>
  <c r="AP42" i="234"/>
  <c r="AQ42" i="234" s="1"/>
  <c r="AP37" i="234"/>
  <c r="AQ37" i="234" s="1"/>
  <c r="AP34" i="234"/>
  <c r="AQ34" i="234" s="1"/>
  <c r="AP29" i="234"/>
  <c r="AQ29" i="234" s="1"/>
  <c r="AP26" i="234"/>
  <c r="AQ26" i="234" s="1"/>
  <c r="AP21" i="234"/>
  <c r="AQ21" i="234" s="1"/>
  <c r="AP18" i="234"/>
  <c r="AQ18" i="234" s="1"/>
  <c r="AP12" i="234"/>
  <c r="AQ12" i="234" s="1"/>
  <c r="AP9" i="234"/>
  <c r="AQ9" i="234" s="1"/>
  <c r="AP4" i="234"/>
  <c r="AQ4" i="234" s="1"/>
  <c r="AP71" i="234"/>
  <c r="AQ71" i="234" s="1"/>
  <c r="AP68" i="234"/>
  <c r="AQ68" i="234" s="1"/>
  <c r="AP65" i="234"/>
  <c r="AQ65" i="234" s="1"/>
  <c r="AP62" i="234"/>
  <c r="AQ62" i="234" s="1"/>
  <c r="AP57" i="234"/>
  <c r="AQ57" i="234" s="1"/>
  <c r="AP53" i="234"/>
  <c r="AQ53" i="234" s="1"/>
  <c r="AP47" i="234"/>
  <c r="AQ47" i="234" s="1"/>
  <c r="AP44" i="234"/>
  <c r="AQ44" i="234" s="1"/>
  <c r="AP39" i="234"/>
  <c r="AQ39" i="234" s="1"/>
  <c r="AP36" i="234"/>
  <c r="AQ36" i="234" s="1"/>
  <c r="AP31" i="234"/>
  <c r="AQ31" i="234" s="1"/>
  <c r="AP28" i="234"/>
  <c r="AQ28" i="234" s="1"/>
  <c r="AP23" i="234"/>
  <c r="AQ23" i="234" s="1"/>
  <c r="AP20" i="234"/>
  <c r="AQ20" i="234" s="1"/>
  <c r="AP15" i="234"/>
  <c r="AQ15" i="234" s="1"/>
  <c r="AP11" i="234"/>
  <c r="AQ11" i="234" s="1"/>
  <c r="AP6" i="234"/>
  <c r="AQ6" i="234" s="1"/>
  <c r="AP70" i="234"/>
  <c r="AQ70" i="234" s="1"/>
  <c r="AP67" i="234"/>
  <c r="AQ67" i="234" s="1"/>
  <c r="AP64" i="234"/>
  <c r="AQ64" i="234" s="1"/>
  <c r="AP59" i="234"/>
  <c r="AQ59" i="234" s="1"/>
  <c r="AP56" i="234"/>
  <c r="AQ56" i="234" s="1"/>
  <c r="AP50" i="234"/>
  <c r="AQ50" i="234" s="1"/>
  <c r="AP46" i="234"/>
  <c r="AQ46" i="234" s="1"/>
  <c r="AP41" i="234"/>
  <c r="AQ41" i="234" s="1"/>
  <c r="AP38" i="234"/>
  <c r="AQ38" i="234" s="1"/>
  <c r="AP33" i="234"/>
  <c r="AQ33" i="234" s="1"/>
  <c r="AP30" i="234"/>
  <c r="AQ30" i="234" s="1"/>
  <c r="AP25" i="234"/>
  <c r="AQ25" i="234" s="1"/>
  <c r="AP22" i="234"/>
  <c r="AQ22" i="234" s="1"/>
  <c r="AP17" i="234"/>
  <c r="AQ17" i="234" s="1"/>
  <c r="AP14" i="234"/>
  <c r="AQ14" i="234" s="1"/>
  <c r="AP8" i="234"/>
  <c r="AQ8" i="234" s="1"/>
  <c r="AP5" i="234"/>
  <c r="AQ5" i="234" s="1"/>
  <c r="AP66" i="234"/>
  <c r="AQ66" i="234" s="1"/>
  <c r="AP61" i="234"/>
  <c r="AQ61" i="234" s="1"/>
  <c r="AP58" i="234"/>
  <c r="AQ58" i="234" s="1"/>
  <c r="AP52" i="234"/>
  <c r="AQ52" i="234" s="1"/>
  <c r="AP49" i="234"/>
  <c r="AQ49" i="234" s="1"/>
  <c r="AP43" i="234"/>
  <c r="AQ43" i="234" s="1"/>
  <c r="AP40" i="234"/>
  <c r="AQ40" i="234" s="1"/>
  <c r="AP35" i="234"/>
  <c r="AQ35" i="234" s="1"/>
  <c r="AP32" i="234"/>
  <c r="AQ32" i="234" s="1"/>
  <c r="AP27" i="234"/>
  <c r="AQ27" i="234" s="1"/>
  <c r="AP24" i="234"/>
  <c r="AQ24" i="234" s="1"/>
  <c r="AP19" i="234"/>
  <c r="AQ19" i="234" s="1"/>
  <c r="AP16" i="234"/>
  <c r="AQ16" i="234" s="1"/>
  <c r="AP10" i="234"/>
  <c r="AQ10" i="234" s="1"/>
  <c r="AP7" i="234"/>
  <c r="AQ7" i="234" s="1"/>
  <c r="AY95" i="236"/>
  <c r="AV96" i="236"/>
  <c r="AW95" i="236" a="1"/>
  <c r="AW95" i="236" s="1"/>
  <c r="AY89" i="236"/>
  <c r="AY101" i="236"/>
  <c r="AY102" i="236"/>
  <c r="Q5" i="108"/>
  <c r="R5" i="108"/>
  <c r="A214" i="5"/>
  <c r="B214" i="5" s="1"/>
  <c r="D214" i="5" s="1"/>
  <c r="A215" i="5"/>
  <c r="B215" i="5" s="1"/>
  <c r="D215" i="5" s="1"/>
  <c r="A216" i="5"/>
  <c r="B216" i="5" s="1"/>
  <c r="D216" i="5" s="1"/>
  <c r="A217" i="5"/>
  <c r="B217" i="5" s="1"/>
  <c r="D217" i="5" s="1"/>
  <c r="A218" i="5"/>
  <c r="B218" i="5" s="1"/>
  <c r="D218" i="5" s="1"/>
  <c r="A219" i="5"/>
  <c r="B219" i="5" s="1"/>
  <c r="D219" i="5" s="1"/>
  <c r="F195" i="5"/>
  <c r="F226" i="5"/>
  <c r="A209" i="5"/>
  <c r="B209" i="5" s="1"/>
  <c r="D209" i="5" s="1"/>
  <c r="A210" i="5"/>
  <c r="B210" i="5" s="1"/>
  <c r="D210" i="5" s="1"/>
  <c r="A194" i="5"/>
  <c r="B194" i="5" s="1"/>
  <c r="D194" i="5" s="1"/>
  <c r="A211" i="5"/>
  <c r="B211" i="5" s="1"/>
  <c r="D211" i="5" s="1"/>
  <c r="A195" i="5"/>
  <c r="B195" i="5" s="1"/>
  <c r="D195" i="5" s="1"/>
  <c r="A196" i="5"/>
  <c r="B196" i="5" s="1"/>
  <c r="D196" i="5" s="1"/>
  <c r="A197" i="5"/>
  <c r="B197" i="5" s="1"/>
  <c r="D197" i="5" s="1"/>
  <c r="A205" i="5"/>
  <c r="B205" i="5" s="1"/>
  <c r="D205" i="5" s="1"/>
  <c r="A212" i="5"/>
  <c r="B212" i="5" s="1"/>
  <c r="D212" i="5" s="1"/>
  <c r="A206" i="5"/>
  <c r="B206" i="5" s="1"/>
  <c r="D206" i="5" s="1"/>
  <c r="A207" i="5"/>
  <c r="B207" i="5" s="1"/>
  <c r="D207" i="5" s="1"/>
  <c r="A200" i="5"/>
  <c r="B200" i="5" s="1"/>
  <c r="D200" i="5" s="1"/>
  <c r="A201" i="5"/>
  <c r="B201" i="5" s="1"/>
  <c r="D201" i="5" s="1"/>
  <c r="A208" i="5"/>
  <c r="B208" i="5" s="1"/>
  <c r="D208" i="5" s="1"/>
  <c r="A202" i="5"/>
  <c r="B202" i="5" s="1"/>
  <c r="D202" i="5" s="1"/>
  <c r="A203" i="5"/>
  <c r="B203" i="5" s="1"/>
  <c r="D203" i="5" s="1"/>
  <c r="A213" i="5"/>
  <c r="B213" i="5" s="1"/>
  <c r="D213" i="5" s="1"/>
  <c r="A204" i="5"/>
  <c r="B204" i="5" s="1"/>
  <c r="D204" i="5" s="1"/>
  <c r="A198" i="5"/>
  <c r="B198" i="5" s="1"/>
  <c r="D198" i="5" s="1"/>
  <c r="A199" i="5"/>
  <c r="B199" i="5" s="1"/>
  <c r="D199" i="5" s="1"/>
  <c r="N8" i="108"/>
  <c r="N7" i="108"/>
  <c r="B14" i="26"/>
  <c r="B15" i="26" s="1"/>
  <c r="B16" i="26" s="1"/>
  <c r="B17" i="26" s="1"/>
  <c r="B18" i="26" s="1"/>
  <c r="B19" i="26" s="1"/>
  <c r="B20" i="26" s="1"/>
  <c r="B21" i="26" s="1"/>
  <c r="B22" i="26" s="1"/>
  <c r="B23" i="26" s="1"/>
  <c r="B24" i="26" s="1"/>
  <c r="B25" i="26" s="1"/>
  <c r="B26" i="26" s="1"/>
  <c r="B27" i="26" s="1"/>
  <c r="B28" i="26" s="1"/>
  <c r="B29" i="26" s="1"/>
  <c r="B30" i="26" s="1"/>
  <c r="B31" i="26" s="1"/>
  <c r="B32" i="26" s="1"/>
  <c r="B33" i="26" s="1"/>
  <c r="B34" i="26" s="1"/>
  <c r="B35" i="26" s="1"/>
  <c r="B36" i="26" s="1"/>
  <c r="B37" i="26" s="1"/>
  <c r="B38" i="26" s="1"/>
  <c r="B39" i="26" s="1"/>
  <c r="B40" i="26" s="1"/>
  <c r="B41" i="26" s="1"/>
  <c r="B42" i="26" s="1"/>
  <c r="B43" i="26" s="1"/>
  <c r="B44" i="26" s="1"/>
  <c r="B45" i="26" s="1"/>
  <c r="B46" i="26" s="1"/>
  <c r="B47" i="26" s="1"/>
  <c r="B48" i="26" s="1"/>
  <c r="B49" i="26" s="1"/>
  <c r="B50" i="26" s="1"/>
  <c r="K225" i="5"/>
  <c r="A225" i="5"/>
  <c r="B225" i="5" s="1"/>
  <c r="AT2" i="238"/>
  <c r="AT5" i="238"/>
  <c r="AT6" i="238"/>
  <c r="AT4" i="238"/>
  <c r="A4" i="238"/>
  <c r="A7" i="459" s="1"/>
  <c r="E7" i="459" s="1"/>
  <c r="A8" i="453"/>
  <c r="F8" i="453" s="1"/>
  <c r="B296" i="5"/>
  <c r="M4" i="235"/>
  <c r="AR4" i="235" s="1"/>
  <c r="AR3" i="235" s="1"/>
  <c r="L5" i="235"/>
  <c r="AQ5" i="235" s="1"/>
  <c r="L6" i="235"/>
  <c r="P6" i="235"/>
  <c r="T6" i="235"/>
  <c r="X6" i="235"/>
  <c r="AB6" i="235"/>
  <c r="AF6" i="235"/>
  <c r="AJ6" i="235"/>
  <c r="AN6" i="235"/>
  <c r="Q6" i="235"/>
  <c r="V6" i="235"/>
  <c r="AA6" i="235"/>
  <c r="AG6" i="235"/>
  <c r="AL6" i="235"/>
  <c r="R6" i="235"/>
  <c r="Y6" i="235"/>
  <c r="AE6" i="235"/>
  <c r="AM6" i="235"/>
  <c r="M6" i="235"/>
  <c r="S6" i="235"/>
  <c r="Z6" i="235"/>
  <c r="AH6" i="235"/>
  <c r="W6" i="235"/>
  <c r="AK6" i="235"/>
  <c r="N6" i="235"/>
  <c r="AC6" i="235"/>
  <c r="AI6" i="235"/>
  <c r="O6" i="235"/>
  <c r="U6" i="235"/>
  <c r="AD6" i="235"/>
  <c r="N7" i="235"/>
  <c r="R7" i="235"/>
  <c r="V7" i="235"/>
  <c r="Z7" i="235"/>
  <c r="AD7" i="235"/>
  <c r="AH7" i="235"/>
  <c r="AL7" i="235"/>
  <c r="O7" i="235"/>
  <c r="T7" i="235"/>
  <c r="Y7" i="235"/>
  <c r="AE7" i="235"/>
  <c r="AJ7" i="235"/>
  <c r="Q7" i="235"/>
  <c r="X7" i="235"/>
  <c r="AF7" i="235"/>
  <c r="AM7" i="235"/>
  <c r="L7" i="235"/>
  <c r="S7" i="235"/>
  <c r="AA7" i="235"/>
  <c r="AG7" i="235"/>
  <c r="AN7" i="235"/>
  <c r="P7" i="235"/>
  <c r="AC7" i="235"/>
  <c r="U7" i="235"/>
  <c r="AI7" i="235"/>
  <c r="M7" i="235"/>
  <c r="W7" i="235"/>
  <c r="AB7" i="235"/>
  <c r="AK7" i="235"/>
  <c r="A25" i="437"/>
  <c r="N9" i="235"/>
  <c r="R9" i="235"/>
  <c r="V9" i="235"/>
  <c r="Z9" i="235"/>
  <c r="AD9" i="235"/>
  <c r="AH9" i="235"/>
  <c r="AL9" i="235"/>
  <c r="P9" i="235"/>
  <c r="U9" i="235"/>
  <c r="AA9" i="235"/>
  <c r="AF9" i="235"/>
  <c r="AK9" i="235"/>
  <c r="AR9" i="236" s="1" a="1"/>
  <c r="AR9" i="236" s="1"/>
  <c r="Q9" i="235"/>
  <c r="X9" i="235"/>
  <c r="AE9" i="235"/>
  <c r="AM9" i="235"/>
  <c r="L9" i="235"/>
  <c r="S9" i="235"/>
  <c r="Y9" i="235"/>
  <c r="AG9" i="235"/>
  <c r="AN9" i="235"/>
  <c r="O9" i="235"/>
  <c r="AC9" i="235"/>
  <c r="T9" i="235"/>
  <c r="AA9" i="236" s="1" a="1"/>
  <c r="AA9" i="236" s="1"/>
  <c r="AI9" i="235"/>
  <c r="AB9" i="235"/>
  <c r="AJ9" i="235"/>
  <c r="W9" i="235"/>
  <c r="M9" i="235"/>
  <c r="L8" i="235"/>
  <c r="P8" i="235"/>
  <c r="T8" i="235"/>
  <c r="X8" i="235"/>
  <c r="AB8" i="235"/>
  <c r="AF8" i="235"/>
  <c r="AJ8" i="235"/>
  <c r="AN8" i="235"/>
  <c r="M8" i="235"/>
  <c r="R8" i="235"/>
  <c r="W8" i="235"/>
  <c r="AC8" i="235"/>
  <c r="AH8" i="235"/>
  <c r="AM8" i="235"/>
  <c r="Q8" i="235"/>
  <c r="Y8" i="235"/>
  <c r="AE8" i="235"/>
  <c r="AL8" i="235"/>
  <c r="S8" i="235"/>
  <c r="Z8" i="235"/>
  <c r="AG8" i="235"/>
  <c r="V8" i="235"/>
  <c r="AK8" i="235"/>
  <c r="N8" i="235"/>
  <c r="AA8" i="235"/>
  <c r="U8" i="235"/>
  <c r="AD8" i="235"/>
  <c r="O8" i="235"/>
  <c r="AI8" i="235"/>
  <c r="A26" i="437"/>
  <c r="N19" i="450"/>
  <c r="AZ84" i="236"/>
  <c r="F2" i="238"/>
  <c r="S4" i="236"/>
  <c r="S3" i="236" s="1"/>
  <c r="AW4" i="238" a="1"/>
  <c r="AW4" i="238" s="1"/>
  <c r="L6" i="238"/>
  <c r="L10" i="238"/>
  <c r="L14" i="238"/>
  <c r="L18" i="238"/>
  <c r="L22" i="238"/>
  <c r="L25" i="238"/>
  <c r="L29" i="238"/>
  <c r="L5" i="238"/>
  <c r="L9" i="238"/>
  <c r="L13" i="238"/>
  <c r="L17" i="238"/>
  <c r="L21" i="238"/>
  <c r="L28" i="238"/>
  <c r="L32" i="238"/>
  <c r="L4" i="238"/>
  <c r="L8" i="238"/>
  <c r="L12" i="238"/>
  <c r="L16" i="238"/>
  <c r="L20" i="238"/>
  <c r="L24" i="238"/>
  <c r="L27" i="238"/>
  <c r="L31" i="238"/>
  <c r="L7" i="238"/>
  <c r="L11" i="238"/>
  <c r="L15" i="238"/>
  <c r="L19" i="238"/>
  <c r="L23" i="238"/>
  <c r="L26" i="238"/>
  <c r="L30" i="238"/>
  <c r="E6" i="238"/>
  <c r="E10" i="238"/>
  <c r="E14" i="238"/>
  <c r="E18" i="238"/>
  <c r="E22" i="238"/>
  <c r="E25" i="238"/>
  <c r="E29" i="238"/>
  <c r="E9" i="238"/>
  <c r="E21" i="238"/>
  <c r="E32" i="238"/>
  <c r="E7" i="238"/>
  <c r="E11" i="238"/>
  <c r="E15" i="238"/>
  <c r="E19" i="238"/>
  <c r="E23" i="238"/>
  <c r="E26" i="238"/>
  <c r="E30" i="238"/>
  <c r="E5" i="238"/>
  <c r="E17" i="238"/>
  <c r="E4" i="238"/>
  <c r="E8" i="238"/>
  <c r="E12" i="238"/>
  <c r="E16" i="238"/>
  <c r="E20" i="238"/>
  <c r="E24" i="238"/>
  <c r="E27" i="238"/>
  <c r="E31" i="238"/>
  <c r="E13" i="238"/>
  <c r="E28" i="238"/>
  <c r="CH5" i="434"/>
  <c r="AO22" i="434"/>
  <c r="C11" i="108"/>
  <c r="K6" i="235"/>
  <c r="C10" i="108"/>
  <c r="B86" i="5"/>
  <c r="I7" i="235"/>
  <c r="K7" i="235"/>
  <c r="K8" i="235"/>
  <c r="B7" i="236"/>
  <c r="A4" i="234"/>
  <c r="C9" i="108"/>
  <c r="C26" i="2"/>
  <c r="B1" i="2"/>
  <c r="H8" i="235"/>
  <c r="H12" i="235"/>
  <c r="D11" i="108"/>
  <c r="E11" i="108" s="1"/>
  <c r="H10" i="235"/>
  <c r="D9" i="108"/>
  <c r="E9" i="108" s="1"/>
  <c r="H13" i="235"/>
  <c r="D12" i="108"/>
  <c r="E12" i="108" s="1"/>
  <c r="AT3" i="420"/>
  <c r="D43" i="434"/>
  <c r="D42" i="434"/>
  <c r="V10" i="108"/>
  <c r="D27" i="436" s="1"/>
  <c r="V12" i="108"/>
  <c r="D29" i="436" s="1"/>
  <c r="V9" i="108"/>
  <c r="D26" i="436" s="1"/>
  <c r="V11" i="108"/>
  <c r="D28" i="436" s="1"/>
  <c r="A6" i="432"/>
  <c r="H11" i="235"/>
  <c r="F6" i="234"/>
  <c r="E10" i="236" s="1"/>
  <c r="F7" i="234"/>
  <c r="E11" i="236" s="1"/>
  <c r="F8" i="234"/>
  <c r="E12" i="236" s="1"/>
  <c r="N7" i="236"/>
  <c r="N12" i="420" s="1"/>
  <c r="C8" i="108"/>
  <c r="R8" i="108" s="1"/>
  <c r="D6" i="108"/>
  <c r="E6" i="108" s="1"/>
  <c r="B7" i="235"/>
  <c r="K5" i="235"/>
  <c r="R5" i="236" s="1"/>
  <c r="G7" i="434"/>
  <c r="G24" i="434" s="1"/>
  <c r="A229" i="2"/>
  <c r="I7" i="434"/>
  <c r="I24" i="434" s="1"/>
  <c r="A231" i="2"/>
  <c r="C7" i="108"/>
  <c r="P7" i="108" s="1"/>
  <c r="A43" i="434"/>
  <c r="A24" i="437"/>
  <c r="A23" i="437"/>
  <c r="A42" i="434"/>
  <c r="A230" i="2"/>
  <c r="H7" i="434"/>
  <c r="H24" i="434" s="1"/>
  <c r="AY86" i="236"/>
  <c r="B41" i="434"/>
  <c r="B22" i="436"/>
  <c r="B22" i="437"/>
  <c r="O3" i="238"/>
  <c r="B3" i="436"/>
  <c r="D3" i="437"/>
  <c r="B3" i="437"/>
  <c r="D24" i="437"/>
  <c r="D41" i="434"/>
  <c r="AG1" i="436"/>
  <c r="D2" i="437"/>
  <c r="B2" i="437"/>
  <c r="B2" i="436"/>
  <c r="V7" i="108"/>
  <c r="D24" i="436" s="1"/>
  <c r="AX6" i="238"/>
  <c r="F13" i="2"/>
  <c r="DK41" i="434"/>
  <c r="DL41" i="434" s="1"/>
  <c r="P5" i="108"/>
  <c r="O5" i="108"/>
  <c r="D3" i="434"/>
  <c r="B3" i="434"/>
  <c r="C43" i="2"/>
  <c r="AX4" i="238"/>
  <c r="AX5" i="238"/>
  <c r="BG1" i="238"/>
  <c r="AW89" i="236" s="1"/>
  <c r="B37" i="432"/>
  <c r="D2" i="434"/>
  <c r="B2" i="434"/>
  <c r="V5" i="108"/>
  <c r="V6" i="108"/>
  <c r="V8" i="108"/>
  <c r="D25" i="436" s="1"/>
  <c r="C7" i="235"/>
  <c r="I9" i="235"/>
  <c r="I8" i="235"/>
  <c r="AW87" i="236"/>
  <c r="AX104" i="236"/>
  <c r="R4" i="236"/>
  <c r="R3" i="236" s="1"/>
  <c r="AP4" i="235"/>
  <c r="AT3" i="238"/>
  <c r="Z2" i="238" s="1"/>
  <c r="L3" i="238"/>
  <c r="AX7" i="238"/>
  <c r="W13" i="26"/>
  <c r="Y6" i="5"/>
  <c r="Y7" i="5" s="1"/>
  <c r="Z7" i="5" s="1"/>
  <c r="AA7" i="5" s="1"/>
  <c r="AC7" i="5" s="1"/>
  <c r="Z5" i="5"/>
  <c r="AA5" i="5" s="1"/>
  <c r="AC5" i="5" s="1"/>
  <c r="F225" i="5"/>
  <c r="C289" i="5"/>
  <c r="B289" i="5" s="1"/>
  <c r="AK3" i="5"/>
  <c r="A193" i="5"/>
  <c r="B193" i="5" s="1"/>
  <c r="D193" i="5" s="1"/>
  <c r="C288" i="5"/>
  <c r="B288" i="5" s="1"/>
  <c r="C282" i="5"/>
  <c r="B282" i="5" s="1"/>
  <c r="C287" i="5"/>
  <c r="B287" i="5" s="1"/>
  <c r="C283" i="5"/>
  <c r="B283" i="5" s="1"/>
  <c r="Z4" i="5"/>
  <c r="AA4" i="5" s="1"/>
  <c r="AC4" i="5" s="1"/>
  <c r="AB4" i="5" s="1"/>
  <c r="AP3" i="234"/>
  <c r="C285" i="5"/>
  <c r="B285" i="5" s="1"/>
  <c r="I224" i="5"/>
  <c r="I192" i="5" s="1"/>
  <c r="C284" i="5"/>
  <c r="B284" i="5" s="1"/>
  <c r="C286" i="5"/>
  <c r="B286" i="5" s="1"/>
  <c r="J224" i="5"/>
  <c r="J192" i="5" s="1"/>
  <c r="C6" i="235"/>
  <c r="F5" i="234"/>
  <c r="E9" i="236" s="1"/>
  <c r="H9" i="235"/>
  <c r="H7" i="235"/>
  <c r="D12" i="5"/>
  <c r="AM4" i="234"/>
  <c r="H13" i="420"/>
  <c r="E5" i="108"/>
  <c r="C6" i="108"/>
  <c r="R6" i="108" s="1"/>
  <c r="N5" i="108"/>
  <c r="N6" i="108"/>
  <c r="I6" i="235"/>
  <c r="K10" i="420"/>
  <c r="C5" i="5"/>
  <c r="H5" i="5"/>
  <c r="E5" i="5"/>
  <c r="B12" i="420"/>
  <c r="AM8" i="234"/>
  <c r="E117" i="5" s="1"/>
  <c r="F46" i="26" s="1"/>
  <c r="AM5" i="234"/>
  <c r="B51" i="455" l="1"/>
  <c r="B70" i="434"/>
  <c r="DK76" i="434"/>
  <c r="B51" i="436"/>
  <c r="B51" i="437"/>
  <c r="B47" i="455"/>
  <c r="B47" i="437"/>
  <c r="B66" i="434"/>
  <c r="DK72" i="434"/>
  <c r="B47" i="436"/>
  <c r="B49" i="436"/>
  <c r="R49" i="436" s="1"/>
  <c r="B49" i="455"/>
  <c r="B49" i="437"/>
  <c r="B68" i="434"/>
  <c r="DK74" i="434"/>
  <c r="B54" i="455"/>
  <c r="B54" i="436"/>
  <c r="B54" i="437"/>
  <c r="B73" i="434"/>
  <c r="DK79" i="434"/>
  <c r="B56" i="437"/>
  <c r="B56" i="436"/>
  <c r="B75" i="434"/>
  <c r="DK81" i="434"/>
  <c r="B56" i="455"/>
  <c r="B37" i="436"/>
  <c r="R37" i="436" s="1"/>
  <c r="B56" i="434"/>
  <c r="DK62" i="434"/>
  <c r="B42" i="436"/>
  <c r="R42" i="436" s="1"/>
  <c r="B61" i="434"/>
  <c r="DK67" i="434"/>
  <c r="B44" i="455"/>
  <c r="B44" i="436"/>
  <c r="B63" i="434"/>
  <c r="DK69" i="434"/>
  <c r="DK54" i="434"/>
  <c r="B29" i="436"/>
  <c r="R29" i="436" s="1"/>
  <c r="B68" i="436"/>
  <c r="B68" i="455"/>
  <c r="B87" i="434"/>
  <c r="DK93" i="434"/>
  <c r="B68" i="437"/>
  <c r="H58" i="5" a="1"/>
  <c r="H58" i="5" s="1"/>
  <c r="E68" i="436" s="1"/>
  <c r="D58" i="5"/>
  <c r="B89" i="455"/>
  <c r="B89" i="436"/>
  <c r="R89" i="436" s="1"/>
  <c r="B89" i="437"/>
  <c r="B108" i="434"/>
  <c r="H79" i="5" a="1"/>
  <c r="H79" i="5" s="1"/>
  <c r="E89" i="436" s="1"/>
  <c r="D79" i="5"/>
  <c r="D84" i="26"/>
  <c r="E155" i="5"/>
  <c r="F84" i="26" s="1"/>
  <c r="D155" i="5"/>
  <c r="C155" i="5" s="1"/>
  <c r="B69" i="455"/>
  <c r="B69" i="436"/>
  <c r="R69" i="436" s="1"/>
  <c r="B69" i="437"/>
  <c r="B88" i="434"/>
  <c r="DK94" i="434"/>
  <c r="D59" i="5"/>
  <c r="H59" i="5" a="1"/>
  <c r="H59" i="5" s="1"/>
  <c r="E69" i="436" s="1"/>
  <c r="B63" i="455"/>
  <c r="B63" i="437"/>
  <c r="B82" i="434"/>
  <c r="DK88" i="434"/>
  <c r="B63" i="436"/>
  <c r="R63" i="436" s="1"/>
  <c r="D53" i="5"/>
  <c r="H53" i="5" a="1"/>
  <c r="H53" i="5" s="1"/>
  <c r="E63" i="436" s="1"/>
  <c r="B76" i="436"/>
  <c r="B95" i="434"/>
  <c r="B76" i="437"/>
  <c r="DK101" i="434"/>
  <c r="B76" i="455"/>
  <c r="H66" i="5" a="1"/>
  <c r="H66" i="5" s="1"/>
  <c r="E76" i="436" s="1"/>
  <c r="D66" i="5"/>
  <c r="B82" i="436"/>
  <c r="B82" i="455"/>
  <c r="B82" i="437"/>
  <c r="B101" i="434"/>
  <c r="DK107" i="434"/>
  <c r="D72" i="5"/>
  <c r="H72" i="5" a="1"/>
  <c r="H72" i="5" s="1"/>
  <c r="E82" i="436" s="1"/>
  <c r="B80" i="436"/>
  <c r="B80" i="455"/>
  <c r="B99" i="434"/>
  <c r="B80" i="437"/>
  <c r="DK105" i="434"/>
  <c r="H70" i="5" a="1"/>
  <c r="H70" i="5" s="1"/>
  <c r="E80" i="436" s="1"/>
  <c r="D70" i="5"/>
  <c r="B70" i="436"/>
  <c r="B70" i="455"/>
  <c r="B70" i="437"/>
  <c r="B89" i="434"/>
  <c r="DK95" i="434"/>
  <c r="D60" i="5"/>
  <c r="H60" i="5" a="1"/>
  <c r="H60" i="5" s="1"/>
  <c r="E70" i="436" s="1"/>
  <c r="B30" i="436"/>
  <c r="DK55" i="434"/>
  <c r="B54" i="434"/>
  <c r="DK60" i="434"/>
  <c r="B35" i="436"/>
  <c r="B53" i="436"/>
  <c r="R53" i="436" s="1"/>
  <c r="B53" i="455"/>
  <c r="B53" i="437"/>
  <c r="B72" i="434"/>
  <c r="DK78" i="434"/>
  <c r="B58" i="436"/>
  <c r="R58" i="436" s="1"/>
  <c r="B58" i="455"/>
  <c r="B58" i="437"/>
  <c r="B77" i="434"/>
  <c r="DK83" i="434"/>
  <c r="B60" i="437"/>
  <c r="B60" i="436"/>
  <c r="B79" i="434"/>
  <c r="DK85" i="434"/>
  <c r="B60" i="455"/>
  <c r="B41" i="436"/>
  <c r="B60" i="434"/>
  <c r="DK66" i="434"/>
  <c r="B46" i="455"/>
  <c r="B46" i="436"/>
  <c r="R46" i="436" s="1"/>
  <c r="B46" i="437"/>
  <c r="B65" i="434"/>
  <c r="DK71" i="434"/>
  <c r="B84" i="436"/>
  <c r="B84" i="455"/>
  <c r="B84" i="437"/>
  <c r="B103" i="434"/>
  <c r="DK109" i="434"/>
  <c r="D74" i="5"/>
  <c r="H74" i="5" a="1"/>
  <c r="H74" i="5" s="1"/>
  <c r="E84" i="436" s="1"/>
  <c r="B74" i="436"/>
  <c r="B74" i="455"/>
  <c r="B74" i="437"/>
  <c r="DK99" i="434"/>
  <c r="B93" i="434"/>
  <c r="H64" i="5" a="1"/>
  <c r="H64" i="5" s="1"/>
  <c r="E74" i="436" s="1"/>
  <c r="D64" i="5"/>
  <c r="B87" i="455"/>
  <c r="B87" i="437"/>
  <c r="B106" i="434"/>
  <c r="B87" i="436"/>
  <c r="R87" i="436" s="1"/>
  <c r="D77" i="5"/>
  <c r="H77" i="5" a="1"/>
  <c r="H77" i="5" s="1"/>
  <c r="E87" i="436" s="1"/>
  <c r="B85" i="455"/>
  <c r="B85" i="436"/>
  <c r="B85" i="437"/>
  <c r="B104" i="434"/>
  <c r="DK110" i="434"/>
  <c r="H75" i="5" a="1"/>
  <c r="H75" i="5" s="1"/>
  <c r="E85" i="436" s="1"/>
  <c r="D75" i="5"/>
  <c r="B79" i="455"/>
  <c r="B98" i="434"/>
  <c r="B79" i="436"/>
  <c r="R79" i="436" s="1"/>
  <c r="B79" i="437"/>
  <c r="DK104" i="434"/>
  <c r="D69" i="5"/>
  <c r="H69" i="5" a="1"/>
  <c r="H69" i="5" s="1"/>
  <c r="E79" i="436" s="1"/>
  <c r="B88" i="436"/>
  <c r="B88" i="455"/>
  <c r="B88" i="437"/>
  <c r="B107" i="434"/>
  <c r="D78" i="5"/>
  <c r="H78" i="5" a="1"/>
  <c r="H78" i="5" s="1"/>
  <c r="E88" i="436" s="1"/>
  <c r="B67" i="455"/>
  <c r="B86" i="434"/>
  <c r="DK92" i="434"/>
  <c r="B67" i="436"/>
  <c r="B67" i="437"/>
  <c r="H57" i="5" a="1"/>
  <c r="H57" i="5" s="1"/>
  <c r="E67" i="436" s="1"/>
  <c r="D57" i="5"/>
  <c r="B61" i="455"/>
  <c r="B61" i="436"/>
  <c r="B61" i="437"/>
  <c r="B80" i="434"/>
  <c r="DK86" i="434"/>
  <c r="D51" i="5"/>
  <c r="H51" i="5" a="1"/>
  <c r="H51" i="5" s="1"/>
  <c r="E61" i="436" s="1"/>
  <c r="B86" i="436"/>
  <c r="B86" i="455"/>
  <c r="B86" i="437"/>
  <c r="B105" i="434"/>
  <c r="H76" i="5" a="1"/>
  <c r="H76" i="5" s="1"/>
  <c r="E86" i="436" s="1"/>
  <c r="D76" i="5"/>
  <c r="DK56" i="434"/>
  <c r="B31" i="436"/>
  <c r="B50" i="455"/>
  <c r="B50" i="436"/>
  <c r="B69" i="434"/>
  <c r="DK75" i="434"/>
  <c r="B50" i="437"/>
  <c r="B36" i="436"/>
  <c r="B55" i="434"/>
  <c r="DK61" i="434"/>
  <c r="B62" i="434"/>
  <c r="DK68" i="434"/>
  <c r="B43" i="436"/>
  <c r="B59" i="455"/>
  <c r="B78" i="434"/>
  <c r="DK84" i="434"/>
  <c r="B59" i="436"/>
  <c r="R59" i="436" s="1"/>
  <c r="B59" i="437"/>
  <c r="B58" i="434"/>
  <c r="DK64" i="434"/>
  <c r="B39" i="436"/>
  <c r="B57" i="455"/>
  <c r="B57" i="436"/>
  <c r="B76" i="434"/>
  <c r="DK82" i="434"/>
  <c r="B57" i="437"/>
  <c r="B33" i="436"/>
  <c r="B52" i="434"/>
  <c r="DK58" i="434"/>
  <c r="B65" i="455"/>
  <c r="B65" i="436"/>
  <c r="B65" i="437"/>
  <c r="B84" i="434"/>
  <c r="DK90" i="434"/>
  <c r="H55" i="5" a="1"/>
  <c r="H55" i="5" s="1"/>
  <c r="E65" i="436" s="1"/>
  <c r="D55" i="5"/>
  <c r="B90" i="436"/>
  <c r="B90" i="455"/>
  <c r="B90" i="437"/>
  <c r="B109" i="434"/>
  <c r="D80" i="5"/>
  <c r="H80" i="5" a="1"/>
  <c r="H80" i="5" s="1"/>
  <c r="E90" i="436" s="1"/>
  <c r="B72" i="436"/>
  <c r="B91" i="434"/>
  <c r="DK97" i="434"/>
  <c r="B72" i="455"/>
  <c r="B72" i="437"/>
  <c r="D62" i="5"/>
  <c r="H62" i="5" a="1"/>
  <c r="H62" i="5" s="1"/>
  <c r="E72" i="436" s="1"/>
  <c r="B62" i="436"/>
  <c r="B62" i="455"/>
  <c r="B62" i="437"/>
  <c r="B81" i="434"/>
  <c r="DK87" i="434"/>
  <c r="D52" i="5"/>
  <c r="H52" i="5" a="1"/>
  <c r="H52" i="5" s="1"/>
  <c r="E62" i="436" s="1"/>
  <c r="D157" i="5"/>
  <c r="C157" i="5" s="1"/>
  <c r="E157" i="5"/>
  <c r="B73" i="455"/>
  <c r="B73" i="436"/>
  <c r="B73" i="437"/>
  <c r="B92" i="434"/>
  <c r="DK98" i="434"/>
  <c r="H63" i="5" a="1"/>
  <c r="H63" i="5" s="1"/>
  <c r="E73" i="436" s="1"/>
  <c r="D63" i="5"/>
  <c r="B83" i="455"/>
  <c r="B83" i="436"/>
  <c r="R83" i="436" s="1"/>
  <c r="B83" i="437"/>
  <c r="B102" i="434"/>
  <c r="DK108" i="434"/>
  <c r="H73" i="5" a="1"/>
  <c r="H73" i="5" s="1"/>
  <c r="E83" i="436" s="1"/>
  <c r="D73" i="5"/>
  <c r="B77" i="455"/>
  <c r="B77" i="436"/>
  <c r="B77" i="437"/>
  <c r="B96" i="434"/>
  <c r="DK102" i="434"/>
  <c r="D67" i="5"/>
  <c r="H67" i="5" a="1"/>
  <c r="H67" i="5" s="1"/>
  <c r="E77" i="436" s="1"/>
  <c r="B71" i="455"/>
  <c r="B90" i="434"/>
  <c r="DK96" i="434"/>
  <c r="B71" i="437"/>
  <c r="B71" i="436"/>
  <c r="H61" i="5" a="1"/>
  <c r="H61" i="5" s="1"/>
  <c r="E71" i="436" s="1"/>
  <c r="D61" i="5"/>
  <c r="B48" i="455"/>
  <c r="B48" i="437"/>
  <c r="B48" i="436"/>
  <c r="B67" i="434"/>
  <c r="DK73" i="434"/>
  <c r="B45" i="455"/>
  <c r="B45" i="436"/>
  <c r="B64" i="434"/>
  <c r="DK70" i="434"/>
  <c r="B52" i="455"/>
  <c r="B52" i="437"/>
  <c r="B52" i="436"/>
  <c r="B71" i="434"/>
  <c r="DK77" i="434"/>
  <c r="B32" i="436"/>
  <c r="DK57" i="434"/>
  <c r="B38" i="436"/>
  <c r="R38" i="436" s="1"/>
  <c r="B57" i="434"/>
  <c r="DK63" i="434"/>
  <c r="B40" i="436"/>
  <c r="B59" i="434"/>
  <c r="DK65" i="434"/>
  <c r="B55" i="455"/>
  <c r="B74" i="434"/>
  <c r="DK80" i="434"/>
  <c r="B55" i="437"/>
  <c r="B55" i="436"/>
  <c r="R55" i="436" s="1"/>
  <c r="B34" i="436"/>
  <c r="R34" i="436" s="1"/>
  <c r="B53" i="434"/>
  <c r="DK59" i="434"/>
  <c r="D85" i="26"/>
  <c r="E85" i="26" s="1"/>
  <c r="D156" i="5"/>
  <c r="C156" i="5" s="1"/>
  <c r="E156" i="5"/>
  <c r="F85" i="26" s="1"/>
  <c r="B81" i="455"/>
  <c r="B81" i="436"/>
  <c r="B81" i="437"/>
  <c r="DK106" i="434"/>
  <c r="B100" i="434"/>
  <c r="D71" i="5"/>
  <c r="H71" i="5" a="1"/>
  <c r="H71" i="5" s="1"/>
  <c r="E81" i="436" s="1"/>
  <c r="B75" i="455"/>
  <c r="B94" i="434"/>
  <c r="DK100" i="434"/>
  <c r="B75" i="436"/>
  <c r="R75" i="436" s="1"/>
  <c r="B75" i="437"/>
  <c r="H65" i="5" a="1"/>
  <c r="H65" i="5" s="1"/>
  <c r="E75" i="436" s="1"/>
  <c r="D65" i="5"/>
  <c r="D90" i="26"/>
  <c r="E161" i="5"/>
  <c r="F90" i="26" s="1"/>
  <c r="D161" i="5"/>
  <c r="C161" i="5" s="1"/>
  <c r="B78" i="436"/>
  <c r="R78" i="436" s="1"/>
  <c r="B78" i="455"/>
  <c r="B78" i="437"/>
  <c r="B97" i="434"/>
  <c r="DK103" i="434"/>
  <c r="D68" i="5"/>
  <c r="H68" i="5" a="1"/>
  <c r="H68" i="5" s="1"/>
  <c r="E78" i="436" s="1"/>
  <c r="B91" i="455"/>
  <c r="B91" i="436"/>
  <c r="B110" i="434"/>
  <c r="B91" i="437"/>
  <c r="D81" i="5"/>
  <c r="H81" i="5" a="1"/>
  <c r="H81" i="5" s="1"/>
  <c r="E91" i="436" s="1"/>
  <c r="B66" i="436"/>
  <c r="B66" i="455"/>
  <c r="B66" i="437"/>
  <c r="B85" i="434"/>
  <c r="DK91" i="434"/>
  <c r="H56" i="5" a="1"/>
  <c r="H56" i="5" s="1"/>
  <c r="E66" i="436" s="1"/>
  <c r="D56" i="5"/>
  <c r="B64" i="437"/>
  <c r="B64" i="436"/>
  <c r="B64" i="455"/>
  <c r="B83" i="434"/>
  <c r="DK89" i="434"/>
  <c r="D54" i="5"/>
  <c r="H54" i="5" a="1"/>
  <c r="H54" i="5" s="1"/>
  <c r="E64" i="436" s="1"/>
  <c r="D91" i="26"/>
  <c r="E91" i="26" s="1"/>
  <c r="D162" i="5"/>
  <c r="C162" i="5" s="1"/>
  <c r="E162" i="5"/>
  <c r="F91" i="26" s="1"/>
  <c r="K74" i="437"/>
  <c r="K68" i="437"/>
  <c r="K90" i="437"/>
  <c r="K85" i="437"/>
  <c r="K73" i="437"/>
  <c r="K48" i="437"/>
  <c r="K50" i="437"/>
  <c r="K57" i="437"/>
  <c r="K82" i="437"/>
  <c r="K88" i="437"/>
  <c r="K66" i="437"/>
  <c r="K51" i="437"/>
  <c r="K65" i="437"/>
  <c r="K64" i="437"/>
  <c r="K52" i="437"/>
  <c r="K47" i="437"/>
  <c r="K80" i="437"/>
  <c r="K54" i="437"/>
  <c r="K86" i="437"/>
  <c r="K81" i="437"/>
  <c r="K84" i="437"/>
  <c r="K91" i="437"/>
  <c r="K71" i="437"/>
  <c r="K70" i="437"/>
  <c r="K62" i="437"/>
  <c r="K67" i="437"/>
  <c r="K76" i="437"/>
  <c r="K60" i="437"/>
  <c r="K56" i="437"/>
  <c r="K72" i="437"/>
  <c r="K77" i="437"/>
  <c r="K61" i="437"/>
  <c r="K93" i="434"/>
  <c r="K87" i="434"/>
  <c r="K52" i="434"/>
  <c r="K105" i="434"/>
  <c r="K100" i="434"/>
  <c r="K107" i="434"/>
  <c r="K90" i="434"/>
  <c r="K58" i="434"/>
  <c r="K60" i="434"/>
  <c r="K109" i="434"/>
  <c r="K110" i="434"/>
  <c r="K92" i="434"/>
  <c r="K67" i="434"/>
  <c r="K76" i="434"/>
  <c r="K104" i="434"/>
  <c r="K101" i="434"/>
  <c r="K103" i="434"/>
  <c r="K85" i="434"/>
  <c r="K70" i="434"/>
  <c r="K84" i="434"/>
  <c r="K69" i="434"/>
  <c r="K83" i="434"/>
  <c r="K71" i="434"/>
  <c r="K66" i="434"/>
  <c r="K81" i="434"/>
  <c r="K59" i="434"/>
  <c r="K99" i="434"/>
  <c r="K73" i="434"/>
  <c r="K89" i="434"/>
  <c r="K86" i="434"/>
  <c r="K91" i="434"/>
  <c r="K63" i="434"/>
  <c r="K54" i="434"/>
  <c r="K55" i="434"/>
  <c r="K95" i="434"/>
  <c r="K96" i="434"/>
  <c r="K80" i="434"/>
  <c r="K62" i="434"/>
  <c r="K79" i="434"/>
  <c r="K64" i="434"/>
  <c r="K75" i="434"/>
  <c r="K74" i="436"/>
  <c r="K68" i="436"/>
  <c r="K33" i="436"/>
  <c r="K91" i="436"/>
  <c r="K80" i="436"/>
  <c r="K51" i="436"/>
  <c r="K52" i="436"/>
  <c r="K47" i="436"/>
  <c r="K86" i="436"/>
  <c r="K84" i="436"/>
  <c r="K54" i="436"/>
  <c r="K50" i="436"/>
  <c r="K40" i="436"/>
  <c r="K90" i="436"/>
  <c r="K81" i="436"/>
  <c r="K88" i="436"/>
  <c r="K71" i="436"/>
  <c r="K48" i="436"/>
  <c r="K41" i="436"/>
  <c r="K57" i="436"/>
  <c r="K85" i="436"/>
  <c r="K82" i="436"/>
  <c r="K73" i="436"/>
  <c r="K66" i="436"/>
  <c r="K65" i="436"/>
  <c r="K39" i="436"/>
  <c r="K64" i="436"/>
  <c r="K67" i="436"/>
  <c r="K62" i="436"/>
  <c r="K70" i="436"/>
  <c r="K30" i="436"/>
  <c r="K77" i="436"/>
  <c r="K61" i="436"/>
  <c r="K36" i="436"/>
  <c r="K56" i="436"/>
  <c r="K43" i="436"/>
  <c r="K31" i="436"/>
  <c r="K72" i="436"/>
  <c r="K60" i="436"/>
  <c r="K45" i="436"/>
  <c r="K44" i="436"/>
  <c r="K35" i="436"/>
  <c r="K32" i="436"/>
  <c r="K76" i="436"/>
  <c r="H74" i="437"/>
  <c r="H68" i="437"/>
  <c r="H86" i="437"/>
  <c r="H88" i="437"/>
  <c r="H51" i="437"/>
  <c r="H65" i="437"/>
  <c r="H52" i="437"/>
  <c r="H91" i="437"/>
  <c r="H80" i="437"/>
  <c r="H57" i="437"/>
  <c r="H90" i="437"/>
  <c r="H85" i="437"/>
  <c r="H81" i="437"/>
  <c r="H71" i="437"/>
  <c r="H73" i="437"/>
  <c r="H66" i="437"/>
  <c r="H62" i="437"/>
  <c r="H84" i="437"/>
  <c r="H82" i="437"/>
  <c r="H48" i="437"/>
  <c r="H64" i="437"/>
  <c r="H54" i="437"/>
  <c r="H47" i="437"/>
  <c r="H50" i="437"/>
  <c r="H70" i="437"/>
  <c r="H77" i="437"/>
  <c r="H67" i="437"/>
  <c r="H60" i="437"/>
  <c r="H76" i="437"/>
  <c r="H72" i="437"/>
  <c r="H56" i="437"/>
  <c r="H61" i="437"/>
  <c r="H93" i="434"/>
  <c r="H87" i="434"/>
  <c r="H52" i="434"/>
  <c r="H83" i="434"/>
  <c r="H73" i="434"/>
  <c r="H66" i="434"/>
  <c r="H109" i="434"/>
  <c r="H100" i="434"/>
  <c r="H90" i="434"/>
  <c r="H92" i="434"/>
  <c r="H67" i="434"/>
  <c r="H70" i="434"/>
  <c r="H103" i="434"/>
  <c r="H101" i="434"/>
  <c r="H99" i="434"/>
  <c r="H107" i="434"/>
  <c r="H76" i="434"/>
  <c r="H81" i="434"/>
  <c r="H60" i="434"/>
  <c r="H84" i="434"/>
  <c r="H58" i="434"/>
  <c r="H71" i="434"/>
  <c r="H105" i="434"/>
  <c r="H104" i="434"/>
  <c r="H110" i="434"/>
  <c r="H85" i="434"/>
  <c r="H59" i="434"/>
  <c r="H96" i="434"/>
  <c r="H69" i="434"/>
  <c r="H89" i="434"/>
  <c r="H86" i="434"/>
  <c r="H80" i="434"/>
  <c r="H75" i="434"/>
  <c r="H62" i="434"/>
  <c r="H64" i="434"/>
  <c r="H95" i="434"/>
  <c r="H91" i="434"/>
  <c r="H63" i="434"/>
  <c r="H79" i="434"/>
  <c r="H55" i="434"/>
  <c r="H54" i="434"/>
  <c r="H74" i="436"/>
  <c r="H68" i="436"/>
  <c r="H33" i="436"/>
  <c r="H71" i="436"/>
  <c r="H73" i="436"/>
  <c r="H57" i="436"/>
  <c r="H48" i="436"/>
  <c r="H66" i="436"/>
  <c r="H62" i="436"/>
  <c r="H50" i="436"/>
  <c r="H52" i="436"/>
  <c r="H84" i="436"/>
  <c r="H82" i="436"/>
  <c r="H85" i="436"/>
  <c r="H88" i="436"/>
  <c r="H86" i="436"/>
  <c r="H91" i="436"/>
  <c r="H64" i="436"/>
  <c r="H54" i="436"/>
  <c r="H40" i="436"/>
  <c r="H47" i="436"/>
  <c r="H90" i="436"/>
  <c r="H81" i="436"/>
  <c r="H80" i="436"/>
  <c r="H51" i="436"/>
  <c r="H41" i="436"/>
  <c r="H65" i="436"/>
  <c r="H39" i="436"/>
  <c r="H77" i="436"/>
  <c r="H67" i="436"/>
  <c r="H70" i="436"/>
  <c r="H60" i="436"/>
  <c r="H44" i="436"/>
  <c r="H61" i="436"/>
  <c r="H36" i="436"/>
  <c r="H35" i="436"/>
  <c r="H30" i="436"/>
  <c r="H76" i="436"/>
  <c r="H72" i="436"/>
  <c r="H56" i="436"/>
  <c r="H43" i="436"/>
  <c r="H31" i="436"/>
  <c r="H45" i="436"/>
  <c r="H32" i="436"/>
  <c r="A59" i="108"/>
  <c r="A60" i="108" s="1"/>
  <c r="A61" i="108" s="1"/>
  <c r="A62" i="108" s="1"/>
  <c r="A63" i="108" s="1"/>
  <c r="A64" i="108" s="1"/>
  <c r="A65" i="108" s="1"/>
  <c r="A66" i="108" s="1"/>
  <c r="A67" i="108" s="1"/>
  <c r="A68" i="108" s="1"/>
  <c r="A69" i="108" s="1"/>
  <c r="A70" i="108" s="1"/>
  <c r="A71" i="108" s="1"/>
  <c r="A72" i="108" s="1"/>
  <c r="A73" i="108" s="1"/>
  <c r="A74" i="108" s="1"/>
  <c r="C228" i="5"/>
  <c r="E228" i="5"/>
  <c r="G228" i="5" s="1"/>
  <c r="D168" i="2" a="1"/>
  <c r="D168" i="2" s="1"/>
  <c r="A34" i="451"/>
  <c r="A30" i="451"/>
  <c r="A32" i="451"/>
  <c r="A31" i="451"/>
  <c r="A33" i="451"/>
  <c r="AY90" i="236"/>
  <c r="AT18" i="5"/>
  <c r="AX18" i="5"/>
  <c r="AT24" i="5"/>
  <c r="AX24" i="5"/>
  <c r="AX12" i="5"/>
  <c r="AT12" i="5"/>
  <c r="AT19" i="5"/>
  <c r="AX19" i="5"/>
  <c r="AT23" i="5"/>
  <c r="AX23" i="5"/>
  <c r="B33" i="437"/>
  <c r="K33" i="437" s="1"/>
  <c r="H23" i="5" a="1"/>
  <c r="H23" i="5" s="1"/>
  <c r="E33" i="436" s="1"/>
  <c r="B33" i="455"/>
  <c r="D23" i="5"/>
  <c r="AT103" i="5"/>
  <c r="AX103" i="5"/>
  <c r="AT99" i="5"/>
  <c r="AX99" i="5"/>
  <c r="AT95" i="5"/>
  <c r="AX95" i="5"/>
  <c r="AT91" i="5"/>
  <c r="AX91" i="5"/>
  <c r="AT87" i="5"/>
  <c r="AX87" i="5"/>
  <c r="AT83" i="5"/>
  <c r="AX83" i="5"/>
  <c r="AT79" i="5"/>
  <c r="AX79" i="5"/>
  <c r="AT75" i="5"/>
  <c r="AX75" i="5"/>
  <c r="AX71" i="5"/>
  <c r="AT71" i="5"/>
  <c r="AX67" i="5"/>
  <c r="AT67" i="5"/>
  <c r="AX63" i="5"/>
  <c r="AT63" i="5"/>
  <c r="AT59" i="5"/>
  <c r="AX59" i="5"/>
  <c r="AT55" i="5"/>
  <c r="AX55" i="5"/>
  <c r="AX51" i="5"/>
  <c r="AT51" i="5"/>
  <c r="AX47" i="5"/>
  <c r="AT47" i="5"/>
  <c r="AX43" i="5"/>
  <c r="AT43" i="5"/>
  <c r="AT39" i="5"/>
  <c r="AX39" i="5"/>
  <c r="AT35" i="5"/>
  <c r="AX35" i="5"/>
  <c r="AX31" i="5"/>
  <c r="AT31" i="5"/>
  <c r="AX27" i="5"/>
  <c r="AT27" i="5"/>
  <c r="AT6" i="5"/>
  <c r="AX6" i="5"/>
  <c r="AR3" i="5"/>
  <c r="AT25" i="5"/>
  <c r="AX25" i="5"/>
  <c r="AT15" i="5"/>
  <c r="AX15" i="5"/>
  <c r="AT17" i="5"/>
  <c r="AX17" i="5"/>
  <c r="AT16" i="5"/>
  <c r="AX16" i="5"/>
  <c r="B34" i="455"/>
  <c r="D24" i="5"/>
  <c r="B34" i="437"/>
  <c r="H24" i="5" a="1"/>
  <c r="H24" i="5" s="1"/>
  <c r="E34" i="436" s="1"/>
  <c r="AT106" i="5"/>
  <c r="AX106" i="5"/>
  <c r="AT102" i="5"/>
  <c r="AX102" i="5"/>
  <c r="AT98" i="5"/>
  <c r="AX98" i="5"/>
  <c r="AT94" i="5"/>
  <c r="AX94" i="5"/>
  <c r="AT90" i="5"/>
  <c r="AX90" i="5"/>
  <c r="AX86" i="5"/>
  <c r="AT86" i="5"/>
  <c r="AT82" i="5"/>
  <c r="AX82" i="5"/>
  <c r="AT78" i="5"/>
  <c r="AX78" i="5"/>
  <c r="AT74" i="5"/>
  <c r="AX74" i="5"/>
  <c r="AX70" i="5"/>
  <c r="AT70" i="5"/>
  <c r="AT66" i="5"/>
  <c r="AX66" i="5"/>
  <c r="AX62" i="5"/>
  <c r="AT62" i="5"/>
  <c r="AT58" i="5"/>
  <c r="AX58" i="5"/>
  <c r="AX54" i="5"/>
  <c r="AT54" i="5"/>
  <c r="AX50" i="5"/>
  <c r="AT50" i="5"/>
  <c r="AX46" i="5"/>
  <c r="AT46" i="5"/>
  <c r="AX42" i="5"/>
  <c r="AT42" i="5"/>
  <c r="AT38" i="5"/>
  <c r="AX38" i="5"/>
  <c r="AX34" i="5"/>
  <c r="AT34" i="5"/>
  <c r="AX30" i="5"/>
  <c r="AT30" i="5"/>
  <c r="AT26" i="5"/>
  <c r="AX26" i="5"/>
  <c r="AT7" i="5"/>
  <c r="AX7" i="5"/>
  <c r="AX10" i="5"/>
  <c r="AT10" i="5"/>
  <c r="AT14" i="5"/>
  <c r="AX14" i="5"/>
  <c r="AT9" i="5"/>
  <c r="AX9" i="5"/>
  <c r="AT21" i="5"/>
  <c r="AX21" i="5"/>
  <c r="D52" i="26"/>
  <c r="E52" i="26" s="1"/>
  <c r="D123" i="5"/>
  <c r="C123" i="5" s="1"/>
  <c r="E123" i="5"/>
  <c r="F52" i="26" s="1"/>
  <c r="AX105" i="5"/>
  <c r="AT105" i="5"/>
  <c r="AX101" i="5"/>
  <c r="AT101" i="5"/>
  <c r="AX97" i="5"/>
  <c r="AT97" i="5"/>
  <c r="AT93" i="5"/>
  <c r="AX93" i="5"/>
  <c r="AX89" i="5"/>
  <c r="AT89" i="5"/>
  <c r="AT85" i="5"/>
  <c r="AX85" i="5"/>
  <c r="AX81" i="5"/>
  <c r="AT81" i="5"/>
  <c r="AX77" i="5"/>
  <c r="AT77" i="5"/>
  <c r="AX73" i="5"/>
  <c r="AT73" i="5"/>
  <c r="AX69" i="5"/>
  <c r="AT69" i="5"/>
  <c r="AT65" i="5"/>
  <c r="AX65" i="5"/>
  <c r="AX61" i="5"/>
  <c r="AT61" i="5"/>
  <c r="AX57" i="5"/>
  <c r="AT57" i="5"/>
  <c r="AT53" i="5"/>
  <c r="AX53" i="5"/>
  <c r="AT49" i="5"/>
  <c r="AX49" i="5"/>
  <c r="AT45" i="5"/>
  <c r="AX45" i="5"/>
  <c r="AX41" i="5"/>
  <c r="AT41" i="5"/>
  <c r="AX37" i="5"/>
  <c r="AT37" i="5"/>
  <c r="AT33" i="5"/>
  <c r="AX33" i="5"/>
  <c r="AT29" i="5"/>
  <c r="AX29" i="5"/>
  <c r="B51" i="26"/>
  <c r="B52" i="26" s="1"/>
  <c r="B53" i="26" s="1"/>
  <c r="B54" i="26" s="1"/>
  <c r="B55" i="26" s="1"/>
  <c r="B56" i="26" s="1"/>
  <c r="B57" i="26" s="1"/>
  <c r="B58" i="26" s="1"/>
  <c r="B59" i="26" s="1"/>
  <c r="B60" i="26" s="1"/>
  <c r="B61" i="26" s="1"/>
  <c r="B62" i="26" s="1"/>
  <c r="B63" i="26" s="1"/>
  <c r="B64" i="26" s="1"/>
  <c r="B65" i="26" s="1"/>
  <c r="B66" i="26" s="1"/>
  <c r="B67" i="26" s="1"/>
  <c r="B68" i="26" s="1"/>
  <c r="B69" i="26" s="1"/>
  <c r="B70" i="26" s="1"/>
  <c r="B71" i="26" s="1"/>
  <c r="B72" i="26" s="1"/>
  <c r="B73" i="26" s="1"/>
  <c r="B74" i="26" s="1"/>
  <c r="B75" i="26" s="1"/>
  <c r="B76" i="26" s="1"/>
  <c r="B77" i="26" s="1"/>
  <c r="B78" i="26" s="1"/>
  <c r="B79" i="26" s="1"/>
  <c r="B80" i="26" s="1"/>
  <c r="B81" i="26" s="1"/>
  <c r="B82" i="26" s="1"/>
  <c r="B83" i="26" s="1"/>
  <c r="AT20" i="5"/>
  <c r="AX20" i="5"/>
  <c r="AX8" i="5"/>
  <c r="AT8" i="5"/>
  <c r="AT22" i="5"/>
  <c r="AX22" i="5"/>
  <c r="AX11" i="5"/>
  <c r="AT11" i="5"/>
  <c r="AT13" i="5"/>
  <c r="AX13" i="5"/>
  <c r="D51" i="26"/>
  <c r="D122" i="5"/>
  <c r="C122" i="5" s="1"/>
  <c r="E122" i="5"/>
  <c r="F51" i="26" s="1"/>
  <c r="AX104" i="5"/>
  <c r="AT104" i="5"/>
  <c r="AX100" i="5"/>
  <c r="AT100" i="5"/>
  <c r="AX96" i="5"/>
  <c r="AT96" i="5"/>
  <c r="AX92" i="5"/>
  <c r="AT92" i="5"/>
  <c r="AX88" i="5"/>
  <c r="AT88" i="5"/>
  <c r="AX84" i="5"/>
  <c r="AT84" i="5"/>
  <c r="AX80" i="5"/>
  <c r="AT80" i="5"/>
  <c r="AX76" i="5"/>
  <c r="AT76" i="5"/>
  <c r="AX72" i="5"/>
  <c r="AT72" i="5"/>
  <c r="AX68" i="5"/>
  <c r="AT68" i="5"/>
  <c r="AX64" i="5"/>
  <c r="AT64" i="5"/>
  <c r="AT60" i="5"/>
  <c r="AX60" i="5"/>
  <c r="AX56" i="5"/>
  <c r="AT56" i="5"/>
  <c r="AX52" i="5"/>
  <c r="AT52" i="5"/>
  <c r="AX48" i="5"/>
  <c r="AT48" i="5"/>
  <c r="AT44" i="5"/>
  <c r="AX44" i="5"/>
  <c r="AX40" i="5"/>
  <c r="AT40" i="5"/>
  <c r="AX36" i="5"/>
  <c r="AT36" i="5"/>
  <c r="AT32" i="5"/>
  <c r="AX32" i="5"/>
  <c r="AT28" i="5"/>
  <c r="AX28" i="5"/>
  <c r="B28" i="436"/>
  <c r="R28" i="436" s="1"/>
  <c r="B47" i="434"/>
  <c r="K47" i="434" s="1"/>
  <c r="B38" i="437"/>
  <c r="B38" i="455"/>
  <c r="B35" i="437"/>
  <c r="H35" i="437" s="1"/>
  <c r="B35" i="455"/>
  <c r="B44" i="434"/>
  <c r="DK50" i="434"/>
  <c r="B45" i="437"/>
  <c r="H45" i="437" s="1"/>
  <c r="B36" i="455"/>
  <c r="B36" i="437"/>
  <c r="K36" i="437" s="1"/>
  <c r="B32" i="455"/>
  <c r="B51" i="434"/>
  <c r="H51" i="434" s="1"/>
  <c r="DO57" i="434" s="1"/>
  <c r="B32" i="437"/>
  <c r="H32" i="437" s="1"/>
  <c r="B30" i="437"/>
  <c r="K30" i="437" s="1"/>
  <c r="B49" i="434"/>
  <c r="K49" i="434" s="1"/>
  <c r="B42" i="437"/>
  <c r="B42" i="455"/>
  <c r="B41" i="437"/>
  <c r="H41" i="437" s="1"/>
  <c r="B41" i="455"/>
  <c r="B31" i="455"/>
  <c r="B31" i="437"/>
  <c r="H31" i="437" s="1"/>
  <c r="B50" i="434"/>
  <c r="H50" i="434" s="1"/>
  <c r="DO56" i="434" s="1"/>
  <c r="B46" i="434"/>
  <c r="H46" i="434" s="1"/>
  <c r="DO52" i="434" s="1"/>
  <c r="B39" i="455"/>
  <c r="B39" i="437"/>
  <c r="K39" i="437" s="1"/>
  <c r="B48" i="434"/>
  <c r="B40" i="455"/>
  <c r="B40" i="437"/>
  <c r="K40" i="437" s="1"/>
  <c r="DK51" i="434"/>
  <c r="B45" i="434"/>
  <c r="H45" i="434" s="1"/>
  <c r="B37" i="455"/>
  <c r="B37" i="437"/>
  <c r="B43" i="455"/>
  <c r="B43" i="437"/>
  <c r="H43" i="437" s="1"/>
  <c r="B44" i="437"/>
  <c r="H44" i="437" s="1"/>
  <c r="C88" i="5"/>
  <c r="E89" i="5"/>
  <c r="C6" i="458" s="1"/>
  <c r="C227" i="5"/>
  <c r="E251" i="5"/>
  <c r="G251" i="5" s="1"/>
  <c r="C251" i="5"/>
  <c r="E249" i="5"/>
  <c r="G249" i="5" s="1"/>
  <c r="C249" i="5"/>
  <c r="D321" i="5"/>
  <c r="F321" i="5"/>
  <c r="F16" i="458"/>
  <c r="B27" i="457" s="1"/>
  <c r="C238" i="5"/>
  <c r="E238" i="5"/>
  <c r="G238" i="5" s="1"/>
  <c r="F13" i="458"/>
  <c r="B24" i="457" s="1"/>
  <c r="C235" i="5"/>
  <c r="E235" i="5"/>
  <c r="G235" i="5" s="1"/>
  <c r="H21" i="5" a="1"/>
  <c r="H21" i="5" s="1"/>
  <c r="E31" i="436" s="1"/>
  <c r="D21" i="5"/>
  <c r="C31" i="436" s="1"/>
  <c r="H41" i="5" a="1"/>
  <c r="H41" i="5" s="1"/>
  <c r="E51" i="436" s="1"/>
  <c r="D41" i="5"/>
  <c r="D21" i="26"/>
  <c r="E21" i="26" s="1"/>
  <c r="A6" i="458"/>
  <c r="CN6" i="453"/>
  <c r="CS6" i="453" s="1"/>
  <c r="D16" i="26"/>
  <c r="B12" i="455"/>
  <c r="H9" i="5"/>
  <c r="E9" i="5"/>
  <c r="C9" i="5"/>
  <c r="D306" i="5"/>
  <c r="F306" i="5"/>
  <c r="D303" i="5"/>
  <c r="F303" i="5"/>
  <c r="F304" i="5"/>
  <c r="D304" i="5"/>
  <c r="D305" i="5"/>
  <c r="F305" i="5"/>
  <c r="H37" i="5" a="1"/>
  <c r="H37" i="5" s="1"/>
  <c r="E47" i="436" s="1"/>
  <c r="D37" i="5"/>
  <c r="D43" i="26"/>
  <c r="E43" i="26" s="1"/>
  <c r="D114" i="5"/>
  <c r="C114" i="5" s="1"/>
  <c r="D25" i="26"/>
  <c r="A10" i="458"/>
  <c r="E93" i="5"/>
  <c r="AV4" i="108" s="1" a="1"/>
  <c r="AV4" i="108" s="1"/>
  <c r="C93" i="5"/>
  <c r="D14" i="26"/>
  <c r="E14" i="26" s="1"/>
  <c r="B10" i="455"/>
  <c r="H7" i="5"/>
  <c r="C7" i="5"/>
  <c r="E7" i="5"/>
  <c r="F310" i="5"/>
  <c r="D310" i="5"/>
  <c r="F307" i="5"/>
  <c r="D307" i="5"/>
  <c r="D308" i="5"/>
  <c r="F308" i="5"/>
  <c r="D309" i="5"/>
  <c r="F309" i="5"/>
  <c r="A14" i="458"/>
  <c r="D29" i="26"/>
  <c r="C97" i="5"/>
  <c r="E97" i="5"/>
  <c r="AZ4" i="108" s="1" a="1"/>
  <c r="AZ4" i="108" s="1"/>
  <c r="H32" i="5" a="1"/>
  <c r="H32" i="5" s="1"/>
  <c r="E42" i="436" s="1"/>
  <c r="D32" i="5"/>
  <c r="D15" i="26"/>
  <c r="B11" i="455"/>
  <c r="H8" i="5"/>
  <c r="E8" i="5"/>
  <c r="C8" i="5"/>
  <c r="F22" i="458"/>
  <c r="B33" i="457" s="1"/>
  <c r="C244" i="5"/>
  <c r="E244" i="5"/>
  <c r="G244" i="5" s="1"/>
  <c r="F19" i="458"/>
  <c r="B30" i="457" s="1"/>
  <c r="C241" i="5"/>
  <c r="E241" i="5"/>
  <c r="G241" i="5" s="1"/>
  <c r="H17" i="5" a="1"/>
  <c r="H17" i="5" s="1"/>
  <c r="E27" i="436" s="1"/>
  <c r="D17" i="5"/>
  <c r="C46" i="434" s="1"/>
  <c r="B27" i="455"/>
  <c r="B27" i="437"/>
  <c r="H27" i="437" s="1"/>
  <c r="H29" i="5" a="1"/>
  <c r="H29" i="5" s="1"/>
  <c r="E39" i="436" s="1"/>
  <c r="D29" i="5"/>
  <c r="H47" i="5" a="1"/>
  <c r="H47" i="5" s="1"/>
  <c r="E57" i="436" s="1"/>
  <c r="D47" i="5"/>
  <c r="H19" i="5" a="1"/>
  <c r="H19" i="5" s="1"/>
  <c r="E29" i="436" s="1"/>
  <c r="B29" i="437"/>
  <c r="D19" i="5"/>
  <c r="C29" i="436" s="1"/>
  <c r="B29" i="455"/>
  <c r="A16" i="458"/>
  <c r="D31" i="26"/>
  <c r="C99" i="5"/>
  <c r="E99" i="5"/>
  <c r="BB4" i="108" s="1" a="1"/>
  <c r="BB4" i="108" s="1"/>
  <c r="D118" i="5"/>
  <c r="C118" i="5" s="1"/>
  <c r="D47" i="26"/>
  <c r="D142" i="5"/>
  <c r="C142" i="5" s="1"/>
  <c r="D71" i="26"/>
  <c r="E142" i="5"/>
  <c r="F71" i="26" s="1"/>
  <c r="D49" i="26"/>
  <c r="D120" i="5"/>
  <c r="C120" i="5" s="1"/>
  <c r="E120" i="5"/>
  <c r="F49" i="26" s="1"/>
  <c r="D69" i="26"/>
  <c r="D140" i="5"/>
  <c r="C140" i="5" s="1"/>
  <c r="E140" i="5"/>
  <c r="F69" i="26" s="1"/>
  <c r="D64" i="26"/>
  <c r="D135" i="5"/>
  <c r="C135" i="5" s="1"/>
  <c r="E135" i="5"/>
  <c r="F64" i="26" s="1"/>
  <c r="D138" i="5"/>
  <c r="C138" i="5" s="1"/>
  <c r="D67" i="26"/>
  <c r="E138" i="5"/>
  <c r="F67" i="26" s="1"/>
  <c r="D53" i="26"/>
  <c r="D124" i="5"/>
  <c r="C124" i="5" s="1"/>
  <c r="E124" i="5"/>
  <c r="F53" i="26" s="1"/>
  <c r="D130" i="5"/>
  <c r="C130" i="5" s="1"/>
  <c r="D59" i="26"/>
  <c r="E130" i="5"/>
  <c r="F59" i="26" s="1"/>
  <c r="D68" i="26"/>
  <c r="D139" i="5"/>
  <c r="C139" i="5" s="1"/>
  <c r="E139" i="5"/>
  <c r="F68" i="26" s="1"/>
  <c r="D73" i="26"/>
  <c r="D144" i="5"/>
  <c r="C144" i="5" s="1"/>
  <c r="E144" i="5"/>
  <c r="F73" i="26" s="1"/>
  <c r="D141" i="5"/>
  <c r="C141" i="5" s="1"/>
  <c r="D70" i="26"/>
  <c r="E141" i="5"/>
  <c r="F70" i="26" s="1"/>
  <c r="D172" i="5"/>
  <c r="C172" i="5" s="1"/>
  <c r="D101" i="26"/>
  <c r="E172" i="5"/>
  <c r="F101" i="26" s="1"/>
  <c r="D61" i="26"/>
  <c r="D132" i="5"/>
  <c r="C132" i="5" s="1"/>
  <c r="E132" i="5"/>
  <c r="F61" i="26" s="1"/>
  <c r="D58" i="26"/>
  <c r="D129" i="5"/>
  <c r="C129" i="5" s="1"/>
  <c r="E129" i="5"/>
  <c r="F58" i="26" s="1"/>
  <c r="D164" i="5"/>
  <c r="C164" i="5" s="1"/>
  <c r="D93" i="26"/>
  <c r="E164" i="5"/>
  <c r="F93" i="26" s="1"/>
  <c r="E247" i="5"/>
  <c r="G247" i="5" s="1"/>
  <c r="C247" i="5"/>
  <c r="F322" i="5"/>
  <c r="D322" i="5"/>
  <c r="C250" i="5"/>
  <c r="E250" i="5"/>
  <c r="G250" i="5" s="1"/>
  <c r="D302" i="5"/>
  <c r="F302" i="5"/>
  <c r="F300" i="5"/>
  <c r="D300" i="5"/>
  <c r="D301" i="5"/>
  <c r="F301" i="5"/>
  <c r="H38" i="5" a="1"/>
  <c r="H38" i="5" s="1"/>
  <c r="E48" i="436" s="1"/>
  <c r="D38" i="5"/>
  <c r="A22" i="458"/>
  <c r="D37" i="26"/>
  <c r="E105" i="5"/>
  <c r="C105" i="5"/>
  <c r="D22" i="26"/>
  <c r="A7" i="458"/>
  <c r="C90" i="5"/>
  <c r="E90" i="5"/>
  <c r="AS4" i="108" s="1" a="1"/>
  <c r="AS4" i="108" s="1"/>
  <c r="F24" i="458"/>
  <c r="B35" i="457" s="1"/>
  <c r="C246" i="5"/>
  <c r="E246" i="5"/>
  <c r="G246" i="5" s="1"/>
  <c r="A21" i="458"/>
  <c r="D36" i="26"/>
  <c r="E104" i="5"/>
  <c r="C104" i="5"/>
  <c r="AA4" i="459"/>
  <c r="B5" i="458"/>
  <c r="H28" i="5" a="1"/>
  <c r="H28" i="5" s="1"/>
  <c r="E38" i="436" s="1"/>
  <c r="D28" i="5"/>
  <c r="H25" i="5" a="1"/>
  <c r="H25" i="5" s="1"/>
  <c r="E35" i="436" s="1"/>
  <c r="D25" i="5"/>
  <c r="D23" i="26"/>
  <c r="A8" i="458"/>
  <c r="E91" i="5"/>
  <c r="AT4" i="108" s="1" a="1"/>
  <c r="AT4" i="108" s="1"/>
  <c r="C91" i="5"/>
  <c r="D24" i="26"/>
  <c r="A9" i="458"/>
  <c r="C92" i="5"/>
  <c r="E92" i="5"/>
  <c r="AU4" i="108" s="1" a="1"/>
  <c r="AU4" i="108" s="1"/>
  <c r="H48" i="5" a="1"/>
  <c r="H48" i="5" s="1"/>
  <c r="E58" i="436" s="1"/>
  <c r="D48" i="5"/>
  <c r="F319" i="5"/>
  <c r="D319" i="5"/>
  <c r="D314" i="5"/>
  <c r="F314" i="5"/>
  <c r="D311" i="5"/>
  <c r="F311" i="5"/>
  <c r="D312" i="5"/>
  <c r="F312" i="5"/>
  <c r="F313" i="5"/>
  <c r="D313" i="5"/>
  <c r="A12" i="458"/>
  <c r="D27" i="26"/>
  <c r="C95" i="5"/>
  <c r="E95" i="5"/>
  <c r="AX4" i="108" s="1" a="1"/>
  <c r="AX4" i="108" s="1"/>
  <c r="H34" i="5" a="1"/>
  <c r="H34" i="5" s="1"/>
  <c r="E44" i="436" s="1"/>
  <c r="D34" i="5"/>
  <c r="A18" i="458"/>
  <c r="D33" i="26"/>
  <c r="E101" i="5"/>
  <c r="BD4" i="108" s="1" a="1"/>
  <c r="BD4" i="108" s="1"/>
  <c r="C101" i="5"/>
  <c r="H36" i="5" a="1"/>
  <c r="H36" i="5" s="1"/>
  <c r="E46" i="436" s="1"/>
  <c r="D36" i="5"/>
  <c r="D121" i="5"/>
  <c r="C121" i="5" s="1"/>
  <c r="D50" i="26"/>
  <c r="E121" i="5"/>
  <c r="F50" i="26" s="1"/>
  <c r="D158" i="5"/>
  <c r="C158" i="5" s="1"/>
  <c r="D87" i="26"/>
  <c r="E158" i="5"/>
  <c r="F87" i="26" s="1"/>
  <c r="D99" i="26"/>
  <c r="D170" i="5"/>
  <c r="C170" i="5" s="1"/>
  <c r="E170" i="5"/>
  <c r="F99" i="26" s="1"/>
  <c r="D171" i="5"/>
  <c r="C171" i="5" s="1"/>
  <c r="D100" i="26"/>
  <c r="E171" i="5"/>
  <c r="F100" i="26" s="1"/>
  <c r="D102" i="26"/>
  <c r="D173" i="5"/>
  <c r="C173" i="5" s="1"/>
  <c r="E173" i="5"/>
  <c r="F102" i="26" s="1"/>
  <c r="D105" i="26"/>
  <c r="D176" i="5"/>
  <c r="C176" i="5" s="1"/>
  <c r="E176" i="5"/>
  <c r="F105" i="26" s="1"/>
  <c r="D137" i="5"/>
  <c r="C137" i="5" s="1"/>
  <c r="D66" i="26"/>
  <c r="E137" i="5"/>
  <c r="F66" i="26" s="1"/>
  <c r="D81" i="26"/>
  <c r="D152" i="5"/>
  <c r="C152" i="5" s="1"/>
  <c r="E152" i="5"/>
  <c r="F81" i="26" s="1"/>
  <c r="D163" i="5"/>
  <c r="C163" i="5" s="1"/>
  <c r="D92" i="26"/>
  <c r="E163" i="5"/>
  <c r="F92" i="26" s="1"/>
  <c r="D159" i="5"/>
  <c r="C159" i="5" s="1"/>
  <c r="D88" i="26"/>
  <c r="E159" i="5"/>
  <c r="F88" i="26" s="1"/>
  <c r="D127" i="5"/>
  <c r="C127" i="5" s="1"/>
  <c r="D56" i="26"/>
  <c r="E127" i="5"/>
  <c r="F56" i="26" s="1"/>
  <c r="D77" i="26"/>
  <c r="D148" i="5"/>
  <c r="C148" i="5" s="1"/>
  <c r="E148" i="5"/>
  <c r="F77" i="26" s="1"/>
  <c r="D145" i="5"/>
  <c r="C145" i="5" s="1"/>
  <c r="D74" i="26"/>
  <c r="E145" i="5"/>
  <c r="F74" i="26" s="1"/>
  <c r="D149" i="5"/>
  <c r="C149" i="5" s="1"/>
  <c r="D78" i="26"/>
  <c r="E149" i="5"/>
  <c r="F78" i="26" s="1"/>
  <c r="F21" i="458"/>
  <c r="B32" i="457" s="1"/>
  <c r="C243" i="5"/>
  <c r="E243" i="5"/>
  <c r="G243" i="5" s="1"/>
  <c r="C248" i="5"/>
  <c r="E248" i="5"/>
  <c r="G248" i="5" s="1"/>
  <c r="D318" i="5"/>
  <c r="F318" i="5"/>
  <c r="F23" i="458"/>
  <c r="B34" i="457" s="1"/>
  <c r="E245" i="5"/>
  <c r="G245" i="5" s="1"/>
  <c r="C245" i="5"/>
  <c r="D315" i="5"/>
  <c r="F315" i="5"/>
  <c r="F316" i="5"/>
  <c r="D316" i="5"/>
  <c r="D317" i="5"/>
  <c r="F317" i="5"/>
  <c r="D26" i="26"/>
  <c r="A11" i="458"/>
  <c r="E94" i="5"/>
  <c r="AW4" i="108" s="1" a="1"/>
  <c r="AW4" i="108" s="1"/>
  <c r="C94" i="5"/>
  <c r="H18" i="5" a="1"/>
  <c r="H18" i="5" s="1"/>
  <c r="E28" i="436" s="1"/>
  <c r="D18" i="5"/>
  <c r="B28" i="455"/>
  <c r="B28" i="437"/>
  <c r="H28" i="437" s="1"/>
  <c r="A24" i="458"/>
  <c r="D39" i="26"/>
  <c r="E107" i="5"/>
  <c r="C107" i="5"/>
  <c r="H40" i="5" a="1"/>
  <c r="H40" i="5" s="1"/>
  <c r="E50" i="436" s="1"/>
  <c r="D40" i="5"/>
  <c r="F10" i="458"/>
  <c r="B21" i="457" s="1"/>
  <c r="C232" i="5"/>
  <c r="E232" i="5"/>
  <c r="G232" i="5" s="1"/>
  <c r="F7" i="458"/>
  <c r="B18" i="457" s="1"/>
  <c r="C229" i="5"/>
  <c r="E229" i="5"/>
  <c r="G229" i="5" s="1"/>
  <c r="H26" i="5" a="1"/>
  <c r="H26" i="5" s="1"/>
  <c r="E36" i="436" s="1"/>
  <c r="D26" i="5"/>
  <c r="A20" i="458"/>
  <c r="D35" i="26"/>
  <c r="E103" i="5"/>
  <c r="C103" i="5"/>
  <c r="H22" i="5" a="1"/>
  <c r="H22" i="5" s="1"/>
  <c r="E32" i="436" s="1"/>
  <c r="D22" i="5"/>
  <c r="C32" i="436" s="1"/>
  <c r="H20" i="5" a="1"/>
  <c r="H20" i="5" s="1"/>
  <c r="E30" i="436" s="1"/>
  <c r="D20" i="5"/>
  <c r="C30" i="436" s="1"/>
  <c r="B30" i="455"/>
  <c r="H44" i="5" a="1"/>
  <c r="H44" i="5" s="1"/>
  <c r="E54" i="436" s="1"/>
  <c r="D44" i="5"/>
  <c r="A19" i="458"/>
  <c r="D34" i="26"/>
  <c r="C102" i="5"/>
  <c r="E102" i="5"/>
  <c r="A15" i="458"/>
  <c r="D30" i="26"/>
  <c r="E98" i="5"/>
  <c r="BA4" i="108" s="1" a="1"/>
  <c r="BA4" i="108" s="1"/>
  <c r="C98" i="5"/>
  <c r="F12" i="458"/>
  <c r="B23" i="457" s="1"/>
  <c r="C234" i="5"/>
  <c r="E234" i="5"/>
  <c r="G234" i="5" s="1"/>
  <c r="F9" i="458"/>
  <c r="B20" i="457" s="1"/>
  <c r="E231" i="5"/>
  <c r="G231" i="5" s="1"/>
  <c r="C231" i="5"/>
  <c r="H30" i="5" a="1"/>
  <c r="H30" i="5" s="1"/>
  <c r="E40" i="436" s="1"/>
  <c r="D30" i="5"/>
  <c r="H16" i="5" a="1"/>
  <c r="H16" i="5" s="1"/>
  <c r="E26" i="436" s="1"/>
  <c r="B26" i="455"/>
  <c r="D16" i="5"/>
  <c r="C45" i="434" s="1"/>
  <c r="H27" i="5" a="1"/>
  <c r="H27" i="5" s="1"/>
  <c r="E37" i="436" s="1"/>
  <c r="D27" i="5"/>
  <c r="H33" i="5" a="1"/>
  <c r="H33" i="5" s="1"/>
  <c r="E43" i="436" s="1"/>
  <c r="D33" i="5"/>
  <c r="D299" i="5"/>
  <c r="F299" i="5"/>
  <c r="F298" i="5"/>
  <c r="D298" i="5"/>
  <c r="C298" i="5" s="1"/>
  <c r="H50" i="5" a="1"/>
  <c r="H50" i="5" s="1"/>
  <c r="E60" i="436" s="1"/>
  <c r="D50" i="5"/>
  <c r="H14" i="5" a="1"/>
  <c r="H14" i="5" s="1"/>
  <c r="E24" i="436" s="1"/>
  <c r="B24" i="455"/>
  <c r="D14" i="5"/>
  <c r="E14" i="5" s="1"/>
  <c r="D131" i="5"/>
  <c r="C131" i="5" s="1"/>
  <c r="D60" i="26"/>
  <c r="E131" i="5"/>
  <c r="F60" i="26" s="1"/>
  <c r="D65" i="26"/>
  <c r="D136" i="5"/>
  <c r="C136" i="5" s="1"/>
  <c r="E136" i="5"/>
  <c r="F65" i="26" s="1"/>
  <c r="D126" i="5"/>
  <c r="C126" i="5" s="1"/>
  <c r="D55" i="26"/>
  <c r="E126" i="5"/>
  <c r="F55" i="26" s="1"/>
  <c r="D48" i="26"/>
  <c r="D119" i="5"/>
  <c r="C119" i="5" s="1"/>
  <c r="E119" i="5"/>
  <c r="F48" i="26" s="1"/>
  <c r="D44" i="26"/>
  <c r="E44" i="26" s="1"/>
  <c r="G44" i="26" s="1"/>
  <c r="D115" i="5"/>
  <c r="C115" i="5" s="1"/>
  <c r="D150" i="5"/>
  <c r="C150" i="5" s="1"/>
  <c r="D79" i="26"/>
  <c r="E150" i="5"/>
  <c r="F79" i="26" s="1"/>
  <c r="D168" i="5"/>
  <c r="C168" i="5" s="1"/>
  <c r="D97" i="26"/>
  <c r="E168" i="5"/>
  <c r="F97" i="26" s="1"/>
  <c r="D177" i="5"/>
  <c r="C177" i="5" s="1"/>
  <c r="D106" i="26"/>
  <c r="E177" i="5"/>
  <c r="F106" i="26" s="1"/>
  <c r="D76" i="26"/>
  <c r="D147" i="5"/>
  <c r="C147" i="5" s="1"/>
  <c r="E147" i="5"/>
  <c r="F76" i="26" s="1"/>
  <c r="D134" i="5"/>
  <c r="C134" i="5" s="1"/>
  <c r="D63" i="26"/>
  <c r="E134" i="5"/>
  <c r="F63" i="26" s="1"/>
  <c r="D72" i="26"/>
  <c r="D143" i="5"/>
  <c r="C143" i="5" s="1"/>
  <c r="E143" i="5"/>
  <c r="F72" i="26" s="1"/>
  <c r="D103" i="26"/>
  <c r="D174" i="5"/>
  <c r="C174" i="5" s="1"/>
  <c r="E174" i="5"/>
  <c r="F103" i="26" s="1"/>
  <c r="D175" i="5"/>
  <c r="C175" i="5" s="1"/>
  <c r="D104" i="26"/>
  <c r="E175" i="5"/>
  <c r="F104" i="26" s="1"/>
  <c r="D146" i="5"/>
  <c r="C146" i="5" s="1"/>
  <c r="D75" i="26"/>
  <c r="E146" i="5"/>
  <c r="F75" i="26" s="1"/>
  <c r="A5" i="234"/>
  <c r="A6" i="234" s="1"/>
  <c r="A4" i="456"/>
  <c r="B8" i="236"/>
  <c r="C86" i="5"/>
  <c r="A3" i="458"/>
  <c r="F17" i="458"/>
  <c r="B28" i="457" s="1"/>
  <c r="C239" i="5"/>
  <c r="E239" i="5"/>
  <c r="G239" i="5" s="1"/>
  <c r="F8" i="458"/>
  <c r="B19" i="457" s="1"/>
  <c r="E230" i="5"/>
  <c r="G230" i="5" s="1"/>
  <c r="C230" i="5"/>
  <c r="A17" i="458"/>
  <c r="D32" i="26"/>
  <c r="C100" i="5"/>
  <c r="E100" i="5"/>
  <c r="BC4" i="108" s="1" a="1"/>
  <c r="BC4" i="108" s="1"/>
  <c r="H35" i="5" a="1"/>
  <c r="H35" i="5" s="1"/>
  <c r="E45" i="436" s="1"/>
  <c r="D35" i="5"/>
  <c r="F320" i="5"/>
  <c r="D320" i="5"/>
  <c r="F18" i="458"/>
  <c r="B29" i="457" s="1"/>
  <c r="E240" i="5"/>
  <c r="G240" i="5" s="1"/>
  <c r="C240" i="5"/>
  <c r="F15" i="458"/>
  <c r="B26" i="457" s="1"/>
  <c r="C237" i="5"/>
  <c r="E237" i="5"/>
  <c r="G237" i="5" s="1"/>
  <c r="H42" i="5" a="1"/>
  <c r="H42" i="5" s="1"/>
  <c r="E52" i="436" s="1"/>
  <c r="D42" i="5"/>
  <c r="H39" i="5" a="1"/>
  <c r="H39" i="5" s="1"/>
  <c r="E49" i="436" s="1"/>
  <c r="D39" i="5"/>
  <c r="A23" i="458"/>
  <c r="D38" i="26"/>
  <c r="C106" i="5"/>
  <c r="E106" i="5"/>
  <c r="F20" i="458"/>
  <c r="B31" i="457" s="1"/>
  <c r="E242" i="5"/>
  <c r="G242" i="5" s="1"/>
  <c r="C242" i="5"/>
  <c r="H46" i="5" a="1"/>
  <c r="H46" i="5" s="1"/>
  <c r="E56" i="436" s="1"/>
  <c r="D46" i="5"/>
  <c r="H43" i="5" a="1"/>
  <c r="H43" i="5" s="1"/>
  <c r="E53" i="436" s="1"/>
  <c r="D43" i="5"/>
  <c r="H15" i="5" a="1"/>
  <c r="H15" i="5" s="1"/>
  <c r="E25" i="436" s="1"/>
  <c r="D15" i="5"/>
  <c r="B25" i="455"/>
  <c r="H49" i="5" a="1"/>
  <c r="H49" i="5" s="1"/>
  <c r="E59" i="436" s="1"/>
  <c r="D49" i="5"/>
  <c r="F14" i="458"/>
  <c r="B25" i="457" s="1"/>
  <c r="E236" i="5"/>
  <c r="G236" i="5" s="1"/>
  <c r="C236" i="5"/>
  <c r="F11" i="458"/>
  <c r="B22" i="457" s="1"/>
  <c r="E233" i="5"/>
  <c r="G233" i="5" s="1"/>
  <c r="C233" i="5"/>
  <c r="A13" i="458"/>
  <c r="D28" i="26"/>
  <c r="E96" i="5"/>
  <c r="AY4" i="108" s="1" a="1"/>
  <c r="AY4" i="108" s="1"/>
  <c r="C96" i="5"/>
  <c r="H31" i="5" a="1"/>
  <c r="H31" i="5" s="1"/>
  <c r="E41" i="436" s="1"/>
  <c r="D31" i="5"/>
  <c r="H45" i="5" a="1"/>
  <c r="H45" i="5" s="1"/>
  <c r="E55" i="436" s="1"/>
  <c r="D45" i="5"/>
  <c r="D45" i="26"/>
  <c r="E45" i="26" s="1"/>
  <c r="D116" i="5"/>
  <c r="C116" i="5" s="1"/>
  <c r="D154" i="5"/>
  <c r="C154" i="5" s="1"/>
  <c r="D83" i="26"/>
  <c r="E154" i="5"/>
  <c r="F83" i="26" s="1"/>
  <c r="D98" i="26"/>
  <c r="D169" i="5"/>
  <c r="C169" i="5" s="1"/>
  <c r="E169" i="5"/>
  <c r="F98" i="26" s="1"/>
  <c r="D94" i="26"/>
  <c r="D165" i="5"/>
  <c r="C165" i="5" s="1"/>
  <c r="E165" i="5"/>
  <c r="F94" i="26" s="1"/>
  <c r="D62" i="26"/>
  <c r="D133" i="5"/>
  <c r="C133" i="5" s="1"/>
  <c r="E133" i="5"/>
  <c r="F62" i="26" s="1"/>
  <c r="D153" i="5"/>
  <c r="C153" i="5" s="1"/>
  <c r="D82" i="26"/>
  <c r="E153" i="5"/>
  <c r="F82" i="26" s="1"/>
  <c r="D151" i="5"/>
  <c r="C151" i="5" s="1"/>
  <c r="D80" i="26"/>
  <c r="E151" i="5"/>
  <c r="F80" i="26" s="1"/>
  <c r="D57" i="26"/>
  <c r="D128" i="5"/>
  <c r="C128" i="5" s="1"/>
  <c r="E128" i="5"/>
  <c r="F57" i="26" s="1"/>
  <c r="D54" i="26"/>
  <c r="D125" i="5"/>
  <c r="C125" i="5" s="1"/>
  <c r="E125" i="5"/>
  <c r="F54" i="26" s="1"/>
  <c r="D86" i="26"/>
  <c r="F86" i="26"/>
  <c r="D95" i="26"/>
  <c r="D166" i="5"/>
  <c r="C166" i="5" s="1"/>
  <c r="E166" i="5"/>
  <c r="F95" i="26" s="1"/>
  <c r="D89" i="26"/>
  <c r="D160" i="5"/>
  <c r="C160" i="5" s="1"/>
  <c r="E160" i="5"/>
  <c r="F89" i="26" s="1"/>
  <c r="D167" i="5"/>
  <c r="C167" i="5" s="1"/>
  <c r="D96" i="26"/>
  <c r="E167" i="5"/>
  <c r="F96" i="26" s="1"/>
  <c r="D117" i="5"/>
  <c r="C117" i="5" s="1"/>
  <c r="D46" i="26"/>
  <c r="E1" i="458"/>
  <c r="J13" i="457"/>
  <c r="B1" i="459"/>
  <c r="C13" i="457"/>
  <c r="C3" i="459"/>
  <c r="D225" i="5"/>
  <c r="F3" i="458" s="1"/>
  <c r="C15" i="457"/>
  <c r="V4" i="459"/>
  <c r="E1" i="453"/>
  <c r="B1" i="455"/>
  <c r="AV91" i="236"/>
  <c r="AZ91" i="236" s="1"/>
  <c r="AO5" i="234"/>
  <c r="AO8" i="234"/>
  <c r="AO6" i="234"/>
  <c r="AO7" i="234"/>
  <c r="E227" i="5"/>
  <c r="G227" i="5" s="1"/>
  <c r="E88" i="5"/>
  <c r="C5" i="458" s="1"/>
  <c r="N8" i="236"/>
  <c r="N13" i="420" s="1"/>
  <c r="N12" i="236"/>
  <c r="N17" i="420" s="1"/>
  <c r="N9" i="236"/>
  <c r="N14" i="420" s="1"/>
  <c r="E114" i="5"/>
  <c r="F43" i="26" s="1"/>
  <c r="F13" i="5"/>
  <c r="E23" i="455"/>
  <c r="K8" i="236" a="1"/>
  <c r="K8" i="236" s="1"/>
  <c r="L8" i="236" a="1"/>
  <c r="L8" i="236" s="1"/>
  <c r="R6" i="453"/>
  <c r="D13" i="452" s="1"/>
  <c r="E8" i="455"/>
  <c r="D14" i="454" s="1"/>
  <c r="C22" i="436"/>
  <c r="C22" i="455"/>
  <c r="AZ95" i="236"/>
  <c r="AZ90" i="236"/>
  <c r="AZ96" i="236"/>
  <c r="AZ89" i="236"/>
  <c r="AV97" i="236"/>
  <c r="AW96" i="236" a="1"/>
  <c r="AW96" i="236" s="1"/>
  <c r="CL4" i="236" s="1"/>
  <c r="O4" i="455" s="1"/>
  <c r="CG4" i="236"/>
  <c r="J4" i="455" s="1"/>
  <c r="AY96" i="236"/>
  <c r="CF4" i="236"/>
  <c r="I4" i="455" s="1"/>
  <c r="AZ86" i="236"/>
  <c r="AZ102" i="236"/>
  <c r="AZ101" i="236"/>
  <c r="AZ3" i="238"/>
  <c r="Q9" i="108"/>
  <c r="R9" i="108"/>
  <c r="R7" i="108"/>
  <c r="Q7" i="108"/>
  <c r="Q6" i="108"/>
  <c r="Q8" i="108"/>
  <c r="E217" i="5"/>
  <c r="C217" i="5"/>
  <c r="C216" i="5"/>
  <c r="E216" i="5"/>
  <c r="E219" i="5"/>
  <c r="C219" i="5"/>
  <c r="E215" i="5"/>
  <c r="C215" i="5"/>
  <c r="C218" i="5"/>
  <c r="E218" i="5"/>
  <c r="C214" i="5"/>
  <c r="E214" i="5"/>
  <c r="F196" i="5"/>
  <c r="F227" i="5"/>
  <c r="C205" i="5"/>
  <c r="E205" i="5"/>
  <c r="C202" i="5"/>
  <c r="E202" i="5"/>
  <c r="C207" i="5"/>
  <c r="E207" i="5"/>
  <c r="C197" i="5"/>
  <c r="E197" i="5"/>
  <c r="C194" i="5"/>
  <c r="E194" i="5"/>
  <c r="E198" i="5"/>
  <c r="C198" i="5"/>
  <c r="E211" i="5"/>
  <c r="C211" i="5"/>
  <c r="E204" i="5"/>
  <c r="C204" i="5"/>
  <c r="C208" i="5"/>
  <c r="E208" i="5"/>
  <c r="E206" i="5"/>
  <c r="C206" i="5"/>
  <c r="E196" i="5"/>
  <c r="C196" i="5"/>
  <c r="C210" i="5"/>
  <c r="E210" i="5"/>
  <c r="E203" i="5"/>
  <c r="C203" i="5"/>
  <c r="C200" i="5"/>
  <c r="E200" i="5"/>
  <c r="C199" i="5"/>
  <c r="E199" i="5"/>
  <c r="C213" i="5"/>
  <c r="E213" i="5"/>
  <c r="E201" i="5"/>
  <c r="C201" i="5"/>
  <c r="E212" i="5"/>
  <c r="C212" i="5"/>
  <c r="E195" i="5"/>
  <c r="C195" i="5"/>
  <c r="E209" i="5"/>
  <c r="C209" i="5"/>
  <c r="P9" i="108"/>
  <c r="O9" i="108"/>
  <c r="P8" i="108"/>
  <c r="O8" i="108"/>
  <c r="AP4" i="108" a="1"/>
  <c r="AP4" i="108" s="1"/>
  <c r="A9" i="453"/>
  <c r="F9" i="453" s="1"/>
  <c r="E86" i="5"/>
  <c r="A7" i="432"/>
  <c r="A5" i="238"/>
  <c r="A8" i="459" s="1"/>
  <c r="E8" i="459" s="1"/>
  <c r="AH17" i="437"/>
  <c r="AA12" i="435" s="1"/>
  <c r="B10" i="437"/>
  <c r="B139" i="2" s="1"/>
  <c r="C1" i="451"/>
  <c r="B2" i="451"/>
  <c r="D296" i="5"/>
  <c r="F296" i="5"/>
  <c r="B8" i="451"/>
  <c r="C193" i="5"/>
  <c r="E193" i="5"/>
  <c r="BA84" i="236"/>
  <c r="N4" i="235"/>
  <c r="AS4" i="235" s="1"/>
  <c r="AS3" i="235" s="1"/>
  <c r="M5" i="235"/>
  <c r="AR5" i="235" s="1"/>
  <c r="B26" i="437"/>
  <c r="H26" i="437" s="1"/>
  <c r="B26" i="436"/>
  <c r="K26" i="436" s="1"/>
  <c r="B24" i="436"/>
  <c r="B25" i="436"/>
  <c r="B27" i="436"/>
  <c r="K27" i="436" s="1"/>
  <c r="B10" i="451"/>
  <c r="A10" i="451" s="1"/>
  <c r="D35" i="2"/>
  <c r="AZ100" i="236"/>
  <c r="AZ99" i="236"/>
  <c r="S5" i="236"/>
  <c r="T4" i="236"/>
  <c r="T3" i="236" s="1"/>
  <c r="AW5" i="238" a="1"/>
  <c r="AW5" i="238" s="1"/>
  <c r="AZ4" i="238"/>
  <c r="AZ9" i="238"/>
  <c r="AZ11" i="238"/>
  <c r="AZ14" i="238"/>
  <c r="AZ17" i="238"/>
  <c r="AZ19" i="238"/>
  <c r="AZ22" i="238"/>
  <c r="AZ26" i="238"/>
  <c r="AZ29" i="238"/>
  <c r="AZ32" i="238"/>
  <c r="AZ6" i="238"/>
  <c r="AZ16" i="238"/>
  <c r="AZ24" i="238"/>
  <c r="AZ31" i="238"/>
  <c r="AZ8" i="238"/>
  <c r="AZ10" i="238"/>
  <c r="AZ13" i="238"/>
  <c r="AZ15" i="238"/>
  <c r="AZ18" i="238"/>
  <c r="AZ21" i="238"/>
  <c r="AZ23" i="238"/>
  <c r="AZ25" i="238"/>
  <c r="AZ28" i="238"/>
  <c r="AZ30" i="238"/>
  <c r="AZ7" i="238"/>
  <c r="AZ12" i="238"/>
  <c r="AZ5" i="238"/>
  <c r="AZ20" i="238"/>
  <c r="AZ27" i="238"/>
  <c r="AY5" i="236"/>
  <c r="AP22" i="434"/>
  <c r="CI5" i="434"/>
  <c r="B14" i="420"/>
  <c r="C32" i="2"/>
  <c r="B88" i="2"/>
  <c r="K7" i="236" a="1"/>
  <c r="K7" i="236" s="1"/>
  <c r="L7" i="236" a="1"/>
  <c r="L7" i="236" s="1"/>
  <c r="AP5" i="235"/>
  <c r="AG17" i="437"/>
  <c r="Z12" i="435" s="1"/>
  <c r="Y8" i="5"/>
  <c r="Y9" i="5" s="1"/>
  <c r="Y10" i="5" s="1"/>
  <c r="Y11" i="5" s="1"/>
  <c r="AI17" i="437"/>
  <c r="AB12" i="435" s="1"/>
  <c r="D3" i="436"/>
  <c r="CU41" i="434"/>
  <c r="CU42" i="434" s="1"/>
  <c r="AK17" i="437"/>
  <c r="AD12" i="435" s="1"/>
  <c r="AL17" i="437"/>
  <c r="AE12" i="435" s="1"/>
  <c r="AI17" i="436"/>
  <c r="AH17" i="436"/>
  <c r="AP17" i="437"/>
  <c r="AM17" i="437"/>
  <c r="AF12" i="435" s="1"/>
  <c r="AO17" i="437"/>
  <c r="AH12" i="435" s="1"/>
  <c r="AN17" i="437"/>
  <c r="AG12" i="435" s="1"/>
  <c r="D2" i="436"/>
  <c r="D22" i="436"/>
  <c r="D23" i="437"/>
  <c r="D23" i="436"/>
  <c r="D22" i="437"/>
  <c r="O6" i="108"/>
  <c r="C12" i="2"/>
  <c r="P6" i="108"/>
  <c r="L6" i="236" a="1"/>
  <c r="L6" i="236" s="1"/>
  <c r="K6" i="236" a="1"/>
  <c r="K6" i="236" s="1"/>
  <c r="D10" i="2"/>
  <c r="B62" i="2"/>
  <c r="Z6" i="5"/>
  <c r="AA6" i="5" s="1"/>
  <c r="AC6" i="5" s="1"/>
  <c r="AQ3" i="234"/>
  <c r="C281" i="5"/>
  <c r="E12" i="5"/>
  <c r="E22" i="455" s="1"/>
  <c r="C12" i="5"/>
  <c r="L5" i="108"/>
  <c r="F5" i="5"/>
  <c r="B8" i="235"/>
  <c r="B13" i="420"/>
  <c r="C56" i="436" l="1"/>
  <c r="C56" i="437"/>
  <c r="C75" i="434"/>
  <c r="C56" i="455"/>
  <c r="C43" i="436"/>
  <c r="C62" i="434"/>
  <c r="C41" i="436"/>
  <c r="C60" i="434"/>
  <c r="G34" i="451"/>
  <c r="C53" i="437"/>
  <c r="C53" i="436"/>
  <c r="C72" i="434"/>
  <c r="C53" i="455"/>
  <c r="C60" i="437"/>
  <c r="C79" i="434"/>
  <c r="C60" i="436"/>
  <c r="C60" i="455"/>
  <c r="C37" i="436"/>
  <c r="C56" i="434"/>
  <c r="C55" i="434"/>
  <c r="C36" i="436"/>
  <c r="C50" i="436"/>
  <c r="C50" i="437"/>
  <c r="C69" i="434"/>
  <c r="C50" i="455"/>
  <c r="C46" i="437"/>
  <c r="C46" i="436"/>
  <c r="C65" i="434"/>
  <c r="C46" i="455"/>
  <c r="C35" i="436"/>
  <c r="C54" i="434"/>
  <c r="C33" i="436"/>
  <c r="C52" i="434"/>
  <c r="G91" i="26"/>
  <c r="C64" i="436"/>
  <c r="C83" i="434"/>
  <c r="C64" i="437"/>
  <c r="C54" i="5"/>
  <c r="E54" i="5"/>
  <c r="C64" i="455"/>
  <c r="R64" i="436"/>
  <c r="R66" i="436"/>
  <c r="C78" i="436"/>
  <c r="C97" i="434"/>
  <c r="C78" i="437"/>
  <c r="C68" i="5"/>
  <c r="E68" i="5"/>
  <c r="C78" i="455"/>
  <c r="E90" i="26"/>
  <c r="G90" i="26" s="1"/>
  <c r="D90" i="27"/>
  <c r="R40" i="436"/>
  <c r="R52" i="436"/>
  <c r="C62" i="436"/>
  <c r="C81" i="434"/>
  <c r="C62" i="437"/>
  <c r="C52" i="5"/>
  <c r="E52" i="5"/>
  <c r="C62" i="455"/>
  <c r="R72" i="436"/>
  <c r="R65" i="436"/>
  <c r="R33" i="436"/>
  <c r="R57" i="436"/>
  <c r="R86" i="436"/>
  <c r="C67" i="436"/>
  <c r="C67" i="437"/>
  <c r="C86" i="434"/>
  <c r="E57" i="5"/>
  <c r="C57" i="5"/>
  <c r="C67" i="455"/>
  <c r="C88" i="436"/>
  <c r="C88" i="437"/>
  <c r="C107" i="434"/>
  <c r="E78" i="5"/>
  <c r="C78" i="5"/>
  <c r="C88" i="455"/>
  <c r="R88" i="436"/>
  <c r="C85" i="436"/>
  <c r="C85" i="437"/>
  <c r="C104" i="434"/>
  <c r="C75" i="5"/>
  <c r="E75" i="5"/>
  <c r="C85" i="455"/>
  <c r="C87" i="436"/>
  <c r="C87" i="437"/>
  <c r="C106" i="434"/>
  <c r="C77" i="5"/>
  <c r="E77" i="5"/>
  <c r="C87" i="455"/>
  <c r="R70" i="436"/>
  <c r="R44" i="436"/>
  <c r="R54" i="436"/>
  <c r="C59" i="436"/>
  <c r="C59" i="437"/>
  <c r="C78" i="434"/>
  <c r="C59" i="455"/>
  <c r="C49" i="437"/>
  <c r="C49" i="436"/>
  <c r="C68" i="434"/>
  <c r="C49" i="455"/>
  <c r="C55" i="436"/>
  <c r="C74" i="434"/>
  <c r="C55" i="437"/>
  <c r="C55" i="455"/>
  <c r="C52" i="437"/>
  <c r="C71" i="434"/>
  <c r="C52" i="436"/>
  <c r="C52" i="455"/>
  <c r="C40" i="436"/>
  <c r="C59" i="434"/>
  <c r="C54" i="436"/>
  <c r="C73" i="434"/>
  <c r="C54" i="437"/>
  <c r="C54" i="455"/>
  <c r="C48" i="436"/>
  <c r="C67" i="434"/>
  <c r="C48" i="437"/>
  <c r="C48" i="455"/>
  <c r="C39" i="436"/>
  <c r="C58" i="434"/>
  <c r="C51" i="436"/>
  <c r="C70" i="434"/>
  <c r="C51" i="437"/>
  <c r="C51" i="455"/>
  <c r="B84" i="26"/>
  <c r="B85" i="26" s="1"/>
  <c r="B86" i="26" s="1"/>
  <c r="B87" i="26" s="1"/>
  <c r="B88" i="26" s="1"/>
  <c r="B89" i="26" s="1"/>
  <c r="R91" i="436"/>
  <c r="C75" i="436"/>
  <c r="C75" i="437"/>
  <c r="C94" i="434"/>
  <c r="C65" i="5"/>
  <c r="E65" i="5"/>
  <c r="C75" i="455"/>
  <c r="C81" i="436"/>
  <c r="C81" i="437"/>
  <c r="C100" i="434"/>
  <c r="E71" i="5"/>
  <c r="C71" i="5"/>
  <c r="C81" i="455"/>
  <c r="R81" i="436"/>
  <c r="K85" i="26"/>
  <c r="J85" i="26"/>
  <c r="Q85" i="26"/>
  <c r="M85" i="26"/>
  <c r="R85" i="26"/>
  <c r="I85" i="26"/>
  <c r="P85" i="26"/>
  <c r="S85" i="26"/>
  <c r="N85" i="26"/>
  <c r="L85" i="26"/>
  <c r="O85" i="26"/>
  <c r="R32" i="436"/>
  <c r="R45" i="436"/>
  <c r="R48" i="436"/>
  <c r="C71" i="436"/>
  <c r="C71" i="437"/>
  <c r="C90" i="434"/>
  <c r="C61" i="5"/>
  <c r="E61" i="5"/>
  <c r="C71" i="455"/>
  <c r="C77" i="436"/>
  <c r="C77" i="437"/>
  <c r="C96" i="434"/>
  <c r="C67" i="5"/>
  <c r="E67" i="5"/>
  <c r="C77" i="455"/>
  <c r="R77" i="436"/>
  <c r="R62" i="436"/>
  <c r="R31" i="436"/>
  <c r="R85" i="436"/>
  <c r="C74" i="436"/>
  <c r="C93" i="434"/>
  <c r="C74" i="437"/>
  <c r="E64" i="5"/>
  <c r="C64" i="5"/>
  <c r="C74" i="455"/>
  <c r="C103" i="434"/>
  <c r="C84" i="437"/>
  <c r="C84" i="436"/>
  <c r="E74" i="5"/>
  <c r="C74" i="5"/>
  <c r="C84" i="455"/>
  <c r="C80" i="436"/>
  <c r="C80" i="437"/>
  <c r="C99" i="434"/>
  <c r="E70" i="5"/>
  <c r="C70" i="5"/>
  <c r="C80" i="455"/>
  <c r="C82" i="436"/>
  <c r="C82" i="437"/>
  <c r="C101" i="434"/>
  <c r="E72" i="5"/>
  <c r="C72" i="5"/>
  <c r="C82" i="455"/>
  <c r="R76" i="436"/>
  <c r="C87" i="434"/>
  <c r="C68" i="437"/>
  <c r="C68" i="436"/>
  <c r="C58" i="5"/>
  <c r="E58" i="5"/>
  <c r="C68" i="455"/>
  <c r="R51" i="436"/>
  <c r="C63" i="434"/>
  <c r="C44" i="436"/>
  <c r="C44" i="455"/>
  <c r="C58" i="436"/>
  <c r="C77" i="434"/>
  <c r="C58" i="437"/>
  <c r="C58" i="455"/>
  <c r="C38" i="436"/>
  <c r="C57" i="434"/>
  <c r="C42" i="436"/>
  <c r="C61" i="434"/>
  <c r="K91" i="26"/>
  <c r="M91" i="26"/>
  <c r="S91" i="26"/>
  <c r="I91" i="26"/>
  <c r="R91" i="26"/>
  <c r="O91" i="26"/>
  <c r="N91" i="26"/>
  <c r="P91" i="26"/>
  <c r="Q91" i="26"/>
  <c r="J91" i="26"/>
  <c r="L91" i="26"/>
  <c r="C66" i="436"/>
  <c r="C85" i="434"/>
  <c r="C66" i="437"/>
  <c r="C56" i="5"/>
  <c r="E56" i="5"/>
  <c r="C66" i="455"/>
  <c r="C91" i="436"/>
  <c r="C91" i="437"/>
  <c r="C110" i="434"/>
  <c r="E81" i="5"/>
  <c r="C81" i="5"/>
  <c r="C91" i="455"/>
  <c r="C73" i="436"/>
  <c r="C73" i="437"/>
  <c r="C92" i="434"/>
  <c r="C63" i="5"/>
  <c r="E63" i="5"/>
  <c r="C73" i="455"/>
  <c r="C90" i="436"/>
  <c r="C90" i="437"/>
  <c r="C109" i="434"/>
  <c r="C80" i="5"/>
  <c r="E80" i="5"/>
  <c r="C90" i="455"/>
  <c r="R90" i="436"/>
  <c r="R39" i="436"/>
  <c r="R43" i="436"/>
  <c r="C61" i="437"/>
  <c r="C61" i="436"/>
  <c r="C80" i="434"/>
  <c r="C51" i="5"/>
  <c r="E51" i="5"/>
  <c r="C61" i="455"/>
  <c r="R61" i="436"/>
  <c r="C79" i="436"/>
  <c r="C79" i="437"/>
  <c r="C98" i="434"/>
  <c r="E69" i="5"/>
  <c r="C69" i="5"/>
  <c r="C79" i="455"/>
  <c r="R84" i="436"/>
  <c r="R41" i="436"/>
  <c r="R60" i="436"/>
  <c r="R35" i="436"/>
  <c r="R30" i="436"/>
  <c r="R82" i="436"/>
  <c r="C69" i="436"/>
  <c r="C69" i="437"/>
  <c r="C88" i="434"/>
  <c r="E59" i="5"/>
  <c r="C59" i="5"/>
  <c r="C69" i="455"/>
  <c r="D84" i="27"/>
  <c r="E84" i="26"/>
  <c r="C45" i="436"/>
  <c r="C64" i="434"/>
  <c r="C45" i="455"/>
  <c r="C57" i="437"/>
  <c r="C57" i="436"/>
  <c r="C76" i="434"/>
  <c r="C57" i="455"/>
  <c r="C47" i="436"/>
  <c r="C47" i="437"/>
  <c r="C66" i="434"/>
  <c r="C47" i="455"/>
  <c r="C34" i="436"/>
  <c r="C53" i="434"/>
  <c r="G85" i="26"/>
  <c r="R71" i="436"/>
  <c r="C83" i="436"/>
  <c r="C83" i="437"/>
  <c r="C102" i="434"/>
  <c r="E73" i="5"/>
  <c r="C73" i="5"/>
  <c r="C83" i="455"/>
  <c r="R73" i="436"/>
  <c r="C72" i="436"/>
  <c r="C91" i="434"/>
  <c r="C72" i="437"/>
  <c r="E62" i="5"/>
  <c r="C62" i="5"/>
  <c r="C72" i="455"/>
  <c r="C65" i="436"/>
  <c r="C65" i="437"/>
  <c r="C84" i="434"/>
  <c r="E55" i="5"/>
  <c r="C55" i="5"/>
  <c r="C65" i="455"/>
  <c r="R36" i="436"/>
  <c r="R50" i="436"/>
  <c r="C86" i="436"/>
  <c r="C86" i="437"/>
  <c r="C105" i="434"/>
  <c r="E76" i="5"/>
  <c r="C76" i="5"/>
  <c r="C86" i="455"/>
  <c r="R67" i="436"/>
  <c r="R74" i="436"/>
  <c r="C70" i="436"/>
  <c r="C89" i="434"/>
  <c r="C70" i="437"/>
  <c r="E60" i="5"/>
  <c r="C60" i="5"/>
  <c r="C70" i="455"/>
  <c r="R80" i="436"/>
  <c r="C95" i="434"/>
  <c r="C76" i="437"/>
  <c r="C76" i="436"/>
  <c r="E66" i="5"/>
  <c r="C66" i="5"/>
  <c r="C76" i="455"/>
  <c r="C63" i="436"/>
  <c r="C63" i="437"/>
  <c r="C82" i="434"/>
  <c r="C53" i="5"/>
  <c r="E53" i="5"/>
  <c r="C63" i="455"/>
  <c r="C89" i="436"/>
  <c r="C89" i="437"/>
  <c r="C108" i="434"/>
  <c r="C79" i="5"/>
  <c r="E79" i="5"/>
  <c r="C89" i="455"/>
  <c r="R68" i="436"/>
  <c r="R56" i="436"/>
  <c r="R47" i="436"/>
  <c r="DO61" i="434"/>
  <c r="DO101" i="434"/>
  <c r="DO86" i="434"/>
  <c r="DO102" i="434"/>
  <c r="DO110" i="434"/>
  <c r="DO90" i="434"/>
  <c r="DO76" i="434"/>
  <c r="DO106" i="434"/>
  <c r="DO89" i="434"/>
  <c r="DO85" i="434"/>
  <c r="DO70" i="434"/>
  <c r="DO92" i="434"/>
  <c r="DO65" i="434"/>
  <c r="DO66" i="434"/>
  <c r="DO105" i="434"/>
  <c r="DO73" i="434"/>
  <c r="DO58" i="434"/>
  <c r="DO69" i="434"/>
  <c r="DO68" i="434"/>
  <c r="DO95" i="434"/>
  <c r="DO91" i="434"/>
  <c r="DO77" i="434"/>
  <c r="DO87" i="434"/>
  <c r="DO107" i="434"/>
  <c r="DO98" i="434"/>
  <c r="DO72" i="434"/>
  <c r="DO93" i="434"/>
  <c r="DO60" i="434"/>
  <c r="DO97" i="434"/>
  <c r="DO81" i="434"/>
  <c r="DO75" i="434"/>
  <c r="DO64" i="434"/>
  <c r="DO82" i="434"/>
  <c r="DO109" i="434"/>
  <c r="DO96" i="434"/>
  <c r="DO79" i="434"/>
  <c r="DO99" i="434"/>
  <c r="DQ57" i="434"/>
  <c r="DS57" i="434"/>
  <c r="DQ52" i="434"/>
  <c r="DS52" i="434"/>
  <c r="DS56" i="434"/>
  <c r="DQ56" i="434"/>
  <c r="F21" i="26"/>
  <c r="G21" i="26" s="1"/>
  <c r="H49" i="434"/>
  <c r="DO55" i="434" s="1"/>
  <c r="K51" i="434"/>
  <c r="K41" i="437"/>
  <c r="H36" i="437"/>
  <c r="K35" i="437"/>
  <c r="K32" i="437"/>
  <c r="K45" i="434"/>
  <c r="H47" i="434"/>
  <c r="DO53" i="434" s="1"/>
  <c r="K45" i="437"/>
  <c r="K43" i="437"/>
  <c r="K50" i="434"/>
  <c r="H40" i="437"/>
  <c r="K28" i="436"/>
  <c r="K46" i="434"/>
  <c r="K44" i="437"/>
  <c r="H28" i="436"/>
  <c r="G31" i="451"/>
  <c r="G30" i="451"/>
  <c r="G33" i="451"/>
  <c r="G32" i="451"/>
  <c r="E298" i="5"/>
  <c r="G298" i="5" s="1"/>
  <c r="H30" i="437"/>
  <c r="G52" i="26"/>
  <c r="AU36" i="5"/>
  <c r="AV36" i="5" s="1"/>
  <c r="AW36" i="5" s="1"/>
  <c r="AS36" i="5"/>
  <c r="AS52" i="5"/>
  <c r="AU52" i="5"/>
  <c r="AV52" i="5" s="1"/>
  <c r="AW52" i="5" s="1"/>
  <c r="AS68" i="5"/>
  <c r="AU68" i="5"/>
  <c r="AV68" i="5" s="1"/>
  <c r="AW68" i="5" s="1"/>
  <c r="AU76" i="5"/>
  <c r="AV76" i="5" s="1"/>
  <c r="AW76" i="5" s="1"/>
  <c r="AS76" i="5"/>
  <c r="AS84" i="5"/>
  <c r="AU84" i="5"/>
  <c r="AV84" i="5" s="1"/>
  <c r="AW84" i="5" s="1"/>
  <c r="AU92" i="5"/>
  <c r="AV92" i="5" s="1"/>
  <c r="AW92" i="5" s="1"/>
  <c r="AS92" i="5"/>
  <c r="AS100" i="5"/>
  <c r="AU100" i="5"/>
  <c r="AV100" i="5" s="1"/>
  <c r="AW100" i="5" s="1"/>
  <c r="AU13" i="5"/>
  <c r="AV13" i="5" s="1"/>
  <c r="AW13" i="5" s="1"/>
  <c r="AS13" i="5"/>
  <c r="AS22" i="5"/>
  <c r="AU22" i="5"/>
  <c r="AV22" i="5" s="1"/>
  <c r="AW22" i="5" s="1"/>
  <c r="AS20" i="5"/>
  <c r="AU20" i="5"/>
  <c r="AV20" i="5" s="1"/>
  <c r="AW20" i="5" s="1"/>
  <c r="AS37" i="5"/>
  <c r="AU37" i="5"/>
  <c r="AV37" i="5" s="1"/>
  <c r="AW37" i="5" s="1"/>
  <c r="AU61" i="5"/>
  <c r="AV61" i="5" s="1"/>
  <c r="AW61" i="5" s="1"/>
  <c r="AS61" i="5"/>
  <c r="AU69" i="5"/>
  <c r="AV69" i="5" s="1"/>
  <c r="AW69" i="5" s="1"/>
  <c r="AS69" i="5"/>
  <c r="AU77" i="5"/>
  <c r="AV77" i="5" s="1"/>
  <c r="AW77" i="5" s="1"/>
  <c r="AS77" i="5"/>
  <c r="AU101" i="5"/>
  <c r="AV101" i="5" s="1"/>
  <c r="AW101" i="5" s="1"/>
  <c r="AS101" i="5"/>
  <c r="AU21" i="5"/>
  <c r="AV21" i="5" s="1"/>
  <c r="AW21" i="5" s="1"/>
  <c r="AS21" i="5"/>
  <c r="AU14" i="5"/>
  <c r="AV14" i="5" s="1"/>
  <c r="AW14" i="5" s="1"/>
  <c r="AS14" i="5"/>
  <c r="AU7" i="5"/>
  <c r="AV7" i="5" s="1"/>
  <c r="AW7" i="5" s="1"/>
  <c r="AS7" i="5"/>
  <c r="AU30" i="5"/>
  <c r="AV30" i="5" s="1"/>
  <c r="AW30" i="5" s="1"/>
  <c r="AS30" i="5"/>
  <c r="AS46" i="5"/>
  <c r="AU46" i="5"/>
  <c r="AV46" i="5" s="1"/>
  <c r="AW46" i="5" s="1"/>
  <c r="AS54" i="5"/>
  <c r="AU54" i="5"/>
  <c r="AV54" i="5" s="1"/>
  <c r="AW54" i="5" s="1"/>
  <c r="AU62" i="5"/>
  <c r="AV62" i="5" s="1"/>
  <c r="AW62" i="5" s="1"/>
  <c r="AS62" i="5"/>
  <c r="AU70" i="5"/>
  <c r="AV70" i="5" s="1"/>
  <c r="AW70" i="5" s="1"/>
  <c r="AS70" i="5"/>
  <c r="AU86" i="5"/>
  <c r="AV86" i="5" s="1"/>
  <c r="AW86" i="5" s="1"/>
  <c r="AS86" i="5"/>
  <c r="C34" i="437"/>
  <c r="C34" i="455"/>
  <c r="D34" i="455" s="1"/>
  <c r="V34" i="455" s="1"/>
  <c r="E24" i="5"/>
  <c r="E53" i="434" s="1"/>
  <c r="DN59" i="434" s="1"/>
  <c r="DM59" i="434" s="1"/>
  <c r="C24" i="5"/>
  <c r="AU16" i="5"/>
  <c r="AV16" i="5" s="1"/>
  <c r="AW16" i="5" s="1"/>
  <c r="AS16" i="5"/>
  <c r="AU15" i="5"/>
  <c r="AV15" i="5" s="1"/>
  <c r="AW15" i="5" s="1"/>
  <c r="AS15" i="5"/>
  <c r="AU35" i="5"/>
  <c r="AV35" i="5" s="1"/>
  <c r="AW35" i="5" s="1"/>
  <c r="AS35" i="5"/>
  <c r="AU59" i="5"/>
  <c r="AV59" i="5" s="1"/>
  <c r="AW59" i="5" s="1"/>
  <c r="AS59" i="5"/>
  <c r="AU75" i="5"/>
  <c r="AV75" i="5" s="1"/>
  <c r="AW75" i="5" s="1"/>
  <c r="AS75" i="5"/>
  <c r="AU83" i="5"/>
  <c r="AV83" i="5" s="1"/>
  <c r="AW83" i="5" s="1"/>
  <c r="AS83" i="5"/>
  <c r="AU91" i="5"/>
  <c r="AV91" i="5" s="1"/>
  <c r="AW91" i="5" s="1"/>
  <c r="AS91" i="5"/>
  <c r="AU99" i="5"/>
  <c r="AV99" i="5" s="1"/>
  <c r="AW99" i="5" s="1"/>
  <c r="AS99" i="5"/>
  <c r="C33" i="437"/>
  <c r="E23" i="5"/>
  <c r="E52" i="434" s="1"/>
  <c r="DN58" i="434" s="1"/>
  <c r="DM58" i="434" s="1"/>
  <c r="C23" i="5"/>
  <c r="C33" i="455"/>
  <c r="D33" i="455" s="1"/>
  <c r="V33" i="455" s="1"/>
  <c r="K31" i="437"/>
  <c r="H33" i="437"/>
  <c r="H39" i="437"/>
  <c r="AS28" i="5"/>
  <c r="AU28" i="5"/>
  <c r="AV28" i="5" s="1"/>
  <c r="AW28" i="5" s="1"/>
  <c r="AS44" i="5"/>
  <c r="AU44" i="5"/>
  <c r="AV44" i="5" s="1"/>
  <c r="AW44" i="5" s="1"/>
  <c r="AU60" i="5"/>
  <c r="AV60" i="5" s="1"/>
  <c r="AW60" i="5" s="1"/>
  <c r="AS60" i="5"/>
  <c r="AS11" i="5"/>
  <c r="AU11" i="5"/>
  <c r="AV11" i="5" s="1"/>
  <c r="AW11" i="5" s="1"/>
  <c r="AU8" i="5"/>
  <c r="AV8" i="5" s="1"/>
  <c r="AW8" i="5" s="1"/>
  <c r="AS8" i="5"/>
  <c r="AS29" i="5"/>
  <c r="AU29" i="5"/>
  <c r="AV29" i="5" s="1"/>
  <c r="AW29" i="5" s="1"/>
  <c r="AU45" i="5"/>
  <c r="AV45" i="5" s="1"/>
  <c r="AW45" i="5" s="1"/>
  <c r="AS45" i="5"/>
  <c r="AS53" i="5"/>
  <c r="AU53" i="5"/>
  <c r="AV53" i="5" s="1"/>
  <c r="AW53" i="5" s="1"/>
  <c r="AU85" i="5"/>
  <c r="AV85" i="5" s="1"/>
  <c r="AW85" i="5" s="1"/>
  <c r="AS85" i="5"/>
  <c r="AU93" i="5"/>
  <c r="AV93" i="5" s="1"/>
  <c r="AW93" i="5" s="1"/>
  <c r="AS93" i="5"/>
  <c r="AU10" i="5"/>
  <c r="AV10" i="5" s="1"/>
  <c r="AW10" i="5" s="1"/>
  <c r="AS10" i="5"/>
  <c r="AS38" i="5"/>
  <c r="AU38" i="5"/>
  <c r="AV38" i="5" s="1"/>
  <c r="AW38" i="5" s="1"/>
  <c r="AS78" i="5"/>
  <c r="AU78" i="5"/>
  <c r="AV78" i="5" s="1"/>
  <c r="AW78" i="5" s="1"/>
  <c r="AS94" i="5"/>
  <c r="AU94" i="5"/>
  <c r="AV94" i="5" s="1"/>
  <c r="AW94" i="5" s="1"/>
  <c r="AS102" i="5"/>
  <c r="AU102" i="5"/>
  <c r="AV102" i="5" s="1"/>
  <c r="AW102" i="5" s="1"/>
  <c r="AU6" i="5"/>
  <c r="AV6" i="5" s="1"/>
  <c r="AW6" i="5" s="1"/>
  <c r="AS6" i="5"/>
  <c r="AS31" i="5"/>
  <c r="AU31" i="5"/>
  <c r="AV31" i="5" s="1"/>
  <c r="AW31" i="5" s="1"/>
  <c r="AU47" i="5"/>
  <c r="AV47" i="5" s="1"/>
  <c r="AW47" i="5" s="1"/>
  <c r="AS47" i="5"/>
  <c r="AU63" i="5"/>
  <c r="AV63" i="5" s="1"/>
  <c r="AW63" i="5" s="1"/>
  <c r="AS63" i="5"/>
  <c r="AS71" i="5"/>
  <c r="AU71" i="5"/>
  <c r="AV71" i="5" s="1"/>
  <c r="AW71" i="5" s="1"/>
  <c r="AU19" i="5"/>
  <c r="AV19" i="5" s="1"/>
  <c r="AW19" i="5" s="1"/>
  <c r="AS19" i="5"/>
  <c r="AS24" i="5"/>
  <c r="AU24" i="5"/>
  <c r="AV24" i="5" s="1"/>
  <c r="AW24" i="5" s="1"/>
  <c r="AU40" i="5"/>
  <c r="AV40" i="5" s="1"/>
  <c r="AW40" i="5" s="1"/>
  <c r="AS40" i="5"/>
  <c r="AS48" i="5"/>
  <c r="AU48" i="5"/>
  <c r="AV48" i="5" s="1"/>
  <c r="AW48" i="5" s="1"/>
  <c r="AU56" i="5"/>
  <c r="AV56" i="5" s="1"/>
  <c r="AW56" i="5" s="1"/>
  <c r="AS56" i="5"/>
  <c r="AS64" i="5"/>
  <c r="AU64" i="5"/>
  <c r="AV64" i="5" s="1"/>
  <c r="AW64" i="5" s="1"/>
  <c r="AS72" i="5"/>
  <c r="AU72" i="5"/>
  <c r="AV72" i="5" s="1"/>
  <c r="AW72" i="5" s="1"/>
  <c r="AS80" i="5"/>
  <c r="AU80" i="5"/>
  <c r="AV80" i="5" s="1"/>
  <c r="AW80" i="5" s="1"/>
  <c r="AS88" i="5"/>
  <c r="AU88" i="5"/>
  <c r="AV88" i="5" s="1"/>
  <c r="AW88" i="5" s="1"/>
  <c r="AS96" i="5"/>
  <c r="AU96" i="5"/>
  <c r="AV96" i="5" s="1"/>
  <c r="AW96" i="5" s="1"/>
  <c r="AU104" i="5"/>
  <c r="AV104" i="5" s="1"/>
  <c r="AW104" i="5" s="1"/>
  <c r="AS104" i="5"/>
  <c r="D51" i="27"/>
  <c r="E51" i="26"/>
  <c r="G51" i="26" s="1"/>
  <c r="AU41" i="5"/>
  <c r="AV41" i="5" s="1"/>
  <c r="AW41" i="5" s="1"/>
  <c r="AS41" i="5"/>
  <c r="AS57" i="5"/>
  <c r="AU57" i="5"/>
  <c r="AV57" i="5" s="1"/>
  <c r="AW57" i="5" s="1"/>
  <c r="AS73" i="5"/>
  <c r="AU73" i="5"/>
  <c r="AV73" i="5" s="1"/>
  <c r="AW73" i="5" s="1"/>
  <c r="AU81" i="5"/>
  <c r="AV81" i="5" s="1"/>
  <c r="AW81" i="5" s="1"/>
  <c r="AS81" i="5"/>
  <c r="AU89" i="5"/>
  <c r="AV89" i="5" s="1"/>
  <c r="AW89" i="5" s="1"/>
  <c r="AS89" i="5"/>
  <c r="AS97" i="5"/>
  <c r="AU97" i="5"/>
  <c r="AV97" i="5" s="1"/>
  <c r="AW97" i="5" s="1"/>
  <c r="AU105" i="5"/>
  <c r="AV105" i="5" s="1"/>
  <c r="AW105" i="5" s="1"/>
  <c r="AS105" i="5"/>
  <c r="M52" i="26"/>
  <c r="R52" i="26"/>
  <c r="L52" i="26"/>
  <c r="N52" i="26"/>
  <c r="Q52" i="26"/>
  <c r="K52" i="26"/>
  <c r="P52" i="26"/>
  <c r="J52" i="26"/>
  <c r="O52" i="26"/>
  <c r="I52" i="26"/>
  <c r="S52" i="26"/>
  <c r="AU9" i="5"/>
  <c r="AV9" i="5" s="1"/>
  <c r="AW9" i="5" s="1"/>
  <c r="AS9" i="5"/>
  <c r="AS34" i="5"/>
  <c r="AU34" i="5"/>
  <c r="AV34" i="5" s="1"/>
  <c r="AW34" i="5" s="1"/>
  <c r="AU42" i="5"/>
  <c r="AV42" i="5" s="1"/>
  <c r="AW42" i="5" s="1"/>
  <c r="AS42" i="5"/>
  <c r="AS50" i="5"/>
  <c r="AU50" i="5"/>
  <c r="AV50" i="5" s="1"/>
  <c r="AW50" i="5" s="1"/>
  <c r="AU17" i="5"/>
  <c r="AV17" i="5" s="1"/>
  <c r="AW17" i="5" s="1"/>
  <c r="AS17" i="5"/>
  <c r="AU25" i="5"/>
  <c r="AV25" i="5" s="1"/>
  <c r="AW25" i="5" s="1"/>
  <c r="AS25" i="5"/>
  <c r="AS39" i="5"/>
  <c r="AU39" i="5"/>
  <c r="AV39" i="5" s="1"/>
  <c r="AW39" i="5" s="1"/>
  <c r="AU55" i="5"/>
  <c r="AV55" i="5" s="1"/>
  <c r="AW55" i="5" s="1"/>
  <c r="AS55" i="5"/>
  <c r="AU79" i="5"/>
  <c r="AV79" i="5" s="1"/>
  <c r="AW79" i="5" s="1"/>
  <c r="AS79" i="5"/>
  <c r="AU87" i="5"/>
  <c r="AV87" i="5" s="1"/>
  <c r="AW87" i="5" s="1"/>
  <c r="AS87" i="5"/>
  <c r="AU95" i="5"/>
  <c r="AV95" i="5" s="1"/>
  <c r="AW95" i="5" s="1"/>
  <c r="AS95" i="5"/>
  <c r="AU103" i="5"/>
  <c r="AV103" i="5" s="1"/>
  <c r="AW103" i="5" s="1"/>
  <c r="AS103" i="5"/>
  <c r="AS12" i="5"/>
  <c r="AU12" i="5"/>
  <c r="AV12" i="5" s="1"/>
  <c r="AW12" i="5" s="1"/>
  <c r="AS32" i="5"/>
  <c r="AU32" i="5"/>
  <c r="AV32" i="5" s="1"/>
  <c r="AW32" i="5" s="1"/>
  <c r="AS33" i="5"/>
  <c r="AU33" i="5"/>
  <c r="AV33" i="5" s="1"/>
  <c r="AW33" i="5" s="1"/>
  <c r="AS49" i="5"/>
  <c r="AU49" i="5"/>
  <c r="AV49" i="5" s="1"/>
  <c r="AW49" i="5" s="1"/>
  <c r="AS65" i="5"/>
  <c r="AU65" i="5"/>
  <c r="AV65" i="5" s="1"/>
  <c r="AW65" i="5" s="1"/>
  <c r="AS26" i="5"/>
  <c r="AU26" i="5"/>
  <c r="AV26" i="5" s="1"/>
  <c r="AW26" i="5" s="1"/>
  <c r="AU58" i="5"/>
  <c r="AV58" i="5" s="1"/>
  <c r="AW58" i="5" s="1"/>
  <c r="AS58" i="5"/>
  <c r="AU66" i="5"/>
  <c r="AV66" i="5" s="1"/>
  <c r="AW66" i="5" s="1"/>
  <c r="AS66" i="5"/>
  <c r="AS74" i="5"/>
  <c r="AU74" i="5"/>
  <c r="AV74" i="5" s="1"/>
  <c r="AW74" i="5" s="1"/>
  <c r="AS82" i="5"/>
  <c r="AU82" i="5"/>
  <c r="AV82" i="5" s="1"/>
  <c r="AW82" i="5" s="1"/>
  <c r="AS90" i="5"/>
  <c r="AU90" i="5"/>
  <c r="AV90" i="5" s="1"/>
  <c r="AW90" i="5" s="1"/>
  <c r="AU98" i="5"/>
  <c r="AV98" i="5" s="1"/>
  <c r="AW98" i="5" s="1"/>
  <c r="AS98" i="5"/>
  <c r="AU106" i="5"/>
  <c r="AV106" i="5" s="1"/>
  <c r="AW106" i="5" s="1"/>
  <c r="AS106" i="5"/>
  <c r="AS27" i="5"/>
  <c r="AU27" i="5"/>
  <c r="AV27" i="5" s="1"/>
  <c r="AW27" i="5" s="1"/>
  <c r="AS43" i="5"/>
  <c r="AU43" i="5"/>
  <c r="AV43" i="5" s="1"/>
  <c r="AW43" i="5" s="1"/>
  <c r="AS51" i="5"/>
  <c r="AU51" i="5"/>
  <c r="AV51" i="5" s="1"/>
  <c r="AW51" i="5" s="1"/>
  <c r="AU67" i="5"/>
  <c r="AV67" i="5" s="1"/>
  <c r="AW67" i="5" s="1"/>
  <c r="AS67" i="5"/>
  <c r="AS23" i="5"/>
  <c r="AU23" i="5"/>
  <c r="AV23" i="5" s="1"/>
  <c r="AW23" i="5" s="1"/>
  <c r="AU18" i="5"/>
  <c r="AV18" i="5" s="1"/>
  <c r="AW18" i="5" s="1"/>
  <c r="AS18" i="5"/>
  <c r="C43" i="437"/>
  <c r="C43" i="455"/>
  <c r="E18" i="5"/>
  <c r="E47" i="434" s="1"/>
  <c r="DN53" i="434" s="1"/>
  <c r="DM53" i="434" s="1"/>
  <c r="C28" i="436"/>
  <c r="C47" i="434"/>
  <c r="C44" i="437"/>
  <c r="C32" i="455"/>
  <c r="C51" i="434"/>
  <c r="C32" i="437"/>
  <c r="C35" i="455"/>
  <c r="C35" i="437"/>
  <c r="C39" i="437"/>
  <c r="C39" i="455"/>
  <c r="C31" i="437"/>
  <c r="C31" i="455"/>
  <c r="C50" i="434"/>
  <c r="E15" i="5"/>
  <c r="E44" i="434" s="1"/>
  <c r="DN50" i="434" s="1"/>
  <c r="DM50" i="434" s="1"/>
  <c r="C44" i="434"/>
  <c r="C45" i="437"/>
  <c r="C37" i="455"/>
  <c r="C37" i="437"/>
  <c r="C42" i="437"/>
  <c r="C42" i="455"/>
  <c r="C41" i="437"/>
  <c r="C41" i="455"/>
  <c r="C40" i="455"/>
  <c r="C40" i="437"/>
  <c r="C30" i="437"/>
  <c r="C49" i="434"/>
  <c r="C36" i="437"/>
  <c r="C36" i="455"/>
  <c r="C38" i="437"/>
  <c r="C38" i="455"/>
  <c r="C48" i="434"/>
  <c r="K27" i="437"/>
  <c r="DO45" i="434"/>
  <c r="DO51" i="434"/>
  <c r="DO46" i="434"/>
  <c r="K28" i="437"/>
  <c r="AQ4" i="108" a="1"/>
  <c r="AQ4" i="108" s="1"/>
  <c r="G43" i="26"/>
  <c r="E225" i="5"/>
  <c r="G225" i="5" s="1"/>
  <c r="C225" i="5"/>
  <c r="E54" i="26"/>
  <c r="G54" i="26" s="1"/>
  <c r="D54" i="27"/>
  <c r="E86" i="26"/>
  <c r="G86" i="26" s="1"/>
  <c r="D86" i="27"/>
  <c r="E98" i="26"/>
  <c r="D98" i="27"/>
  <c r="F28" i="26"/>
  <c r="C13" i="458"/>
  <c r="E46" i="5"/>
  <c r="C46" i="5"/>
  <c r="C42" i="5"/>
  <c r="E42" i="5"/>
  <c r="F32" i="26"/>
  <c r="C17" i="458"/>
  <c r="E97" i="26"/>
  <c r="D97" i="27"/>
  <c r="E60" i="26"/>
  <c r="G60" i="26" s="1"/>
  <c r="D60" i="27"/>
  <c r="C50" i="5"/>
  <c r="E50" i="5"/>
  <c r="F30" i="26"/>
  <c r="C15" i="458"/>
  <c r="C20" i="458"/>
  <c r="F35" i="26"/>
  <c r="BF4" i="108" a="1"/>
  <c r="BF4" i="108" s="1"/>
  <c r="E26" i="5"/>
  <c r="E55" i="434" s="1"/>
  <c r="DN61" i="434" s="1"/>
  <c r="DM61" i="434" s="1"/>
  <c r="C26" i="5"/>
  <c r="B24" i="458"/>
  <c r="EK4" i="459"/>
  <c r="E26" i="26"/>
  <c r="D26" i="27"/>
  <c r="E78" i="26"/>
  <c r="D78" i="27"/>
  <c r="E66" i="26"/>
  <c r="G66" i="26" s="1"/>
  <c r="D66" i="27"/>
  <c r="E105" i="26"/>
  <c r="D105" i="27"/>
  <c r="F27" i="26"/>
  <c r="C12" i="458"/>
  <c r="C313" i="5"/>
  <c r="E313" i="5"/>
  <c r="C25" i="451" s="1"/>
  <c r="E319" i="5"/>
  <c r="C31" i="451" s="1"/>
  <c r="C319" i="5"/>
  <c r="C48" i="5"/>
  <c r="E48" i="5"/>
  <c r="E36" i="26"/>
  <c r="D36" i="27"/>
  <c r="E22" i="26"/>
  <c r="D22" i="27"/>
  <c r="B22" i="458"/>
  <c r="DY4" i="459"/>
  <c r="E101" i="26"/>
  <c r="D101" i="27"/>
  <c r="E59" i="26"/>
  <c r="D59" i="27"/>
  <c r="E53" i="26"/>
  <c r="G53" i="26" s="1"/>
  <c r="D53" i="27"/>
  <c r="E49" i="26"/>
  <c r="G49" i="26" s="1"/>
  <c r="D49" i="27"/>
  <c r="E47" i="26"/>
  <c r="D47" i="27"/>
  <c r="E31" i="26"/>
  <c r="D31" i="27"/>
  <c r="C27" i="437"/>
  <c r="C27" i="455"/>
  <c r="E17" i="5"/>
  <c r="E46" i="434" s="1"/>
  <c r="DN52" i="434" s="1"/>
  <c r="DM52" i="434" s="1"/>
  <c r="C17" i="5"/>
  <c r="L8" i="108"/>
  <c r="Q4" i="108" s="1"/>
  <c r="Z4" i="108" s="1"/>
  <c r="D8" i="5"/>
  <c r="E15" i="26"/>
  <c r="D15" i="27"/>
  <c r="B14" i="458"/>
  <c r="CC4" i="459"/>
  <c r="E308" i="5"/>
  <c r="C20" i="451" s="1"/>
  <c r="C308" i="5"/>
  <c r="F25" i="26"/>
  <c r="C10" i="458"/>
  <c r="K43" i="26"/>
  <c r="L43" i="26"/>
  <c r="C306" i="5"/>
  <c r="E306" i="5"/>
  <c r="C18" i="451" s="1"/>
  <c r="J21" i="26"/>
  <c r="Q21" i="26"/>
  <c r="I21" i="26"/>
  <c r="O21" i="26"/>
  <c r="L21" i="26"/>
  <c r="K21" i="26"/>
  <c r="M21" i="26"/>
  <c r="N21" i="26"/>
  <c r="S21" i="26"/>
  <c r="P21" i="26"/>
  <c r="R21" i="26"/>
  <c r="C321" i="5"/>
  <c r="E321" i="5"/>
  <c r="C33" i="451" s="1"/>
  <c r="E95" i="26"/>
  <c r="G95" i="26" s="1"/>
  <c r="D95" i="27"/>
  <c r="E94" i="26"/>
  <c r="G94" i="26" s="1"/>
  <c r="D94" i="27"/>
  <c r="J45" i="26"/>
  <c r="R45" i="26"/>
  <c r="L45" i="26"/>
  <c r="Q45" i="26"/>
  <c r="K45" i="26"/>
  <c r="P45" i="26"/>
  <c r="I45" i="26"/>
  <c r="N45" i="26"/>
  <c r="M45" i="26"/>
  <c r="O45" i="26"/>
  <c r="S45" i="26"/>
  <c r="E45" i="5"/>
  <c r="C45" i="5"/>
  <c r="D28" i="27"/>
  <c r="E28" i="26"/>
  <c r="D38" i="27"/>
  <c r="E38" i="26"/>
  <c r="A5" i="456"/>
  <c r="B9" i="236"/>
  <c r="E72" i="26"/>
  <c r="G72" i="26" s="1"/>
  <c r="D72" i="27"/>
  <c r="D106" i="27"/>
  <c r="E106" i="26"/>
  <c r="E48" i="26"/>
  <c r="G48" i="26" s="1"/>
  <c r="D48" i="27"/>
  <c r="E299" i="5"/>
  <c r="C299" i="5"/>
  <c r="C30" i="5"/>
  <c r="E30" i="5"/>
  <c r="E59" i="434" s="1"/>
  <c r="DN65" i="434" s="1"/>
  <c r="DM65" i="434" s="1"/>
  <c r="E30" i="26"/>
  <c r="D30" i="27"/>
  <c r="E34" i="26"/>
  <c r="D34" i="27"/>
  <c r="C44" i="5"/>
  <c r="E44" i="5"/>
  <c r="C30" i="455"/>
  <c r="C20" i="5"/>
  <c r="E20" i="5"/>
  <c r="C22" i="5"/>
  <c r="E22" i="5"/>
  <c r="E35" i="26"/>
  <c r="D35" i="27"/>
  <c r="C40" i="5"/>
  <c r="E40" i="5"/>
  <c r="G45" i="26"/>
  <c r="D56" i="27"/>
  <c r="E56" i="26"/>
  <c r="D85" i="27"/>
  <c r="D100" i="27"/>
  <c r="E100" i="26"/>
  <c r="E99" i="26"/>
  <c r="D99" i="27"/>
  <c r="C36" i="5"/>
  <c r="E36" i="5"/>
  <c r="F33" i="26"/>
  <c r="C18" i="458"/>
  <c r="C29" i="457" s="1"/>
  <c r="E311" i="5"/>
  <c r="C23" i="451" s="1"/>
  <c r="C311" i="5"/>
  <c r="B9" i="458"/>
  <c r="AY4" i="459"/>
  <c r="F23" i="26"/>
  <c r="C8" i="458"/>
  <c r="B21" i="458"/>
  <c r="DS4" i="459"/>
  <c r="F22" i="26"/>
  <c r="C7" i="458"/>
  <c r="E322" i="5"/>
  <c r="C34" i="451" s="1"/>
  <c r="C322" i="5"/>
  <c r="E69" i="26"/>
  <c r="G69" i="26" s="1"/>
  <c r="D69" i="27"/>
  <c r="B16" i="458"/>
  <c r="CO4" i="459"/>
  <c r="E11" i="455"/>
  <c r="D17" i="454" s="1"/>
  <c r="CC6" i="453"/>
  <c r="F15" i="26"/>
  <c r="F8" i="5"/>
  <c r="J8" i="5"/>
  <c r="F29" i="26"/>
  <c r="C14" i="458"/>
  <c r="C307" i="5"/>
  <c r="E307" i="5"/>
  <c r="C19" i="451" s="1"/>
  <c r="E10" i="455"/>
  <c r="D16" i="454" s="1"/>
  <c r="F7" i="5"/>
  <c r="J7" i="5"/>
  <c r="F14" i="26"/>
  <c r="G14" i="26" s="1"/>
  <c r="BE4" i="459"/>
  <c r="B10" i="458"/>
  <c r="L9" i="108"/>
  <c r="R4" i="108" s="1"/>
  <c r="AA4" i="108" s="1"/>
  <c r="AJ4" i="108" s="1"/>
  <c r="D9" i="5"/>
  <c r="E16" i="26"/>
  <c r="D16" i="27"/>
  <c r="B15" i="420"/>
  <c r="A6" i="456"/>
  <c r="B10" i="236"/>
  <c r="D52" i="27"/>
  <c r="E43" i="5"/>
  <c r="C43" i="5"/>
  <c r="E96" i="26"/>
  <c r="D96" i="27"/>
  <c r="E89" i="26"/>
  <c r="G89" i="26" s="1"/>
  <c r="D89" i="27"/>
  <c r="E57" i="26"/>
  <c r="D57" i="27"/>
  <c r="E82" i="26"/>
  <c r="D82" i="27"/>
  <c r="E62" i="26"/>
  <c r="G62" i="26" s="1"/>
  <c r="D62" i="27"/>
  <c r="E83" i="26"/>
  <c r="G83" i="26" s="1"/>
  <c r="D83" i="27"/>
  <c r="BW4" i="459"/>
  <c r="B13" i="458"/>
  <c r="C49" i="5"/>
  <c r="E49" i="5"/>
  <c r="C25" i="455"/>
  <c r="C15" i="5"/>
  <c r="B23" i="458"/>
  <c r="EE4" i="459"/>
  <c r="C39" i="5"/>
  <c r="E39" i="5"/>
  <c r="C320" i="5"/>
  <c r="E320" i="5"/>
  <c r="C32" i="451" s="1"/>
  <c r="C35" i="5"/>
  <c r="E35" i="5"/>
  <c r="E32" i="26"/>
  <c r="D32" i="27"/>
  <c r="D104" i="27"/>
  <c r="E104" i="26"/>
  <c r="E103" i="26"/>
  <c r="D103" i="27"/>
  <c r="S44" i="26"/>
  <c r="M44" i="26"/>
  <c r="R44" i="26"/>
  <c r="L44" i="26"/>
  <c r="Q44" i="26"/>
  <c r="K44" i="26"/>
  <c r="J44" i="26"/>
  <c r="O44" i="26"/>
  <c r="N44" i="26"/>
  <c r="P44" i="26"/>
  <c r="I44" i="26"/>
  <c r="E65" i="26"/>
  <c r="D65" i="27"/>
  <c r="C33" i="5"/>
  <c r="E33" i="5"/>
  <c r="E62" i="434" s="1"/>
  <c r="DN68" i="434" s="1"/>
  <c r="DM68" i="434" s="1"/>
  <c r="C26" i="455"/>
  <c r="C16" i="5"/>
  <c r="E16" i="5"/>
  <c r="E45" i="434" s="1"/>
  <c r="B15" i="458"/>
  <c r="CI4" i="459"/>
  <c r="B19" i="458"/>
  <c r="DG4" i="459"/>
  <c r="B20" i="458"/>
  <c r="DM4" i="459"/>
  <c r="C24" i="458"/>
  <c r="BJ4" i="108" a="1"/>
  <c r="BJ4" i="108" s="1"/>
  <c r="F39" i="26"/>
  <c r="F26" i="26"/>
  <c r="C11" i="458"/>
  <c r="C317" i="5"/>
  <c r="E317" i="5"/>
  <c r="C29" i="451" s="1"/>
  <c r="C315" i="5"/>
  <c r="E315" i="5"/>
  <c r="C27" i="451" s="1"/>
  <c r="E92" i="26"/>
  <c r="G92" i="26" s="1"/>
  <c r="D92" i="27"/>
  <c r="E81" i="26"/>
  <c r="D81" i="27"/>
  <c r="E50" i="26"/>
  <c r="D50" i="27"/>
  <c r="E33" i="26"/>
  <c r="D33" i="27"/>
  <c r="C34" i="5"/>
  <c r="E34" i="5"/>
  <c r="E27" i="26"/>
  <c r="D27" i="27"/>
  <c r="E24" i="26"/>
  <c r="D24" i="27"/>
  <c r="B8" i="458"/>
  <c r="AS4" i="459"/>
  <c r="E25" i="5"/>
  <c r="E54" i="434" s="1"/>
  <c r="DN60" i="434" s="1"/>
  <c r="DM60" i="434" s="1"/>
  <c r="C25" i="5"/>
  <c r="C28" i="5"/>
  <c r="E28" i="5"/>
  <c r="E57" i="434" s="1"/>
  <c r="DN63" i="434" s="1"/>
  <c r="DM63" i="434" s="1"/>
  <c r="F37" i="26"/>
  <c r="C22" i="458"/>
  <c r="BH4" i="108" a="1"/>
  <c r="BH4" i="108" s="1"/>
  <c r="C301" i="5"/>
  <c r="E301" i="5"/>
  <c r="C13" i="451" s="1"/>
  <c r="E302" i="5"/>
  <c r="C14" i="451" s="1"/>
  <c r="C302" i="5"/>
  <c r="E61" i="26"/>
  <c r="D61" i="27"/>
  <c r="E68" i="26"/>
  <c r="G68" i="26" s="1"/>
  <c r="D68" i="27"/>
  <c r="E67" i="26"/>
  <c r="G67" i="26" s="1"/>
  <c r="D67" i="27"/>
  <c r="E64" i="26"/>
  <c r="D64" i="27"/>
  <c r="E71" i="26"/>
  <c r="D71" i="27"/>
  <c r="F31" i="26"/>
  <c r="C16" i="458"/>
  <c r="C47" i="5"/>
  <c r="E47" i="5"/>
  <c r="E309" i="5"/>
  <c r="C21" i="451" s="1"/>
  <c r="C309" i="5"/>
  <c r="D7" i="5"/>
  <c r="L7" i="108"/>
  <c r="D25" i="27"/>
  <c r="E25" i="26"/>
  <c r="C305" i="5"/>
  <c r="E305" i="5"/>
  <c r="C17" i="451" s="1"/>
  <c r="E303" i="5"/>
  <c r="C15" i="451" s="1"/>
  <c r="C303" i="5"/>
  <c r="F9" i="5"/>
  <c r="E12" i="455"/>
  <c r="D18" i="454" s="1"/>
  <c r="J9" i="5"/>
  <c r="CX6" i="453"/>
  <c r="AF13" i="452" s="1"/>
  <c r="F16" i="26"/>
  <c r="E46" i="26"/>
  <c r="D46" i="27"/>
  <c r="E80" i="26"/>
  <c r="D80" i="27"/>
  <c r="E31" i="5"/>
  <c r="E60" i="434" s="1"/>
  <c r="DN66" i="434" s="1"/>
  <c r="DM66" i="434" s="1"/>
  <c r="C31" i="5"/>
  <c r="C23" i="458"/>
  <c r="F38" i="26"/>
  <c r="BI4" i="108" a="1"/>
  <c r="BI4" i="108" s="1"/>
  <c r="B17" i="458"/>
  <c r="CU4" i="459"/>
  <c r="E75" i="26"/>
  <c r="G75" i="26" s="1"/>
  <c r="D75" i="27"/>
  <c r="E63" i="26"/>
  <c r="D63" i="27"/>
  <c r="E76" i="26"/>
  <c r="D76" i="27"/>
  <c r="E79" i="26"/>
  <c r="D79" i="27"/>
  <c r="E55" i="26"/>
  <c r="D55" i="27"/>
  <c r="D91" i="27"/>
  <c r="C24" i="455"/>
  <c r="C14" i="5"/>
  <c r="E27" i="5"/>
  <c r="E56" i="434" s="1"/>
  <c r="DN62" i="434" s="1"/>
  <c r="DM62" i="434" s="1"/>
  <c r="C27" i="5"/>
  <c r="C19" i="458"/>
  <c r="F34" i="26"/>
  <c r="BE4" i="108" a="1"/>
  <c r="BE4" i="108" s="1"/>
  <c r="E39" i="26"/>
  <c r="D39" i="27"/>
  <c r="C28" i="455"/>
  <c r="C28" i="437"/>
  <c r="C18" i="5"/>
  <c r="B11" i="458"/>
  <c r="BK4" i="459"/>
  <c r="C316" i="5"/>
  <c r="E316" i="5"/>
  <c r="C28" i="451" s="1"/>
  <c r="C318" i="5"/>
  <c r="E318" i="5"/>
  <c r="C30" i="451" s="1"/>
  <c r="E74" i="26"/>
  <c r="G74" i="26" s="1"/>
  <c r="D74" i="27"/>
  <c r="E77" i="26"/>
  <c r="D77" i="27"/>
  <c r="E88" i="26"/>
  <c r="G88" i="26" s="1"/>
  <c r="D88" i="27"/>
  <c r="E102" i="26"/>
  <c r="D102" i="27"/>
  <c r="E87" i="26"/>
  <c r="D87" i="27"/>
  <c r="B18" i="458"/>
  <c r="DA4" i="459"/>
  <c r="B12" i="458"/>
  <c r="BQ4" i="459"/>
  <c r="C312" i="5"/>
  <c r="E312" i="5"/>
  <c r="C24" i="451" s="1"/>
  <c r="E314" i="5"/>
  <c r="C26" i="451" s="1"/>
  <c r="C314" i="5"/>
  <c r="F24" i="26"/>
  <c r="C9" i="458"/>
  <c r="E23" i="26"/>
  <c r="D23" i="27"/>
  <c r="C21" i="458"/>
  <c r="F36" i="26"/>
  <c r="BG4" i="108" a="1"/>
  <c r="BG4" i="108" s="1"/>
  <c r="B7" i="458"/>
  <c r="AM4" i="459"/>
  <c r="E37" i="26"/>
  <c r="D37" i="27"/>
  <c r="E38" i="5"/>
  <c r="C38" i="5"/>
  <c r="E300" i="5"/>
  <c r="C12" i="451" s="1"/>
  <c r="C300" i="5"/>
  <c r="E93" i="26"/>
  <c r="G93" i="26" s="1"/>
  <c r="D93" i="27"/>
  <c r="E58" i="26"/>
  <c r="D58" i="27"/>
  <c r="E70" i="26"/>
  <c r="D70" i="27"/>
  <c r="E73" i="26"/>
  <c r="D73" i="27"/>
  <c r="C29" i="455"/>
  <c r="C29" i="437"/>
  <c r="E19" i="5"/>
  <c r="E48" i="434" s="1"/>
  <c r="DN54" i="434" s="1"/>
  <c r="DM54" i="434" s="1"/>
  <c r="C19" i="5"/>
  <c r="C29" i="5"/>
  <c r="E29" i="5"/>
  <c r="E58" i="434" s="1"/>
  <c r="DN64" i="434" s="1"/>
  <c r="DM64" i="434" s="1"/>
  <c r="C32" i="5"/>
  <c r="E32" i="5"/>
  <c r="E61" i="434" s="1"/>
  <c r="DN67" i="434" s="1"/>
  <c r="DM67" i="434" s="1"/>
  <c r="D29" i="27"/>
  <c r="E29" i="26"/>
  <c r="E310" i="5"/>
  <c r="C22" i="451" s="1"/>
  <c r="C310" i="5"/>
  <c r="E37" i="5"/>
  <c r="C37" i="5"/>
  <c r="E304" i="5"/>
  <c r="C16" i="451" s="1"/>
  <c r="C304" i="5"/>
  <c r="B6" i="458"/>
  <c r="AG4" i="459"/>
  <c r="C41" i="5"/>
  <c r="E41" i="5"/>
  <c r="C21" i="5"/>
  <c r="E21" i="5"/>
  <c r="AO4" i="108" a="1"/>
  <c r="AO4" i="108" s="1"/>
  <c r="C3" i="458"/>
  <c r="C16" i="457"/>
  <c r="AB4" i="459"/>
  <c r="B3" i="458"/>
  <c r="O4" i="459"/>
  <c r="AW91" i="236"/>
  <c r="CH4" i="236" s="1"/>
  <c r="K4" i="455" s="1"/>
  <c r="AY91" i="236"/>
  <c r="AV92" i="236"/>
  <c r="BA92" i="236" s="1"/>
  <c r="E24" i="455"/>
  <c r="F14" i="5"/>
  <c r="U22" i="455"/>
  <c r="D22" i="455"/>
  <c r="V22" i="455" s="1"/>
  <c r="W22" i="455"/>
  <c r="BA89" i="236"/>
  <c r="BA91" i="236"/>
  <c r="BA96" i="236"/>
  <c r="BA90" i="236"/>
  <c r="BA97" i="236"/>
  <c r="BA95" i="236"/>
  <c r="AW97" i="236" a="1"/>
  <c r="AW97" i="236" s="1"/>
  <c r="AY97" i="236"/>
  <c r="AZ97" i="236"/>
  <c r="BA86" i="236"/>
  <c r="BB84" i="236"/>
  <c r="BB86" i="236" s="1"/>
  <c r="BA101" i="236"/>
  <c r="BA102" i="236"/>
  <c r="F197" i="5"/>
  <c r="F228" i="5"/>
  <c r="N4" i="108"/>
  <c r="W4" i="108" s="1"/>
  <c r="AF4" i="108" s="1"/>
  <c r="A6" i="238"/>
  <c r="H27" i="436"/>
  <c r="A10" i="453"/>
  <c r="F10" i="453" s="1"/>
  <c r="A8" i="432"/>
  <c r="I35" i="2"/>
  <c r="L35" i="2"/>
  <c r="G35" i="2"/>
  <c r="J35" i="2"/>
  <c r="K35" i="2"/>
  <c r="F35" i="2"/>
  <c r="C296" i="5"/>
  <c r="E296" i="5"/>
  <c r="C8" i="451" s="1"/>
  <c r="K26" i="437"/>
  <c r="H26" i="436"/>
  <c r="D30" i="238"/>
  <c r="D16" i="238"/>
  <c r="D7" i="238"/>
  <c r="D28" i="238"/>
  <c r="D18" i="238"/>
  <c r="D8" i="238"/>
  <c r="D11" i="432" s="1"/>
  <c r="D6" i="238"/>
  <c r="D29" i="238"/>
  <c r="D17" i="238"/>
  <c r="D4" i="238"/>
  <c r="D27" i="238"/>
  <c r="D5" i="238"/>
  <c r="D12" i="238"/>
  <c r="D21" i="238"/>
  <c r="D10" i="238"/>
  <c r="D19" i="238"/>
  <c r="D9" i="238"/>
  <c r="D25" i="238"/>
  <c r="D15" i="238"/>
  <c r="D31" i="238"/>
  <c r="D26" i="238"/>
  <c r="D14" i="238"/>
  <c r="D32" i="238"/>
  <c r="D20" i="238"/>
  <c r="D23" i="238"/>
  <c r="D13" i="238"/>
  <c r="D24" i="238"/>
  <c r="D22" i="238"/>
  <c r="D11" i="238"/>
  <c r="N5" i="235"/>
  <c r="AS5" i="235" s="1"/>
  <c r="O4" i="235"/>
  <c r="AT4" i="235" s="1"/>
  <c r="AT3" i="235" s="1"/>
  <c r="R27" i="436"/>
  <c r="C25" i="436"/>
  <c r="C24" i="436"/>
  <c r="C43" i="434"/>
  <c r="C26" i="436"/>
  <c r="C26" i="437"/>
  <c r="R25" i="436"/>
  <c r="R24" i="436"/>
  <c r="C27" i="436"/>
  <c r="R26" i="436"/>
  <c r="B1" i="450"/>
  <c r="AW6" i="238" a="1"/>
  <c r="AW6" i="238" s="1"/>
  <c r="AZ5" i="236"/>
  <c r="T5" i="236"/>
  <c r="U4" i="236"/>
  <c r="U3" i="236" s="1"/>
  <c r="CJ5" i="434"/>
  <c r="AQ22" i="434"/>
  <c r="A7" i="234"/>
  <c r="D32" i="2"/>
  <c r="D12" i="434" s="1"/>
  <c r="AR4" i="108" a="1"/>
  <c r="AR4" i="108" s="1"/>
  <c r="D45" i="27"/>
  <c r="D44" i="27"/>
  <c r="Z9" i="5"/>
  <c r="AA9" i="5" s="1"/>
  <c r="AC9" i="5" s="1"/>
  <c r="Z8" i="5"/>
  <c r="AA8" i="5" s="1"/>
  <c r="AC8" i="5" s="1"/>
  <c r="Y12" i="5"/>
  <c r="Z11" i="5"/>
  <c r="AA11" i="5" s="1"/>
  <c r="AC11" i="5" s="1"/>
  <c r="E41" i="434"/>
  <c r="DN47" i="434" s="1"/>
  <c r="DM47" i="434" s="1"/>
  <c r="E22" i="437"/>
  <c r="CU43" i="434"/>
  <c r="CU44" i="434" s="1"/>
  <c r="AA22" i="437"/>
  <c r="B10" i="436"/>
  <c r="AK17" i="436"/>
  <c r="AL17" i="436"/>
  <c r="AJ17" i="436"/>
  <c r="AM17" i="436"/>
  <c r="AA22" i="436"/>
  <c r="AC22" i="436" s="1"/>
  <c r="C67" i="2"/>
  <c r="C38" i="459" s="1"/>
  <c r="D38" i="459" s="1"/>
  <c r="P40" i="459" s="1"/>
  <c r="V40" i="459" s="1"/>
  <c r="AB40" i="459" s="1"/>
  <c r="AH40" i="459" s="1"/>
  <c r="AN40" i="459" s="1"/>
  <c r="AT40" i="459" s="1"/>
  <c r="AZ40" i="459" s="1"/>
  <c r="BF40" i="459" s="1"/>
  <c r="BL40" i="459" s="1"/>
  <c r="BR40" i="459" s="1"/>
  <c r="BX40" i="459" s="1"/>
  <c r="CD40" i="459" s="1"/>
  <c r="CJ40" i="459" s="1"/>
  <c r="CP40" i="459" s="1"/>
  <c r="CV40" i="459" s="1"/>
  <c r="DB40" i="459" s="1"/>
  <c r="DH40" i="459" s="1"/>
  <c r="DN40" i="459" s="1"/>
  <c r="DT40" i="459" s="1"/>
  <c r="DZ40" i="459" s="1"/>
  <c r="EF40" i="459" s="1"/>
  <c r="EL40" i="459" s="1"/>
  <c r="D3" i="238"/>
  <c r="F3" i="238" s="1"/>
  <c r="Z10" i="5"/>
  <c r="AA10" i="5" s="1"/>
  <c r="AC10" i="5" s="1"/>
  <c r="B117" i="2"/>
  <c r="B116" i="2"/>
  <c r="F12" i="5"/>
  <c r="B9" i="235"/>
  <c r="B92" i="26" l="1"/>
  <c r="B93" i="26" s="1"/>
  <c r="B94" i="26" s="1"/>
  <c r="B95" i="26" s="1"/>
  <c r="B96" i="26" s="1"/>
  <c r="B97" i="26" s="1"/>
  <c r="B98" i="26" s="1"/>
  <c r="B99" i="26" s="1"/>
  <c r="B100" i="26" s="1"/>
  <c r="B101" i="26" s="1"/>
  <c r="B102" i="26" s="1"/>
  <c r="B103" i="26" s="1"/>
  <c r="B104" i="26" s="1"/>
  <c r="B105" i="26" s="1"/>
  <c r="B106" i="26" s="1"/>
  <c r="B90" i="26"/>
  <c r="B91" i="26" s="1"/>
  <c r="F76" i="5"/>
  <c r="E86" i="455"/>
  <c r="E86" i="437"/>
  <c r="E105" i="434"/>
  <c r="U65" i="455"/>
  <c r="D65" i="455"/>
  <c r="V65" i="455" s="1"/>
  <c r="D44" i="455"/>
  <c r="V44" i="455" s="1"/>
  <c r="U44" i="455"/>
  <c r="U80" i="455"/>
  <c r="D80" i="455"/>
  <c r="V80" i="455" s="1"/>
  <c r="F67" i="5"/>
  <c r="E96" i="434"/>
  <c r="DN102" i="434" s="1"/>
  <c r="DM102" i="434" s="1"/>
  <c r="E77" i="455"/>
  <c r="E77" i="437"/>
  <c r="F79" i="5"/>
  <c r="E89" i="455"/>
  <c r="E89" i="437"/>
  <c r="E108" i="434"/>
  <c r="U69" i="455"/>
  <c r="D69" i="455"/>
  <c r="V69" i="455" s="1"/>
  <c r="F51" i="5"/>
  <c r="E61" i="455"/>
  <c r="E61" i="437"/>
  <c r="E80" i="434"/>
  <c r="DN86" i="434" s="1"/>
  <c r="DM86" i="434" s="1"/>
  <c r="F80" i="5"/>
  <c r="E90" i="455"/>
  <c r="E90" i="437"/>
  <c r="E109" i="434"/>
  <c r="D68" i="455"/>
  <c r="V68" i="455" s="1"/>
  <c r="U68" i="455"/>
  <c r="D74" i="455"/>
  <c r="V74" i="455" s="1"/>
  <c r="U74" i="455"/>
  <c r="D71" i="455"/>
  <c r="V71" i="455" s="1"/>
  <c r="U71" i="455"/>
  <c r="F65" i="5"/>
  <c r="E75" i="455"/>
  <c r="E75" i="437"/>
  <c r="E94" i="434"/>
  <c r="DN100" i="434" s="1"/>
  <c r="DM100" i="434" s="1"/>
  <c r="F77" i="5"/>
  <c r="E87" i="437"/>
  <c r="E87" i="455"/>
  <c r="E106" i="434"/>
  <c r="F52" i="5"/>
  <c r="E62" i="437"/>
  <c r="E81" i="434"/>
  <c r="DN87" i="434" s="1"/>
  <c r="DM87" i="434" s="1"/>
  <c r="E62" i="455"/>
  <c r="F68" i="5"/>
  <c r="E78" i="437"/>
  <c r="E97" i="434"/>
  <c r="DN103" i="434" s="1"/>
  <c r="DM103" i="434" s="1"/>
  <c r="E78" i="455"/>
  <c r="D89" i="455"/>
  <c r="V89" i="455" s="1"/>
  <c r="U89" i="455"/>
  <c r="D76" i="455"/>
  <c r="V76" i="455" s="1"/>
  <c r="U76" i="455"/>
  <c r="F62" i="5"/>
  <c r="E91" i="434"/>
  <c r="DN97" i="434" s="1"/>
  <c r="DM97" i="434" s="1"/>
  <c r="E72" i="455"/>
  <c r="E72" i="437"/>
  <c r="U57" i="455"/>
  <c r="D57" i="455"/>
  <c r="V57" i="455" s="1"/>
  <c r="U79" i="455"/>
  <c r="D79" i="455"/>
  <c r="V79" i="455" s="1"/>
  <c r="W58" i="455"/>
  <c r="D58" i="455"/>
  <c r="V58" i="455" s="1"/>
  <c r="U58" i="455"/>
  <c r="F72" i="5"/>
  <c r="E101" i="434"/>
  <c r="DN107" i="434" s="1"/>
  <c r="DM107" i="434" s="1"/>
  <c r="E82" i="455"/>
  <c r="E82" i="437"/>
  <c r="D75" i="455"/>
  <c r="V75" i="455" s="1"/>
  <c r="U75" i="455"/>
  <c r="D54" i="455"/>
  <c r="V54" i="455" s="1"/>
  <c r="U54" i="455"/>
  <c r="D87" i="455"/>
  <c r="V87" i="455" s="1"/>
  <c r="U87" i="455"/>
  <c r="F78" i="5"/>
  <c r="E88" i="437"/>
  <c r="E88" i="455"/>
  <c r="E107" i="434"/>
  <c r="D62" i="455"/>
  <c r="V62" i="455" s="1"/>
  <c r="U62" i="455"/>
  <c r="D78" i="455"/>
  <c r="V78" i="455" s="1"/>
  <c r="U78" i="455"/>
  <c r="W78" i="455"/>
  <c r="U56" i="455"/>
  <c r="D56" i="455"/>
  <c r="V56" i="455" s="1"/>
  <c r="U63" i="455"/>
  <c r="D63" i="455"/>
  <c r="V63" i="455" s="1"/>
  <c r="F66" i="5"/>
  <c r="E76" i="455"/>
  <c r="E95" i="434"/>
  <c r="DN101" i="434" s="1"/>
  <c r="DM101" i="434" s="1"/>
  <c r="E76" i="437"/>
  <c r="F60" i="5"/>
  <c r="E70" i="455"/>
  <c r="E70" i="437"/>
  <c r="E89" i="434"/>
  <c r="DN95" i="434" s="1"/>
  <c r="DM95" i="434" s="1"/>
  <c r="U86" i="455"/>
  <c r="D86" i="455"/>
  <c r="V86" i="455" s="1"/>
  <c r="F55" i="5"/>
  <c r="E65" i="455"/>
  <c r="E65" i="437"/>
  <c r="E84" i="434"/>
  <c r="DN90" i="434" s="1"/>
  <c r="DM90" i="434" s="1"/>
  <c r="U72" i="455"/>
  <c r="D72" i="455"/>
  <c r="V72" i="455" s="1"/>
  <c r="U83" i="455"/>
  <c r="D83" i="455"/>
  <c r="V83" i="455" s="1"/>
  <c r="F69" i="5"/>
  <c r="E79" i="437"/>
  <c r="E79" i="455"/>
  <c r="E98" i="434"/>
  <c r="DN104" i="434" s="1"/>
  <c r="DM104" i="434" s="1"/>
  <c r="D73" i="455"/>
  <c r="V73" i="455" s="1"/>
  <c r="U73" i="455"/>
  <c r="F81" i="5"/>
  <c r="E91" i="455"/>
  <c r="E110" i="434"/>
  <c r="E91" i="437"/>
  <c r="D66" i="455"/>
  <c r="V66" i="455" s="1"/>
  <c r="U66" i="455"/>
  <c r="F58" i="5"/>
  <c r="E87" i="434"/>
  <c r="DN93" i="434" s="1"/>
  <c r="DM93" i="434" s="1"/>
  <c r="E68" i="437"/>
  <c r="E68" i="455"/>
  <c r="D82" i="455"/>
  <c r="V82" i="455" s="1"/>
  <c r="U82" i="455"/>
  <c r="F70" i="5"/>
  <c r="E99" i="434"/>
  <c r="DN105" i="434" s="1"/>
  <c r="DM105" i="434" s="1"/>
  <c r="E80" i="437"/>
  <c r="E80" i="455"/>
  <c r="D84" i="455"/>
  <c r="V84" i="455" s="1"/>
  <c r="U84" i="455"/>
  <c r="F61" i="5"/>
  <c r="E71" i="455"/>
  <c r="E71" i="437"/>
  <c r="E90" i="434"/>
  <c r="DN96" i="434" s="1"/>
  <c r="DM96" i="434" s="1"/>
  <c r="U81" i="455"/>
  <c r="D81" i="455"/>
  <c r="V81" i="455" s="1"/>
  <c r="D51" i="455"/>
  <c r="V51" i="455" s="1"/>
  <c r="U51" i="455"/>
  <c r="D52" i="455"/>
  <c r="V52" i="455" s="1"/>
  <c r="U52" i="455"/>
  <c r="D55" i="455"/>
  <c r="V55" i="455" s="1"/>
  <c r="U55" i="455"/>
  <c r="D49" i="455"/>
  <c r="V49" i="455" s="1"/>
  <c r="U49" i="455"/>
  <c r="U59" i="455"/>
  <c r="D59" i="455"/>
  <c r="V59" i="455" s="1"/>
  <c r="D85" i="455"/>
  <c r="V85" i="455" s="1"/>
  <c r="U85" i="455"/>
  <c r="U88" i="455"/>
  <c r="D88" i="455"/>
  <c r="V88" i="455" s="1"/>
  <c r="F57" i="5"/>
  <c r="E86" i="434"/>
  <c r="DN92" i="434" s="1"/>
  <c r="DM92" i="434" s="1"/>
  <c r="E67" i="437"/>
  <c r="E67" i="455"/>
  <c r="D64" i="455"/>
  <c r="V64" i="455" s="1"/>
  <c r="U64" i="455"/>
  <c r="D70" i="455"/>
  <c r="V70" i="455" s="1"/>
  <c r="U70" i="455"/>
  <c r="F73" i="5"/>
  <c r="E83" i="455"/>
  <c r="E83" i="437"/>
  <c r="E102" i="434"/>
  <c r="DN108" i="434" s="1"/>
  <c r="DM108" i="434" s="1"/>
  <c r="U47" i="455"/>
  <c r="D47" i="455"/>
  <c r="V47" i="455" s="1"/>
  <c r="D45" i="455"/>
  <c r="V45" i="455" s="1"/>
  <c r="U45" i="455"/>
  <c r="D61" i="455"/>
  <c r="V61" i="455" s="1"/>
  <c r="U61" i="455"/>
  <c r="D90" i="455"/>
  <c r="V90" i="455" s="1"/>
  <c r="U90" i="455"/>
  <c r="D91" i="455"/>
  <c r="V91" i="455" s="1"/>
  <c r="U91" i="455"/>
  <c r="F74" i="5"/>
  <c r="E84" i="455"/>
  <c r="E84" i="437"/>
  <c r="E103" i="434"/>
  <c r="DN109" i="434" s="1"/>
  <c r="DM109" i="434" s="1"/>
  <c r="F71" i="5"/>
  <c r="E100" i="434"/>
  <c r="DN106" i="434" s="1"/>
  <c r="DM106" i="434" s="1"/>
  <c r="E81" i="437"/>
  <c r="E81" i="455"/>
  <c r="D48" i="455"/>
  <c r="V48" i="455" s="1"/>
  <c r="U48" i="455"/>
  <c r="D67" i="455"/>
  <c r="V67" i="455" s="1"/>
  <c r="U67" i="455"/>
  <c r="F53" i="5"/>
  <c r="E63" i="437"/>
  <c r="E82" i="434"/>
  <c r="DN88" i="434" s="1"/>
  <c r="DM88" i="434" s="1"/>
  <c r="E63" i="455"/>
  <c r="K84" i="26"/>
  <c r="M84" i="26"/>
  <c r="P84" i="26"/>
  <c r="S84" i="26"/>
  <c r="E84" i="27"/>
  <c r="F84" i="27" s="1"/>
  <c r="R84" i="26"/>
  <c r="J84" i="26"/>
  <c r="I84" i="26"/>
  <c r="L84" i="26"/>
  <c r="O84" i="26"/>
  <c r="N84" i="26"/>
  <c r="Q84" i="26"/>
  <c r="F59" i="5"/>
  <c r="E69" i="437"/>
  <c r="E88" i="434"/>
  <c r="DN94" i="434" s="1"/>
  <c r="DM94" i="434" s="1"/>
  <c r="E69" i="455"/>
  <c r="F63" i="5"/>
  <c r="E73" i="455"/>
  <c r="E92" i="434"/>
  <c r="DN98" i="434" s="1"/>
  <c r="DM98" i="434" s="1"/>
  <c r="E73" i="437"/>
  <c r="F56" i="5"/>
  <c r="E66" i="437"/>
  <c r="E85" i="434"/>
  <c r="DN91" i="434" s="1"/>
  <c r="DM91" i="434" s="1"/>
  <c r="E66" i="455"/>
  <c r="G84" i="26"/>
  <c r="F64" i="5"/>
  <c r="E93" i="434"/>
  <c r="DN99" i="434" s="1"/>
  <c r="DM99" i="434" s="1"/>
  <c r="E74" i="437"/>
  <c r="E74" i="455"/>
  <c r="U77" i="455"/>
  <c r="D77" i="455"/>
  <c r="V77" i="455" s="1"/>
  <c r="F75" i="5"/>
  <c r="E85" i="455"/>
  <c r="E85" i="437"/>
  <c r="E104" i="434"/>
  <c r="DN110" i="434" s="1"/>
  <c r="DM110" i="434" s="1"/>
  <c r="K90" i="26"/>
  <c r="E90" i="27"/>
  <c r="F90" i="27" s="1"/>
  <c r="I90" i="26"/>
  <c r="J90" i="26"/>
  <c r="P90" i="26"/>
  <c r="L90" i="26"/>
  <c r="Q90" i="26"/>
  <c r="R90" i="26"/>
  <c r="S90" i="26"/>
  <c r="M90" i="26"/>
  <c r="N90" i="26"/>
  <c r="O90" i="26"/>
  <c r="F54" i="5"/>
  <c r="E83" i="434"/>
  <c r="DN89" i="434" s="1"/>
  <c r="DM89" i="434" s="1"/>
  <c r="E64" i="455"/>
  <c r="E64" i="437"/>
  <c r="D46" i="455"/>
  <c r="V46" i="455" s="1"/>
  <c r="U46" i="455"/>
  <c r="D50" i="455"/>
  <c r="V50" i="455" s="1"/>
  <c r="U50" i="455"/>
  <c r="D60" i="455"/>
  <c r="V60" i="455" s="1"/>
  <c r="U60" i="455"/>
  <c r="D53" i="455"/>
  <c r="V53" i="455" s="1"/>
  <c r="U53" i="455"/>
  <c r="DQ60" i="434"/>
  <c r="DS60" i="434"/>
  <c r="DQ69" i="434"/>
  <c r="DS69" i="434"/>
  <c r="DQ73" i="434"/>
  <c r="DS73" i="434"/>
  <c r="DS102" i="434"/>
  <c r="DQ102" i="434"/>
  <c r="DQ109" i="434"/>
  <c r="DS109" i="434"/>
  <c r="DS79" i="434"/>
  <c r="DQ79" i="434"/>
  <c r="DS64" i="434"/>
  <c r="DQ64" i="434"/>
  <c r="DS81" i="434"/>
  <c r="DQ81" i="434"/>
  <c r="DQ72" i="434"/>
  <c r="DS72" i="434"/>
  <c r="DS107" i="434"/>
  <c r="DQ107" i="434"/>
  <c r="DQ77" i="434"/>
  <c r="DS77" i="434"/>
  <c r="DS95" i="434"/>
  <c r="DQ95" i="434"/>
  <c r="DQ66" i="434"/>
  <c r="DS66" i="434"/>
  <c r="DQ92" i="434"/>
  <c r="DS92" i="434"/>
  <c r="DS85" i="434"/>
  <c r="DQ85" i="434"/>
  <c r="DQ106" i="434"/>
  <c r="DS106" i="434"/>
  <c r="DQ90" i="434"/>
  <c r="DS90" i="434"/>
  <c r="DS101" i="434"/>
  <c r="DQ101" i="434"/>
  <c r="DS99" i="434"/>
  <c r="DQ99" i="434"/>
  <c r="DS97" i="434"/>
  <c r="DQ97" i="434"/>
  <c r="DQ93" i="434"/>
  <c r="DS93" i="434"/>
  <c r="DQ98" i="434"/>
  <c r="DS98" i="434"/>
  <c r="DS68" i="434"/>
  <c r="DQ68" i="434"/>
  <c r="DQ105" i="434"/>
  <c r="DS105" i="434"/>
  <c r="DQ65" i="434"/>
  <c r="DS65" i="434"/>
  <c r="DQ89" i="434"/>
  <c r="DS89" i="434"/>
  <c r="DQ76" i="434"/>
  <c r="DS76" i="434"/>
  <c r="DQ86" i="434"/>
  <c r="DS86" i="434"/>
  <c r="DQ96" i="434"/>
  <c r="DS96" i="434"/>
  <c r="DQ82" i="434"/>
  <c r="DS82" i="434"/>
  <c r="DQ75" i="434"/>
  <c r="DS75" i="434"/>
  <c r="DQ87" i="434"/>
  <c r="DS87" i="434"/>
  <c r="DQ91" i="434"/>
  <c r="DS91" i="434"/>
  <c r="DQ58" i="434"/>
  <c r="DS58" i="434"/>
  <c r="DS70" i="434"/>
  <c r="DQ70" i="434"/>
  <c r="DQ110" i="434"/>
  <c r="DS110" i="434"/>
  <c r="DQ61" i="434"/>
  <c r="DS61" i="434"/>
  <c r="DQ55" i="434"/>
  <c r="DS55" i="434"/>
  <c r="DQ53" i="434"/>
  <c r="DS53" i="434"/>
  <c r="E66" i="434"/>
  <c r="DN72" i="434" s="1"/>
  <c r="DM72" i="434" s="1"/>
  <c r="E47" i="455"/>
  <c r="E47" i="437"/>
  <c r="E67" i="434"/>
  <c r="DN73" i="434" s="1"/>
  <c r="DM73" i="434" s="1"/>
  <c r="E48" i="455"/>
  <c r="E48" i="437"/>
  <c r="E44" i="455"/>
  <c r="E63" i="434"/>
  <c r="DN69" i="434" s="1"/>
  <c r="DM69" i="434" s="1"/>
  <c r="E72" i="434"/>
  <c r="DN78" i="434" s="1"/>
  <c r="DM78" i="434" s="1"/>
  <c r="E53" i="455"/>
  <c r="E53" i="437"/>
  <c r="E50" i="455"/>
  <c r="E50" i="437"/>
  <c r="E69" i="434"/>
  <c r="DN75" i="434" s="1"/>
  <c r="DM75" i="434" s="1"/>
  <c r="E55" i="455"/>
  <c r="E74" i="434"/>
  <c r="DN80" i="434" s="1"/>
  <c r="DM80" i="434" s="1"/>
  <c r="E55" i="437"/>
  <c r="E51" i="455"/>
  <c r="E70" i="434"/>
  <c r="DN76" i="434" s="1"/>
  <c r="DM76" i="434" s="1"/>
  <c r="E51" i="437"/>
  <c r="E45" i="455"/>
  <c r="E64" i="434"/>
  <c r="DN70" i="434" s="1"/>
  <c r="DM70" i="434" s="1"/>
  <c r="E68" i="434"/>
  <c r="DN74" i="434" s="1"/>
  <c r="DM74" i="434" s="1"/>
  <c r="E49" i="455"/>
  <c r="E49" i="437"/>
  <c r="E54" i="455"/>
  <c r="E54" i="437"/>
  <c r="E73" i="434"/>
  <c r="DN79" i="434" s="1"/>
  <c r="DM79" i="434" s="1"/>
  <c r="E58" i="455"/>
  <c r="E77" i="434"/>
  <c r="DN83" i="434" s="1"/>
  <c r="DM83" i="434" s="1"/>
  <c r="E58" i="437"/>
  <c r="E56" i="455"/>
  <c r="E75" i="434"/>
  <c r="DN81" i="434" s="1"/>
  <c r="DM81" i="434" s="1"/>
  <c r="E56" i="437"/>
  <c r="E76" i="434"/>
  <c r="DN82" i="434" s="1"/>
  <c r="DM82" i="434" s="1"/>
  <c r="E57" i="437"/>
  <c r="E57" i="455"/>
  <c r="E65" i="434"/>
  <c r="DN71" i="434" s="1"/>
  <c r="DM71" i="434" s="1"/>
  <c r="E46" i="455"/>
  <c r="E46" i="437"/>
  <c r="E60" i="455"/>
  <c r="E60" i="437"/>
  <c r="E79" i="434"/>
  <c r="DN85" i="434" s="1"/>
  <c r="DM85" i="434" s="1"/>
  <c r="E52" i="455"/>
  <c r="E71" i="434"/>
  <c r="DN77" i="434" s="1"/>
  <c r="DM77" i="434" s="1"/>
  <c r="E52" i="437"/>
  <c r="E78" i="434"/>
  <c r="DN84" i="434" s="1"/>
  <c r="DM84" i="434" s="1"/>
  <c r="E59" i="455"/>
  <c r="E59" i="437"/>
  <c r="F18" i="5"/>
  <c r="E28" i="437"/>
  <c r="E2" i="455"/>
  <c r="D10" i="454" s="1"/>
  <c r="E25" i="455"/>
  <c r="F15" i="5"/>
  <c r="C68" i="2" a="1"/>
  <c r="C68" i="2" s="1"/>
  <c r="AW7" i="238" a="1"/>
  <c r="AW7" i="238" s="1"/>
  <c r="A9" i="459"/>
  <c r="E9" i="459" s="1"/>
  <c r="J51" i="26"/>
  <c r="M51" i="26"/>
  <c r="S51" i="26"/>
  <c r="N51" i="26"/>
  <c r="L51" i="26"/>
  <c r="E51" i="27"/>
  <c r="F51" i="27" s="1"/>
  <c r="Q51" i="26"/>
  <c r="O51" i="26"/>
  <c r="I51" i="26"/>
  <c r="P51" i="26"/>
  <c r="K51" i="26"/>
  <c r="R51" i="26"/>
  <c r="A11" i="453"/>
  <c r="F11" i="453" s="1"/>
  <c r="E34" i="455"/>
  <c r="F24" i="5"/>
  <c r="E34" i="437"/>
  <c r="A7" i="238"/>
  <c r="E28" i="455"/>
  <c r="F23" i="5"/>
  <c r="E33" i="437"/>
  <c r="E33" i="455"/>
  <c r="D40" i="455"/>
  <c r="V40" i="455" s="1"/>
  <c r="U37" i="455"/>
  <c r="W37" i="455"/>
  <c r="D37" i="455"/>
  <c r="V37" i="455" s="1"/>
  <c r="D35" i="455"/>
  <c r="V35" i="455" s="1"/>
  <c r="D38" i="455"/>
  <c r="V38" i="455" s="1"/>
  <c r="D36" i="455"/>
  <c r="V36" i="455" s="1"/>
  <c r="D42" i="455"/>
  <c r="V42" i="455" s="1"/>
  <c r="D32" i="455"/>
  <c r="V32" i="455" s="1"/>
  <c r="D43" i="455"/>
  <c r="V43" i="455" s="1"/>
  <c r="D41" i="455"/>
  <c r="V41" i="455" s="1"/>
  <c r="D31" i="455"/>
  <c r="V31" i="455" s="1"/>
  <c r="D39" i="455"/>
  <c r="V39" i="455" s="1"/>
  <c r="G300" i="5"/>
  <c r="G318" i="5"/>
  <c r="G309" i="5"/>
  <c r="E44" i="437"/>
  <c r="G317" i="5"/>
  <c r="E43" i="455"/>
  <c r="E43" i="437"/>
  <c r="G299" i="5"/>
  <c r="C11" i="451"/>
  <c r="G310" i="5"/>
  <c r="E39" i="455"/>
  <c r="E39" i="437"/>
  <c r="G303" i="5"/>
  <c r="G302" i="5"/>
  <c r="E35" i="437"/>
  <c r="E35" i="455"/>
  <c r="DN51" i="434"/>
  <c r="DM51" i="434" s="1"/>
  <c r="DN45" i="434"/>
  <c r="DM45" i="434" s="1"/>
  <c r="E32" i="437"/>
  <c r="E32" i="455"/>
  <c r="E51" i="434"/>
  <c r="DN57" i="434" s="1"/>
  <c r="DM57" i="434" s="1"/>
  <c r="E40" i="455"/>
  <c r="E40" i="437"/>
  <c r="E50" i="434"/>
  <c r="DN56" i="434" s="1"/>
  <c r="DM56" i="434" s="1"/>
  <c r="E31" i="437"/>
  <c r="E31" i="455"/>
  <c r="G312" i="5"/>
  <c r="G316" i="5"/>
  <c r="E37" i="455"/>
  <c r="E37" i="437"/>
  <c r="E41" i="437"/>
  <c r="E41" i="455"/>
  <c r="G305" i="5"/>
  <c r="G301" i="5"/>
  <c r="E38" i="455"/>
  <c r="E38" i="437"/>
  <c r="G315" i="5"/>
  <c r="G320" i="5"/>
  <c r="G322" i="5"/>
  <c r="G311" i="5"/>
  <c r="G321" i="5"/>
  <c r="G306" i="5"/>
  <c r="G308" i="5"/>
  <c r="DN46" i="434"/>
  <c r="DM46" i="434" s="1"/>
  <c r="G319" i="5"/>
  <c r="E36" i="455"/>
  <c r="E36" i="437"/>
  <c r="G304" i="5"/>
  <c r="E42" i="455"/>
  <c r="E42" i="437"/>
  <c r="G314" i="5"/>
  <c r="E45" i="437"/>
  <c r="G307" i="5"/>
  <c r="E30" i="437"/>
  <c r="E49" i="434"/>
  <c r="DN55" i="434" s="1"/>
  <c r="DM55" i="434" s="1"/>
  <c r="G313" i="5"/>
  <c r="DS45" i="434"/>
  <c r="DQ45" i="434"/>
  <c r="DS46" i="434"/>
  <c r="DQ46" i="434"/>
  <c r="DQ51" i="434"/>
  <c r="DS51" i="434"/>
  <c r="DD44" i="434"/>
  <c r="CU45" i="434"/>
  <c r="K29" i="26"/>
  <c r="O29" i="26"/>
  <c r="L29" i="26"/>
  <c r="Q29" i="26"/>
  <c r="I29" i="26"/>
  <c r="P29" i="26"/>
  <c r="E29" i="27"/>
  <c r="F29" i="27" s="1"/>
  <c r="M29" i="26"/>
  <c r="J29" i="26"/>
  <c r="R29" i="26"/>
  <c r="S29" i="26"/>
  <c r="N29" i="26"/>
  <c r="G29" i="26"/>
  <c r="P73" i="26"/>
  <c r="K73" i="26"/>
  <c r="J73" i="26"/>
  <c r="M73" i="26"/>
  <c r="O73" i="26"/>
  <c r="Q73" i="26"/>
  <c r="I73" i="26"/>
  <c r="S73" i="26"/>
  <c r="L73" i="26"/>
  <c r="R73" i="26"/>
  <c r="N73" i="26"/>
  <c r="E73" i="27"/>
  <c r="F73" i="27" s="1"/>
  <c r="N58" i="26"/>
  <c r="R58" i="26"/>
  <c r="L58" i="26"/>
  <c r="Q58" i="26"/>
  <c r="K58" i="26"/>
  <c r="P58" i="26"/>
  <c r="J58" i="26"/>
  <c r="I58" i="26"/>
  <c r="M58" i="26"/>
  <c r="O58" i="26"/>
  <c r="S58" i="26"/>
  <c r="E58" i="27"/>
  <c r="F58" i="27" s="1"/>
  <c r="K102" i="26"/>
  <c r="R102" i="26"/>
  <c r="E102" i="27"/>
  <c r="F102" i="27" s="1"/>
  <c r="Q102" i="26"/>
  <c r="M102" i="26"/>
  <c r="N102" i="26"/>
  <c r="P102" i="26"/>
  <c r="I102" i="26"/>
  <c r="S102" i="26"/>
  <c r="O102" i="26"/>
  <c r="J102" i="26"/>
  <c r="L102" i="26"/>
  <c r="G102" i="26"/>
  <c r="K74" i="26"/>
  <c r="O74" i="26"/>
  <c r="S74" i="26"/>
  <c r="I74" i="26"/>
  <c r="N74" i="26"/>
  <c r="M74" i="26"/>
  <c r="R74" i="26"/>
  <c r="Q74" i="26"/>
  <c r="J74" i="26"/>
  <c r="L74" i="26"/>
  <c r="P74" i="26"/>
  <c r="E74" i="27"/>
  <c r="F74" i="27" s="1"/>
  <c r="F27" i="5"/>
  <c r="D24" i="455"/>
  <c r="V24" i="455" s="1"/>
  <c r="K79" i="26"/>
  <c r="S79" i="26"/>
  <c r="M79" i="26"/>
  <c r="R79" i="26"/>
  <c r="L79" i="26"/>
  <c r="Q79" i="26"/>
  <c r="J79" i="26"/>
  <c r="N79" i="26"/>
  <c r="O79" i="26"/>
  <c r="P79" i="26"/>
  <c r="I79" i="26"/>
  <c r="E79" i="27"/>
  <c r="F79" i="27" s="1"/>
  <c r="J63" i="26"/>
  <c r="R63" i="26"/>
  <c r="O63" i="26"/>
  <c r="I63" i="26"/>
  <c r="S63" i="26"/>
  <c r="M63" i="26"/>
  <c r="Q63" i="26"/>
  <c r="K63" i="26"/>
  <c r="L63" i="26"/>
  <c r="N63" i="26"/>
  <c r="P63" i="26"/>
  <c r="E63" i="27"/>
  <c r="F63" i="27" s="1"/>
  <c r="O80" i="26"/>
  <c r="L80" i="26"/>
  <c r="Q80" i="26"/>
  <c r="P80" i="26"/>
  <c r="J80" i="26"/>
  <c r="S80" i="26"/>
  <c r="I80" i="26"/>
  <c r="K80" i="26"/>
  <c r="M80" i="26"/>
  <c r="N80" i="26"/>
  <c r="R80" i="26"/>
  <c r="E80" i="27"/>
  <c r="F80" i="27" s="1"/>
  <c r="J46" i="26"/>
  <c r="R46" i="26"/>
  <c r="O46" i="26"/>
  <c r="I46" i="26"/>
  <c r="S46" i="26"/>
  <c r="M46" i="26"/>
  <c r="Q46" i="26"/>
  <c r="N46" i="26"/>
  <c r="K46" i="26"/>
  <c r="L46" i="26"/>
  <c r="P46" i="26"/>
  <c r="E46" i="27"/>
  <c r="F46" i="27" s="1"/>
  <c r="G46" i="26"/>
  <c r="L25" i="26"/>
  <c r="P25" i="26"/>
  <c r="R25" i="26"/>
  <c r="J25" i="26"/>
  <c r="Q25" i="26"/>
  <c r="M25" i="26"/>
  <c r="O25" i="26"/>
  <c r="I25" i="26"/>
  <c r="N25" i="26"/>
  <c r="S25" i="26"/>
  <c r="E25" i="27"/>
  <c r="F25" i="27" s="1"/>
  <c r="K25" i="26"/>
  <c r="G25" i="26"/>
  <c r="J64" i="26"/>
  <c r="R64" i="26"/>
  <c r="N64" i="26"/>
  <c r="S64" i="26"/>
  <c r="M64" i="26"/>
  <c r="L64" i="26"/>
  <c r="Q64" i="26"/>
  <c r="P64" i="26"/>
  <c r="I64" i="26"/>
  <c r="K64" i="26"/>
  <c r="O64" i="26"/>
  <c r="E64" i="27"/>
  <c r="F64" i="27" s="1"/>
  <c r="S61" i="26"/>
  <c r="M61" i="26"/>
  <c r="R61" i="26"/>
  <c r="L61" i="26"/>
  <c r="Q61" i="26"/>
  <c r="K61" i="26"/>
  <c r="J61" i="26"/>
  <c r="O61" i="26"/>
  <c r="N61" i="26"/>
  <c r="P61" i="26"/>
  <c r="I61" i="26"/>
  <c r="E61" i="27"/>
  <c r="F61" i="27" s="1"/>
  <c r="J24" i="26"/>
  <c r="K24" i="26"/>
  <c r="O24" i="26"/>
  <c r="Q24" i="26"/>
  <c r="L24" i="26"/>
  <c r="R24" i="26"/>
  <c r="N24" i="26"/>
  <c r="E24" i="27"/>
  <c r="F24" i="27" s="1"/>
  <c r="M24" i="26"/>
  <c r="S24" i="26"/>
  <c r="I24" i="26"/>
  <c r="P24" i="26"/>
  <c r="G24" i="26"/>
  <c r="R33" i="26"/>
  <c r="P33" i="26"/>
  <c r="E33" i="27"/>
  <c r="F33" i="27" s="1"/>
  <c r="O33" i="26"/>
  <c r="S33" i="26"/>
  <c r="K33" i="26"/>
  <c r="N33" i="26"/>
  <c r="J33" i="26"/>
  <c r="M33" i="26"/>
  <c r="L33" i="26"/>
  <c r="Q33" i="26"/>
  <c r="I33" i="26"/>
  <c r="G33" i="26"/>
  <c r="F33" i="5"/>
  <c r="G63" i="26"/>
  <c r="F35" i="5"/>
  <c r="K57" i="26"/>
  <c r="P57" i="26"/>
  <c r="J57" i="26"/>
  <c r="O57" i="26"/>
  <c r="I57" i="26"/>
  <c r="N57" i="26"/>
  <c r="R57" i="26"/>
  <c r="M57" i="26"/>
  <c r="Q57" i="26"/>
  <c r="S57" i="26"/>
  <c r="L57" i="26"/>
  <c r="E57" i="27"/>
  <c r="F57" i="27" s="1"/>
  <c r="S69" i="26"/>
  <c r="M69" i="26"/>
  <c r="L69" i="26"/>
  <c r="Q69" i="26"/>
  <c r="P69" i="26"/>
  <c r="I69" i="26"/>
  <c r="K69" i="26"/>
  <c r="J69" i="26"/>
  <c r="R69" i="26"/>
  <c r="O69" i="26"/>
  <c r="N69" i="26"/>
  <c r="E69" i="27"/>
  <c r="F69" i="27" s="1"/>
  <c r="F22" i="5"/>
  <c r="E30" i="455"/>
  <c r="F20" i="5"/>
  <c r="F44" i="5"/>
  <c r="F30" i="5"/>
  <c r="K48" i="26"/>
  <c r="P48" i="26"/>
  <c r="J48" i="26"/>
  <c r="O48" i="26"/>
  <c r="I48" i="26"/>
  <c r="N48" i="26"/>
  <c r="S48" i="26"/>
  <c r="L48" i="26"/>
  <c r="R48" i="26"/>
  <c r="M48" i="26"/>
  <c r="Q48" i="26"/>
  <c r="E48" i="27"/>
  <c r="F48" i="27" s="1"/>
  <c r="J72" i="26"/>
  <c r="O72" i="26"/>
  <c r="S72" i="26"/>
  <c r="L72" i="26"/>
  <c r="Q72" i="26"/>
  <c r="K72" i="26"/>
  <c r="R72" i="26"/>
  <c r="P72" i="26"/>
  <c r="I72" i="26"/>
  <c r="M72" i="26"/>
  <c r="N72" i="26"/>
  <c r="E72" i="27"/>
  <c r="F72" i="27" s="1"/>
  <c r="F45" i="5"/>
  <c r="K94" i="26"/>
  <c r="Q94" i="26"/>
  <c r="L94" i="26"/>
  <c r="P94" i="26"/>
  <c r="S94" i="26"/>
  <c r="N94" i="26"/>
  <c r="M94" i="26"/>
  <c r="R94" i="26"/>
  <c r="I94" i="26"/>
  <c r="J94" i="26"/>
  <c r="O94" i="26"/>
  <c r="E94" i="27"/>
  <c r="F94" i="27" s="1"/>
  <c r="J95" i="26"/>
  <c r="I95" i="26"/>
  <c r="K95" i="26"/>
  <c r="N95" i="26"/>
  <c r="S95" i="26"/>
  <c r="Q95" i="26"/>
  <c r="L95" i="26"/>
  <c r="O95" i="26"/>
  <c r="R95" i="26"/>
  <c r="M95" i="26"/>
  <c r="P95" i="26"/>
  <c r="E95" i="27"/>
  <c r="F95" i="27" s="1"/>
  <c r="D27" i="455"/>
  <c r="V27" i="455" s="1"/>
  <c r="G64" i="26"/>
  <c r="J59" i="26"/>
  <c r="R59" i="26"/>
  <c r="O59" i="26"/>
  <c r="I59" i="26"/>
  <c r="S59" i="26"/>
  <c r="M59" i="26"/>
  <c r="Q59" i="26"/>
  <c r="K59" i="26"/>
  <c r="L59" i="26"/>
  <c r="P59" i="26"/>
  <c r="N59" i="26"/>
  <c r="E59" i="27"/>
  <c r="F59" i="27" s="1"/>
  <c r="G59" i="26"/>
  <c r="G61" i="26"/>
  <c r="J22" i="26"/>
  <c r="E22" i="27"/>
  <c r="F22" i="27" s="1"/>
  <c r="I22" i="26"/>
  <c r="O22" i="26"/>
  <c r="K22" i="26"/>
  <c r="P22" i="26"/>
  <c r="Q22" i="26"/>
  <c r="L22" i="26"/>
  <c r="R22" i="26"/>
  <c r="N22" i="26"/>
  <c r="S22" i="26"/>
  <c r="M22" i="26"/>
  <c r="G22" i="26"/>
  <c r="J66" i="26"/>
  <c r="L66" i="26"/>
  <c r="Q66" i="26"/>
  <c r="R66" i="26"/>
  <c r="K66" i="26"/>
  <c r="P66" i="26"/>
  <c r="I66" i="26"/>
  <c r="M66" i="26"/>
  <c r="O66" i="26"/>
  <c r="N66" i="26"/>
  <c r="S66" i="26"/>
  <c r="E66" i="27"/>
  <c r="F66" i="27" s="1"/>
  <c r="F42" i="5"/>
  <c r="E23" i="27"/>
  <c r="F23" i="27" s="1"/>
  <c r="K23" i="26"/>
  <c r="R23" i="26"/>
  <c r="Q23" i="26"/>
  <c r="P23" i="26"/>
  <c r="I23" i="26"/>
  <c r="M23" i="26"/>
  <c r="S23" i="26"/>
  <c r="O23" i="26"/>
  <c r="L23" i="26"/>
  <c r="J23" i="26"/>
  <c r="N23" i="26"/>
  <c r="G23" i="26"/>
  <c r="C34" i="457"/>
  <c r="EF4" i="459"/>
  <c r="R71" i="26"/>
  <c r="J71" i="26"/>
  <c r="I71" i="26"/>
  <c r="N71" i="26"/>
  <c r="S71" i="26"/>
  <c r="K71" i="26"/>
  <c r="M71" i="26"/>
  <c r="Q71" i="26"/>
  <c r="L71" i="26"/>
  <c r="O71" i="26"/>
  <c r="P71" i="26"/>
  <c r="E71" i="27"/>
  <c r="F71" i="27" s="1"/>
  <c r="F28" i="5"/>
  <c r="S81" i="26"/>
  <c r="I81" i="26"/>
  <c r="N81" i="26"/>
  <c r="K81" i="26"/>
  <c r="M81" i="26"/>
  <c r="R81" i="26"/>
  <c r="Q81" i="26"/>
  <c r="J81" i="26"/>
  <c r="L81" i="26"/>
  <c r="P81" i="26"/>
  <c r="O81" i="26"/>
  <c r="E81" i="27"/>
  <c r="F81" i="27" s="1"/>
  <c r="D25" i="455"/>
  <c r="V25" i="455" s="1"/>
  <c r="L83" i="26"/>
  <c r="K83" i="26"/>
  <c r="M83" i="26"/>
  <c r="S83" i="26"/>
  <c r="O83" i="26"/>
  <c r="P83" i="26"/>
  <c r="J83" i="26"/>
  <c r="I83" i="26"/>
  <c r="N83" i="26"/>
  <c r="R83" i="26"/>
  <c r="Q83" i="26"/>
  <c r="E83" i="27"/>
  <c r="F83" i="27" s="1"/>
  <c r="O82" i="26"/>
  <c r="Q82" i="26"/>
  <c r="M82" i="26"/>
  <c r="S82" i="26"/>
  <c r="N82" i="26"/>
  <c r="P82" i="26"/>
  <c r="R82" i="26"/>
  <c r="K82" i="26"/>
  <c r="I82" i="26"/>
  <c r="L82" i="26"/>
  <c r="J82" i="26"/>
  <c r="E82" i="27"/>
  <c r="F82" i="27" s="1"/>
  <c r="E96" i="27"/>
  <c r="F96" i="27" s="1"/>
  <c r="P96" i="26"/>
  <c r="I96" i="26"/>
  <c r="S96" i="26"/>
  <c r="M96" i="26"/>
  <c r="Q96" i="26"/>
  <c r="J96" i="26"/>
  <c r="N96" i="26"/>
  <c r="O96" i="26"/>
  <c r="R96" i="26"/>
  <c r="L96" i="26"/>
  <c r="K96" i="26"/>
  <c r="G96" i="26"/>
  <c r="F43" i="5"/>
  <c r="E16" i="27"/>
  <c r="F16" i="27" s="1"/>
  <c r="G16" i="26"/>
  <c r="I99" i="26"/>
  <c r="P99" i="26"/>
  <c r="O99" i="26"/>
  <c r="S99" i="26"/>
  <c r="J99" i="26"/>
  <c r="M99" i="26"/>
  <c r="K99" i="26"/>
  <c r="E99" i="27"/>
  <c r="F99" i="27" s="1"/>
  <c r="N99" i="26"/>
  <c r="Q99" i="26"/>
  <c r="R99" i="26"/>
  <c r="L99" i="26"/>
  <c r="G99" i="26"/>
  <c r="I34" i="26"/>
  <c r="E34" i="27"/>
  <c r="F34" i="27" s="1"/>
  <c r="N34" i="26"/>
  <c r="O34" i="26"/>
  <c r="K34" i="26"/>
  <c r="R34" i="26"/>
  <c r="Q34" i="26"/>
  <c r="M34" i="26"/>
  <c r="S34" i="26"/>
  <c r="L34" i="26"/>
  <c r="J34" i="26"/>
  <c r="P34" i="26"/>
  <c r="G34" i="26"/>
  <c r="Q106" i="26"/>
  <c r="J106" i="26"/>
  <c r="S106" i="26"/>
  <c r="O106" i="26"/>
  <c r="M106" i="26"/>
  <c r="P106" i="26"/>
  <c r="I106" i="26"/>
  <c r="N106" i="26"/>
  <c r="L106" i="26"/>
  <c r="K106" i="26"/>
  <c r="R106" i="26"/>
  <c r="E106" i="27"/>
  <c r="F106" i="27" s="1"/>
  <c r="G106" i="26"/>
  <c r="I28" i="26"/>
  <c r="M28" i="26"/>
  <c r="J28" i="26"/>
  <c r="Q28" i="26"/>
  <c r="R28" i="26"/>
  <c r="L28" i="26"/>
  <c r="E28" i="27"/>
  <c r="F28" i="27" s="1"/>
  <c r="K28" i="26"/>
  <c r="N28" i="26"/>
  <c r="S28" i="26"/>
  <c r="O28" i="26"/>
  <c r="P28" i="26"/>
  <c r="G28" i="26"/>
  <c r="G82" i="26"/>
  <c r="J47" i="26"/>
  <c r="N47" i="26"/>
  <c r="S47" i="26"/>
  <c r="M47" i="26"/>
  <c r="L47" i="26"/>
  <c r="Q47" i="26"/>
  <c r="R47" i="26"/>
  <c r="K47" i="26"/>
  <c r="O47" i="26"/>
  <c r="P47" i="26"/>
  <c r="I47" i="26"/>
  <c r="E47" i="27"/>
  <c r="F47" i="27" s="1"/>
  <c r="G47" i="26"/>
  <c r="G81" i="26"/>
  <c r="J26" i="26"/>
  <c r="L26" i="26"/>
  <c r="I26" i="26"/>
  <c r="Q26" i="26"/>
  <c r="E26" i="27"/>
  <c r="F26" i="27" s="1"/>
  <c r="R26" i="26"/>
  <c r="P26" i="26"/>
  <c r="O26" i="26"/>
  <c r="M26" i="26"/>
  <c r="S26" i="26"/>
  <c r="K26" i="26"/>
  <c r="N26" i="26"/>
  <c r="G26" i="26"/>
  <c r="F26" i="5"/>
  <c r="F50" i="5"/>
  <c r="L97" i="26"/>
  <c r="E97" i="27"/>
  <c r="F97" i="27" s="1"/>
  <c r="R97" i="26"/>
  <c r="I97" i="26"/>
  <c r="M97" i="26"/>
  <c r="P97" i="26"/>
  <c r="J97" i="26"/>
  <c r="N97" i="26"/>
  <c r="S97" i="26"/>
  <c r="K97" i="26"/>
  <c r="Q97" i="26"/>
  <c r="O97" i="26"/>
  <c r="G97" i="26"/>
  <c r="F46" i="5"/>
  <c r="G57" i="26"/>
  <c r="D29" i="455"/>
  <c r="V29" i="455" s="1"/>
  <c r="D28" i="455"/>
  <c r="V28" i="455" s="1"/>
  <c r="R55" i="26"/>
  <c r="J55" i="26"/>
  <c r="O55" i="26"/>
  <c r="I55" i="26"/>
  <c r="N55" i="26"/>
  <c r="S55" i="26"/>
  <c r="M55" i="26"/>
  <c r="Q55" i="26"/>
  <c r="K55" i="26"/>
  <c r="L55" i="26"/>
  <c r="P55" i="26"/>
  <c r="E55" i="27"/>
  <c r="F55" i="27" s="1"/>
  <c r="G55" i="26"/>
  <c r="J68" i="26"/>
  <c r="L68" i="26"/>
  <c r="Q68" i="26"/>
  <c r="K68" i="26"/>
  <c r="P68" i="26"/>
  <c r="I68" i="26"/>
  <c r="M68" i="26"/>
  <c r="N68" i="26"/>
  <c r="O68" i="26"/>
  <c r="R68" i="26"/>
  <c r="S68" i="26"/>
  <c r="E68" i="27"/>
  <c r="F68" i="27" s="1"/>
  <c r="E26" i="455"/>
  <c r="F16" i="5"/>
  <c r="B16" i="420"/>
  <c r="A7" i="456"/>
  <c r="B11" i="236"/>
  <c r="F21" i="5"/>
  <c r="F41" i="5"/>
  <c r="F32" i="5"/>
  <c r="F29" i="5"/>
  <c r="R70" i="26"/>
  <c r="N70" i="26"/>
  <c r="L70" i="26"/>
  <c r="Q70" i="26"/>
  <c r="K70" i="26"/>
  <c r="P70" i="26"/>
  <c r="I70" i="26"/>
  <c r="M70" i="26"/>
  <c r="O70" i="26"/>
  <c r="J70" i="26"/>
  <c r="S70" i="26"/>
  <c r="E70" i="27"/>
  <c r="F70" i="27" s="1"/>
  <c r="L93" i="26"/>
  <c r="S93" i="26"/>
  <c r="N93" i="26"/>
  <c r="K93" i="26"/>
  <c r="R93" i="26"/>
  <c r="M93" i="26"/>
  <c r="Q93" i="26"/>
  <c r="O93" i="26"/>
  <c r="P93" i="26"/>
  <c r="J93" i="26"/>
  <c r="I93" i="26"/>
  <c r="E93" i="27"/>
  <c r="F93" i="27" s="1"/>
  <c r="F38" i="5"/>
  <c r="E37" i="27"/>
  <c r="F37" i="27" s="1"/>
  <c r="N37" i="26"/>
  <c r="O37" i="26"/>
  <c r="S37" i="26"/>
  <c r="Q37" i="26"/>
  <c r="K37" i="26"/>
  <c r="R37" i="26"/>
  <c r="J37" i="26"/>
  <c r="I37" i="26"/>
  <c r="L37" i="26"/>
  <c r="P37" i="26"/>
  <c r="M37" i="26"/>
  <c r="G37" i="26"/>
  <c r="M87" i="26"/>
  <c r="Q87" i="26"/>
  <c r="K87" i="26"/>
  <c r="L87" i="26"/>
  <c r="S87" i="26"/>
  <c r="N87" i="26"/>
  <c r="P87" i="26"/>
  <c r="R87" i="26"/>
  <c r="O87" i="26"/>
  <c r="I87" i="26"/>
  <c r="J87" i="26"/>
  <c r="E87" i="27"/>
  <c r="F87" i="27" s="1"/>
  <c r="S77" i="26"/>
  <c r="I77" i="26"/>
  <c r="N77" i="26"/>
  <c r="O77" i="26"/>
  <c r="M77" i="26"/>
  <c r="R77" i="26"/>
  <c r="K77" i="26"/>
  <c r="E77" i="27"/>
  <c r="F77" i="27" s="1"/>
  <c r="Q77" i="26"/>
  <c r="J77" i="26"/>
  <c r="L77" i="26"/>
  <c r="P77" i="26"/>
  <c r="G77" i="26"/>
  <c r="C30" i="457"/>
  <c r="DH4" i="459"/>
  <c r="O76" i="26"/>
  <c r="M76" i="26"/>
  <c r="R76" i="26"/>
  <c r="K76" i="26"/>
  <c r="E76" i="27"/>
  <c r="F76" i="27" s="1"/>
  <c r="L76" i="26"/>
  <c r="Q76" i="26"/>
  <c r="P76" i="26"/>
  <c r="S76" i="26"/>
  <c r="I76" i="26"/>
  <c r="J76" i="26"/>
  <c r="N76" i="26"/>
  <c r="G76" i="26"/>
  <c r="F47" i="5"/>
  <c r="R67" i="26"/>
  <c r="O67" i="26"/>
  <c r="I67" i="26"/>
  <c r="S67" i="26"/>
  <c r="M67" i="26"/>
  <c r="N67" i="26"/>
  <c r="Q67" i="26"/>
  <c r="K67" i="26"/>
  <c r="J67" i="26"/>
  <c r="L67" i="26"/>
  <c r="P67" i="26"/>
  <c r="E67" i="27"/>
  <c r="F67" i="27" s="1"/>
  <c r="G70" i="26"/>
  <c r="F25" i="5"/>
  <c r="S27" i="26"/>
  <c r="I27" i="26"/>
  <c r="M27" i="26"/>
  <c r="J27" i="26"/>
  <c r="O27" i="26"/>
  <c r="P27" i="26"/>
  <c r="K27" i="26"/>
  <c r="N27" i="26"/>
  <c r="R27" i="26"/>
  <c r="L27" i="26"/>
  <c r="Q27" i="26"/>
  <c r="E27" i="27"/>
  <c r="F27" i="27" s="1"/>
  <c r="G27" i="26"/>
  <c r="J50" i="26"/>
  <c r="O50" i="26"/>
  <c r="I50" i="26"/>
  <c r="S50" i="26"/>
  <c r="M50" i="26"/>
  <c r="N50" i="26"/>
  <c r="Q50" i="26"/>
  <c r="R50" i="26"/>
  <c r="K50" i="26"/>
  <c r="L50" i="26"/>
  <c r="P50" i="26"/>
  <c r="E50" i="27"/>
  <c r="F50" i="27" s="1"/>
  <c r="EL4" i="459"/>
  <c r="C35" i="457"/>
  <c r="K65" i="26"/>
  <c r="P65" i="26"/>
  <c r="J65" i="26"/>
  <c r="O65" i="26"/>
  <c r="I65" i="26"/>
  <c r="N65" i="26"/>
  <c r="S65" i="26"/>
  <c r="L65" i="26"/>
  <c r="M65" i="26"/>
  <c r="Q65" i="26"/>
  <c r="R65" i="26"/>
  <c r="E65" i="27"/>
  <c r="F65" i="27" s="1"/>
  <c r="E103" i="27"/>
  <c r="F103" i="27" s="1"/>
  <c r="S103" i="26"/>
  <c r="I103" i="26"/>
  <c r="N103" i="26"/>
  <c r="M103" i="26"/>
  <c r="R103" i="26"/>
  <c r="O103" i="26"/>
  <c r="J103" i="26"/>
  <c r="L103" i="26"/>
  <c r="P103" i="26"/>
  <c r="Q103" i="26"/>
  <c r="K103" i="26"/>
  <c r="G103" i="26"/>
  <c r="F39" i="5"/>
  <c r="F49" i="5"/>
  <c r="G80" i="26"/>
  <c r="E52" i="27"/>
  <c r="F52" i="27" s="1"/>
  <c r="G71" i="26"/>
  <c r="G73" i="26"/>
  <c r="J100" i="26"/>
  <c r="M100" i="26"/>
  <c r="L100" i="26"/>
  <c r="N100" i="26"/>
  <c r="Q100" i="26"/>
  <c r="S100" i="26"/>
  <c r="P100" i="26"/>
  <c r="K100" i="26"/>
  <c r="R100" i="26"/>
  <c r="I100" i="26"/>
  <c r="O100" i="26"/>
  <c r="E100" i="27"/>
  <c r="F100" i="27" s="1"/>
  <c r="G100" i="26"/>
  <c r="E85" i="27"/>
  <c r="F85" i="27" s="1"/>
  <c r="F40" i="5"/>
  <c r="S53" i="26"/>
  <c r="M53" i="26"/>
  <c r="L53" i="26"/>
  <c r="Q53" i="26"/>
  <c r="P53" i="26"/>
  <c r="R53" i="26"/>
  <c r="I53" i="26"/>
  <c r="K53" i="26"/>
  <c r="J53" i="26"/>
  <c r="O53" i="26"/>
  <c r="N53" i="26"/>
  <c r="E53" i="27"/>
  <c r="F53" i="27" s="1"/>
  <c r="M36" i="26"/>
  <c r="I36" i="26"/>
  <c r="P36" i="26"/>
  <c r="S36" i="26"/>
  <c r="J36" i="26"/>
  <c r="N36" i="26"/>
  <c r="E36" i="27"/>
  <c r="F36" i="27" s="1"/>
  <c r="Q36" i="26"/>
  <c r="O36" i="26"/>
  <c r="L36" i="26"/>
  <c r="R36" i="26"/>
  <c r="K36" i="26"/>
  <c r="G36" i="26"/>
  <c r="E105" i="27"/>
  <c r="F105" i="27" s="1"/>
  <c r="Q105" i="26"/>
  <c r="K105" i="26"/>
  <c r="L105" i="26"/>
  <c r="J105" i="26"/>
  <c r="O105" i="26"/>
  <c r="P105" i="26"/>
  <c r="R105" i="26"/>
  <c r="I105" i="26"/>
  <c r="S105" i="26"/>
  <c r="M105" i="26"/>
  <c r="N105" i="26"/>
  <c r="G105" i="26"/>
  <c r="DN4" i="459"/>
  <c r="C31" i="457"/>
  <c r="J60" i="26"/>
  <c r="R60" i="26"/>
  <c r="O60" i="26"/>
  <c r="I60" i="26"/>
  <c r="N60" i="26"/>
  <c r="S60" i="26"/>
  <c r="M60" i="26"/>
  <c r="L60" i="26"/>
  <c r="P60" i="26"/>
  <c r="Q60" i="26"/>
  <c r="K60" i="26"/>
  <c r="E60" i="27"/>
  <c r="F60" i="27" s="1"/>
  <c r="F37" i="5"/>
  <c r="E29" i="437"/>
  <c r="F19" i="5"/>
  <c r="E29" i="455"/>
  <c r="DT4" i="459"/>
  <c r="C32" i="457"/>
  <c r="M88" i="26"/>
  <c r="S88" i="26"/>
  <c r="J88" i="26"/>
  <c r="P88" i="26"/>
  <c r="N88" i="26"/>
  <c r="O88" i="26"/>
  <c r="L88" i="26"/>
  <c r="K88" i="26"/>
  <c r="Q88" i="26"/>
  <c r="R88" i="26"/>
  <c r="I88" i="26"/>
  <c r="E88" i="27"/>
  <c r="F88" i="27" s="1"/>
  <c r="K39" i="26"/>
  <c r="S39" i="26"/>
  <c r="R39" i="26"/>
  <c r="Q39" i="26"/>
  <c r="M39" i="26"/>
  <c r="I39" i="26"/>
  <c r="L39" i="26"/>
  <c r="J39" i="26"/>
  <c r="N39" i="26"/>
  <c r="O39" i="26"/>
  <c r="E39" i="27"/>
  <c r="F39" i="27" s="1"/>
  <c r="P39" i="26"/>
  <c r="G39" i="26"/>
  <c r="E91" i="27"/>
  <c r="F91" i="27" s="1"/>
  <c r="K75" i="26"/>
  <c r="S75" i="26"/>
  <c r="I75" i="26"/>
  <c r="N75" i="26"/>
  <c r="M75" i="26"/>
  <c r="R75" i="26"/>
  <c r="O75" i="26"/>
  <c r="Q75" i="26"/>
  <c r="J75" i="26"/>
  <c r="L75" i="26"/>
  <c r="P75" i="26"/>
  <c r="E75" i="27"/>
  <c r="F75" i="27" s="1"/>
  <c r="F31" i="5"/>
  <c r="C33" i="457"/>
  <c r="DZ4" i="459"/>
  <c r="F34" i="5"/>
  <c r="G87" i="26"/>
  <c r="M92" i="26"/>
  <c r="L92" i="26"/>
  <c r="O92" i="26"/>
  <c r="N92" i="26"/>
  <c r="P92" i="26"/>
  <c r="I92" i="26"/>
  <c r="R92" i="26"/>
  <c r="Q92" i="26"/>
  <c r="K92" i="26"/>
  <c r="S92" i="26"/>
  <c r="J92" i="26"/>
  <c r="E92" i="27"/>
  <c r="F92" i="27" s="1"/>
  <c r="D26" i="455"/>
  <c r="V26" i="455" s="1"/>
  <c r="G79" i="26"/>
  <c r="J104" i="26"/>
  <c r="E104" i="27"/>
  <c r="F104" i="27" s="1"/>
  <c r="I104" i="26"/>
  <c r="K104" i="26"/>
  <c r="N104" i="26"/>
  <c r="P104" i="26"/>
  <c r="Q104" i="26"/>
  <c r="M104" i="26"/>
  <c r="L104" i="26"/>
  <c r="S104" i="26"/>
  <c r="O104" i="26"/>
  <c r="R104" i="26"/>
  <c r="G104" i="26"/>
  <c r="K32" i="26"/>
  <c r="O32" i="26"/>
  <c r="R32" i="26"/>
  <c r="E32" i="27"/>
  <c r="F32" i="27" s="1"/>
  <c r="P32" i="26"/>
  <c r="M32" i="26"/>
  <c r="Q32" i="26"/>
  <c r="I32" i="26"/>
  <c r="L32" i="26"/>
  <c r="S32" i="26"/>
  <c r="N32" i="26"/>
  <c r="J32" i="26"/>
  <c r="G32" i="26"/>
  <c r="J62" i="26"/>
  <c r="N62" i="26"/>
  <c r="L62" i="26"/>
  <c r="Q62" i="26"/>
  <c r="K62" i="26"/>
  <c r="P62" i="26"/>
  <c r="R62" i="26"/>
  <c r="I62" i="26"/>
  <c r="M62" i="26"/>
  <c r="O62" i="26"/>
  <c r="S62" i="26"/>
  <c r="E62" i="27"/>
  <c r="F62" i="27" s="1"/>
  <c r="L89" i="26"/>
  <c r="K89" i="26"/>
  <c r="S89" i="26"/>
  <c r="R89" i="26"/>
  <c r="M89" i="26"/>
  <c r="P89" i="26"/>
  <c r="J89" i="26"/>
  <c r="Q89" i="26"/>
  <c r="I89" i="26"/>
  <c r="O89" i="26"/>
  <c r="N89" i="26"/>
  <c r="E89" i="27"/>
  <c r="F89" i="27" s="1"/>
  <c r="G58" i="26"/>
  <c r="F36" i="5"/>
  <c r="G50" i="26"/>
  <c r="J56" i="26"/>
  <c r="K56" i="26"/>
  <c r="P56" i="26"/>
  <c r="R56" i="26"/>
  <c r="O56" i="26"/>
  <c r="I56" i="26"/>
  <c r="S56" i="26"/>
  <c r="L56" i="26"/>
  <c r="N56" i="26"/>
  <c r="M56" i="26"/>
  <c r="Q56" i="26"/>
  <c r="E56" i="27"/>
  <c r="F56" i="27" s="1"/>
  <c r="G56" i="26"/>
  <c r="L35" i="26"/>
  <c r="Q35" i="26"/>
  <c r="I35" i="26"/>
  <c r="R35" i="26"/>
  <c r="O35" i="26"/>
  <c r="M35" i="26"/>
  <c r="P35" i="26"/>
  <c r="K35" i="26"/>
  <c r="S35" i="26"/>
  <c r="E35" i="27"/>
  <c r="F35" i="27" s="1"/>
  <c r="N35" i="26"/>
  <c r="J35" i="26"/>
  <c r="G35" i="26"/>
  <c r="D30" i="455"/>
  <c r="V30" i="455" s="1"/>
  <c r="P30" i="26"/>
  <c r="J30" i="26"/>
  <c r="M30" i="26"/>
  <c r="K30" i="26"/>
  <c r="E30" i="27"/>
  <c r="F30" i="27" s="1"/>
  <c r="R30" i="26"/>
  <c r="O30" i="26"/>
  <c r="Q30" i="26"/>
  <c r="L30" i="26"/>
  <c r="N30" i="26"/>
  <c r="S30" i="26"/>
  <c r="I30" i="26"/>
  <c r="G30" i="26"/>
  <c r="E38" i="27"/>
  <c r="F38" i="27" s="1"/>
  <c r="M38" i="26"/>
  <c r="O38" i="26"/>
  <c r="K38" i="26"/>
  <c r="Q38" i="26"/>
  <c r="P38" i="26"/>
  <c r="N38" i="26"/>
  <c r="S38" i="26"/>
  <c r="L38" i="26"/>
  <c r="J38" i="26"/>
  <c r="I38" i="26"/>
  <c r="R38" i="26"/>
  <c r="G38" i="26"/>
  <c r="E15" i="27"/>
  <c r="F15" i="27" s="1"/>
  <c r="G15" i="26"/>
  <c r="E27" i="455"/>
  <c r="E27" i="437"/>
  <c r="F17" i="5"/>
  <c r="L31" i="26"/>
  <c r="Q31" i="26"/>
  <c r="R31" i="26"/>
  <c r="S31" i="26"/>
  <c r="P31" i="26"/>
  <c r="O31" i="26"/>
  <c r="J31" i="26"/>
  <c r="M31" i="26"/>
  <c r="K31" i="26"/>
  <c r="I31" i="26"/>
  <c r="E31" i="27"/>
  <c r="F31" i="27" s="1"/>
  <c r="N31" i="26"/>
  <c r="G31" i="26"/>
  <c r="J49" i="26"/>
  <c r="R49" i="26"/>
  <c r="L49" i="26"/>
  <c r="Q49" i="26"/>
  <c r="K49" i="26"/>
  <c r="P49" i="26"/>
  <c r="I49" i="26"/>
  <c r="N49" i="26"/>
  <c r="M49" i="26"/>
  <c r="O49" i="26"/>
  <c r="S49" i="26"/>
  <c r="E49" i="27"/>
  <c r="F49" i="27" s="1"/>
  <c r="E101" i="27"/>
  <c r="F101" i="27" s="1"/>
  <c r="I101" i="26"/>
  <c r="N101" i="26"/>
  <c r="S101" i="26"/>
  <c r="M101" i="26"/>
  <c r="R101" i="26"/>
  <c r="J101" i="26"/>
  <c r="P101" i="26"/>
  <c r="K101" i="26"/>
  <c r="O101" i="26"/>
  <c r="L101" i="26"/>
  <c r="Q101" i="26"/>
  <c r="G101" i="26"/>
  <c r="F48" i="5"/>
  <c r="O78" i="26"/>
  <c r="L78" i="26"/>
  <c r="Q78" i="26"/>
  <c r="P78" i="26"/>
  <c r="J78" i="26"/>
  <c r="K78" i="26"/>
  <c r="N78" i="26"/>
  <c r="S78" i="26"/>
  <c r="R78" i="26"/>
  <c r="I78" i="26"/>
  <c r="M78" i="26"/>
  <c r="E78" i="27"/>
  <c r="F78" i="27" s="1"/>
  <c r="G78" i="26"/>
  <c r="G65" i="26"/>
  <c r="P98" i="26"/>
  <c r="L98" i="26"/>
  <c r="E98" i="27"/>
  <c r="F98" i="27" s="1"/>
  <c r="K98" i="26"/>
  <c r="J98" i="26"/>
  <c r="S98" i="26"/>
  <c r="N98" i="26"/>
  <c r="O98" i="26"/>
  <c r="M98" i="26"/>
  <c r="R98" i="26"/>
  <c r="I98" i="26"/>
  <c r="Q98" i="26"/>
  <c r="G98" i="26"/>
  <c r="K86" i="26"/>
  <c r="N86" i="26"/>
  <c r="M86" i="26"/>
  <c r="L86" i="26"/>
  <c r="P86" i="26"/>
  <c r="R86" i="26"/>
  <c r="O86" i="26"/>
  <c r="J86" i="26"/>
  <c r="I86" i="26"/>
  <c r="S86" i="26"/>
  <c r="Q86" i="26"/>
  <c r="E86" i="27"/>
  <c r="F86" i="27" s="1"/>
  <c r="N54" i="26"/>
  <c r="J54" i="26"/>
  <c r="L54" i="26"/>
  <c r="Q54" i="26"/>
  <c r="K54" i="26"/>
  <c r="P54" i="26"/>
  <c r="I54" i="26"/>
  <c r="M54" i="26"/>
  <c r="O54" i="26"/>
  <c r="R54" i="26"/>
  <c r="S54" i="26"/>
  <c r="E54" i="27"/>
  <c r="F54" i="27" s="1"/>
  <c r="P4" i="459"/>
  <c r="C14" i="457"/>
  <c r="C17" i="457"/>
  <c r="AH4" i="459"/>
  <c r="AV93" i="236"/>
  <c r="BB93" i="236" s="1"/>
  <c r="AW92" i="236"/>
  <c r="CI4" i="236" s="1"/>
  <c r="L4" i="455" s="1"/>
  <c r="AZ92" i="236"/>
  <c r="AY92" i="236"/>
  <c r="BB102" i="236"/>
  <c r="BB96" i="236"/>
  <c r="BB92" i="236"/>
  <c r="BB97" i="236"/>
  <c r="BB90" i="236"/>
  <c r="BB89" i="236"/>
  <c r="BB95" i="236"/>
  <c r="BB91" i="236"/>
  <c r="BC84" i="236"/>
  <c r="BC101" i="236" s="1"/>
  <c r="BB101" i="236"/>
  <c r="CM4" i="236"/>
  <c r="P4" i="455" s="1"/>
  <c r="CK4" i="236"/>
  <c r="N4" i="455" s="1"/>
  <c r="CN4" i="236"/>
  <c r="Q4" i="455" s="1"/>
  <c r="BT3" i="238"/>
  <c r="AY99" i="236" s="1"/>
  <c r="AY100" i="236"/>
  <c r="D27" i="432"/>
  <c r="BT24" i="238"/>
  <c r="D35" i="432"/>
  <c r="BT32" i="238"/>
  <c r="D18" i="432"/>
  <c r="BT15" i="238"/>
  <c r="D13" i="432"/>
  <c r="BT10" i="238"/>
  <c r="D30" i="432"/>
  <c r="BT27" i="238"/>
  <c r="BB100" i="236"/>
  <c r="BT6" i="238"/>
  <c r="BB99" i="236" s="1"/>
  <c r="D10" i="432"/>
  <c r="BT7" i="238"/>
  <c r="BC99" i="236" s="1"/>
  <c r="D16" i="432"/>
  <c r="BT13" i="238"/>
  <c r="D17" i="432"/>
  <c r="BT14" i="238"/>
  <c r="D28" i="432"/>
  <c r="BT25" i="238"/>
  <c r="D24" i="432"/>
  <c r="BT21" i="238"/>
  <c r="D19" i="432"/>
  <c r="BT16" i="238"/>
  <c r="D14" i="432"/>
  <c r="BT11" i="238"/>
  <c r="D26" i="432"/>
  <c r="BT23" i="238"/>
  <c r="D29" i="432"/>
  <c r="BT26" i="238"/>
  <c r="D12" i="432"/>
  <c r="BT9" i="238"/>
  <c r="D15" i="432"/>
  <c r="BT12" i="238"/>
  <c r="D20" i="432"/>
  <c r="BT17" i="238"/>
  <c r="D21" i="432"/>
  <c r="BT18" i="238"/>
  <c r="D33" i="432"/>
  <c r="BT30" i="238"/>
  <c r="D25" i="432"/>
  <c r="BT22" i="238"/>
  <c r="D23" i="432"/>
  <c r="BT20" i="238"/>
  <c r="D34" i="432"/>
  <c r="BT31" i="238"/>
  <c r="D22" i="432"/>
  <c r="BT19" i="238"/>
  <c r="BA100" i="236"/>
  <c r="BT5" i="238"/>
  <c r="BA99" i="236" s="1"/>
  <c r="D32" i="432"/>
  <c r="BT29" i="238"/>
  <c r="D31" i="432"/>
  <c r="BT28" i="238"/>
  <c r="A9" i="432"/>
  <c r="F198" i="5"/>
  <c r="F229" i="5"/>
  <c r="G296" i="5"/>
  <c r="B7" i="450"/>
  <c r="C1" i="450"/>
  <c r="A12" i="453"/>
  <c r="F12" i="453" s="1"/>
  <c r="A10" i="432"/>
  <c r="D8" i="432"/>
  <c r="F5" i="238"/>
  <c r="F8" i="459" s="1"/>
  <c r="K5" i="238"/>
  <c r="D9" i="432"/>
  <c r="K6" i="238"/>
  <c r="F6" i="238"/>
  <c r="D7" i="432"/>
  <c r="K4" i="238"/>
  <c r="F4" i="238"/>
  <c r="O5" i="235"/>
  <c r="AT5" i="235" s="1"/>
  <c r="P4" i="235"/>
  <c r="AU4" i="235" s="1"/>
  <c r="AU3" i="235" s="1"/>
  <c r="C10" i="451"/>
  <c r="E26" i="437"/>
  <c r="D6" i="432"/>
  <c r="F6" i="459"/>
  <c r="BA5" i="236"/>
  <c r="V4" i="236"/>
  <c r="V3" i="236" s="1"/>
  <c r="U5" i="236"/>
  <c r="A8" i="238"/>
  <c r="K7" i="238"/>
  <c r="F7" i="238"/>
  <c r="CK5" i="434"/>
  <c r="AR22" i="434"/>
  <c r="A8" i="234"/>
  <c r="C10" i="435"/>
  <c r="E45" i="27"/>
  <c r="F45" i="27" s="1"/>
  <c r="B10" i="235"/>
  <c r="E44" i="27"/>
  <c r="F44" i="27" s="1"/>
  <c r="Y13" i="5"/>
  <c r="Z12" i="5"/>
  <c r="AA12" i="5" s="1"/>
  <c r="AC12" i="5" s="1"/>
  <c r="E14" i="434"/>
  <c r="F14" i="434"/>
  <c r="AB22" i="437"/>
  <c r="S16" i="435" s="1"/>
  <c r="AQ22" i="437"/>
  <c r="AT22" i="437"/>
  <c r="AA23" i="437"/>
  <c r="AA23" i="436"/>
  <c r="AA24" i="436" s="1"/>
  <c r="DN41" i="434"/>
  <c r="AZ2" i="238"/>
  <c r="E67" i="2" s="1"/>
  <c r="D67" i="2" s="1"/>
  <c r="CE4" i="236"/>
  <c r="H4" i="455" s="1"/>
  <c r="K3" i="238"/>
  <c r="AC8" i="455" l="1"/>
  <c r="BD84" i="236"/>
  <c r="BC100" i="236"/>
  <c r="AW8" i="238" a="1"/>
  <c r="AW8" i="238" s="1"/>
  <c r="A10" i="459"/>
  <c r="E10" i="459" s="1"/>
  <c r="F10" i="459" s="1"/>
  <c r="AW9" i="238" a="1"/>
  <c r="AW9" i="238" s="1"/>
  <c r="A11" i="459"/>
  <c r="E11" i="459" s="1"/>
  <c r="T4" i="238"/>
  <c r="F7" i="459"/>
  <c r="CX44" i="434"/>
  <c r="CW44" i="434" s="1"/>
  <c r="DN44" i="434"/>
  <c r="DM44" i="434" s="1"/>
  <c r="CX45" i="434"/>
  <c r="CW45" i="434" s="1"/>
  <c r="CU46" i="434"/>
  <c r="DD45" i="434"/>
  <c r="BC102" i="236"/>
  <c r="BC86" i="236"/>
  <c r="B17" i="420"/>
  <c r="A8" i="456"/>
  <c r="B12" i="236"/>
  <c r="D8" i="454"/>
  <c r="C8" i="457"/>
  <c r="E10" i="453"/>
  <c r="D8" i="459"/>
  <c r="T6" i="238"/>
  <c r="F9" i="459"/>
  <c r="E11" i="453"/>
  <c r="D9" i="459"/>
  <c r="E8" i="453"/>
  <c r="D6" i="459"/>
  <c r="E12" i="453"/>
  <c r="D10" i="459"/>
  <c r="E9" i="453"/>
  <c r="D7" i="459"/>
  <c r="C18" i="457"/>
  <c r="AN4" i="459"/>
  <c r="AY93" i="236"/>
  <c r="AW93" i="236"/>
  <c r="CJ4" i="236" s="1"/>
  <c r="M4" i="455" s="1"/>
  <c r="AZ93" i="236"/>
  <c r="BA93" i="236"/>
  <c r="BD97" i="236"/>
  <c r="BD95" i="236"/>
  <c r="BD90" i="236"/>
  <c r="BD91" i="236"/>
  <c r="BD96" i="236"/>
  <c r="BD89" i="236"/>
  <c r="BD93" i="236"/>
  <c r="BD92" i="236"/>
  <c r="BC91" i="236"/>
  <c r="BC97" i="236"/>
  <c r="BC95" i="236"/>
  <c r="BC92" i="236"/>
  <c r="BC89" i="236"/>
  <c r="BC90" i="236"/>
  <c r="BC96" i="236"/>
  <c r="BC93" i="236"/>
  <c r="BD102" i="236"/>
  <c r="BD101" i="236"/>
  <c r="CO4" i="236"/>
  <c r="R4" i="455" s="1"/>
  <c r="F199" i="5"/>
  <c r="F230" i="5"/>
  <c r="A13" i="453"/>
  <c r="F13" i="453" s="1"/>
  <c r="A11" i="432"/>
  <c r="D8" i="452"/>
  <c r="C8" i="435"/>
  <c r="C19" i="450"/>
  <c r="B8" i="453"/>
  <c r="C22" i="450"/>
  <c r="B11" i="453"/>
  <c r="C21" i="450"/>
  <c r="B10" i="453"/>
  <c r="C23" i="450"/>
  <c r="B12" i="453"/>
  <c r="C20" i="450"/>
  <c r="B9" i="453"/>
  <c r="G6" i="238"/>
  <c r="H6" i="238" s="1"/>
  <c r="F9" i="432" s="1"/>
  <c r="G5" i="238"/>
  <c r="H5" i="238" s="1"/>
  <c r="F8" i="432" s="1"/>
  <c r="T5" i="238"/>
  <c r="D8" i="448"/>
  <c r="B8" i="447"/>
  <c r="G4" i="238"/>
  <c r="H4" i="238" s="1"/>
  <c r="F7" i="432" s="1"/>
  <c r="P5" i="235"/>
  <c r="AU5" i="235" s="1"/>
  <c r="Q4" i="235"/>
  <c r="AV4" i="235" s="1"/>
  <c r="AV3" i="235" s="1"/>
  <c r="BD100" i="236"/>
  <c r="BD99" i="236"/>
  <c r="T3" i="238"/>
  <c r="W4" i="236"/>
  <c r="W3" i="236" s="1"/>
  <c r="BB5" i="236"/>
  <c r="V5" i="236"/>
  <c r="T7" i="238"/>
  <c r="G7" i="238"/>
  <c r="H7" i="238" s="1"/>
  <c r="F10" i="432" s="1"/>
  <c r="A9" i="238"/>
  <c r="K8" i="238"/>
  <c r="F8" i="238"/>
  <c r="F11" i="459" s="1"/>
  <c r="BE84" i="236"/>
  <c r="BD86" i="236"/>
  <c r="AB24" i="436"/>
  <c r="AA25" i="436"/>
  <c r="AC24" i="436"/>
  <c r="AK24" i="436"/>
  <c r="AL24" i="436"/>
  <c r="CL5" i="434"/>
  <c r="AT22" i="434" s="1"/>
  <c r="AS22" i="434"/>
  <c r="A9" i="234"/>
  <c r="A8" i="431"/>
  <c r="B11" i="235"/>
  <c r="Y14" i="5"/>
  <c r="Z13" i="5"/>
  <c r="AA13" i="5" s="1"/>
  <c r="AC13" i="5" s="1"/>
  <c r="AT23" i="437"/>
  <c r="AA24" i="437"/>
  <c r="AQ23" i="437"/>
  <c r="DM41" i="434"/>
  <c r="E8" i="434" s="1"/>
  <c r="F8" i="434"/>
  <c r="N8" i="420"/>
  <c r="D8" i="431"/>
  <c r="C8" i="431"/>
  <c r="B8" i="431"/>
  <c r="G3" i="238"/>
  <c r="C198" i="2" a="1"/>
  <c r="AW10" i="238" l="1" a="1"/>
  <c r="AW10" i="238" s="1"/>
  <c r="A12" i="459"/>
  <c r="E12" i="459" s="1"/>
  <c r="CV44" i="434"/>
  <c r="CV45" i="434"/>
  <c r="B19" i="433" s="1"/>
  <c r="CV46" i="434"/>
  <c r="B20" i="433" s="1"/>
  <c r="DD46" i="434"/>
  <c r="CU47" i="434"/>
  <c r="CY46" i="434"/>
  <c r="G20" i="433" s="1"/>
  <c r="DC46" i="434"/>
  <c r="DE46" i="434" s="1"/>
  <c r="CX46" i="434"/>
  <c r="CW46" i="434" s="1"/>
  <c r="B18" i="420"/>
  <c r="A9" i="456"/>
  <c r="B13" i="236"/>
  <c r="E13" i="453"/>
  <c r="D11" i="459"/>
  <c r="C19" i="457"/>
  <c r="AT4" i="459"/>
  <c r="BE89" i="236"/>
  <c r="BE93" i="236"/>
  <c r="BE96" i="236"/>
  <c r="BE90" i="236"/>
  <c r="BE91" i="236"/>
  <c r="BE95" i="236"/>
  <c r="BE92" i="236"/>
  <c r="BE97" i="236"/>
  <c r="BE101" i="236"/>
  <c r="BE102" i="236"/>
  <c r="CP4" i="236"/>
  <c r="S4" i="455" s="1"/>
  <c r="F200" i="5"/>
  <c r="F231" i="5"/>
  <c r="C198" i="2"/>
  <c r="A14" i="453"/>
  <c r="F14" i="453" s="1"/>
  <c r="A12" i="432"/>
  <c r="C24" i="450"/>
  <c r="B13" i="453"/>
  <c r="R4" i="235"/>
  <c r="AW4" i="235" s="1"/>
  <c r="AW3" i="235" s="1"/>
  <c r="Q5" i="235"/>
  <c r="AV5" i="235" s="1"/>
  <c r="BE100" i="236"/>
  <c r="BE99" i="236"/>
  <c r="BC5" i="236"/>
  <c r="X4" i="236"/>
  <c r="X3" i="236" s="1"/>
  <c r="W5" i="236"/>
  <c r="G8" i="238"/>
  <c r="H8" i="238" s="1"/>
  <c r="F11" i="432" s="1"/>
  <c r="T8" i="238"/>
  <c r="A10" i="238"/>
  <c r="K9" i="238"/>
  <c r="F9" i="238"/>
  <c r="BF84" i="236"/>
  <c r="BE86" i="236"/>
  <c r="AC25" i="436"/>
  <c r="AL25" i="436"/>
  <c r="AA26" i="436"/>
  <c r="AB25" i="436"/>
  <c r="AK25" i="436"/>
  <c r="A10" i="234"/>
  <c r="AA25" i="437"/>
  <c r="AA26" i="437" s="1"/>
  <c r="AA27" i="437" s="1"/>
  <c r="B12" i="235"/>
  <c r="Y15" i="5"/>
  <c r="Z14" i="5"/>
  <c r="AA14" i="5" s="1"/>
  <c r="AC14" i="5" s="1"/>
  <c r="AQ24" i="437"/>
  <c r="AT24" i="437"/>
  <c r="H3" i="238"/>
  <c r="F12" i="459" l="1"/>
  <c r="AW11" i="238" a="1"/>
  <c r="AW11" i="238" s="1"/>
  <c r="A13" i="459"/>
  <c r="E13" i="459" s="1"/>
  <c r="C20" i="433"/>
  <c r="CX47" i="434"/>
  <c r="CW47" i="434" s="1"/>
  <c r="CY47" i="434"/>
  <c r="G21" i="433" s="1"/>
  <c r="DC47" i="434"/>
  <c r="DE47" i="434" s="1"/>
  <c r="CU48" i="434"/>
  <c r="DD47" i="434"/>
  <c r="CV47" i="434"/>
  <c r="B21" i="433" s="1"/>
  <c r="DA46" i="434"/>
  <c r="F20" i="433" s="1"/>
  <c r="DB46" i="434"/>
  <c r="B19" i="420"/>
  <c r="A10" i="456"/>
  <c r="B14" i="236"/>
  <c r="E14" i="453"/>
  <c r="D12" i="459"/>
  <c r="C20" i="457"/>
  <c r="AZ4" i="459"/>
  <c r="BF96" i="236"/>
  <c r="BF92" i="236"/>
  <c r="BF95" i="236"/>
  <c r="BF89" i="236"/>
  <c r="BF93" i="236"/>
  <c r="BF97" i="236"/>
  <c r="BF90" i="236"/>
  <c r="BF91" i="236"/>
  <c r="BF101" i="236"/>
  <c r="BF102" i="236"/>
  <c r="CQ4" i="236"/>
  <c r="T4" i="455" s="1"/>
  <c r="AQ27" i="437"/>
  <c r="AA28" i="437"/>
  <c r="AL27" i="437"/>
  <c r="AR27" i="437"/>
  <c r="AN27" i="437"/>
  <c r="AT27" i="437"/>
  <c r="AU27" i="437"/>
  <c r="AD27" i="437"/>
  <c r="AO27" i="437"/>
  <c r="F201" i="5"/>
  <c r="F232" i="5"/>
  <c r="A15" i="453"/>
  <c r="F15" i="453" s="1"/>
  <c r="A13" i="432"/>
  <c r="C25" i="450"/>
  <c r="B14" i="453"/>
  <c r="R5" i="235"/>
  <c r="AW5" i="235" s="1"/>
  <c r="S4" i="235"/>
  <c r="AX4" i="235" s="1"/>
  <c r="AX3" i="235" s="1"/>
  <c r="BF100" i="236"/>
  <c r="BF99" i="236"/>
  <c r="BD5" i="236"/>
  <c r="X5" i="236"/>
  <c r="Y4" i="236"/>
  <c r="Y3" i="236" s="1"/>
  <c r="G9" i="238"/>
  <c r="H9" i="238" s="1"/>
  <c r="F12" i="432" s="1"/>
  <c r="T9" i="238"/>
  <c r="A11" i="238"/>
  <c r="K10" i="238"/>
  <c r="F10" i="238"/>
  <c r="BF86" i="236"/>
  <c r="BG84" i="236"/>
  <c r="AI26" i="436"/>
  <c r="AL26" i="436"/>
  <c r="AB26" i="436"/>
  <c r="AA27" i="436"/>
  <c r="AA28" i="436" s="1"/>
  <c r="AA29" i="436" s="1"/>
  <c r="AC26" i="436"/>
  <c r="AK26" i="436"/>
  <c r="AR26" i="437"/>
  <c r="AN26" i="437"/>
  <c r="AT26" i="437"/>
  <c r="AQ26" i="437"/>
  <c r="AU26" i="437"/>
  <c r="AO26" i="437"/>
  <c r="AD26" i="437"/>
  <c r="A11" i="234"/>
  <c r="AT25" i="437"/>
  <c r="AN25" i="437"/>
  <c r="AG19" i="435" s="1"/>
  <c r="AU25" i="437"/>
  <c r="AR25" i="437"/>
  <c r="AQ25" i="437"/>
  <c r="AO25" i="437"/>
  <c r="AH19" i="435" s="1"/>
  <c r="B13" i="235"/>
  <c r="Y16" i="5"/>
  <c r="Z15" i="5"/>
  <c r="AA15" i="5" s="1"/>
  <c r="AC15" i="5" s="1"/>
  <c r="F6" i="432"/>
  <c r="F13" i="459" l="1"/>
  <c r="AC29" i="436"/>
  <c r="AG29" i="436"/>
  <c r="AL29" i="436"/>
  <c r="AD29" i="436"/>
  <c r="AH29" i="436"/>
  <c r="AF29" i="436"/>
  <c r="AI29" i="436"/>
  <c r="AB29" i="436"/>
  <c r="AK29" i="436"/>
  <c r="AA30" i="436"/>
  <c r="AE29" i="436"/>
  <c r="AW12" i="238" a="1"/>
  <c r="AW12" i="238" s="1"/>
  <c r="A14" i="459"/>
  <c r="E14" i="459" s="1"/>
  <c r="D2" i="455"/>
  <c r="D10" i="455" s="1"/>
  <c r="C21" i="433"/>
  <c r="AC28" i="436"/>
  <c r="AG28" i="436"/>
  <c r="AL28" i="436"/>
  <c r="AD28" i="436"/>
  <c r="AH28" i="436"/>
  <c r="AF28" i="436"/>
  <c r="AI28" i="436"/>
  <c r="AB28" i="436"/>
  <c r="AE28" i="436"/>
  <c r="AK28" i="436"/>
  <c r="CV48" i="434"/>
  <c r="B22" i="433" s="1"/>
  <c r="CZ48" i="434"/>
  <c r="H22" i="433" s="1"/>
  <c r="DD48" i="434"/>
  <c r="CU49" i="434"/>
  <c r="CY48" i="434"/>
  <c r="DC48" i="434"/>
  <c r="DE48" i="434" s="1"/>
  <c r="CX48" i="434"/>
  <c r="CW48" i="434" s="1"/>
  <c r="DB47" i="434"/>
  <c r="AW14" i="434" s="1"/>
  <c r="DA47" i="434"/>
  <c r="F21" i="433" s="1"/>
  <c r="B20" i="420"/>
  <c r="A11" i="456"/>
  <c r="B15" i="236"/>
  <c r="E15" i="453"/>
  <c r="D13" i="459"/>
  <c r="C21" i="457"/>
  <c r="BF4" i="459"/>
  <c r="BG91" i="236"/>
  <c r="BG89" i="236"/>
  <c r="BG97" i="236"/>
  <c r="BG95" i="236"/>
  <c r="BG92" i="236"/>
  <c r="BG96" i="236"/>
  <c r="BG90" i="236"/>
  <c r="BG93" i="236"/>
  <c r="BG101" i="236"/>
  <c r="BG102" i="236"/>
  <c r="AB27" i="437"/>
  <c r="AQ28" i="437"/>
  <c r="AL28" i="437"/>
  <c r="AR28" i="437"/>
  <c r="AN28" i="437"/>
  <c r="AT28" i="437"/>
  <c r="AO28" i="437"/>
  <c r="AA29" i="437"/>
  <c r="AA30" i="437" s="1"/>
  <c r="AU28" i="437"/>
  <c r="AD28" i="437"/>
  <c r="F202" i="5"/>
  <c r="F233" i="5"/>
  <c r="A16" i="453"/>
  <c r="F16" i="453" s="1"/>
  <c r="A14" i="432"/>
  <c r="C26" i="450"/>
  <c r="B15" i="453"/>
  <c r="T4" i="235"/>
  <c r="AY4" i="235" s="1"/>
  <c r="AY3" i="235" s="1"/>
  <c r="S5" i="235"/>
  <c r="AX5" i="235" s="1"/>
  <c r="BG99" i="236"/>
  <c r="BG100" i="236"/>
  <c r="BE5" i="236"/>
  <c r="Z4" i="236"/>
  <c r="Z3" i="236" s="1"/>
  <c r="Y5" i="236"/>
  <c r="A12" i="238"/>
  <c r="K11" i="238"/>
  <c r="F11" i="238"/>
  <c r="T10" i="238"/>
  <c r="G10" i="238"/>
  <c r="H10" i="238" s="1"/>
  <c r="F13" i="432" s="1"/>
  <c r="BH84" i="236"/>
  <c r="BG86" i="236"/>
  <c r="AC27" i="436"/>
  <c r="AL27" i="436"/>
  <c r="AK27" i="436"/>
  <c r="AB27" i="436"/>
  <c r="AI27" i="436"/>
  <c r="AB26" i="437"/>
  <c r="A12" i="234"/>
  <c r="A13" i="234" s="1"/>
  <c r="AG20" i="435"/>
  <c r="AH20" i="435"/>
  <c r="B14" i="235"/>
  <c r="Y17" i="5"/>
  <c r="Z16" i="5"/>
  <c r="AA16" i="5" s="1"/>
  <c r="AC16" i="5" s="1"/>
  <c r="AB7" i="436"/>
  <c r="AB30" i="436" l="1"/>
  <c r="AF30" i="436"/>
  <c r="AK30" i="436"/>
  <c r="AA31" i="436"/>
  <c r="AC30" i="436"/>
  <c r="AG30" i="436"/>
  <c r="AL30" i="436"/>
  <c r="AE30" i="436"/>
  <c r="AH30" i="436"/>
  <c r="AI30" i="436"/>
  <c r="AD30" i="436"/>
  <c r="F14" i="459"/>
  <c r="B17" i="236"/>
  <c r="B17" i="235"/>
  <c r="A14" i="234"/>
  <c r="B23" i="420" s="1"/>
  <c r="B22" i="420"/>
  <c r="A13" i="456"/>
  <c r="AW13" i="238" a="1"/>
  <c r="AW13" i="238" s="1"/>
  <c r="A15" i="459"/>
  <c r="E15" i="459" s="1"/>
  <c r="D8" i="455"/>
  <c r="C14" i="454" s="1"/>
  <c r="D12" i="455"/>
  <c r="C18" i="454" s="1"/>
  <c r="D11" i="455"/>
  <c r="C17" i="454" s="1"/>
  <c r="C16" i="454"/>
  <c r="AN30" i="437"/>
  <c r="AT30" i="437"/>
  <c r="AD30" i="437"/>
  <c r="AR30" i="437"/>
  <c r="AA31" i="437"/>
  <c r="AL30" i="437"/>
  <c r="AU30" i="437"/>
  <c r="AO30" i="437"/>
  <c r="AQ30" i="437"/>
  <c r="CX49" i="434"/>
  <c r="CW49" i="434" s="1"/>
  <c r="CY49" i="434"/>
  <c r="DC49" i="434"/>
  <c r="DE49" i="434" s="1"/>
  <c r="CU50" i="434"/>
  <c r="CV49" i="434"/>
  <c r="CZ49" i="434"/>
  <c r="DD49" i="434"/>
  <c r="C22" i="433"/>
  <c r="DA48" i="434"/>
  <c r="F22" i="433" s="1"/>
  <c r="DB48" i="434"/>
  <c r="AW15" i="434" s="1"/>
  <c r="G22" i="433"/>
  <c r="B21" i="420"/>
  <c r="A12" i="456"/>
  <c r="B16" i="236"/>
  <c r="E16" i="453"/>
  <c r="D14" i="459"/>
  <c r="C22" i="457"/>
  <c r="BL4" i="459"/>
  <c r="BH97" i="236"/>
  <c r="BH95" i="236"/>
  <c r="BH90" i="236"/>
  <c r="BH96" i="236"/>
  <c r="BH91" i="236"/>
  <c r="BH93" i="236"/>
  <c r="BH89" i="236"/>
  <c r="BH92" i="236"/>
  <c r="BH102" i="236"/>
  <c r="BH101" i="236"/>
  <c r="A17" i="453"/>
  <c r="F17" i="453" s="1"/>
  <c r="AN29" i="437"/>
  <c r="AT29" i="437"/>
  <c r="AO29" i="437"/>
  <c r="AQ29" i="437"/>
  <c r="AD29" i="437"/>
  <c r="AB29" i="437" s="1"/>
  <c r="AR29" i="437"/>
  <c r="AL29" i="437"/>
  <c r="AU29" i="437"/>
  <c r="AB28" i="437"/>
  <c r="F203" i="5"/>
  <c r="F234" i="5"/>
  <c r="A15" i="432"/>
  <c r="C27" i="450"/>
  <c r="B16" i="453"/>
  <c r="U4" i="235"/>
  <c r="AZ4" i="235" s="1"/>
  <c r="AZ3" i="235" s="1"/>
  <c r="T5" i="235"/>
  <c r="AY5" i="235" s="1"/>
  <c r="BH100" i="236"/>
  <c r="BH99" i="236"/>
  <c r="Z5" i="236"/>
  <c r="BF5" i="236"/>
  <c r="AA4" i="236"/>
  <c r="AA3" i="236" s="1"/>
  <c r="G11" i="238"/>
  <c r="H11" i="238" s="1"/>
  <c r="F14" i="432" s="1"/>
  <c r="T11" i="238"/>
  <c r="A13" i="238"/>
  <c r="K12" i="238"/>
  <c r="F12" i="238"/>
  <c r="BH86" i="236"/>
  <c r="BI84" i="236"/>
  <c r="AH21" i="435"/>
  <c r="AG21" i="435"/>
  <c r="B15" i="235"/>
  <c r="Y18" i="5"/>
  <c r="Z17" i="5"/>
  <c r="AA17" i="5" s="1"/>
  <c r="AC17" i="5" s="1"/>
  <c r="E31" i="434"/>
  <c r="F31" i="434"/>
  <c r="AB8" i="436"/>
  <c r="AE31" i="436" l="1"/>
  <c r="AI31" i="436"/>
  <c r="AB31" i="436"/>
  <c r="AF31" i="436"/>
  <c r="AK31" i="436"/>
  <c r="AA32" i="436"/>
  <c r="AH31" i="436"/>
  <c r="AC31" i="436"/>
  <c r="AL31" i="436"/>
  <c r="AD31" i="436"/>
  <c r="AG31" i="436"/>
  <c r="AW14" i="238" a="1"/>
  <c r="AW14" i="238" s="1"/>
  <c r="A16" i="459"/>
  <c r="E16" i="459" s="1"/>
  <c r="AN31" i="437"/>
  <c r="AT31" i="437"/>
  <c r="AO31" i="437"/>
  <c r="AQ31" i="437"/>
  <c r="AD31" i="437"/>
  <c r="AB31" i="437" s="1"/>
  <c r="AR31" i="437"/>
  <c r="AA32" i="437"/>
  <c r="AU31" i="437"/>
  <c r="AL31" i="437"/>
  <c r="AB30" i="437"/>
  <c r="DB49" i="434"/>
  <c r="AW16" i="434" s="1"/>
  <c r="DA49" i="434"/>
  <c r="CV50" i="434"/>
  <c r="CZ50" i="434"/>
  <c r="DD50" i="434"/>
  <c r="CU51" i="434"/>
  <c r="CU52" i="434" s="1"/>
  <c r="CY50" i="434"/>
  <c r="DC50" i="434"/>
  <c r="DE50" i="434" s="1"/>
  <c r="CX50" i="434"/>
  <c r="CW50" i="434" s="1"/>
  <c r="A14" i="456"/>
  <c r="B18" i="236"/>
  <c r="B17" i="453"/>
  <c r="F15" i="459"/>
  <c r="E17" i="453"/>
  <c r="D15" i="459"/>
  <c r="C23" i="457"/>
  <c r="BR4" i="459"/>
  <c r="BI89" i="236"/>
  <c r="BI93" i="236"/>
  <c r="BI91" i="236"/>
  <c r="BI96" i="236"/>
  <c r="BI90" i="236"/>
  <c r="BI97" i="236"/>
  <c r="BI92" i="236"/>
  <c r="BI95" i="236"/>
  <c r="BI102" i="236"/>
  <c r="BI101" i="236"/>
  <c r="A18" i="453"/>
  <c r="F18" i="453" s="1"/>
  <c r="F204" i="5"/>
  <c r="F235" i="5"/>
  <c r="A16" i="432"/>
  <c r="C28" i="450"/>
  <c r="V4" i="235"/>
  <c r="BA4" i="235" s="1"/>
  <c r="BA3" i="235" s="1"/>
  <c r="U5" i="235"/>
  <c r="AZ5" i="235" s="1"/>
  <c r="BI99" i="236"/>
  <c r="BI100" i="236"/>
  <c r="AA5" i="236"/>
  <c r="BG5" i="236"/>
  <c r="AB4" i="236"/>
  <c r="AB3" i="236" s="1"/>
  <c r="A14" i="238"/>
  <c r="K13" i="238"/>
  <c r="F13" i="238"/>
  <c r="G12" i="238"/>
  <c r="T12" i="238"/>
  <c r="BI86" i="236"/>
  <c r="BJ84" i="236"/>
  <c r="A15" i="234"/>
  <c r="AH22" i="435"/>
  <c r="AG22" i="435"/>
  <c r="B16" i="235"/>
  <c r="Y19" i="5"/>
  <c r="Z18" i="5"/>
  <c r="AA18" i="5" s="1"/>
  <c r="AC18" i="5" s="1"/>
  <c r="B23" i="433"/>
  <c r="AW31" i="434"/>
  <c r="CM31" i="434" s="1"/>
  <c r="E32" i="434"/>
  <c r="F32" i="434"/>
  <c r="AG9" i="436"/>
  <c r="AC9" i="436"/>
  <c r="AB9" i="436"/>
  <c r="AD32" i="436" l="1"/>
  <c r="AH32" i="436"/>
  <c r="AE32" i="436"/>
  <c r="AI32" i="436"/>
  <c r="AF32" i="436"/>
  <c r="AG32" i="436"/>
  <c r="AB32" i="436"/>
  <c r="AK32" i="436"/>
  <c r="AA33" i="436"/>
  <c r="AC32" i="436"/>
  <c r="AL32" i="436"/>
  <c r="CV52" i="434"/>
  <c r="CZ52" i="434"/>
  <c r="DD52" i="434"/>
  <c r="CU53" i="434"/>
  <c r="CX52" i="434"/>
  <c r="CW52" i="434" s="1"/>
  <c r="CY52" i="434"/>
  <c r="DC52" i="434"/>
  <c r="DE52" i="434" s="1"/>
  <c r="AW15" i="238" a="1"/>
  <c r="AW15" i="238" s="1"/>
  <c r="C16" i="2" s="1"/>
  <c r="A17" i="459"/>
  <c r="E17" i="459" s="1"/>
  <c r="AN32" i="437"/>
  <c r="AT32" i="437"/>
  <c r="AD32" i="437"/>
  <c r="AR32" i="437"/>
  <c r="AA33" i="437"/>
  <c r="AL32" i="437"/>
  <c r="AU32" i="437"/>
  <c r="AO32" i="437"/>
  <c r="AQ32" i="437"/>
  <c r="DA50" i="434"/>
  <c r="DB50" i="434"/>
  <c r="AW17" i="434" s="1"/>
  <c r="CX51" i="434"/>
  <c r="CW51" i="434" s="1"/>
  <c r="CY51" i="434"/>
  <c r="DC51" i="434"/>
  <c r="DE51" i="434" s="1"/>
  <c r="CZ51" i="434"/>
  <c r="CV51" i="434"/>
  <c r="DD51" i="434"/>
  <c r="B24" i="420"/>
  <c r="A15" i="456"/>
  <c r="B19" i="236"/>
  <c r="H12" i="238"/>
  <c r="F15" i="432" s="1"/>
  <c r="B18" i="453"/>
  <c r="F16" i="459"/>
  <c r="E18" i="453"/>
  <c r="D16" i="459"/>
  <c r="C24" i="457"/>
  <c r="BX4" i="459"/>
  <c r="BJ96" i="236"/>
  <c r="BJ92" i="236"/>
  <c r="BJ97" i="236"/>
  <c r="BJ90" i="236"/>
  <c r="BJ89" i="236"/>
  <c r="BJ93" i="236"/>
  <c r="BJ95" i="236"/>
  <c r="BJ91" i="236"/>
  <c r="BJ101" i="236"/>
  <c r="BJ102" i="236"/>
  <c r="D8" i="2"/>
  <c r="A19" i="453"/>
  <c r="F19" i="453" s="1"/>
  <c r="F205" i="5"/>
  <c r="F236" i="5"/>
  <c r="A17" i="432"/>
  <c r="C29" i="450"/>
  <c r="V5" i="235"/>
  <c r="BA5" i="235" s="1"/>
  <c r="W4" i="235"/>
  <c r="BB4" i="235" s="1"/>
  <c r="BB3" i="235" s="1"/>
  <c r="BJ100" i="236"/>
  <c r="BJ99" i="236"/>
  <c r="AC4" i="236"/>
  <c r="AC3" i="236" s="1"/>
  <c r="BH5" i="236"/>
  <c r="AB5" i="236"/>
  <c r="T13" i="238"/>
  <c r="G13" i="238"/>
  <c r="H13" i="238" s="1"/>
  <c r="F16" i="432" s="1"/>
  <c r="A15" i="238"/>
  <c r="A18" i="459" s="1"/>
  <c r="E18" i="459" s="1"/>
  <c r="K14" i="238"/>
  <c r="F14" i="238"/>
  <c r="BJ86" i="236"/>
  <c r="BK84" i="236"/>
  <c r="AG24" i="435"/>
  <c r="A16" i="234"/>
  <c r="AH23" i="435"/>
  <c r="AG23" i="435"/>
  <c r="CL31" i="434"/>
  <c r="B18" i="235"/>
  <c r="Y20" i="5"/>
  <c r="Z19" i="5"/>
  <c r="AA19" i="5" s="1"/>
  <c r="AC19" i="5" s="1"/>
  <c r="B24" i="433"/>
  <c r="AW32" i="434"/>
  <c r="CM32" i="434" s="1"/>
  <c r="G23" i="433"/>
  <c r="C23" i="433"/>
  <c r="F33" i="434"/>
  <c r="E33" i="434"/>
  <c r="AC10" i="436"/>
  <c r="AF10" i="436"/>
  <c r="AB10" i="436"/>
  <c r="AE10" i="436"/>
  <c r="AG10" i="436"/>
  <c r="AD10" i="436"/>
  <c r="AC33" i="436" l="1"/>
  <c r="AG33" i="436"/>
  <c r="AL33" i="436"/>
  <c r="AD33" i="436"/>
  <c r="AH33" i="436"/>
  <c r="AB33" i="436"/>
  <c r="AK33" i="436"/>
  <c r="AE33" i="436"/>
  <c r="AF33" i="436"/>
  <c r="AI33" i="436"/>
  <c r="AA34" i="436"/>
  <c r="CX53" i="434"/>
  <c r="CW53" i="434" s="1"/>
  <c r="CY53" i="434"/>
  <c r="DC53" i="434"/>
  <c r="DE53" i="434" s="1"/>
  <c r="CV53" i="434"/>
  <c r="CZ53" i="434"/>
  <c r="DD53" i="434"/>
  <c r="CU54" i="434"/>
  <c r="DA52" i="434"/>
  <c r="DB52" i="434"/>
  <c r="AN33" i="437"/>
  <c r="AT33" i="437"/>
  <c r="AO33" i="437"/>
  <c r="AQ33" i="437"/>
  <c r="AD33" i="437"/>
  <c r="AR33" i="437"/>
  <c r="AA34" i="437"/>
  <c r="AU33" i="437"/>
  <c r="AL33" i="437"/>
  <c r="AB32" i="437"/>
  <c r="DB51" i="434"/>
  <c r="AW18" i="434" s="1"/>
  <c r="DA51" i="434"/>
  <c r="B25" i="420"/>
  <c r="A16" i="456"/>
  <c r="B20" i="236"/>
  <c r="E19" i="453"/>
  <c r="D17" i="459"/>
  <c r="B19" i="453"/>
  <c r="F17" i="459"/>
  <c r="C25" i="457"/>
  <c r="CD4" i="459"/>
  <c r="BK91" i="236"/>
  <c r="BK97" i="236"/>
  <c r="BK95" i="236"/>
  <c r="BK92" i="236"/>
  <c r="BK89" i="236"/>
  <c r="BK90" i="236"/>
  <c r="BK93" i="236"/>
  <c r="BK96" i="236"/>
  <c r="BK101" i="236"/>
  <c r="BK102" i="236"/>
  <c r="A20" i="453"/>
  <c r="F20" i="453" s="1"/>
  <c r="F206" i="5"/>
  <c r="F237" i="5"/>
  <c r="A18" i="432"/>
  <c r="C30" i="450"/>
  <c r="X4" i="235"/>
  <c r="BC4" i="235" s="1"/>
  <c r="BC3" i="235" s="1"/>
  <c r="W5" i="235"/>
  <c r="BB5" i="235" s="1"/>
  <c r="BK100" i="236"/>
  <c r="BK99" i="236"/>
  <c r="BI5" i="236"/>
  <c r="AD4" i="236"/>
  <c r="AD3" i="236" s="1"/>
  <c r="AC5" i="236"/>
  <c r="A16" i="238"/>
  <c r="A19" i="459" s="1"/>
  <c r="E19" i="459" s="1"/>
  <c r="K15" i="238"/>
  <c r="F15" i="238"/>
  <c r="T14" i="238"/>
  <c r="G14" i="238"/>
  <c r="H14" i="238" s="1"/>
  <c r="F17" i="432" s="1"/>
  <c r="BL84" i="236"/>
  <c r="BK86" i="236"/>
  <c r="AH25" i="435"/>
  <c r="A17" i="234"/>
  <c r="AH24" i="435"/>
  <c r="CH15" i="434"/>
  <c r="CD15" i="434"/>
  <c r="BZ15" i="434"/>
  <c r="BV15" i="434"/>
  <c r="BR15" i="434"/>
  <c r="BN15" i="434"/>
  <c r="BJ15" i="434"/>
  <c r="BF15" i="434"/>
  <c r="BB15" i="434"/>
  <c r="CE15" i="434"/>
  <c r="BS15" i="434"/>
  <c r="BG15" i="434"/>
  <c r="AY15" i="434"/>
  <c r="CK15" i="434"/>
  <c r="CG15" i="434"/>
  <c r="CC15" i="434"/>
  <c r="BY15" i="434"/>
  <c r="BU15" i="434"/>
  <c r="BQ15" i="434"/>
  <c r="BM15" i="434"/>
  <c r="BI15" i="434"/>
  <c r="BE15" i="434"/>
  <c r="BA15" i="434"/>
  <c r="CI15" i="434"/>
  <c r="BK15" i="434"/>
  <c r="CJ15" i="434"/>
  <c r="CF15" i="434"/>
  <c r="CB15" i="434"/>
  <c r="BX15" i="434"/>
  <c r="BT15" i="434"/>
  <c r="BP15" i="434"/>
  <c r="BL15" i="434"/>
  <c r="BH15" i="434"/>
  <c r="BD15" i="434"/>
  <c r="AZ15" i="434"/>
  <c r="CA15" i="434"/>
  <c r="BW15" i="434"/>
  <c r="BO15" i="434"/>
  <c r="BC15" i="434"/>
  <c r="AY32" i="434"/>
  <c r="BC32" i="434"/>
  <c r="BG32" i="434"/>
  <c r="BK32" i="434"/>
  <c r="BO32" i="434"/>
  <c r="BS32" i="434"/>
  <c r="BW32" i="434"/>
  <c r="CA32" i="434"/>
  <c r="CE32" i="434"/>
  <c r="CI32" i="434"/>
  <c r="AZ32" i="434"/>
  <c r="BD32" i="434"/>
  <c r="BH32" i="434"/>
  <c r="BL32" i="434"/>
  <c r="BP32" i="434"/>
  <c r="BT32" i="434"/>
  <c r="BX32" i="434"/>
  <c r="CB32" i="434"/>
  <c r="CF32" i="434"/>
  <c r="CJ32" i="434"/>
  <c r="BA32" i="434"/>
  <c r="BE32" i="434"/>
  <c r="BI32" i="434"/>
  <c r="BM32" i="434"/>
  <c r="BQ32" i="434"/>
  <c r="BU32" i="434"/>
  <c r="BY32" i="434"/>
  <c r="CC32" i="434"/>
  <c r="CG32" i="434"/>
  <c r="CK32" i="434"/>
  <c r="BB32" i="434"/>
  <c r="BR32" i="434"/>
  <c r="CH32" i="434"/>
  <c r="BF32" i="434"/>
  <c r="BV32" i="434"/>
  <c r="CL32" i="434"/>
  <c r="BN32" i="434"/>
  <c r="BJ32" i="434"/>
  <c r="BZ32" i="434"/>
  <c r="CD32" i="434"/>
  <c r="B19" i="235"/>
  <c r="Y21" i="5"/>
  <c r="Z20" i="5"/>
  <c r="AA20" i="5" s="1"/>
  <c r="AC20" i="5" s="1"/>
  <c r="AW33" i="434"/>
  <c r="CM33" i="434" s="1"/>
  <c r="F23" i="433"/>
  <c r="G24" i="433"/>
  <c r="E34" i="434"/>
  <c r="C24" i="433"/>
  <c r="F34" i="434"/>
  <c r="AD11" i="436"/>
  <c r="AC11" i="436"/>
  <c r="AF11" i="436"/>
  <c r="AB11" i="436"/>
  <c r="AE11" i="436"/>
  <c r="AG11" i="436"/>
  <c r="AB34" i="436" l="1"/>
  <c r="AF34" i="436"/>
  <c r="AK34" i="436"/>
  <c r="AA35" i="436"/>
  <c r="AC34" i="436"/>
  <c r="AG34" i="436"/>
  <c r="AL34" i="436"/>
  <c r="AD34" i="436"/>
  <c r="AE34" i="436"/>
  <c r="AH34" i="436"/>
  <c r="AI34" i="436"/>
  <c r="CV54" i="434"/>
  <c r="CZ54" i="434"/>
  <c r="DD54" i="434"/>
  <c r="CU55" i="434"/>
  <c r="CX54" i="434"/>
  <c r="CW54" i="434" s="1"/>
  <c r="CY54" i="434"/>
  <c r="DC54" i="434"/>
  <c r="DE54" i="434" s="1"/>
  <c r="DB53" i="434"/>
  <c r="DA53" i="434"/>
  <c r="AN34" i="437"/>
  <c r="AT34" i="437"/>
  <c r="AD34" i="437"/>
  <c r="AB34" i="437" s="1"/>
  <c r="AR34" i="437"/>
  <c r="AA35" i="437"/>
  <c r="AL34" i="437"/>
  <c r="AU34" i="437"/>
  <c r="AO34" i="437"/>
  <c r="AQ34" i="437"/>
  <c r="AB33" i="437"/>
  <c r="B26" i="420"/>
  <c r="A17" i="456"/>
  <c r="B21" i="236"/>
  <c r="E20" i="453"/>
  <c r="D18" i="459"/>
  <c r="B20" i="453"/>
  <c r="F18" i="459"/>
  <c r="C26" i="457"/>
  <c r="CJ4" i="459"/>
  <c r="BL97" i="236"/>
  <c r="BL95" i="236"/>
  <c r="BL90" i="236"/>
  <c r="BL91" i="236"/>
  <c r="BL96" i="236"/>
  <c r="BL89" i="236"/>
  <c r="BL93" i="236"/>
  <c r="BL92" i="236"/>
  <c r="BL102" i="236"/>
  <c r="BL101" i="236"/>
  <c r="A21" i="453"/>
  <c r="F21" i="453" s="1"/>
  <c r="F207" i="5"/>
  <c r="F238" i="5"/>
  <c r="A19" i="432"/>
  <c r="C31" i="450"/>
  <c r="Y4" i="235"/>
  <c r="BD4" i="235" s="1"/>
  <c r="BD3" i="235" s="1"/>
  <c r="X5" i="235"/>
  <c r="BC5" i="235" s="1"/>
  <c r="BL100" i="236"/>
  <c r="BL99" i="236"/>
  <c r="BJ5" i="236"/>
  <c r="AE4" i="236"/>
  <c r="AE3" i="236" s="1"/>
  <c r="AD5" i="236"/>
  <c r="G15" i="238"/>
  <c r="H15" i="238" s="1"/>
  <c r="F18" i="432" s="1"/>
  <c r="T15" i="238"/>
  <c r="A17" i="238"/>
  <c r="A20" i="459" s="1"/>
  <c r="E20" i="459" s="1"/>
  <c r="K16" i="238"/>
  <c r="F16" i="238"/>
  <c r="BM84" i="236"/>
  <c r="BL86" i="236"/>
  <c r="A18" i="234"/>
  <c r="AG25" i="435"/>
  <c r="CH16" i="434"/>
  <c r="CD16" i="434"/>
  <c r="BZ16" i="434"/>
  <c r="BV16" i="434"/>
  <c r="BR16" i="434"/>
  <c r="BN16" i="434"/>
  <c r="BJ16" i="434"/>
  <c r="BF16" i="434"/>
  <c r="BB16" i="434"/>
  <c r="CI16" i="434"/>
  <c r="BW16" i="434"/>
  <c r="BO16" i="434"/>
  <c r="BC16" i="434"/>
  <c r="CK16" i="434"/>
  <c r="CG16" i="434"/>
  <c r="CC16" i="434"/>
  <c r="BY16" i="434"/>
  <c r="BU16" i="434"/>
  <c r="BQ16" i="434"/>
  <c r="BM16" i="434"/>
  <c r="BI16" i="434"/>
  <c r="BE16" i="434"/>
  <c r="BA16" i="434"/>
  <c r="CA16" i="434"/>
  <c r="BG16" i="434"/>
  <c r="CJ16" i="434"/>
  <c r="CF16" i="434"/>
  <c r="CB16" i="434"/>
  <c r="BX16" i="434"/>
  <c r="BT16" i="434"/>
  <c r="BP16" i="434"/>
  <c r="BL16" i="434"/>
  <c r="BH16" i="434"/>
  <c r="BD16" i="434"/>
  <c r="AZ16" i="434"/>
  <c r="CE16" i="434"/>
  <c r="BS16" i="434"/>
  <c r="BK16" i="434"/>
  <c r="AY16" i="434"/>
  <c r="AY33" i="434"/>
  <c r="AZ33" i="434"/>
  <c r="BD33" i="434"/>
  <c r="BH33" i="434"/>
  <c r="BL33" i="434"/>
  <c r="BP33" i="434"/>
  <c r="BA33" i="434"/>
  <c r="BE33" i="434"/>
  <c r="BI33" i="434"/>
  <c r="BM33" i="434"/>
  <c r="BQ33" i="434"/>
  <c r="BU33" i="434"/>
  <c r="BY33" i="434"/>
  <c r="BB33" i="434"/>
  <c r="BF33" i="434"/>
  <c r="BJ33" i="434"/>
  <c r="BN33" i="434"/>
  <c r="BR33" i="434"/>
  <c r="BV33" i="434"/>
  <c r="BZ33" i="434"/>
  <c r="BK33" i="434"/>
  <c r="BW33" i="434"/>
  <c r="CC33" i="434"/>
  <c r="CG33" i="434"/>
  <c r="CK33" i="434"/>
  <c r="BO33" i="434"/>
  <c r="BX33" i="434"/>
  <c r="CD33" i="434"/>
  <c r="CH33" i="434"/>
  <c r="CL33" i="434"/>
  <c r="BG33" i="434"/>
  <c r="CB33" i="434"/>
  <c r="CJ33" i="434"/>
  <c r="BC33" i="434"/>
  <c r="BS33" i="434"/>
  <c r="CA33" i="434"/>
  <c r="CE33" i="434"/>
  <c r="CI33" i="434"/>
  <c r="BT33" i="434"/>
  <c r="CF33" i="434"/>
  <c r="B20" i="235"/>
  <c r="B21" i="235"/>
  <c r="Y22" i="5"/>
  <c r="Z21" i="5"/>
  <c r="AA21" i="5" s="1"/>
  <c r="AC21" i="5" s="1"/>
  <c r="AW34" i="434"/>
  <c r="CM34" i="434" s="1"/>
  <c r="F24" i="433"/>
  <c r="E35" i="434"/>
  <c r="F35" i="434"/>
  <c r="AW35" i="434"/>
  <c r="CM35" i="434" s="1"/>
  <c r="AG12" i="436"/>
  <c r="AD12" i="436"/>
  <c r="AC12" i="436"/>
  <c r="AF12" i="436"/>
  <c r="AB12" i="436"/>
  <c r="AE12" i="436"/>
  <c r="AE35" i="436" l="1"/>
  <c r="AI35" i="436"/>
  <c r="AB35" i="436"/>
  <c r="AF35" i="436"/>
  <c r="AK35" i="436"/>
  <c r="AA36" i="436"/>
  <c r="AG35" i="436"/>
  <c r="AH35" i="436"/>
  <c r="AC35" i="436"/>
  <c r="AL35" i="436"/>
  <c r="AD35" i="436"/>
  <c r="CX55" i="434"/>
  <c r="CW55" i="434" s="1"/>
  <c r="CY55" i="434"/>
  <c r="DC55" i="434"/>
  <c r="DE55" i="434" s="1"/>
  <c r="CV55" i="434"/>
  <c r="CZ55" i="434"/>
  <c r="DD55" i="434"/>
  <c r="CU56" i="434"/>
  <c r="DA54" i="434"/>
  <c r="DB54" i="434"/>
  <c r="AN35" i="437"/>
  <c r="AT35" i="437"/>
  <c r="AO35" i="437"/>
  <c r="AQ35" i="437"/>
  <c r="AD35" i="437"/>
  <c r="AB35" i="437" s="1"/>
  <c r="AR35" i="437"/>
  <c r="AA36" i="437"/>
  <c r="AU35" i="437"/>
  <c r="AL35" i="437"/>
  <c r="B27" i="420"/>
  <c r="A18" i="456"/>
  <c r="B22" i="236"/>
  <c r="B21" i="453"/>
  <c r="F19" i="459"/>
  <c r="E21" i="453"/>
  <c r="D19" i="459"/>
  <c r="C27" i="457"/>
  <c r="CP4" i="459"/>
  <c r="BM89" i="236"/>
  <c r="BM93" i="236"/>
  <c r="BM96" i="236"/>
  <c r="BM90" i="236"/>
  <c r="BM91" i="236"/>
  <c r="BM92" i="236"/>
  <c r="BM95" i="236"/>
  <c r="BM97" i="236"/>
  <c r="BM102" i="236"/>
  <c r="BM101" i="236"/>
  <c r="A22" i="453"/>
  <c r="F22" i="453" s="1"/>
  <c r="F208" i="5"/>
  <c r="F239" i="5"/>
  <c r="A20" i="432"/>
  <c r="C32" i="450"/>
  <c r="Z4" i="235"/>
  <c r="BE4" i="235" s="1"/>
  <c r="BE3" i="235" s="1"/>
  <c r="Y5" i="235"/>
  <c r="BD5" i="235" s="1"/>
  <c r="BM99" i="236"/>
  <c r="BM100" i="236"/>
  <c r="AF4" i="236"/>
  <c r="AF3" i="236" s="1"/>
  <c r="BK5" i="236"/>
  <c r="AE5" i="236"/>
  <c r="A18" i="238"/>
  <c r="A21" i="459" s="1"/>
  <c r="E21" i="459" s="1"/>
  <c r="K17" i="238"/>
  <c r="F17" i="238"/>
  <c r="T16" i="238"/>
  <c r="G16" i="238"/>
  <c r="H16" i="238" s="1"/>
  <c r="F19" i="432" s="1"/>
  <c r="BN84" i="236"/>
  <c r="BM86" i="236"/>
  <c r="A19" i="234"/>
  <c r="AH26" i="435"/>
  <c r="AG26" i="435"/>
  <c r="CH18" i="434"/>
  <c r="CD18" i="434"/>
  <c r="BZ18" i="434"/>
  <c r="BV18" i="434"/>
  <c r="BR18" i="434"/>
  <c r="BN18" i="434"/>
  <c r="BJ18" i="434"/>
  <c r="BF18" i="434"/>
  <c r="BB18" i="434"/>
  <c r="CE18" i="434"/>
  <c r="BS18" i="434"/>
  <c r="BO18" i="434"/>
  <c r="BG18" i="434"/>
  <c r="AY18" i="434"/>
  <c r="CK18" i="434"/>
  <c r="CG18" i="434"/>
  <c r="CC18" i="434"/>
  <c r="BY18" i="434"/>
  <c r="BU18" i="434"/>
  <c r="BQ18" i="434"/>
  <c r="BM18" i="434"/>
  <c r="BI18" i="434"/>
  <c r="BE18" i="434"/>
  <c r="BA18" i="434"/>
  <c r="CA18" i="434"/>
  <c r="CJ18" i="434"/>
  <c r="CF18" i="434"/>
  <c r="CB18" i="434"/>
  <c r="BX18" i="434"/>
  <c r="BT18" i="434"/>
  <c r="BP18" i="434"/>
  <c r="BL18" i="434"/>
  <c r="BH18" i="434"/>
  <c r="BD18" i="434"/>
  <c r="AZ18" i="434"/>
  <c r="CI18" i="434"/>
  <c r="BW18" i="434"/>
  <c r="BK18" i="434"/>
  <c r="BC18" i="434"/>
  <c r="CH17" i="434"/>
  <c r="CD17" i="434"/>
  <c r="BZ17" i="434"/>
  <c r="BV17" i="434"/>
  <c r="BR17" i="434"/>
  <c r="BN17" i="434"/>
  <c r="BJ17" i="434"/>
  <c r="BF17" i="434"/>
  <c r="BB17" i="434"/>
  <c r="CE17" i="434"/>
  <c r="BW17" i="434"/>
  <c r="BK17" i="434"/>
  <c r="BC17" i="434"/>
  <c r="CK17" i="434"/>
  <c r="CG17" i="434"/>
  <c r="CC17" i="434"/>
  <c r="BY17" i="434"/>
  <c r="BU17" i="434"/>
  <c r="BQ17" i="434"/>
  <c r="BM17" i="434"/>
  <c r="BI17" i="434"/>
  <c r="BE17" i="434"/>
  <c r="BA17" i="434"/>
  <c r="BS17" i="434"/>
  <c r="CJ17" i="434"/>
  <c r="CF17" i="434"/>
  <c r="CB17" i="434"/>
  <c r="BX17" i="434"/>
  <c r="BT17" i="434"/>
  <c r="BP17" i="434"/>
  <c r="BL17" i="434"/>
  <c r="BH17" i="434"/>
  <c r="BD17" i="434"/>
  <c r="AZ17" i="434"/>
  <c r="CI17" i="434"/>
  <c r="CA17" i="434"/>
  <c r="BO17" i="434"/>
  <c r="BG17" i="434"/>
  <c r="AY17" i="434"/>
  <c r="AY35" i="434"/>
  <c r="BC35" i="434"/>
  <c r="BG35" i="434"/>
  <c r="BK35" i="434"/>
  <c r="BO35" i="434"/>
  <c r="BS35" i="434"/>
  <c r="BW35" i="434"/>
  <c r="CA35" i="434"/>
  <c r="CE35" i="434"/>
  <c r="CI35" i="434"/>
  <c r="BR35" i="434"/>
  <c r="AZ35" i="434"/>
  <c r="BD35" i="434"/>
  <c r="BH35" i="434"/>
  <c r="BL35" i="434"/>
  <c r="BP35" i="434"/>
  <c r="BT35" i="434"/>
  <c r="BX35" i="434"/>
  <c r="CB35" i="434"/>
  <c r="CF35" i="434"/>
  <c r="CJ35" i="434"/>
  <c r="BB35" i="434"/>
  <c r="BJ35" i="434"/>
  <c r="BV35" i="434"/>
  <c r="CD35" i="434"/>
  <c r="CL35" i="434"/>
  <c r="BA35" i="434"/>
  <c r="BE35" i="434"/>
  <c r="BI35" i="434"/>
  <c r="BM35" i="434"/>
  <c r="BQ35" i="434"/>
  <c r="BU35" i="434"/>
  <c r="BY35" i="434"/>
  <c r="CC35" i="434"/>
  <c r="CG35" i="434"/>
  <c r="CK35" i="434"/>
  <c r="BF35" i="434"/>
  <c r="BN35" i="434"/>
  <c r="BZ35" i="434"/>
  <c r="CH35" i="434"/>
  <c r="AY34" i="434"/>
  <c r="BB34" i="434"/>
  <c r="BF34" i="434"/>
  <c r="BJ34" i="434"/>
  <c r="BN34" i="434"/>
  <c r="BR34" i="434"/>
  <c r="BV34" i="434"/>
  <c r="BZ34" i="434"/>
  <c r="CD34" i="434"/>
  <c r="CH34" i="434"/>
  <c r="CL34" i="434"/>
  <c r="BM34" i="434"/>
  <c r="BC34" i="434"/>
  <c r="BG34" i="434"/>
  <c r="BK34" i="434"/>
  <c r="BO34" i="434"/>
  <c r="BS34" i="434"/>
  <c r="BW34" i="434"/>
  <c r="CA34" i="434"/>
  <c r="CE34" i="434"/>
  <c r="CI34" i="434"/>
  <c r="BE34" i="434"/>
  <c r="BQ34" i="434"/>
  <c r="BY34" i="434"/>
  <c r="CG34" i="434"/>
  <c r="AZ34" i="434"/>
  <c r="BD34" i="434"/>
  <c r="BH34" i="434"/>
  <c r="BL34" i="434"/>
  <c r="BP34" i="434"/>
  <c r="BT34" i="434"/>
  <c r="BX34" i="434"/>
  <c r="CB34" i="434"/>
  <c r="CF34" i="434"/>
  <c r="CJ34" i="434"/>
  <c r="BA34" i="434"/>
  <c r="BI34" i="434"/>
  <c r="BU34" i="434"/>
  <c r="CC34" i="434"/>
  <c r="CK34" i="434"/>
  <c r="B22" i="235"/>
  <c r="Y23" i="5"/>
  <c r="Z22" i="5"/>
  <c r="AA22" i="5" s="1"/>
  <c r="AC22" i="5" s="1"/>
  <c r="AG13" i="436"/>
  <c r="AD13" i="436"/>
  <c r="AC13" i="436"/>
  <c r="AF13" i="436"/>
  <c r="AB13" i="436"/>
  <c r="AE13" i="436"/>
  <c r="AD36" i="436" l="1"/>
  <c r="AH36" i="436"/>
  <c r="AE36" i="436"/>
  <c r="AI36" i="436"/>
  <c r="AC36" i="436"/>
  <c r="AL36" i="436"/>
  <c r="AA37" i="436"/>
  <c r="AF36" i="436"/>
  <c r="AG36" i="436"/>
  <c r="AK36" i="436"/>
  <c r="AB36" i="436"/>
  <c r="CV56" i="434"/>
  <c r="CZ56" i="434"/>
  <c r="DD56" i="434"/>
  <c r="CX56" i="434"/>
  <c r="CW56" i="434" s="1"/>
  <c r="CY56" i="434"/>
  <c r="DC56" i="434"/>
  <c r="DE56" i="434" s="1"/>
  <c r="CU57" i="434"/>
  <c r="DB55" i="434"/>
  <c r="DA55" i="434"/>
  <c r="AN36" i="437"/>
  <c r="AT36" i="437"/>
  <c r="AD36" i="437"/>
  <c r="AB36" i="437" s="1"/>
  <c r="AR36" i="437"/>
  <c r="AA37" i="437"/>
  <c r="AL36" i="437"/>
  <c r="AU36" i="437"/>
  <c r="AO36" i="437"/>
  <c r="AQ36" i="437"/>
  <c r="B28" i="420"/>
  <c r="A19" i="456"/>
  <c r="B23" i="236"/>
  <c r="B22" i="453"/>
  <c r="F20" i="459"/>
  <c r="E22" i="453"/>
  <c r="D20" i="459"/>
  <c r="C28" i="457"/>
  <c r="CV4" i="459"/>
  <c r="BN96" i="236"/>
  <c r="BN92" i="236"/>
  <c r="BN95" i="236"/>
  <c r="BN89" i="236"/>
  <c r="BN93" i="236"/>
  <c r="BN97" i="236"/>
  <c r="BN90" i="236"/>
  <c r="BN91" i="236"/>
  <c r="BN101" i="236"/>
  <c r="BN102" i="236"/>
  <c r="A23" i="453"/>
  <c r="F23" i="453" s="1"/>
  <c r="F209" i="5"/>
  <c r="F240" i="5"/>
  <c r="A21" i="432"/>
  <c r="C33" i="450"/>
  <c r="Z5" i="235"/>
  <c r="BE5" i="235" s="1"/>
  <c r="AA4" i="235"/>
  <c r="BF4" i="235" s="1"/>
  <c r="BF3" i="235" s="1"/>
  <c r="BN100" i="236"/>
  <c r="BN99" i="236"/>
  <c r="BL5" i="236"/>
  <c r="AG4" i="236"/>
  <c r="AG3" i="236" s="1"/>
  <c r="AF5" i="236"/>
  <c r="T17" i="238"/>
  <c r="G17" i="238"/>
  <c r="H17" i="238" s="1"/>
  <c r="F20" i="432" s="1"/>
  <c r="A19" i="238"/>
  <c r="A22" i="459" s="1"/>
  <c r="E22" i="459" s="1"/>
  <c r="K18" i="238"/>
  <c r="F18" i="238"/>
  <c r="BN86" i="236"/>
  <c r="BO84" i="236"/>
  <c r="AG28" i="435"/>
  <c r="A20" i="234"/>
  <c r="AG27" i="435"/>
  <c r="AH27" i="435"/>
  <c r="B23" i="235"/>
  <c r="Y24" i="5"/>
  <c r="Z23" i="5"/>
  <c r="AA23" i="5" s="1"/>
  <c r="AC23" i="5" s="1"/>
  <c r="AD14" i="436"/>
  <c r="AF14" i="436"/>
  <c r="AB14" i="436"/>
  <c r="AE14" i="436"/>
  <c r="AG14" i="436"/>
  <c r="AC14" i="436"/>
  <c r="AC37" i="436" l="1"/>
  <c r="AG37" i="436"/>
  <c r="AL37" i="436"/>
  <c r="AD37" i="436"/>
  <c r="AH37" i="436"/>
  <c r="AI37" i="436"/>
  <c r="AA38" i="436"/>
  <c r="AB37" i="436"/>
  <c r="AK37" i="436"/>
  <c r="AE37" i="436"/>
  <c r="AF37" i="436"/>
  <c r="CV57" i="434"/>
  <c r="CZ57" i="434"/>
  <c r="DD57" i="434"/>
  <c r="CU58" i="434"/>
  <c r="CX57" i="434"/>
  <c r="CW57" i="434" s="1"/>
  <c r="CY57" i="434"/>
  <c r="DC57" i="434"/>
  <c r="DE57" i="434" s="1"/>
  <c r="DA56" i="434"/>
  <c r="DB56" i="434"/>
  <c r="AN37" i="437"/>
  <c r="AT37" i="437"/>
  <c r="AO37" i="437"/>
  <c r="AQ37" i="437"/>
  <c r="AD37" i="437"/>
  <c r="AB37" i="437" s="1"/>
  <c r="AR37" i="437"/>
  <c r="AA38" i="437"/>
  <c r="AU37" i="437"/>
  <c r="AL37" i="437"/>
  <c r="B29" i="420"/>
  <c r="A20" i="456"/>
  <c r="B24" i="236"/>
  <c r="B23" i="453"/>
  <c r="F21" i="459"/>
  <c r="E23" i="453"/>
  <c r="D21" i="459"/>
  <c r="DB4" i="459"/>
  <c r="BO91" i="236"/>
  <c r="BO89" i="236"/>
  <c r="BO97" i="236"/>
  <c r="BO95" i="236"/>
  <c r="BO92" i="236"/>
  <c r="BO96" i="236"/>
  <c r="BO90" i="236"/>
  <c r="BO93" i="236"/>
  <c r="BO101" i="236"/>
  <c r="BO102" i="236"/>
  <c r="A24" i="453"/>
  <c r="F24" i="453" s="1"/>
  <c r="F210" i="5"/>
  <c r="F241" i="5"/>
  <c r="A22" i="432"/>
  <c r="C34" i="450"/>
  <c r="AB4" i="235"/>
  <c r="BG4" i="235" s="1"/>
  <c r="BG3" i="235" s="1"/>
  <c r="AA5" i="235"/>
  <c r="BF5" i="235" s="1"/>
  <c r="BO100" i="236"/>
  <c r="BO99" i="236"/>
  <c r="AG5" i="236"/>
  <c r="BM5" i="236"/>
  <c r="AH4" i="236"/>
  <c r="AH3" i="236" s="1"/>
  <c r="G18" i="238"/>
  <c r="H18" i="238" s="1"/>
  <c r="F21" i="432" s="1"/>
  <c r="T18" i="238"/>
  <c r="A20" i="238"/>
  <c r="A23" i="459" s="1"/>
  <c r="E23" i="459" s="1"/>
  <c r="K19" i="238"/>
  <c r="F19" i="238"/>
  <c r="BP84" i="236"/>
  <c r="BO86" i="236"/>
  <c r="A21" i="234"/>
  <c r="AH28" i="435"/>
  <c r="B24" i="235"/>
  <c r="Y25" i="5"/>
  <c r="Z24" i="5"/>
  <c r="AA24" i="5" s="1"/>
  <c r="AC24" i="5" s="1"/>
  <c r="AG15" i="436"/>
  <c r="AB15" i="436"/>
  <c r="AF15" i="436"/>
  <c r="AD15" i="436"/>
  <c r="AE15" i="436"/>
  <c r="AC15" i="436"/>
  <c r="AB38" i="436" l="1"/>
  <c r="AF38" i="436"/>
  <c r="AK38" i="436"/>
  <c r="AA39" i="436"/>
  <c r="AC38" i="436"/>
  <c r="AG38" i="436"/>
  <c r="AL38" i="436"/>
  <c r="AI38" i="436"/>
  <c r="AE38" i="436"/>
  <c r="AD38" i="436"/>
  <c r="AH38" i="436"/>
  <c r="CX58" i="434"/>
  <c r="CW58" i="434" s="1"/>
  <c r="CY58" i="434"/>
  <c r="DC58" i="434"/>
  <c r="DE58" i="434" s="1"/>
  <c r="CV58" i="434"/>
  <c r="DD58" i="434"/>
  <c r="CZ58" i="434"/>
  <c r="CU59" i="434"/>
  <c r="DA57" i="434"/>
  <c r="DB57" i="434"/>
  <c r="AN38" i="437"/>
  <c r="AT38" i="437"/>
  <c r="AD38" i="437"/>
  <c r="AB38" i="437" s="1"/>
  <c r="AR38" i="437"/>
  <c r="AA39" i="437"/>
  <c r="AL38" i="437"/>
  <c r="AU38" i="437"/>
  <c r="AO38" i="437"/>
  <c r="AQ38" i="437"/>
  <c r="B30" i="420"/>
  <c r="A21" i="456"/>
  <c r="B25" i="236"/>
  <c r="E24" i="453"/>
  <c r="D22" i="459"/>
  <c r="B24" i="453"/>
  <c r="F22" i="459"/>
  <c r="BP97" i="236"/>
  <c r="BP95" i="236"/>
  <c r="BP90" i="236"/>
  <c r="BP96" i="236"/>
  <c r="BP91" i="236"/>
  <c r="BP93" i="236"/>
  <c r="BP92" i="236"/>
  <c r="BP89" i="236"/>
  <c r="BP102" i="236"/>
  <c r="BP101" i="236"/>
  <c r="A25" i="453"/>
  <c r="F25" i="453" s="1"/>
  <c r="F211" i="5"/>
  <c r="F242" i="5"/>
  <c r="A23" i="432"/>
  <c r="C35" i="450"/>
  <c r="AC4" i="235"/>
  <c r="BH4" i="235" s="1"/>
  <c r="BH3" i="235" s="1"/>
  <c r="AB5" i="235"/>
  <c r="BG5" i="235" s="1"/>
  <c r="BP100" i="236"/>
  <c r="BP99" i="236"/>
  <c r="AH5" i="236"/>
  <c r="BN5" i="236"/>
  <c r="AI4" i="236"/>
  <c r="AI3" i="236" s="1"/>
  <c r="A21" i="238"/>
  <c r="A24" i="459" s="1"/>
  <c r="E24" i="459" s="1"/>
  <c r="K20" i="238"/>
  <c r="F20" i="238"/>
  <c r="G19" i="238"/>
  <c r="H19" i="238" s="1"/>
  <c r="F22" i="432" s="1"/>
  <c r="T19" i="238"/>
  <c r="BQ84" i="236"/>
  <c r="BP86" i="236"/>
  <c r="A22" i="234"/>
  <c r="AH29" i="435"/>
  <c r="AG29" i="435"/>
  <c r="B25" i="235"/>
  <c r="Y26" i="5"/>
  <c r="Z25" i="5"/>
  <c r="AA25" i="5" s="1"/>
  <c r="AC25" i="5" s="1"/>
  <c r="AE39" i="436" l="1"/>
  <c r="AI39" i="436"/>
  <c r="AB39" i="436"/>
  <c r="AF39" i="436"/>
  <c r="AK39" i="436"/>
  <c r="AA40" i="436"/>
  <c r="AD39" i="436"/>
  <c r="AH39" i="436"/>
  <c r="AC39" i="436"/>
  <c r="AG39" i="436"/>
  <c r="AL39" i="436"/>
  <c r="CV59" i="434"/>
  <c r="CZ59" i="434"/>
  <c r="DD59" i="434"/>
  <c r="CU60" i="434"/>
  <c r="CX59" i="434"/>
  <c r="CW59" i="434" s="1"/>
  <c r="CY59" i="434"/>
  <c r="DC59" i="434"/>
  <c r="DE59" i="434" s="1"/>
  <c r="DB58" i="434"/>
  <c r="DA58" i="434"/>
  <c r="AN39" i="437"/>
  <c r="AT39" i="437"/>
  <c r="AO39" i="437"/>
  <c r="AQ39" i="437"/>
  <c r="AD39" i="437"/>
  <c r="AR39" i="437"/>
  <c r="AA40" i="437"/>
  <c r="AU39" i="437"/>
  <c r="AL39" i="437"/>
  <c r="B31" i="420"/>
  <c r="A22" i="456"/>
  <c r="B26" i="236"/>
  <c r="E25" i="453"/>
  <c r="D23" i="459"/>
  <c r="B25" i="453"/>
  <c r="F23" i="459"/>
  <c r="BQ89" i="236"/>
  <c r="BQ93" i="236"/>
  <c r="BQ91" i="236"/>
  <c r="BQ96" i="236"/>
  <c r="BQ90" i="236"/>
  <c r="BQ92" i="236"/>
  <c r="BQ95" i="236"/>
  <c r="BQ97" i="236"/>
  <c r="BQ102" i="236"/>
  <c r="BQ101" i="236"/>
  <c r="A26" i="453"/>
  <c r="F26" i="453" s="1"/>
  <c r="F212" i="5"/>
  <c r="F243" i="5"/>
  <c r="A24" i="432"/>
  <c r="C36" i="450"/>
  <c r="AC5" i="235"/>
  <c r="BH5" i="235" s="1"/>
  <c r="AD4" i="235"/>
  <c r="BI4" i="235" s="1"/>
  <c r="BI3" i="235" s="1"/>
  <c r="BQ99" i="236"/>
  <c r="BQ100" i="236"/>
  <c r="AI5" i="236"/>
  <c r="BO5" i="236"/>
  <c r="AJ4" i="236"/>
  <c r="AJ3" i="236" s="1"/>
  <c r="G20" i="238"/>
  <c r="H20" i="238" s="1"/>
  <c r="F23" i="432" s="1"/>
  <c r="T20" i="238"/>
  <c r="A22" i="238"/>
  <c r="A25" i="459" s="1"/>
  <c r="E25" i="459" s="1"/>
  <c r="K21" i="238"/>
  <c r="F21" i="238"/>
  <c r="BR84" i="236"/>
  <c r="BQ86" i="236"/>
  <c r="A23" i="234"/>
  <c r="AH30" i="435"/>
  <c r="AG30" i="435"/>
  <c r="B26" i="235"/>
  <c r="Y27" i="5"/>
  <c r="Z26" i="5"/>
  <c r="AA26" i="5" s="1"/>
  <c r="AC26" i="5" s="1"/>
  <c r="AD40" i="436" l="1"/>
  <c r="AH40" i="436"/>
  <c r="AE40" i="436"/>
  <c r="AI40" i="436"/>
  <c r="AB40" i="436"/>
  <c r="AK40" i="436"/>
  <c r="AF40" i="436"/>
  <c r="AC40" i="436"/>
  <c r="AG40" i="436"/>
  <c r="AA41" i="436"/>
  <c r="AL40" i="436"/>
  <c r="CX60" i="434"/>
  <c r="CW60" i="434" s="1"/>
  <c r="CY60" i="434"/>
  <c r="DC60" i="434"/>
  <c r="DE60" i="434" s="1"/>
  <c r="CV60" i="434"/>
  <c r="DD60" i="434"/>
  <c r="CZ60" i="434"/>
  <c r="CU61" i="434"/>
  <c r="DA59" i="434"/>
  <c r="DB59" i="434"/>
  <c r="AN40" i="437"/>
  <c r="AT40" i="437"/>
  <c r="AD40" i="437"/>
  <c r="AB40" i="437" s="1"/>
  <c r="AR40" i="437"/>
  <c r="AA41" i="437"/>
  <c r="AL40" i="437"/>
  <c r="AU40" i="437"/>
  <c r="AO40" i="437"/>
  <c r="AQ40" i="437"/>
  <c r="AB39" i="437"/>
  <c r="B32" i="420"/>
  <c r="A23" i="456"/>
  <c r="B27" i="236"/>
  <c r="E26" i="453"/>
  <c r="D24" i="459"/>
  <c r="B26" i="453"/>
  <c r="F24" i="459"/>
  <c r="BR96" i="236"/>
  <c r="BR92" i="236"/>
  <c r="BR97" i="236"/>
  <c r="BR90" i="236"/>
  <c r="BR89" i="236"/>
  <c r="BR93" i="236"/>
  <c r="BR95" i="236"/>
  <c r="BR91" i="236"/>
  <c r="BR101" i="236"/>
  <c r="BR102" i="236"/>
  <c r="A27" i="453"/>
  <c r="F27" i="453" s="1"/>
  <c r="F213" i="5"/>
  <c r="F244" i="5"/>
  <c r="A25" i="432"/>
  <c r="C37" i="450"/>
  <c r="AD5" i="235"/>
  <c r="BI5" i="235" s="1"/>
  <c r="AE4" i="235"/>
  <c r="BJ4" i="235" s="1"/>
  <c r="BJ3" i="235" s="1"/>
  <c r="BR100" i="236"/>
  <c r="BR99" i="236"/>
  <c r="AK4" i="236"/>
  <c r="AK3" i="236" s="1"/>
  <c r="BP5" i="236"/>
  <c r="AJ5" i="236"/>
  <c r="G21" i="238"/>
  <c r="H21" i="238" s="1"/>
  <c r="F24" i="432" s="1"/>
  <c r="T21" i="238"/>
  <c r="A23" i="238"/>
  <c r="A26" i="459" s="1"/>
  <c r="E26" i="459" s="1"/>
  <c r="K22" i="238"/>
  <c r="F22" i="238"/>
  <c r="BR86" i="236"/>
  <c r="BS84" i="236"/>
  <c r="A24" i="234"/>
  <c r="AG31" i="435"/>
  <c r="AH31" i="435"/>
  <c r="B27" i="235"/>
  <c r="Y28" i="5"/>
  <c r="Y29" i="5" s="1"/>
  <c r="Z27" i="5"/>
  <c r="AA27" i="5" s="1"/>
  <c r="AC27" i="5" s="1"/>
  <c r="AC41" i="436" l="1"/>
  <c r="AG41" i="436"/>
  <c r="AL41" i="436"/>
  <c r="AD41" i="436"/>
  <c r="AH41" i="436"/>
  <c r="AF41" i="436"/>
  <c r="AB41" i="436"/>
  <c r="AK41" i="436"/>
  <c r="AI41" i="436"/>
  <c r="AA42" i="436"/>
  <c r="AE41" i="436"/>
  <c r="CV61" i="434"/>
  <c r="CZ61" i="434"/>
  <c r="DD61" i="434"/>
  <c r="CU62" i="434"/>
  <c r="CY61" i="434"/>
  <c r="DC61" i="434"/>
  <c r="DE61" i="434" s="1"/>
  <c r="CX61" i="434"/>
  <c r="CW61" i="434" s="1"/>
  <c r="DB60" i="434"/>
  <c r="DA60" i="434"/>
  <c r="AN41" i="437"/>
  <c r="AT41" i="437"/>
  <c r="AO41" i="437"/>
  <c r="AQ41" i="437"/>
  <c r="AD41" i="437"/>
  <c r="AR41" i="437"/>
  <c r="AA42" i="437"/>
  <c r="AU41" i="437"/>
  <c r="AL41" i="437"/>
  <c r="B33" i="420"/>
  <c r="A24" i="456"/>
  <c r="B28" i="236"/>
  <c r="E27" i="453"/>
  <c r="D25" i="459"/>
  <c r="B27" i="453"/>
  <c r="F25" i="459"/>
  <c r="BS91" i="236"/>
  <c r="BS97" i="236"/>
  <c r="BS95" i="236"/>
  <c r="BS92" i="236"/>
  <c r="BS89" i="236"/>
  <c r="BS96" i="236"/>
  <c r="BS93" i="236"/>
  <c r="BS90" i="236"/>
  <c r="BS101" i="236"/>
  <c r="BS102" i="236"/>
  <c r="A28" i="453"/>
  <c r="F28" i="453" s="1"/>
  <c r="F214" i="5"/>
  <c r="F245" i="5"/>
  <c r="A26" i="432"/>
  <c r="C38" i="450"/>
  <c r="AF4" i="235"/>
  <c r="BK4" i="235" s="1"/>
  <c r="BK3" i="235" s="1"/>
  <c r="AE5" i="235"/>
  <c r="BJ5" i="235" s="1"/>
  <c r="BS100" i="236"/>
  <c r="BS99" i="236"/>
  <c r="BQ5" i="236"/>
  <c r="AL4" i="236"/>
  <c r="AL3" i="236" s="1"/>
  <c r="AK5" i="236"/>
  <c r="T22" i="238"/>
  <c r="G22" i="238"/>
  <c r="H22" i="238" s="1"/>
  <c r="F25" i="432" s="1"/>
  <c r="A24" i="238"/>
  <c r="A27" i="459" s="1"/>
  <c r="E27" i="459" s="1"/>
  <c r="K23" i="238"/>
  <c r="F23" i="238"/>
  <c r="BT84" i="236"/>
  <c r="BS86" i="236"/>
  <c r="Z29" i="5"/>
  <c r="AA29" i="5" s="1"/>
  <c r="AC29" i="5" s="1"/>
  <c r="Y30" i="5"/>
  <c r="A25" i="234"/>
  <c r="AH32" i="435"/>
  <c r="AG32" i="435"/>
  <c r="B28" i="235"/>
  <c r="Z28" i="5"/>
  <c r="AA28" i="5" s="1"/>
  <c r="AC28" i="5" s="1"/>
  <c r="AC42" i="436" l="1"/>
  <c r="AG42" i="436"/>
  <c r="AL42" i="436"/>
  <c r="AE42" i="436"/>
  <c r="AK42" i="436"/>
  <c r="AB42" i="436"/>
  <c r="AH42" i="436"/>
  <c r="AD42" i="436"/>
  <c r="AF42" i="436"/>
  <c r="AA43" i="436"/>
  <c r="AI42" i="436"/>
  <c r="CX62" i="434"/>
  <c r="CW62" i="434" s="1"/>
  <c r="CY62" i="434"/>
  <c r="DC62" i="434"/>
  <c r="DE62" i="434" s="1"/>
  <c r="CZ62" i="434"/>
  <c r="CU63" i="434"/>
  <c r="CV62" i="434"/>
  <c r="DD62" i="434"/>
  <c r="DA61" i="434"/>
  <c r="DB61" i="434"/>
  <c r="AN42" i="437"/>
  <c r="AT42" i="437"/>
  <c r="AD42" i="437"/>
  <c r="AB42" i="437" s="1"/>
  <c r="AR42" i="437"/>
  <c r="AA43" i="437"/>
  <c r="AO42" i="437"/>
  <c r="AQ42" i="437"/>
  <c r="AU42" i="437"/>
  <c r="AL42" i="437"/>
  <c r="AB41" i="437"/>
  <c r="B34" i="420"/>
  <c r="A25" i="456"/>
  <c r="B29" i="236"/>
  <c r="E28" i="453"/>
  <c r="D26" i="459"/>
  <c r="B28" i="453"/>
  <c r="F26" i="459"/>
  <c r="BT97" i="236"/>
  <c r="BT95" i="236"/>
  <c r="BT90" i="236"/>
  <c r="BT91" i="236"/>
  <c r="BT96" i="236"/>
  <c r="BT89" i="236"/>
  <c r="BT93" i="236"/>
  <c r="BT92" i="236"/>
  <c r="BT101" i="236"/>
  <c r="BT102" i="236"/>
  <c r="A29" i="453"/>
  <c r="F29" i="453" s="1"/>
  <c r="F215" i="5"/>
  <c r="F246" i="5"/>
  <c r="A27" i="432"/>
  <c r="A25" i="238"/>
  <c r="A28" i="459" s="1"/>
  <c r="E28" i="459" s="1"/>
  <c r="C39" i="450"/>
  <c r="AG4" i="235"/>
  <c r="BL4" i="235" s="1"/>
  <c r="BL3" i="235" s="1"/>
  <c r="AF5" i="235"/>
  <c r="BK5" i="235" s="1"/>
  <c r="A26" i="234"/>
  <c r="BT100" i="236"/>
  <c r="BT99" i="236"/>
  <c r="BR5" i="236"/>
  <c r="AL5" i="236"/>
  <c r="AM4" i="236"/>
  <c r="AM3" i="236" s="1"/>
  <c r="K24" i="238"/>
  <c r="F24" i="238"/>
  <c r="T23" i="238"/>
  <c r="G23" i="238"/>
  <c r="H23" i="238" s="1"/>
  <c r="F26" i="432" s="1"/>
  <c r="BU84" i="236"/>
  <c r="BT86" i="236"/>
  <c r="Y31" i="5"/>
  <c r="Z30" i="5"/>
  <c r="AB29" i="5"/>
  <c r="AG33" i="435"/>
  <c r="AH33" i="435"/>
  <c r="S33" i="435"/>
  <c r="B29" i="235"/>
  <c r="C2" i="436"/>
  <c r="C2" i="437"/>
  <c r="B1" i="436"/>
  <c r="B1" i="437"/>
  <c r="AJ17" i="437"/>
  <c r="AC12" i="435" s="1"/>
  <c r="B1" i="434"/>
  <c r="E12" i="433"/>
  <c r="C2" i="434"/>
  <c r="C1" i="2"/>
  <c r="C1" i="459" s="1"/>
  <c r="CE1" i="236"/>
  <c r="AB43" i="436" l="1"/>
  <c r="AF43" i="436"/>
  <c r="AK43" i="436"/>
  <c r="AA44" i="436"/>
  <c r="AE43" i="436"/>
  <c r="AL43" i="436"/>
  <c r="AC43" i="436"/>
  <c r="AH43" i="436"/>
  <c r="AG43" i="436"/>
  <c r="AI43" i="436"/>
  <c r="AD43" i="436"/>
  <c r="DB62" i="434"/>
  <c r="DA62" i="434"/>
  <c r="CV63" i="434"/>
  <c r="CZ63" i="434"/>
  <c r="DD63" i="434"/>
  <c r="CU64" i="434"/>
  <c r="DC63" i="434"/>
  <c r="DE63" i="434" s="1"/>
  <c r="CX63" i="434"/>
  <c r="CW63" i="434" s="1"/>
  <c r="CY63" i="434"/>
  <c r="CE17" i="236"/>
  <c r="N33" i="436" s="1"/>
  <c r="AN43" i="437"/>
  <c r="AT43" i="437"/>
  <c r="AO43" i="437"/>
  <c r="AD43" i="437"/>
  <c r="AB43" i="437" s="1"/>
  <c r="AR43" i="437"/>
  <c r="AA44" i="437"/>
  <c r="AL43" i="437"/>
  <c r="AQ43" i="437"/>
  <c r="AU43" i="437"/>
  <c r="B35" i="420"/>
  <c r="A26" i="456"/>
  <c r="B30" i="236"/>
  <c r="E29" i="453"/>
  <c r="D27" i="459"/>
  <c r="B29" i="453"/>
  <c r="F27" i="459"/>
  <c r="BU89" i="236"/>
  <c r="BU93" i="236"/>
  <c r="BU96" i="236"/>
  <c r="BU90" i="236"/>
  <c r="BU91" i="236"/>
  <c r="BU95" i="236"/>
  <c r="BU92" i="236"/>
  <c r="BU97" i="236"/>
  <c r="BU102" i="236"/>
  <c r="BU101" i="236"/>
  <c r="A30" i="453"/>
  <c r="F30" i="453" s="1"/>
  <c r="F216" i="5"/>
  <c r="F247" i="5"/>
  <c r="CE24" i="236"/>
  <c r="N40" i="436" s="1"/>
  <c r="CE28" i="236"/>
  <c r="CE10" i="236"/>
  <c r="H26" i="455" s="1"/>
  <c r="CE15" i="236"/>
  <c r="N31" i="436" s="1"/>
  <c r="CE12" i="236"/>
  <c r="N28" i="436" s="1"/>
  <c r="CE16" i="236"/>
  <c r="N32" i="436" s="1"/>
  <c r="CE14" i="236"/>
  <c r="N30" i="436" s="1"/>
  <c r="CE11" i="236"/>
  <c r="CE19" i="236"/>
  <c r="N35" i="436" s="1"/>
  <c r="CE23" i="236"/>
  <c r="N39" i="436" s="1"/>
  <c r="CE27" i="236"/>
  <c r="N43" i="436" s="1"/>
  <c r="AA30" i="5"/>
  <c r="AC30" i="5" s="1"/>
  <c r="A28" i="432"/>
  <c r="C40" i="450"/>
  <c r="AH4" i="235"/>
  <c r="BM4" i="235" s="1"/>
  <c r="BM3" i="235" s="1"/>
  <c r="AG5" i="235"/>
  <c r="BL5" i="235" s="1"/>
  <c r="A27" i="234"/>
  <c r="BU99" i="236"/>
  <c r="BU100" i="236"/>
  <c r="BS5" i="236"/>
  <c r="AM5" i="236"/>
  <c r="AN4" i="236"/>
  <c r="AN3" i="236" s="1"/>
  <c r="T24" i="238"/>
  <c r="G24" i="238"/>
  <c r="H24" i="238" s="1"/>
  <c r="F27" i="432" s="1"/>
  <c r="BU86" i="236"/>
  <c r="BV84" i="236"/>
  <c r="Z31" i="5"/>
  <c r="Y32" i="5"/>
  <c r="AG34" i="435"/>
  <c r="AH34" i="435"/>
  <c r="S34" i="435"/>
  <c r="B30" i="235"/>
  <c r="C1" i="434"/>
  <c r="C1" i="436"/>
  <c r="C1" i="437"/>
  <c r="H44" i="455" l="1"/>
  <c r="N44" i="436"/>
  <c r="J67" i="436"/>
  <c r="I67" i="436" s="1"/>
  <c r="J85" i="436"/>
  <c r="I85" i="436" s="1"/>
  <c r="M56" i="436"/>
  <c r="L56" i="436" s="1"/>
  <c r="M41" i="436"/>
  <c r="L41" i="436" s="1"/>
  <c r="M33" i="436"/>
  <c r="L33" i="436" s="1"/>
  <c r="J43" i="436"/>
  <c r="I43" i="436" s="1"/>
  <c r="J51" i="436"/>
  <c r="I51" i="436" s="1"/>
  <c r="J62" i="436"/>
  <c r="I62" i="436" s="1"/>
  <c r="M72" i="436"/>
  <c r="L72" i="436" s="1"/>
  <c r="M82" i="436"/>
  <c r="L82" i="436" s="1"/>
  <c r="M51" i="436"/>
  <c r="L51" i="436" s="1"/>
  <c r="S32" i="436"/>
  <c r="S48" i="436"/>
  <c r="S62" i="436"/>
  <c r="S85" i="436"/>
  <c r="S51" i="436"/>
  <c r="J32" i="436"/>
  <c r="I32" i="436" s="1"/>
  <c r="J39" i="436"/>
  <c r="I39" i="436" s="1"/>
  <c r="J84" i="436"/>
  <c r="I84" i="436" s="1"/>
  <c r="M44" i="436"/>
  <c r="L44" i="436" s="1"/>
  <c r="M65" i="436"/>
  <c r="L65" i="436" s="1"/>
  <c r="M86" i="436"/>
  <c r="L86" i="436" s="1"/>
  <c r="S41" i="436"/>
  <c r="S35" i="436"/>
  <c r="S82" i="436"/>
  <c r="J36" i="436"/>
  <c r="I36" i="436" s="1"/>
  <c r="J54" i="436"/>
  <c r="I54" i="436" s="1"/>
  <c r="J33" i="436"/>
  <c r="I33" i="436" s="1"/>
  <c r="M43" i="436"/>
  <c r="L43" i="436" s="1"/>
  <c r="M57" i="436"/>
  <c r="L57" i="436" s="1"/>
  <c r="M91" i="436"/>
  <c r="L91" i="436" s="1"/>
  <c r="J61" i="436"/>
  <c r="I61" i="436" s="1"/>
  <c r="M52" i="436"/>
  <c r="L52" i="436" s="1"/>
  <c r="S40" i="436"/>
  <c r="S65" i="436"/>
  <c r="J77" i="436"/>
  <c r="I77" i="436" s="1"/>
  <c r="M39" i="436"/>
  <c r="L39" i="436" s="1"/>
  <c r="S76" i="436"/>
  <c r="J86" i="436"/>
  <c r="I86" i="436" s="1"/>
  <c r="M40" i="436"/>
  <c r="L40" i="436" s="1"/>
  <c r="S39" i="436"/>
  <c r="J48" i="436"/>
  <c r="I48" i="436" s="1"/>
  <c r="M47" i="436"/>
  <c r="L47" i="436" s="1"/>
  <c r="S50" i="436"/>
  <c r="J31" i="436"/>
  <c r="I31" i="436" s="1"/>
  <c r="J41" i="436"/>
  <c r="I41" i="436" s="1"/>
  <c r="J50" i="436"/>
  <c r="I50" i="436" s="1"/>
  <c r="M30" i="436"/>
  <c r="L30" i="436" s="1"/>
  <c r="M81" i="436"/>
  <c r="L81" i="436" s="1"/>
  <c r="S66" i="436"/>
  <c r="S52" i="436"/>
  <c r="S72" i="436"/>
  <c r="S33" i="436"/>
  <c r="S86" i="436"/>
  <c r="S70" i="436"/>
  <c r="S54" i="436"/>
  <c r="J30" i="436"/>
  <c r="I30" i="436" s="1"/>
  <c r="J47" i="436"/>
  <c r="I47" i="436" s="1"/>
  <c r="J73" i="436"/>
  <c r="I73" i="436" s="1"/>
  <c r="M36" i="436"/>
  <c r="L36" i="436" s="1"/>
  <c r="M48" i="436"/>
  <c r="L48" i="436" s="1"/>
  <c r="M68" i="436"/>
  <c r="L68" i="436" s="1"/>
  <c r="S91" i="436"/>
  <c r="J56" i="436"/>
  <c r="I56" i="436" s="1"/>
  <c r="J80" i="436"/>
  <c r="I80" i="436" s="1"/>
  <c r="J66" i="436"/>
  <c r="I66" i="436" s="1"/>
  <c r="M31" i="436"/>
  <c r="L31" i="436" s="1"/>
  <c r="M85" i="436"/>
  <c r="L85" i="436" s="1"/>
  <c r="M80" i="436"/>
  <c r="L80" i="436" s="1"/>
  <c r="S90" i="436"/>
  <c r="S43" i="436"/>
  <c r="S61" i="436"/>
  <c r="J70" i="436"/>
  <c r="I70" i="436" s="1"/>
  <c r="J88" i="436"/>
  <c r="I88" i="436" s="1"/>
  <c r="M77" i="436"/>
  <c r="L77" i="436" s="1"/>
  <c r="M88" i="436"/>
  <c r="L88" i="436" s="1"/>
  <c r="S36" i="436"/>
  <c r="S74" i="436"/>
  <c r="S80" i="436"/>
  <c r="S68" i="436"/>
  <c r="S47" i="436"/>
  <c r="J68" i="436"/>
  <c r="I68" i="436" s="1"/>
  <c r="M73" i="436"/>
  <c r="L73" i="436" s="1"/>
  <c r="S64" i="436"/>
  <c r="S57" i="436"/>
  <c r="J82" i="436"/>
  <c r="I82" i="436" s="1"/>
  <c r="M84" i="436"/>
  <c r="L84" i="436" s="1"/>
  <c r="M62" i="436"/>
  <c r="L62" i="436" s="1"/>
  <c r="J72" i="436"/>
  <c r="I72" i="436" s="1"/>
  <c r="M45" i="436"/>
  <c r="L45" i="436" s="1"/>
  <c r="S71" i="436"/>
  <c r="S67" i="436"/>
  <c r="S56" i="436"/>
  <c r="J76" i="436"/>
  <c r="I76" i="436" s="1"/>
  <c r="J90" i="436"/>
  <c r="I90" i="436" s="1"/>
  <c r="J57" i="436"/>
  <c r="I57" i="436" s="1"/>
  <c r="M32" i="436"/>
  <c r="L32" i="436" s="1"/>
  <c r="M64" i="436"/>
  <c r="L64" i="436" s="1"/>
  <c r="M54" i="436"/>
  <c r="L54" i="436" s="1"/>
  <c r="J44" i="436"/>
  <c r="I44" i="436" s="1"/>
  <c r="J91" i="436"/>
  <c r="I91" i="436" s="1"/>
  <c r="J74" i="436"/>
  <c r="I74" i="436" s="1"/>
  <c r="M70" i="436"/>
  <c r="L70" i="436" s="1"/>
  <c r="M90" i="436"/>
  <c r="L90" i="436" s="1"/>
  <c r="S45" i="436"/>
  <c r="S77" i="436"/>
  <c r="S31" i="436"/>
  <c r="J35" i="436"/>
  <c r="I35" i="436" s="1"/>
  <c r="J40" i="436"/>
  <c r="I40" i="436" s="1"/>
  <c r="J71" i="436"/>
  <c r="I71" i="436" s="1"/>
  <c r="M61" i="436"/>
  <c r="L61" i="436" s="1"/>
  <c r="M71" i="436"/>
  <c r="L71" i="436" s="1"/>
  <c r="M74" i="436"/>
  <c r="L74" i="436" s="1"/>
  <c r="S84" i="436"/>
  <c r="S60" i="436"/>
  <c r="S30" i="436"/>
  <c r="J45" i="436"/>
  <c r="I45" i="436" s="1"/>
  <c r="J65" i="436"/>
  <c r="I65" i="436" s="1"/>
  <c r="J52" i="436"/>
  <c r="I52" i="436" s="1"/>
  <c r="M76" i="436"/>
  <c r="L76" i="436" s="1"/>
  <c r="M67" i="436"/>
  <c r="L67" i="436" s="1"/>
  <c r="M50" i="436"/>
  <c r="L50" i="436" s="1"/>
  <c r="J64" i="436"/>
  <c r="I64" i="436" s="1"/>
  <c r="M60" i="436"/>
  <c r="L60" i="436" s="1"/>
  <c r="S88" i="436"/>
  <c r="S44" i="436"/>
  <c r="M35" i="436"/>
  <c r="L35" i="436" s="1"/>
  <c r="S81" i="436"/>
  <c r="J60" i="436"/>
  <c r="I60" i="436" s="1"/>
  <c r="J81" i="436"/>
  <c r="I81" i="436" s="1"/>
  <c r="M66" i="436"/>
  <c r="L66" i="436" s="1"/>
  <c r="S73" i="436"/>
  <c r="J47" i="437"/>
  <c r="I47" i="437" s="1"/>
  <c r="J52" i="437"/>
  <c r="I52" i="437" s="1"/>
  <c r="M60" i="437"/>
  <c r="L60" i="437" s="1"/>
  <c r="M51" i="437"/>
  <c r="L51" i="437" s="1"/>
  <c r="J77" i="437"/>
  <c r="I77" i="437" s="1"/>
  <c r="J57" i="437"/>
  <c r="I57" i="437" s="1"/>
  <c r="M77" i="437"/>
  <c r="L77" i="437" s="1"/>
  <c r="M52" i="437"/>
  <c r="L52" i="437" s="1"/>
  <c r="J76" i="437"/>
  <c r="I76" i="437" s="1"/>
  <c r="J81" i="437"/>
  <c r="I81" i="437" s="1"/>
  <c r="M54" i="437"/>
  <c r="L54" i="437" s="1"/>
  <c r="M68" i="437"/>
  <c r="L68" i="437" s="1"/>
  <c r="J50" i="437"/>
  <c r="I50" i="437" s="1"/>
  <c r="J91" i="437"/>
  <c r="I91" i="437" s="1"/>
  <c r="M56" i="437"/>
  <c r="L56" i="437" s="1"/>
  <c r="M65" i="437"/>
  <c r="L65" i="437" s="1"/>
  <c r="J90" i="437"/>
  <c r="I90" i="437" s="1"/>
  <c r="J72" i="437"/>
  <c r="I72" i="437" s="1"/>
  <c r="M86" i="437"/>
  <c r="L86" i="437" s="1"/>
  <c r="J74" i="437"/>
  <c r="I74" i="437" s="1"/>
  <c r="J85" i="437"/>
  <c r="I85" i="437" s="1"/>
  <c r="M74" i="437"/>
  <c r="L74" i="437" s="1"/>
  <c r="J82" i="437"/>
  <c r="I82" i="437" s="1"/>
  <c r="J86" i="437"/>
  <c r="I86" i="437" s="1"/>
  <c r="M70" i="437"/>
  <c r="L70" i="437" s="1"/>
  <c r="M57" i="437"/>
  <c r="L57" i="437" s="1"/>
  <c r="J54" i="437"/>
  <c r="I54" i="437" s="1"/>
  <c r="J65" i="437"/>
  <c r="I65" i="437" s="1"/>
  <c r="M76" i="437"/>
  <c r="L76" i="437" s="1"/>
  <c r="M66" i="437"/>
  <c r="L66" i="437" s="1"/>
  <c r="J70" i="437"/>
  <c r="I70" i="437" s="1"/>
  <c r="J80" i="437"/>
  <c r="I80" i="437" s="1"/>
  <c r="M72" i="437"/>
  <c r="L72" i="437" s="1"/>
  <c r="M64" i="437"/>
  <c r="L64" i="437" s="1"/>
  <c r="J48" i="437"/>
  <c r="I48" i="437" s="1"/>
  <c r="J88" i="437"/>
  <c r="I88" i="437" s="1"/>
  <c r="M62" i="437"/>
  <c r="L62" i="437" s="1"/>
  <c r="M82" i="437"/>
  <c r="L82" i="437" s="1"/>
  <c r="J67" i="437"/>
  <c r="I67" i="437" s="1"/>
  <c r="M61" i="437"/>
  <c r="L61" i="437" s="1"/>
  <c r="M47" i="437"/>
  <c r="L47" i="437" s="1"/>
  <c r="J71" i="437"/>
  <c r="I71" i="437" s="1"/>
  <c r="M90" i="437"/>
  <c r="L90" i="437" s="1"/>
  <c r="M91" i="437"/>
  <c r="L91" i="437" s="1"/>
  <c r="J60" i="437"/>
  <c r="I60" i="437" s="1"/>
  <c r="M80" i="437"/>
  <c r="L80" i="437" s="1"/>
  <c r="J56" i="437"/>
  <c r="I56" i="437" s="1"/>
  <c r="J73" i="437"/>
  <c r="I73" i="437" s="1"/>
  <c r="M81" i="437"/>
  <c r="L81" i="437" s="1"/>
  <c r="M85" i="437"/>
  <c r="L85" i="437" s="1"/>
  <c r="J84" i="437"/>
  <c r="I84" i="437" s="1"/>
  <c r="J68" i="437"/>
  <c r="I68" i="437" s="1"/>
  <c r="M71" i="437"/>
  <c r="L71" i="437" s="1"/>
  <c r="M50" i="437"/>
  <c r="L50" i="437" s="1"/>
  <c r="J64" i="437"/>
  <c r="I64" i="437" s="1"/>
  <c r="J51" i="437"/>
  <c r="I51" i="437" s="1"/>
  <c r="M67" i="437"/>
  <c r="L67" i="437" s="1"/>
  <c r="M88" i="437"/>
  <c r="L88" i="437" s="1"/>
  <c r="J61" i="437"/>
  <c r="I61" i="437" s="1"/>
  <c r="J66" i="437"/>
  <c r="I66" i="437" s="1"/>
  <c r="M84" i="437"/>
  <c r="L84" i="437" s="1"/>
  <c r="M73" i="437"/>
  <c r="L73" i="437" s="1"/>
  <c r="J62" i="437"/>
  <c r="I62" i="437" s="1"/>
  <c r="M48" i="437"/>
  <c r="L48" i="437" s="1"/>
  <c r="J105" i="434"/>
  <c r="I105" i="434" s="1"/>
  <c r="AW73" i="434"/>
  <c r="AV73" i="434" s="1"/>
  <c r="AW92" i="434"/>
  <c r="AV92" i="434" s="1"/>
  <c r="AW91" i="434"/>
  <c r="AV91" i="434" s="1"/>
  <c r="AW104" i="434"/>
  <c r="AV104" i="434" s="1"/>
  <c r="AW55" i="434"/>
  <c r="AV55" i="434" s="1"/>
  <c r="AW85" i="434"/>
  <c r="AV85" i="434" s="1"/>
  <c r="AW87" i="434"/>
  <c r="AV87" i="434" s="1"/>
  <c r="AW89" i="434"/>
  <c r="AV89" i="434" s="1"/>
  <c r="AW67" i="434"/>
  <c r="AV67" i="434" s="1"/>
  <c r="J96" i="434"/>
  <c r="I96" i="434" s="1"/>
  <c r="DP102" i="434" s="1"/>
  <c r="J67" i="434"/>
  <c r="I67" i="434" s="1"/>
  <c r="DP73" i="434" s="1"/>
  <c r="J63" i="434"/>
  <c r="I63" i="434" s="1"/>
  <c r="DP69" i="434" s="1"/>
  <c r="J54" i="434"/>
  <c r="I54" i="434" s="1"/>
  <c r="DP60" i="434" s="1"/>
  <c r="J103" i="434"/>
  <c r="I103" i="434" s="1"/>
  <c r="DP109" i="434" s="1"/>
  <c r="AW101" i="434"/>
  <c r="AV101" i="434" s="1"/>
  <c r="AW70" i="434"/>
  <c r="AV70" i="434" s="1"/>
  <c r="AW107" i="434"/>
  <c r="AV107" i="434" s="1"/>
  <c r="AW103" i="434"/>
  <c r="AV103" i="434" s="1"/>
  <c r="J85" i="434"/>
  <c r="I85" i="434" s="1"/>
  <c r="DP91" i="434" s="1"/>
  <c r="J69" i="434"/>
  <c r="I69" i="434" s="1"/>
  <c r="DP75" i="434" s="1"/>
  <c r="J90" i="434"/>
  <c r="I90" i="434" s="1"/>
  <c r="DP96" i="434" s="1"/>
  <c r="J109" i="434"/>
  <c r="I109" i="434" s="1"/>
  <c r="AW64" i="434"/>
  <c r="AV64" i="434" s="1"/>
  <c r="AW66" i="434"/>
  <c r="AV66" i="434" s="1"/>
  <c r="AW58" i="434"/>
  <c r="AV58" i="434" s="1"/>
  <c r="AW99" i="434"/>
  <c r="AV99" i="434" s="1"/>
  <c r="AW110" i="434"/>
  <c r="AV110" i="434" s="1"/>
  <c r="AW86" i="434"/>
  <c r="AV86" i="434" s="1"/>
  <c r="AW76" i="434"/>
  <c r="AV76" i="434" s="1"/>
  <c r="J107" i="434"/>
  <c r="I107" i="434" s="1"/>
  <c r="AW75" i="434"/>
  <c r="AV75" i="434" s="1"/>
  <c r="AW81" i="434"/>
  <c r="AV81" i="434" s="1"/>
  <c r="AW60" i="434"/>
  <c r="AV60" i="434" s="1"/>
  <c r="J95" i="434"/>
  <c r="I95" i="434" s="1"/>
  <c r="DP101" i="434" s="1"/>
  <c r="J84" i="434"/>
  <c r="I84" i="434" s="1"/>
  <c r="DP90" i="434" s="1"/>
  <c r="J100" i="434"/>
  <c r="I100" i="434" s="1"/>
  <c r="DP106" i="434" s="1"/>
  <c r="J79" i="434"/>
  <c r="I79" i="434" s="1"/>
  <c r="DP85" i="434" s="1"/>
  <c r="J86" i="434"/>
  <c r="I86" i="434" s="1"/>
  <c r="DP92" i="434" s="1"/>
  <c r="J60" i="434"/>
  <c r="I60" i="434" s="1"/>
  <c r="DP66" i="434" s="1"/>
  <c r="J89" i="434"/>
  <c r="I89" i="434" s="1"/>
  <c r="DP95" i="434" s="1"/>
  <c r="J71" i="434"/>
  <c r="I71" i="434" s="1"/>
  <c r="DP77" i="434" s="1"/>
  <c r="J101" i="434"/>
  <c r="I101" i="434" s="1"/>
  <c r="DP107" i="434" s="1"/>
  <c r="J66" i="434"/>
  <c r="I66" i="434" s="1"/>
  <c r="DP72" i="434" s="1"/>
  <c r="J75" i="434"/>
  <c r="I75" i="434" s="1"/>
  <c r="DP81" i="434" s="1"/>
  <c r="J58" i="434"/>
  <c r="I58" i="434" s="1"/>
  <c r="DP64" i="434" s="1"/>
  <c r="J73" i="434"/>
  <c r="I73" i="434" s="1"/>
  <c r="DP79" i="434" s="1"/>
  <c r="AW52" i="434"/>
  <c r="AV52" i="434" s="1"/>
  <c r="J110" i="434"/>
  <c r="I110" i="434" s="1"/>
  <c r="AW83" i="434"/>
  <c r="AV83" i="434" s="1"/>
  <c r="AW54" i="434"/>
  <c r="AV54" i="434" s="1"/>
  <c r="J104" i="434"/>
  <c r="I104" i="434" s="1"/>
  <c r="DP110" i="434" s="1"/>
  <c r="J76" i="434"/>
  <c r="I76" i="434" s="1"/>
  <c r="DP82" i="434" s="1"/>
  <c r="AW96" i="434"/>
  <c r="AV96" i="434" s="1"/>
  <c r="AW84" i="434"/>
  <c r="AV84" i="434" s="1"/>
  <c r="AW105" i="434"/>
  <c r="AV105" i="434" s="1"/>
  <c r="AW79" i="434"/>
  <c r="AV79" i="434" s="1"/>
  <c r="AW71" i="434"/>
  <c r="AV71" i="434" s="1"/>
  <c r="AW90" i="434"/>
  <c r="AV90" i="434" s="1"/>
  <c r="AW59" i="434"/>
  <c r="AV59" i="434" s="1"/>
  <c r="AW109" i="434"/>
  <c r="AV109" i="434" s="1"/>
  <c r="AW80" i="434"/>
  <c r="AV80" i="434" s="1"/>
  <c r="AW69" i="434"/>
  <c r="AV69" i="434" s="1"/>
  <c r="AW100" i="434"/>
  <c r="AV100" i="434" s="1"/>
  <c r="J80" i="434"/>
  <c r="I80" i="434" s="1"/>
  <c r="DP86" i="434" s="1"/>
  <c r="J70" i="434"/>
  <c r="I70" i="434" s="1"/>
  <c r="DP76" i="434" s="1"/>
  <c r="J83" i="434"/>
  <c r="I83" i="434" s="1"/>
  <c r="DP89" i="434" s="1"/>
  <c r="J59" i="434"/>
  <c r="I59" i="434" s="1"/>
  <c r="DP65" i="434" s="1"/>
  <c r="J99" i="434"/>
  <c r="I99" i="434" s="1"/>
  <c r="DP105" i="434" s="1"/>
  <c r="J62" i="434"/>
  <c r="I62" i="434" s="1"/>
  <c r="DP68" i="434" s="1"/>
  <c r="J92" i="434"/>
  <c r="I92" i="434" s="1"/>
  <c r="DP98" i="434" s="1"/>
  <c r="J87" i="434"/>
  <c r="I87" i="434" s="1"/>
  <c r="DP93" i="434" s="1"/>
  <c r="J91" i="434"/>
  <c r="I91" i="434" s="1"/>
  <c r="DP97" i="434" s="1"/>
  <c r="J93" i="434"/>
  <c r="I93" i="434" s="1"/>
  <c r="DP99" i="434" s="1"/>
  <c r="AW63" i="434"/>
  <c r="AV63" i="434" s="1"/>
  <c r="AW95" i="434"/>
  <c r="AV95" i="434" s="1"/>
  <c r="AW62" i="434"/>
  <c r="AV62" i="434" s="1"/>
  <c r="AW93" i="434"/>
  <c r="AV93" i="434" s="1"/>
  <c r="J55" i="434"/>
  <c r="I55" i="434" s="1"/>
  <c r="DP61" i="434" s="1"/>
  <c r="J64" i="434"/>
  <c r="I64" i="434" s="1"/>
  <c r="DP70" i="434" s="1"/>
  <c r="J52" i="434"/>
  <c r="I52" i="434" s="1"/>
  <c r="DP58" i="434" s="1"/>
  <c r="J81" i="434"/>
  <c r="I81" i="434" s="1"/>
  <c r="DP87" i="434" s="1"/>
  <c r="AE44" i="436"/>
  <c r="AF44" i="436"/>
  <c r="AK44" i="436"/>
  <c r="AC44" i="436"/>
  <c r="AH44" i="436"/>
  <c r="AD44" i="436"/>
  <c r="AG44" i="436"/>
  <c r="AI44" i="436"/>
  <c r="AB44" i="436"/>
  <c r="AA45" i="436"/>
  <c r="AL44" i="436"/>
  <c r="CX64" i="434"/>
  <c r="CW64" i="434" s="1"/>
  <c r="CY64" i="434"/>
  <c r="DC64" i="434"/>
  <c r="DE64" i="434" s="1"/>
  <c r="CZ64" i="434"/>
  <c r="CU65" i="434"/>
  <c r="CV64" i="434"/>
  <c r="DD64" i="434"/>
  <c r="DA63" i="434"/>
  <c r="DB63" i="434"/>
  <c r="N44" i="437"/>
  <c r="H31" i="455"/>
  <c r="N30" i="437"/>
  <c r="H32" i="455"/>
  <c r="H33" i="455"/>
  <c r="N33" i="437"/>
  <c r="N43" i="437"/>
  <c r="H43" i="455"/>
  <c r="N39" i="437"/>
  <c r="H39" i="455"/>
  <c r="N35" i="437"/>
  <c r="H35" i="455"/>
  <c r="N40" i="437"/>
  <c r="H40" i="455"/>
  <c r="J28" i="436"/>
  <c r="I28" i="436" s="1"/>
  <c r="S28" i="436"/>
  <c r="M28" i="436"/>
  <c r="L28" i="436" s="1"/>
  <c r="M44" i="437"/>
  <c r="L44" i="437" s="1"/>
  <c r="J30" i="437"/>
  <c r="I30" i="437" s="1"/>
  <c r="J45" i="437"/>
  <c r="I45" i="437" s="1"/>
  <c r="M45" i="437"/>
  <c r="L45" i="437" s="1"/>
  <c r="J44" i="437"/>
  <c r="I44" i="437" s="1"/>
  <c r="J35" i="437"/>
  <c r="I35" i="437" s="1"/>
  <c r="M40" i="437"/>
  <c r="L40" i="437" s="1"/>
  <c r="M32" i="437"/>
  <c r="L32" i="437" s="1"/>
  <c r="J32" i="437"/>
  <c r="I32" i="437" s="1"/>
  <c r="J36" i="437"/>
  <c r="I36" i="437" s="1"/>
  <c r="J40" i="437"/>
  <c r="I40" i="437" s="1"/>
  <c r="J43" i="437"/>
  <c r="I43" i="437" s="1"/>
  <c r="J39" i="437"/>
  <c r="I39" i="437" s="1"/>
  <c r="J31" i="437"/>
  <c r="I31" i="437" s="1"/>
  <c r="M36" i="437"/>
  <c r="L36" i="437" s="1"/>
  <c r="M30" i="437"/>
  <c r="L30" i="437" s="1"/>
  <c r="M35" i="437"/>
  <c r="L35" i="437" s="1"/>
  <c r="J33" i="437"/>
  <c r="I33" i="437" s="1"/>
  <c r="J41" i="437"/>
  <c r="I41" i="437" s="1"/>
  <c r="M31" i="437"/>
  <c r="L31" i="437" s="1"/>
  <c r="M39" i="437"/>
  <c r="L39" i="437" s="1"/>
  <c r="M43" i="437"/>
  <c r="L43" i="437" s="1"/>
  <c r="M41" i="437"/>
  <c r="L41" i="437" s="1"/>
  <c r="M33" i="437"/>
  <c r="L33" i="437" s="1"/>
  <c r="N32" i="437"/>
  <c r="AB44" i="437"/>
  <c r="AF44" i="437"/>
  <c r="AL44" i="437"/>
  <c r="AR44" i="437"/>
  <c r="AD44" i="437"/>
  <c r="AC44" i="437" s="1"/>
  <c r="AI44" i="437"/>
  <c r="AO44" i="437"/>
  <c r="AU44" i="437"/>
  <c r="AK44" i="437"/>
  <c r="AN44" i="437"/>
  <c r="AA45" i="437"/>
  <c r="AA46" i="437" s="1"/>
  <c r="AE44" i="437"/>
  <c r="AQ44" i="437"/>
  <c r="AH44" i="437"/>
  <c r="AT44" i="437"/>
  <c r="N31" i="437"/>
  <c r="J46" i="434"/>
  <c r="I46" i="434" s="1"/>
  <c r="DP52" i="434" s="1"/>
  <c r="AW46" i="434"/>
  <c r="AV46" i="434" s="1"/>
  <c r="AW50" i="434"/>
  <c r="AV50" i="434" s="1"/>
  <c r="J49" i="434"/>
  <c r="I49" i="434" s="1"/>
  <c r="DP55" i="434" s="1"/>
  <c r="J51" i="434"/>
  <c r="I51" i="434" s="1"/>
  <c r="DP57" i="434" s="1"/>
  <c r="AW51" i="434"/>
  <c r="AV51" i="434" s="1"/>
  <c r="J45" i="434"/>
  <c r="I45" i="434" s="1"/>
  <c r="J47" i="434"/>
  <c r="I47" i="434" s="1"/>
  <c r="DP53" i="434" s="1"/>
  <c r="J50" i="434"/>
  <c r="I50" i="434" s="1"/>
  <c r="DP56" i="434" s="1"/>
  <c r="AW49" i="434"/>
  <c r="AV49" i="434" s="1"/>
  <c r="AW45" i="434"/>
  <c r="AV45" i="434" s="1"/>
  <c r="AW47" i="434"/>
  <c r="AV47" i="434" s="1"/>
  <c r="B36" i="420"/>
  <c r="A27" i="456"/>
  <c r="B31" i="236"/>
  <c r="CE31" i="236" s="1"/>
  <c r="N47" i="436" s="1"/>
  <c r="H30" i="455"/>
  <c r="H28" i="455"/>
  <c r="H27" i="455"/>
  <c r="N28" i="437"/>
  <c r="N27" i="437"/>
  <c r="BV96" i="236"/>
  <c r="BV92" i="236"/>
  <c r="BV97" i="236"/>
  <c r="BV95" i="236"/>
  <c r="BV89" i="236"/>
  <c r="BV93" i="236"/>
  <c r="BV90" i="236"/>
  <c r="BV91" i="236"/>
  <c r="BV101" i="236"/>
  <c r="BV102" i="236"/>
  <c r="O21" i="437"/>
  <c r="J27" i="437"/>
  <c r="I27" i="437" s="1"/>
  <c r="J28" i="437"/>
  <c r="I28" i="437" s="1"/>
  <c r="M28" i="437"/>
  <c r="L28" i="437" s="1"/>
  <c r="M27" i="437"/>
  <c r="L27" i="437" s="1"/>
  <c r="F217" i="5"/>
  <c r="F248" i="5"/>
  <c r="AA31" i="5"/>
  <c r="AC31" i="5" s="1"/>
  <c r="AB30" i="5"/>
  <c r="AH5" i="235"/>
  <c r="BM5" i="235" s="1"/>
  <c r="AI4" i="235"/>
  <c r="BN4" i="235" s="1"/>
  <c r="BN3" i="235" s="1"/>
  <c r="A28" i="234"/>
  <c r="BV100" i="236"/>
  <c r="BV99" i="236"/>
  <c r="BT5" i="236"/>
  <c r="AO4" i="236"/>
  <c r="AO3" i="236" s="1"/>
  <c r="AN5" i="236"/>
  <c r="A26" i="238"/>
  <c r="A29" i="459" s="1"/>
  <c r="E29" i="459" s="1"/>
  <c r="K25" i="238"/>
  <c r="F25" i="238"/>
  <c r="AT4" i="420"/>
  <c r="BW84" i="236"/>
  <c r="BV86" i="236"/>
  <c r="M26" i="436"/>
  <c r="L26" i="436" s="1"/>
  <c r="J26" i="436"/>
  <c r="I26" i="436" s="1"/>
  <c r="S26" i="436"/>
  <c r="S27" i="436"/>
  <c r="J27" i="436"/>
  <c r="I27" i="436" s="1"/>
  <c r="M27" i="436"/>
  <c r="L27" i="436" s="1"/>
  <c r="M26" i="437"/>
  <c r="L26" i="437" s="1"/>
  <c r="J26" i="437"/>
  <c r="I26" i="437" s="1"/>
  <c r="Y33" i="5"/>
  <c r="Z32" i="5"/>
  <c r="AH35" i="435"/>
  <c r="AG35" i="435"/>
  <c r="S35" i="435"/>
  <c r="B31" i="235"/>
  <c r="N47" i="437" l="1"/>
  <c r="H47" i="455"/>
  <c r="AC45" i="436"/>
  <c r="AG45" i="436"/>
  <c r="AL45" i="436"/>
  <c r="AB45" i="436"/>
  <c r="AH45" i="436"/>
  <c r="AD45" i="436"/>
  <c r="AI45" i="436"/>
  <c r="AE45" i="436"/>
  <c r="AK45" i="436"/>
  <c r="AA46" i="436"/>
  <c r="AF45" i="436"/>
  <c r="AE46" i="437"/>
  <c r="AK46" i="437"/>
  <c r="AQ46" i="437"/>
  <c r="AA47" i="437"/>
  <c r="AB46" i="437"/>
  <c r="AF46" i="437"/>
  <c r="AL46" i="437"/>
  <c r="AR46" i="437"/>
  <c r="AD46" i="437"/>
  <c r="AC46" i="437" s="1"/>
  <c r="AO46" i="437"/>
  <c r="AH46" i="437"/>
  <c r="AT46" i="437"/>
  <c r="AI46" i="437"/>
  <c r="AU46" i="437"/>
  <c r="AN46" i="437"/>
  <c r="DB64" i="434"/>
  <c r="DA64" i="434"/>
  <c r="CV65" i="434"/>
  <c r="CZ65" i="434"/>
  <c r="DD65" i="434"/>
  <c r="CU66" i="434"/>
  <c r="DC65" i="434"/>
  <c r="DE65" i="434" s="1"/>
  <c r="CX65" i="434"/>
  <c r="CW65" i="434" s="1"/>
  <c r="CY65" i="434"/>
  <c r="AB45" i="437"/>
  <c r="AF45" i="437"/>
  <c r="AL45" i="437"/>
  <c r="AR45" i="437"/>
  <c r="AD45" i="437"/>
  <c r="AC45" i="437" s="1"/>
  <c r="AI45" i="437"/>
  <c r="AO45" i="437"/>
  <c r="AU45" i="437"/>
  <c r="AH45" i="437"/>
  <c r="AT45" i="437"/>
  <c r="AK45" i="437"/>
  <c r="AN45" i="437"/>
  <c r="AQ45" i="437"/>
  <c r="AE45" i="437"/>
  <c r="DP51" i="434"/>
  <c r="DP45" i="434"/>
  <c r="DP46" i="434"/>
  <c r="B37" i="420"/>
  <c r="A28" i="456"/>
  <c r="B32" i="236"/>
  <c r="E30" i="453"/>
  <c r="D28" i="459"/>
  <c r="B30" i="453"/>
  <c r="F28" i="459"/>
  <c r="BW91" i="236"/>
  <c r="BW89" i="236"/>
  <c r="BW97" i="236"/>
  <c r="BW95" i="236"/>
  <c r="BW92" i="236"/>
  <c r="BW96" i="236"/>
  <c r="BW90" i="236"/>
  <c r="BW93" i="236"/>
  <c r="BW101" i="236"/>
  <c r="BW102" i="236"/>
  <c r="A31" i="453"/>
  <c r="F31" i="453" s="1"/>
  <c r="F218" i="5"/>
  <c r="F249" i="5"/>
  <c r="AA32" i="5"/>
  <c r="AC32" i="5" s="1"/>
  <c r="AB31" i="5"/>
  <c r="A29" i="432"/>
  <c r="N27" i="436"/>
  <c r="N26" i="437"/>
  <c r="N26" i="436"/>
  <c r="C41" i="450"/>
  <c r="AI5" i="235"/>
  <c r="BN5" i="235" s="1"/>
  <c r="AJ4" i="235"/>
  <c r="BO4" i="235" s="1"/>
  <c r="BO3" i="235" s="1"/>
  <c r="A29" i="234"/>
  <c r="BW100" i="236"/>
  <c r="BW99" i="236"/>
  <c r="BU5" i="236"/>
  <c r="AP4" i="236"/>
  <c r="AP3" i="236" s="1"/>
  <c r="AO5" i="236"/>
  <c r="A27" i="238"/>
  <c r="A30" i="459" s="1"/>
  <c r="E30" i="459" s="1"/>
  <c r="K26" i="238"/>
  <c r="F26" i="238"/>
  <c r="G25" i="238"/>
  <c r="H25" i="238" s="1"/>
  <c r="F28" i="432" s="1"/>
  <c r="T25" i="238"/>
  <c r="BX84" i="236"/>
  <c r="BW86" i="236"/>
  <c r="Y34" i="5"/>
  <c r="Z33" i="5"/>
  <c r="AA33" i="5" s="1"/>
  <c r="AC33" i="5" s="1"/>
  <c r="AG36" i="435"/>
  <c r="AH36" i="435"/>
  <c r="V36" i="435"/>
  <c r="AN36" i="435" s="1"/>
  <c r="S36" i="435"/>
  <c r="AX14" i="420"/>
  <c r="H24" i="433"/>
  <c r="H23" i="433"/>
  <c r="AB46" i="436" l="1"/>
  <c r="AF46" i="436"/>
  <c r="AK46" i="436"/>
  <c r="AA47" i="436"/>
  <c r="AC46" i="436"/>
  <c r="AH46" i="436"/>
  <c r="AD46" i="436"/>
  <c r="AI46" i="436"/>
  <c r="AE46" i="436"/>
  <c r="AL46" i="436"/>
  <c r="AG46" i="436"/>
  <c r="AE47" i="437"/>
  <c r="AK47" i="437"/>
  <c r="AQ47" i="437"/>
  <c r="AA48" i="437"/>
  <c r="AB47" i="437"/>
  <c r="AF47" i="437"/>
  <c r="AL47" i="437"/>
  <c r="AR47" i="437"/>
  <c r="AH47" i="437"/>
  <c r="AT47" i="437"/>
  <c r="AI47" i="437"/>
  <c r="AU47" i="437"/>
  <c r="AN47" i="437"/>
  <c r="AD47" i="437"/>
  <c r="AC47" i="437" s="1"/>
  <c r="AO47" i="437"/>
  <c r="CX66" i="434"/>
  <c r="CW66" i="434" s="1"/>
  <c r="CY66" i="434"/>
  <c r="DC66" i="434"/>
  <c r="DE66" i="434" s="1"/>
  <c r="CV66" i="434"/>
  <c r="DD66" i="434"/>
  <c r="CZ66" i="434"/>
  <c r="CU67" i="434"/>
  <c r="DA65" i="434"/>
  <c r="DB65" i="434"/>
  <c r="B38" i="420"/>
  <c r="A29" i="456"/>
  <c r="B33" i="236"/>
  <c r="B31" i="453"/>
  <c r="F29" i="459"/>
  <c r="E31" i="453"/>
  <c r="D29" i="459"/>
  <c r="BX97" i="236"/>
  <c r="BX95" i="236"/>
  <c r="BX90" i="236"/>
  <c r="BX96" i="236"/>
  <c r="BX91" i="236"/>
  <c r="BX93" i="236"/>
  <c r="BX89" i="236"/>
  <c r="BX92" i="236"/>
  <c r="BX102" i="236"/>
  <c r="BX101" i="236"/>
  <c r="A32" i="453"/>
  <c r="F32" i="453" s="1"/>
  <c r="F219" i="5"/>
  <c r="F251" i="5" s="1"/>
  <c r="F250" i="5"/>
  <c r="AB32" i="5"/>
  <c r="A30" i="432"/>
  <c r="C42" i="450"/>
  <c r="AK4" i="235"/>
  <c r="BP4" i="235" s="1"/>
  <c r="BP3" i="235" s="1"/>
  <c r="AJ5" i="235"/>
  <c r="BO5" i="235" s="1"/>
  <c r="BX100" i="236"/>
  <c r="BX99" i="236"/>
  <c r="AQ4" i="236"/>
  <c r="AQ3" i="236" s="1"/>
  <c r="BV5" i="236"/>
  <c r="AP5" i="236"/>
  <c r="A28" i="238"/>
  <c r="A31" i="459" s="1"/>
  <c r="E31" i="459" s="1"/>
  <c r="K27" i="238"/>
  <c r="F27" i="238"/>
  <c r="G26" i="238"/>
  <c r="H26" i="238" s="1"/>
  <c r="F29" i="432" s="1"/>
  <c r="T26" i="238"/>
  <c r="BX86" i="236"/>
  <c r="BY84" i="236"/>
  <c r="AB33" i="5"/>
  <c r="Y35" i="5"/>
  <c r="Z34" i="5"/>
  <c r="V37" i="435"/>
  <c r="AN37" i="435" s="1"/>
  <c r="AH37" i="435"/>
  <c r="AG37" i="435"/>
  <c r="S37" i="435"/>
  <c r="AE47" i="436" l="1"/>
  <c r="AI47" i="436"/>
  <c r="AC47" i="436"/>
  <c r="AH47" i="436"/>
  <c r="AD47" i="436"/>
  <c r="AK47" i="436"/>
  <c r="AA48" i="436"/>
  <c r="AF47" i="436"/>
  <c r="AL47" i="436"/>
  <c r="AG47" i="436"/>
  <c r="AB47" i="436"/>
  <c r="AE48" i="437"/>
  <c r="AK48" i="437"/>
  <c r="AQ48" i="437"/>
  <c r="AA49" i="437"/>
  <c r="AB48" i="437"/>
  <c r="AF48" i="437"/>
  <c r="AL48" i="437"/>
  <c r="AR48" i="437"/>
  <c r="AI48" i="437"/>
  <c r="AU48" i="437"/>
  <c r="AN48" i="437"/>
  <c r="AD48" i="437"/>
  <c r="AC48" i="437" s="1"/>
  <c r="AO48" i="437"/>
  <c r="AH48" i="437"/>
  <c r="AT48" i="437"/>
  <c r="CV67" i="434"/>
  <c r="CZ67" i="434"/>
  <c r="DD67" i="434"/>
  <c r="CX67" i="434"/>
  <c r="CW67" i="434" s="1"/>
  <c r="CU68" i="434"/>
  <c r="CY67" i="434"/>
  <c r="DC67" i="434"/>
  <c r="DE67" i="434" s="1"/>
  <c r="DB66" i="434"/>
  <c r="DA66" i="434"/>
  <c r="E32" i="453"/>
  <c r="D30" i="459"/>
  <c r="B32" i="453"/>
  <c r="F30" i="459"/>
  <c r="BY89" i="236"/>
  <c r="BY93" i="236"/>
  <c r="BY91" i="236"/>
  <c r="BY96" i="236"/>
  <c r="BY90" i="236"/>
  <c r="BY97" i="236"/>
  <c r="BY95" i="236"/>
  <c r="BY92" i="236"/>
  <c r="BY102" i="236"/>
  <c r="BY101" i="236"/>
  <c r="A33" i="453"/>
  <c r="F33" i="453" s="1"/>
  <c r="AA34" i="5"/>
  <c r="AC34" i="5" s="1"/>
  <c r="A31" i="432"/>
  <c r="C43" i="450"/>
  <c r="AL4" i="235"/>
  <c r="BQ4" i="235" s="1"/>
  <c r="BQ3" i="235" s="1"/>
  <c r="AK5" i="235"/>
  <c r="BP5" i="235" s="1"/>
  <c r="BY99" i="236"/>
  <c r="BY100" i="236"/>
  <c r="BW5" i="236"/>
  <c r="AQ5" i="236"/>
  <c r="AR4" i="236"/>
  <c r="AR3" i="236" s="1"/>
  <c r="A29" i="238"/>
  <c r="A32" i="459" s="1"/>
  <c r="E32" i="459" s="1"/>
  <c r="K28" i="238"/>
  <c r="F28" i="238"/>
  <c r="T27" i="238"/>
  <c r="G27" i="238"/>
  <c r="H27" i="238" s="1"/>
  <c r="F30" i="432" s="1"/>
  <c r="BY86" i="236"/>
  <c r="BZ84" i="236"/>
  <c r="S39" i="435"/>
  <c r="Y36" i="5"/>
  <c r="Z35" i="5"/>
  <c r="AA35" i="5" s="1"/>
  <c r="AC35" i="5" s="1"/>
  <c r="AA38" i="435"/>
  <c r="AG38" i="435"/>
  <c r="V38" i="435"/>
  <c r="AN38" i="435" s="1"/>
  <c r="AH38" i="435"/>
  <c r="X38" i="435"/>
  <c r="S38" i="435"/>
  <c r="AD48" i="436" l="1"/>
  <c r="AH48" i="436"/>
  <c r="AE48" i="436"/>
  <c r="AK48" i="436"/>
  <c r="AF48" i="436"/>
  <c r="AL48" i="436"/>
  <c r="AA49" i="436"/>
  <c r="AB48" i="436"/>
  <c r="AG48" i="436"/>
  <c r="AC48" i="436"/>
  <c r="AI48" i="436"/>
  <c r="AE49" i="437"/>
  <c r="AK49" i="437"/>
  <c r="AQ49" i="437"/>
  <c r="AA50" i="437"/>
  <c r="AB49" i="437"/>
  <c r="AF49" i="437"/>
  <c r="AL49" i="437"/>
  <c r="AR49" i="437"/>
  <c r="AN49" i="437"/>
  <c r="AD49" i="437"/>
  <c r="AC49" i="437" s="1"/>
  <c r="AO49" i="437"/>
  <c r="AH49" i="437"/>
  <c r="AT49" i="437"/>
  <c r="AI49" i="437"/>
  <c r="AU49" i="437"/>
  <c r="DA67" i="434"/>
  <c r="DB67" i="434"/>
  <c r="CY68" i="434"/>
  <c r="DC68" i="434"/>
  <c r="DE68" i="434" s="1"/>
  <c r="CV68" i="434"/>
  <c r="CZ68" i="434"/>
  <c r="DD68" i="434"/>
  <c r="CU69" i="434"/>
  <c r="CX68" i="434"/>
  <c r="CW68" i="434" s="1"/>
  <c r="B33" i="453"/>
  <c r="F31" i="459"/>
  <c r="E33" i="453"/>
  <c r="D31" i="459"/>
  <c r="BZ96" i="236"/>
  <c r="BZ92" i="236"/>
  <c r="BZ90" i="236"/>
  <c r="BZ89" i="236"/>
  <c r="BZ93" i="236"/>
  <c r="BZ97" i="236"/>
  <c r="BZ95" i="236"/>
  <c r="BZ91" i="236"/>
  <c r="BZ101" i="236"/>
  <c r="BZ102" i="236"/>
  <c r="A34" i="453"/>
  <c r="F34" i="453" s="1"/>
  <c r="S40" i="435"/>
  <c r="AB34" i="5"/>
  <c r="A32" i="432"/>
  <c r="C44" i="450"/>
  <c r="AL5" i="235"/>
  <c r="BQ5" i="235" s="1"/>
  <c r="AM4" i="235"/>
  <c r="BR4" i="235" s="1"/>
  <c r="BR3" i="235" s="1"/>
  <c r="BZ100" i="236"/>
  <c r="BZ99" i="236"/>
  <c r="BX5" i="236"/>
  <c r="AS4" i="236"/>
  <c r="AS3" i="236" s="1"/>
  <c r="AR5" i="236"/>
  <c r="T28" i="238"/>
  <c r="G28" i="238"/>
  <c r="H28" i="238" s="1"/>
  <c r="F31" i="432" s="1"/>
  <c r="A30" i="238"/>
  <c r="A33" i="459" s="1"/>
  <c r="E33" i="459" s="1"/>
  <c r="K29" i="238"/>
  <c r="F29" i="238"/>
  <c r="CA84" i="236"/>
  <c r="BZ86" i="236"/>
  <c r="AB35" i="5"/>
  <c r="Y37" i="5"/>
  <c r="Z36" i="5"/>
  <c r="B32" i="235"/>
  <c r="AA39" i="435"/>
  <c r="AG39" i="435"/>
  <c r="AL38" i="435"/>
  <c r="AH39" i="435"/>
  <c r="X39" i="435"/>
  <c r="V39" i="435"/>
  <c r="AN39" i="435" s="1"/>
  <c r="AK38" i="435"/>
  <c r="AC49" i="436" l="1"/>
  <c r="AG49" i="436"/>
  <c r="AL49" i="436"/>
  <c r="AE49" i="436"/>
  <c r="AK49" i="436"/>
  <c r="AF49" i="436"/>
  <c r="AA50" i="436"/>
  <c r="AB49" i="436"/>
  <c r="AH49" i="436"/>
  <c r="AI49" i="436"/>
  <c r="AD49" i="436"/>
  <c r="AE50" i="437"/>
  <c r="AK50" i="437"/>
  <c r="AQ50" i="437"/>
  <c r="AA51" i="437"/>
  <c r="AB50" i="437"/>
  <c r="AF50" i="437"/>
  <c r="AL50" i="437"/>
  <c r="AR50" i="437"/>
  <c r="AD50" i="437"/>
  <c r="AC50" i="437" s="1"/>
  <c r="AO50" i="437"/>
  <c r="AH50" i="437"/>
  <c r="AT50" i="437"/>
  <c r="AI50" i="437"/>
  <c r="AU50" i="437"/>
  <c r="AN50" i="437"/>
  <c r="DA68" i="434"/>
  <c r="DB68" i="434"/>
  <c r="CU70" i="434"/>
  <c r="CX69" i="434"/>
  <c r="CW69" i="434" s="1"/>
  <c r="CY69" i="434"/>
  <c r="DC69" i="434"/>
  <c r="DE69" i="434" s="1"/>
  <c r="CV69" i="434"/>
  <c r="CZ69" i="434"/>
  <c r="DD69" i="434"/>
  <c r="B34" i="453"/>
  <c r="F32" i="459"/>
  <c r="E34" i="453"/>
  <c r="D32" i="459"/>
  <c r="CA91" i="236"/>
  <c r="CA97" i="236"/>
  <c r="CA95" i="236"/>
  <c r="CA92" i="236"/>
  <c r="CA89" i="236"/>
  <c r="CA96" i="236"/>
  <c r="CA90" i="236"/>
  <c r="CA93" i="236"/>
  <c r="CA101" i="236"/>
  <c r="CA102" i="236"/>
  <c r="A35" i="453"/>
  <c r="F35" i="453" s="1"/>
  <c r="AA36" i="5"/>
  <c r="AC36" i="5" s="1"/>
  <c r="A33" i="432"/>
  <c r="C45" i="450"/>
  <c r="AM5" i="235"/>
  <c r="BR5" i="235" s="1"/>
  <c r="AN4" i="235"/>
  <c r="BS4" i="235" s="1"/>
  <c r="BS3" i="235" s="1"/>
  <c r="CA100" i="236"/>
  <c r="CA99" i="236"/>
  <c r="AT4" i="236"/>
  <c r="AT3" i="236" s="1"/>
  <c r="BY5" i="236"/>
  <c r="AS5" i="236"/>
  <c r="T29" i="238"/>
  <c r="G29" i="238"/>
  <c r="H29" i="238" s="1"/>
  <c r="F32" i="432" s="1"/>
  <c r="A31" i="238"/>
  <c r="A34" i="459" s="1"/>
  <c r="E34" i="459" s="1"/>
  <c r="K30" i="238"/>
  <c r="F30" i="238"/>
  <c r="CB84" i="236"/>
  <c r="CA86" i="236"/>
  <c r="S41" i="435"/>
  <c r="Z37" i="5"/>
  <c r="AA37" i="5" s="1"/>
  <c r="AC37" i="5" s="1"/>
  <c r="Y38" i="5"/>
  <c r="AK39" i="435"/>
  <c r="AG40" i="435"/>
  <c r="AL39" i="435"/>
  <c r="AA40" i="435"/>
  <c r="X40" i="435"/>
  <c r="V40" i="435"/>
  <c r="AN40" i="435" s="1"/>
  <c r="AH40" i="435"/>
  <c r="AB50" i="436" l="1"/>
  <c r="AF50" i="436"/>
  <c r="AK50" i="436"/>
  <c r="AA51" i="436"/>
  <c r="AE50" i="436"/>
  <c r="AL50" i="436"/>
  <c r="AG50" i="436"/>
  <c r="AC50" i="436"/>
  <c r="AH50" i="436"/>
  <c r="AD50" i="436"/>
  <c r="AI50" i="436"/>
  <c r="AE51" i="437"/>
  <c r="AK51" i="437"/>
  <c r="AQ51" i="437"/>
  <c r="AA52" i="437"/>
  <c r="AB51" i="437"/>
  <c r="AF51" i="437"/>
  <c r="AL51" i="437"/>
  <c r="AR51" i="437"/>
  <c r="AH51" i="437"/>
  <c r="AT51" i="437"/>
  <c r="AI51" i="437"/>
  <c r="AU51" i="437"/>
  <c r="AN51" i="437"/>
  <c r="AD51" i="437"/>
  <c r="AC51" i="437" s="1"/>
  <c r="AO51" i="437"/>
  <c r="CY70" i="434"/>
  <c r="DC70" i="434"/>
  <c r="DE70" i="434" s="1"/>
  <c r="CV70" i="434"/>
  <c r="CZ70" i="434"/>
  <c r="DD70" i="434"/>
  <c r="CU71" i="434"/>
  <c r="CX70" i="434"/>
  <c r="CW70" i="434" s="1"/>
  <c r="DA69" i="434"/>
  <c r="DB69" i="434"/>
  <c r="E35" i="453"/>
  <c r="D33" i="459"/>
  <c r="B35" i="453"/>
  <c r="F33" i="459"/>
  <c r="CB97" i="236"/>
  <c r="CB95" i="236"/>
  <c r="CB90" i="236"/>
  <c r="CB91" i="236"/>
  <c r="CB96" i="236"/>
  <c r="CB89" i="236"/>
  <c r="CB93" i="236"/>
  <c r="CB92" i="236"/>
  <c r="CB102" i="236"/>
  <c r="CB101" i="236"/>
  <c r="A36" i="453"/>
  <c r="F36" i="453" s="1"/>
  <c r="S42" i="435"/>
  <c r="AB36" i="5"/>
  <c r="A34" i="432"/>
  <c r="C46" i="450"/>
  <c r="AN5" i="235"/>
  <c r="BS5" i="235" s="1"/>
  <c r="CB100" i="236"/>
  <c r="CB99" i="236"/>
  <c r="BZ5" i="236"/>
  <c r="AT5" i="236"/>
  <c r="AU4" i="236"/>
  <c r="AU3" i="236" s="1"/>
  <c r="A32" i="238"/>
  <c r="A35" i="459" s="1"/>
  <c r="E35" i="459" s="1"/>
  <c r="K31" i="238"/>
  <c r="F31" i="238"/>
  <c r="G30" i="238"/>
  <c r="H30" i="238" s="1"/>
  <c r="F33" i="432" s="1"/>
  <c r="T30" i="238"/>
  <c r="CB86" i="236"/>
  <c r="Z38" i="5"/>
  <c r="Y39" i="5"/>
  <c r="AB37" i="5"/>
  <c r="B33" i="235"/>
  <c r="A30" i="234"/>
  <c r="AA41" i="435"/>
  <c r="AB41" i="435"/>
  <c r="V41" i="435"/>
  <c r="AN41" i="435" s="1"/>
  <c r="AK40" i="435"/>
  <c r="AL40" i="435"/>
  <c r="X41" i="435"/>
  <c r="AH41" i="435"/>
  <c r="AG41" i="435"/>
  <c r="Y41" i="435"/>
  <c r="AE51" i="436" l="1"/>
  <c r="AI51" i="436"/>
  <c r="AF51" i="436"/>
  <c r="AL51" i="436"/>
  <c r="AB51" i="436"/>
  <c r="AG51" i="436"/>
  <c r="AA52" i="436"/>
  <c r="AC51" i="436"/>
  <c r="AH51" i="436"/>
  <c r="AK51" i="436"/>
  <c r="AD51" i="436"/>
  <c r="AE52" i="437"/>
  <c r="AK52" i="437"/>
  <c r="AQ52" i="437"/>
  <c r="AA53" i="437"/>
  <c r="AB52" i="437"/>
  <c r="AF52" i="437"/>
  <c r="AL52" i="437"/>
  <c r="AR52" i="437"/>
  <c r="AI52" i="437"/>
  <c r="AU52" i="437"/>
  <c r="AN52" i="437"/>
  <c r="AD52" i="437"/>
  <c r="AC52" i="437" s="1"/>
  <c r="AO52" i="437"/>
  <c r="AT52" i="437"/>
  <c r="AH52" i="437"/>
  <c r="CX71" i="434"/>
  <c r="CW71" i="434" s="1"/>
  <c r="CY71" i="434"/>
  <c r="DC71" i="434"/>
  <c r="DE71" i="434" s="1"/>
  <c r="CV71" i="434"/>
  <c r="CZ71" i="434"/>
  <c r="DD71" i="434"/>
  <c r="CU72" i="434"/>
  <c r="DA70" i="434"/>
  <c r="DB70" i="434"/>
  <c r="CO17" i="236"/>
  <c r="R33" i="455" s="1"/>
  <c r="CQ17" i="236"/>
  <c r="T33" i="455" s="1"/>
  <c r="CL17" i="236"/>
  <c r="O33" i="455" s="1"/>
  <c r="CM17" i="236"/>
  <c r="P33" i="455" s="1"/>
  <c r="CI17" i="236"/>
  <c r="L33" i="455" s="1"/>
  <c r="U33" i="455" s="1"/>
  <c r="CH17" i="236"/>
  <c r="K33" i="455" s="1"/>
  <c r="CJ17" i="236"/>
  <c r="M33" i="455" s="1"/>
  <c r="CG17" i="236"/>
  <c r="J33" i="455" s="1"/>
  <c r="CN17" i="236"/>
  <c r="Q33" i="455" s="1"/>
  <c r="CP17" i="236"/>
  <c r="S33" i="455" s="1"/>
  <c r="CF17" i="236"/>
  <c r="I33" i="455" s="1"/>
  <c r="CK17" i="236"/>
  <c r="N33" i="455" s="1"/>
  <c r="CD17" i="236"/>
  <c r="G33" i="455" s="1"/>
  <c r="B39" i="420"/>
  <c r="A30" i="456"/>
  <c r="B34" i="236"/>
  <c r="CE34" i="236" s="1"/>
  <c r="N50" i="436" s="1"/>
  <c r="B36" i="453"/>
  <c r="F34" i="459"/>
  <c r="E36" i="453"/>
  <c r="D34" i="459"/>
  <c r="CI12" i="236"/>
  <c r="L28" i="455" s="1"/>
  <c r="U28" i="455" s="1"/>
  <c r="CI28" i="236"/>
  <c r="L44" i="455" s="1"/>
  <c r="CI11" i="236"/>
  <c r="L27" i="455" s="1"/>
  <c r="U27" i="455" s="1"/>
  <c r="CI15" i="236"/>
  <c r="L31" i="455" s="1"/>
  <c r="U31" i="455" s="1"/>
  <c r="CI23" i="236"/>
  <c r="L39" i="455" s="1"/>
  <c r="U39" i="455" s="1"/>
  <c r="CI27" i="236"/>
  <c r="L43" i="455" s="1"/>
  <c r="CI10" i="236"/>
  <c r="L26" i="455" s="1"/>
  <c r="U26" i="455" s="1"/>
  <c r="CI19" i="236"/>
  <c r="L35" i="455" s="1"/>
  <c r="U35" i="455" s="1"/>
  <c r="CI31" i="236"/>
  <c r="L47" i="455" s="1"/>
  <c r="CI14" i="236"/>
  <c r="L30" i="455" s="1"/>
  <c r="U30" i="455" s="1"/>
  <c r="CI24" i="236"/>
  <c r="L40" i="455" s="1"/>
  <c r="U40" i="455" s="1"/>
  <c r="CI16" i="236"/>
  <c r="L32" i="455" s="1"/>
  <c r="U32" i="455" s="1"/>
  <c r="CH15" i="236"/>
  <c r="K31" i="455" s="1"/>
  <c r="CH24" i="236"/>
  <c r="K40" i="455" s="1"/>
  <c r="CH14" i="236"/>
  <c r="K30" i="455" s="1"/>
  <c r="CH11" i="236"/>
  <c r="K27" i="455" s="1"/>
  <c r="CH23" i="236"/>
  <c r="K39" i="455" s="1"/>
  <c r="CH27" i="236"/>
  <c r="K43" i="455" s="1"/>
  <c r="CH28" i="236"/>
  <c r="K44" i="455" s="1"/>
  <c r="CH19" i="236"/>
  <c r="K35" i="455" s="1"/>
  <c r="CH31" i="236"/>
  <c r="K47" i="455" s="1"/>
  <c r="CH10" i="236"/>
  <c r="K26" i="455" s="1"/>
  <c r="CH16" i="236"/>
  <c r="K32" i="455" s="1"/>
  <c r="CH12" i="236"/>
  <c r="K28" i="455" s="1"/>
  <c r="CG31" i="236"/>
  <c r="J47" i="455" s="1"/>
  <c r="CG16" i="236"/>
  <c r="J32" i="455" s="1"/>
  <c r="CG24" i="236"/>
  <c r="J40" i="455" s="1"/>
  <c r="CG27" i="236"/>
  <c r="J43" i="455" s="1"/>
  <c r="CG14" i="236"/>
  <c r="J30" i="455" s="1"/>
  <c r="CG15" i="236"/>
  <c r="J31" i="455" s="1"/>
  <c r="CG11" i="236"/>
  <c r="J27" i="455" s="1"/>
  <c r="CG12" i="236"/>
  <c r="J28" i="455" s="1"/>
  <c r="CG23" i="236"/>
  <c r="J39" i="455" s="1"/>
  <c r="CG34" i="236"/>
  <c r="J50" i="455" s="1"/>
  <c r="CG10" i="236"/>
  <c r="J26" i="455" s="1"/>
  <c r="CG28" i="236"/>
  <c r="J44" i="455" s="1"/>
  <c r="CG19" i="236"/>
  <c r="J35" i="455" s="1"/>
  <c r="CM34" i="236"/>
  <c r="P50" i="455" s="1"/>
  <c r="CM14" i="236"/>
  <c r="P30" i="455" s="1"/>
  <c r="CM12" i="236"/>
  <c r="P28" i="455" s="1"/>
  <c r="CM15" i="236"/>
  <c r="P31" i="455" s="1"/>
  <c r="CM28" i="236"/>
  <c r="P44" i="455" s="1"/>
  <c r="CM19" i="236"/>
  <c r="P35" i="455" s="1"/>
  <c r="CM11" i="236"/>
  <c r="P27" i="455" s="1"/>
  <c r="CM31" i="236"/>
  <c r="P47" i="455" s="1"/>
  <c r="CM16" i="236"/>
  <c r="P32" i="455" s="1"/>
  <c r="CM23" i="236"/>
  <c r="P39" i="455" s="1"/>
  <c r="CM27" i="236"/>
  <c r="P43" i="455" s="1"/>
  <c r="CM10" i="236"/>
  <c r="P26" i="455" s="1"/>
  <c r="CM24" i="236"/>
  <c r="P40" i="455" s="1"/>
  <c r="A33" i="238"/>
  <c r="A38" i="453" s="1"/>
  <c r="A37" i="453"/>
  <c r="F37" i="453" s="1"/>
  <c r="CF12" i="236"/>
  <c r="I28" i="455" s="1"/>
  <c r="CF11" i="236"/>
  <c r="I27" i="455" s="1"/>
  <c r="CF28" i="236"/>
  <c r="I44" i="455" s="1"/>
  <c r="CF19" i="236"/>
  <c r="I35" i="455" s="1"/>
  <c r="CF23" i="236"/>
  <c r="I39" i="455" s="1"/>
  <c r="CF16" i="236"/>
  <c r="I32" i="455" s="1"/>
  <c r="CF27" i="236"/>
  <c r="I43" i="455" s="1"/>
  <c r="CF14" i="236"/>
  <c r="I30" i="455" s="1"/>
  <c r="CF31" i="236"/>
  <c r="I47" i="455" s="1"/>
  <c r="CF15" i="236"/>
  <c r="I31" i="455" s="1"/>
  <c r="CD16" i="236"/>
  <c r="G32" i="455" s="1"/>
  <c r="CF24" i="236"/>
  <c r="I40" i="455" s="1"/>
  <c r="CF10" i="236"/>
  <c r="I26" i="455" s="1"/>
  <c r="CD31" i="236"/>
  <c r="G47" i="455" s="1"/>
  <c r="CD28" i="236"/>
  <c r="G44" i="455" s="1"/>
  <c r="CD12" i="236"/>
  <c r="G28" i="455" s="1"/>
  <c r="CD11" i="236"/>
  <c r="G27" i="455" s="1"/>
  <c r="CD27" i="236"/>
  <c r="G43" i="455" s="1"/>
  <c r="CD19" i="236"/>
  <c r="G35" i="455" s="1"/>
  <c r="CD14" i="236"/>
  <c r="CD15" i="236"/>
  <c r="G31" i="455" s="1"/>
  <c r="CD24" i="236"/>
  <c r="G40" i="455" s="1"/>
  <c r="CD23" i="236"/>
  <c r="G39" i="455" s="1"/>
  <c r="CD10" i="236"/>
  <c r="G26" i="455" s="1"/>
  <c r="CQ12" i="236"/>
  <c r="T28" i="455" s="1"/>
  <c r="CQ16" i="236"/>
  <c r="T32" i="455" s="1"/>
  <c r="CQ27" i="236"/>
  <c r="T43" i="455" s="1"/>
  <c r="CQ31" i="236"/>
  <c r="T47" i="455" s="1"/>
  <c r="CQ10" i="236"/>
  <c r="T26" i="455" s="1"/>
  <c r="CQ11" i="236"/>
  <c r="T27" i="455" s="1"/>
  <c r="CQ23" i="236"/>
  <c r="T39" i="455" s="1"/>
  <c r="CQ19" i="236"/>
  <c r="T35" i="455" s="1"/>
  <c r="CQ14" i="236"/>
  <c r="T30" i="455" s="1"/>
  <c r="CQ28" i="236"/>
  <c r="T44" i="455" s="1"/>
  <c r="CQ15" i="236"/>
  <c r="T31" i="455" s="1"/>
  <c r="CQ34" i="236"/>
  <c r="T50" i="455" s="1"/>
  <c r="CQ24" i="236"/>
  <c r="T40" i="455" s="1"/>
  <c r="CN16" i="236"/>
  <c r="Q32" i="455" s="1"/>
  <c r="CN24" i="236"/>
  <c r="Q40" i="455" s="1"/>
  <c r="CN12" i="236"/>
  <c r="Q28" i="455" s="1"/>
  <c r="CN31" i="236"/>
  <c r="Q47" i="455" s="1"/>
  <c r="CN28" i="236"/>
  <c r="Q44" i="455" s="1"/>
  <c r="CN27" i="236"/>
  <c r="Q43" i="455" s="1"/>
  <c r="CN10" i="236"/>
  <c r="Q26" i="455" s="1"/>
  <c r="CN11" i="236"/>
  <c r="Q27" i="455" s="1"/>
  <c r="CN14" i="236"/>
  <c r="Q30" i="455" s="1"/>
  <c r="CN19" i="236"/>
  <c r="Q35" i="455" s="1"/>
  <c r="CN23" i="236"/>
  <c r="Q39" i="455" s="1"/>
  <c r="CN15" i="236"/>
  <c r="Q31" i="455" s="1"/>
  <c r="CL16" i="236"/>
  <c r="O32" i="455" s="1"/>
  <c r="CL11" i="236"/>
  <c r="O27" i="455" s="1"/>
  <c r="CL14" i="236"/>
  <c r="O30" i="455" s="1"/>
  <c r="CL19" i="236"/>
  <c r="O35" i="455" s="1"/>
  <c r="CL24" i="236"/>
  <c r="O40" i="455" s="1"/>
  <c r="CL31" i="236"/>
  <c r="O47" i="455" s="1"/>
  <c r="CL23" i="236"/>
  <c r="O39" i="455" s="1"/>
  <c r="CL10" i="236"/>
  <c r="O26" i="455" s="1"/>
  <c r="CL28" i="236"/>
  <c r="O44" i="455" s="1"/>
  <c r="CL34" i="236"/>
  <c r="O50" i="455" s="1"/>
  <c r="CL15" i="236"/>
  <c r="O31" i="455" s="1"/>
  <c r="CL27" i="236"/>
  <c r="O43" i="455" s="1"/>
  <c r="CL12" i="236"/>
  <c r="O28" i="455" s="1"/>
  <c r="CP24" i="236"/>
  <c r="S40" i="455" s="1"/>
  <c r="CP23" i="236"/>
  <c r="S39" i="455" s="1"/>
  <c r="CP16" i="236"/>
  <c r="S32" i="455" s="1"/>
  <c r="CP15" i="236"/>
  <c r="S31" i="455" s="1"/>
  <c r="CP12" i="236"/>
  <c r="S28" i="455" s="1"/>
  <c r="CP19" i="236"/>
  <c r="S35" i="455" s="1"/>
  <c r="CP27" i="236"/>
  <c r="S43" i="455" s="1"/>
  <c r="CP14" i="236"/>
  <c r="S30" i="455" s="1"/>
  <c r="CP10" i="236"/>
  <c r="S26" i="455" s="1"/>
  <c r="CP11" i="236"/>
  <c r="S27" i="455" s="1"/>
  <c r="CP28" i="236"/>
  <c r="S44" i="455" s="1"/>
  <c r="CP31" i="236"/>
  <c r="S47" i="455" s="1"/>
  <c r="CO23" i="236"/>
  <c r="R39" i="455" s="1"/>
  <c r="CO31" i="236"/>
  <c r="R47" i="455" s="1"/>
  <c r="CO10" i="236"/>
  <c r="R26" i="455" s="1"/>
  <c r="CO15" i="236"/>
  <c r="R31" i="455" s="1"/>
  <c r="CO14" i="236"/>
  <c r="R30" i="455" s="1"/>
  <c r="CO24" i="236"/>
  <c r="R40" i="455" s="1"/>
  <c r="CO12" i="236"/>
  <c r="R28" i="455" s="1"/>
  <c r="CO34" i="236"/>
  <c r="R50" i="455" s="1"/>
  <c r="CO11" i="236"/>
  <c r="R27" i="455" s="1"/>
  <c r="CO28" i="236"/>
  <c r="R44" i="455" s="1"/>
  <c r="CO27" i="236"/>
  <c r="R43" i="455" s="1"/>
  <c r="CO19" i="236"/>
  <c r="R35" i="455" s="1"/>
  <c r="CO16" i="236"/>
  <c r="R32" i="455" s="1"/>
  <c r="CK34" i="236"/>
  <c r="N50" i="455" s="1"/>
  <c r="CK16" i="236"/>
  <c r="N32" i="455" s="1"/>
  <c r="CK23" i="236"/>
  <c r="N39" i="455" s="1"/>
  <c r="CK14" i="236"/>
  <c r="N30" i="455" s="1"/>
  <c r="CK15" i="236"/>
  <c r="N31" i="455" s="1"/>
  <c r="CK27" i="236"/>
  <c r="N43" i="455" s="1"/>
  <c r="CK28" i="236"/>
  <c r="N44" i="455" s="1"/>
  <c r="CK31" i="236"/>
  <c r="N47" i="455" s="1"/>
  <c r="CK12" i="236"/>
  <c r="N28" i="455" s="1"/>
  <c r="CK11" i="236"/>
  <c r="N27" i="455" s="1"/>
  <c r="CK24" i="236"/>
  <c r="N40" i="455" s="1"/>
  <c r="CK19" i="236"/>
  <c r="N35" i="455" s="1"/>
  <c r="CK10" i="236"/>
  <c r="N26" i="455" s="1"/>
  <c r="CJ10" i="236"/>
  <c r="M26" i="455" s="1"/>
  <c r="CJ28" i="236"/>
  <c r="M44" i="455" s="1"/>
  <c r="CJ31" i="236"/>
  <c r="M47" i="455" s="1"/>
  <c r="CJ34" i="236"/>
  <c r="M50" i="455" s="1"/>
  <c r="CJ24" i="236"/>
  <c r="M40" i="455" s="1"/>
  <c r="CJ19" i="236"/>
  <c r="M35" i="455" s="1"/>
  <c r="CJ14" i="236"/>
  <c r="M30" i="455" s="1"/>
  <c r="CJ11" i="236"/>
  <c r="M27" i="455" s="1"/>
  <c r="CJ12" i="236"/>
  <c r="M28" i="455" s="1"/>
  <c r="CJ27" i="236"/>
  <c r="M43" i="455" s="1"/>
  <c r="CJ15" i="236"/>
  <c r="M31" i="455" s="1"/>
  <c r="CJ16" i="236"/>
  <c r="M32" i="455" s="1"/>
  <c r="CJ23" i="236"/>
  <c r="M39" i="455" s="1"/>
  <c r="AA38" i="5"/>
  <c r="AC38" i="5" s="1"/>
  <c r="A35" i="432"/>
  <c r="C47" i="450"/>
  <c r="B34" i="235"/>
  <c r="CA5" i="236"/>
  <c r="AU5" i="236"/>
  <c r="T31" i="238"/>
  <c r="G31" i="238"/>
  <c r="H31" i="238" s="1"/>
  <c r="F34" i="432" s="1"/>
  <c r="K32" i="238"/>
  <c r="F32" i="238"/>
  <c r="S43" i="435"/>
  <c r="Z39" i="5"/>
  <c r="Y40" i="5"/>
  <c r="A31" i="234"/>
  <c r="AH42" i="435"/>
  <c r="AG42" i="435"/>
  <c r="X42" i="435"/>
  <c r="AA42" i="435"/>
  <c r="AK41" i="435"/>
  <c r="AL41" i="435"/>
  <c r="AX13" i="420"/>
  <c r="AW13" i="420"/>
  <c r="AX12" i="420"/>
  <c r="N50" i="437" l="1"/>
  <c r="H50" i="455"/>
  <c r="AD52" i="436"/>
  <c r="AH52" i="436"/>
  <c r="AE52" i="436"/>
  <c r="AI52" i="436"/>
  <c r="AB52" i="436"/>
  <c r="AF52" i="436"/>
  <c r="AK52" i="436"/>
  <c r="AA53" i="436"/>
  <c r="AC52" i="436"/>
  <c r="AG52" i="436"/>
  <c r="AL52" i="436"/>
  <c r="AE53" i="437"/>
  <c r="AK53" i="437"/>
  <c r="AQ53" i="437"/>
  <c r="AA54" i="437"/>
  <c r="AB53" i="437"/>
  <c r="AF53" i="437"/>
  <c r="AL53" i="437"/>
  <c r="AR53" i="437"/>
  <c r="AN53" i="437"/>
  <c r="AD53" i="437"/>
  <c r="AC53" i="437" s="1"/>
  <c r="AO53" i="437"/>
  <c r="AH53" i="437"/>
  <c r="AT53" i="437"/>
  <c r="AI53" i="437"/>
  <c r="AU53" i="437"/>
  <c r="CV72" i="434"/>
  <c r="CZ72" i="434"/>
  <c r="DD72" i="434"/>
  <c r="CU73" i="434"/>
  <c r="CX72" i="434"/>
  <c r="CW72" i="434" s="1"/>
  <c r="CY72" i="434"/>
  <c r="DC72" i="434"/>
  <c r="DE72" i="434" s="1"/>
  <c r="DB71" i="434"/>
  <c r="DA71" i="434"/>
  <c r="CF34" i="236"/>
  <c r="I50" i="455" s="1"/>
  <c r="CP34" i="236"/>
  <c r="S50" i="455" s="1"/>
  <c r="CN34" i="236"/>
  <c r="Q50" i="455" s="1"/>
  <c r="CD34" i="236"/>
  <c r="G50" i="455" s="1"/>
  <c r="CH34" i="236"/>
  <c r="K50" i="455" s="1"/>
  <c r="CI34" i="236"/>
  <c r="L50" i="455" s="1"/>
  <c r="U43" i="455"/>
  <c r="B40" i="420"/>
  <c r="A31" i="456"/>
  <c r="B35" i="236"/>
  <c r="E37" i="453"/>
  <c r="D35" i="459"/>
  <c r="B37" i="453"/>
  <c r="F35" i="459"/>
  <c r="G30" i="455"/>
  <c r="S44" i="435"/>
  <c r="AB38" i="5"/>
  <c r="AA39" i="5"/>
  <c r="AC39" i="5" s="1"/>
  <c r="B35" i="235"/>
  <c r="C48" i="450"/>
  <c r="CB5" i="236"/>
  <c r="T32" i="238"/>
  <c r="G32" i="238"/>
  <c r="H32" i="238" s="1"/>
  <c r="F35" i="432" s="1"/>
  <c r="Y41" i="5"/>
  <c r="Z40" i="5"/>
  <c r="A32" i="234"/>
  <c r="V42" i="435"/>
  <c r="AN42" i="435" s="1"/>
  <c r="AL42" i="435"/>
  <c r="Y43" i="435"/>
  <c r="X43" i="435"/>
  <c r="AB43" i="435"/>
  <c r="AK42" i="435"/>
  <c r="AG43" i="435"/>
  <c r="AA43" i="435"/>
  <c r="AH43" i="435"/>
  <c r="AW12" i="420"/>
  <c r="AC53" i="436" l="1"/>
  <c r="AG53" i="436"/>
  <c r="AL53" i="436"/>
  <c r="AD53" i="436"/>
  <c r="AH53" i="436"/>
  <c r="AE53" i="436"/>
  <c r="AI53" i="436"/>
  <c r="AA54" i="436"/>
  <c r="AB53" i="436"/>
  <c r="AF53" i="436"/>
  <c r="AK53" i="436"/>
  <c r="AE54" i="437"/>
  <c r="AK54" i="437"/>
  <c r="AQ54" i="437"/>
  <c r="AA55" i="437"/>
  <c r="AB54" i="437"/>
  <c r="AF54" i="437"/>
  <c r="AL54" i="437"/>
  <c r="AR54" i="437"/>
  <c r="AD54" i="437"/>
  <c r="AC54" i="437" s="1"/>
  <c r="AO54" i="437"/>
  <c r="AH54" i="437"/>
  <c r="AT54" i="437"/>
  <c r="AI54" i="437"/>
  <c r="AU54" i="437"/>
  <c r="AN54" i="437"/>
  <c r="CX73" i="434"/>
  <c r="CW73" i="434" s="1"/>
  <c r="CY73" i="434"/>
  <c r="DC73" i="434"/>
  <c r="DE73" i="434" s="1"/>
  <c r="CV73" i="434"/>
  <c r="CZ73" i="434"/>
  <c r="DD73" i="434"/>
  <c r="CU74" i="434"/>
  <c r="DA72" i="434"/>
  <c r="DB72" i="434"/>
  <c r="CE35" i="236"/>
  <c r="N51" i="436" s="1"/>
  <c r="CK35" i="236"/>
  <c r="N51" i="455" s="1"/>
  <c r="CI35" i="236"/>
  <c r="L51" i="455" s="1"/>
  <c r="CG35" i="236"/>
  <c r="J51" i="455" s="1"/>
  <c r="CD35" i="236"/>
  <c r="G51" i="455" s="1"/>
  <c r="CJ35" i="236"/>
  <c r="M51" i="455" s="1"/>
  <c r="CP35" i="236"/>
  <c r="S51" i="455" s="1"/>
  <c r="CO35" i="236"/>
  <c r="R51" i="455" s="1"/>
  <c r="CH35" i="236"/>
  <c r="K51" i="455" s="1"/>
  <c r="CM35" i="236"/>
  <c r="P51" i="455" s="1"/>
  <c r="CF35" i="236"/>
  <c r="I51" i="455" s="1"/>
  <c r="CQ35" i="236"/>
  <c r="T51" i="455" s="1"/>
  <c r="CL35" i="236"/>
  <c r="O51" i="455" s="1"/>
  <c r="CN35" i="236"/>
  <c r="Q51" i="455" s="1"/>
  <c r="B41" i="420"/>
  <c r="A32" i="456"/>
  <c r="B36" i="236"/>
  <c r="AA40" i="5"/>
  <c r="AC40" i="5" s="1"/>
  <c r="AB39" i="5"/>
  <c r="B36" i="235"/>
  <c r="S45" i="435"/>
  <c r="Z41" i="5"/>
  <c r="AA41" i="5" s="1"/>
  <c r="AC41" i="5" s="1"/>
  <c r="Y42" i="5"/>
  <c r="A33" i="234"/>
  <c r="AA44" i="435"/>
  <c r="V43" i="435"/>
  <c r="AN43" i="435" s="1"/>
  <c r="AK43" i="435"/>
  <c r="AH44" i="435"/>
  <c r="AL43" i="435"/>
  <c r="AG44" i="435"/>
  <c r="X44" i="435"/>
  <c r="AX11" i="420"/>
  <c r="N51" i="437" l="1"/>
  <c r="H51" i="455"/>
  <c r="AB54" i="436"/>
  <c r="AF54" i="436"/>
  <c r="AK54" i="436"/>
  <c r="AA55" i="436"/>
  <c r="AC54" i="436"/>
  <c r="AG54" i="436"/>
  <c r="AL54" i="436"/>
  <c r="AD54" i="436"/>
  <c r="AH54" i="436"/>
  <c r="AE54" i="436"/>
  <c r="AI54" i="436"/>
  <c r="AE55" i="437"/>
  <c r="AK55" i="437"/>
  <c r="AQ55" i="437"/>
  <c r="AA56" i="437"/>
  <c r="AB55" i="437"/>
  <c r="AF55" i="437"/>
  <c r="AL55" i="437"/>
  <c r="AR55" i="437"/>
  <c r="AH55" i="437"/>
  <c r="AT55" i="437"/>
  <c r="AI55" i="437"/>
  <c r="AU55" i="437"/>
  <c r="AN55" i="437"/>
  <c r="AO55" i="437"/>
  <c r="AD55" i="437"/>
  <c r="AC55" i="437" s="1"/>
  <c r="CU75" i="434"/>
  <c r="CX74" i="434"/>
  <c r="CW74" i="434" s="1"/>
  <c r="CV74" i="434"/>
  <c r="DD74" i="434"/>
  <c r="CY74" i="434"/>
  <c r="CZ74" i="434"/>
  <c r="DC74" i="434"/>
  <c r="DE74" i="434" s="1"/>
  <c r="DB73" i="434"/>
  <c r="DA73" i="434"/>
  <c r="B42" i="420"/>
  <c r="A33" i="456"/>
  <c r="B37" i="236"/>
  <c r="AB40" i="5"/>
  <c r="B37" i="235"/>
  <c r="S46" i="435"/>
  <c r="Y43" i="5"/>
  <c r="Z42" i="5"/>
  <c r="AB41" i="5"/>
  <c r="A34" i="234"/>
  <c r="V44" i="435"/>
  <c r="AN44" i="435" s="1"/>
  <c r="AL44" i="435"/>
  <c r="X45" i="435"/>
  <c r="AG45" i="435"/>
  <c r="AH45" i="435"/>
  <c r="AA45" i="435"/>
  <c r="AK44" i="435"/>
  <c r="V45" i="435"/>
  <c r="AN45" i="435" s="1"/>
  <c r="AE55" i="436" l="1"/>
  <c r="AI55" i="436"/>
  <c r="AB55" i="436"/>
  <c r="AF55" i="436"/>
  <c r="AK55" i="436"/>
  <c r="AA56" i="436"/>
  <c r="AD55" i="436"/>
  <c r="AG55" i="436"/>
  <c r="AH55" i="436"/>
  <c r="AC55" i="436"/>
  <c r="AL55" i="436"/>
  <c r="AE56" i="437"/>
  <c r="AK56" i="437"/>
  <c r="AQ56" i="437"/>
  <c r="AA57" i="437"/>
  <c r="AB56" i="437"/>
  <c r="AF56" i="437"/>
  <c r="AL56" i="437"/>
  <c r="AR56" i="437"/>
  <c r="AI56" i="437"/>
  <c r="AU56" i="437"/>
  <c r="AD56" i="437"/>
  <c r="AC56" i="437" s="1"/>
  <c r="AO56" i="437"/>
  <c r="AN56" i="437"/>
  <c r="AT56" i="437"/>
  <c r="AH56" i="437"/>
  <c r="DA74" i="434"/>
  <c r="DB74" i="434"/>
  <c r="CY75" i="434"/>
  <c r="DC75" i="434"/>
  <c r="DE75" i="434" s="1"/>
  <c r="CV75" i="434"/>
  <c r="CZ75" i="434"/>
  <c r="DD75" i="434"/>
  <c r="CU76" i="434"/>
  <c r="CX75" i="434"/>
  <c r="CW75" i="434" s="1"/>
  <c r="B43" i="420"/>
  <c r="A34" i="456"/>
  <c r="B38" i="236"/>
  <c r="AA42" i="5"/>
  <c r="AC42" i="5" s="1"/>
  <c r="B38" i="235"/>
  <c r="S47" i="435"/>
  <c r="Y44" i="5"/>
  <c r="Z43" i="5"/>
  <c r="A35" i="234"/>
  <c r="AK45" i="435"/>
  <c r="AL45" i="435"/>
  <c r="AA46" i="435"/>
  <c r="X46" i="435"/>
  <c r="AB46" i="435"/>
  <c r="Y46" i="435"/>
  <c r="AH46" i="435"/>
  <c r="AG46" i="435"/>
  <c r="AD56" i="436" l="1"/>
  <c r="AH56" i="436"/>
  <c r="AE56" i="436"/>
  <c r="AI56" i="436"/>
  <c r="AB56" i="436"/>
  <c r="AK56" i="436"/>
  <c r="AC56" i="436"/>
  <c r="AL56" i="436"/>
  <c r="AA57" i="436"/>
  <c r="AF56" i="436"/>
  <c r="AG56" i="436"/>
  <c r="AE57" i="437"/>
  <c r="AK57" i="437"/>
  <c r="AQ57" i="437"/>
  <c r="AA58" i="437"/>
  <c r="AB57" i="437"/>
  <c r="AF57" i="437"/>
  <c r="AL57" i="437"/>
  <c r="AR57" i="437"/>
  <c r="AN57" i="437"/>
  <c r="AH57" i="437"/>
  <c r="AT57" i="437"/>
  <c r="AU57" i="437"/>
  <c r="AD57" i="437"/>
  <c r="AC57" i="437" s="1"/>
  <c r="AI57" i="437"/>
  <c r="AO57" i="437"/>
  <c r="CU77" i="434"/>
  <c r="CX76" i="434"/>
  <c r="CW76" i="434" s="1"/>
  <c r="DC76" i="434"/>
  <c r="DE76" i="434" s="1"/>
  <c r="CV76" i="434"/>
  <c r="DD76" i="434"/>
  <c r="CY76" i="434"/>
  <c r="CZ76" i="434"/>
  <c r="DA75" i="434"/>
  <c r="DB75" i="434"/>
  <c r="B44" i="420"/>
  <c r="A35" i="456"/>
  <c r="B39" i="236"/>
  <c r="AA43" i="5"/>
  <c r="AC43" i="5" s="1"/>
  <c r="AB42" i="5"/>
  <c r="S48" i="435"/>
  <c r="Y45" i="5"/>
  <c r="Z44" i="5"/>
  <c r="B39" i="235"/>
  <c r="A36" i="234"/>
  <c r="AL46" i="435"/>
  <c r="V46" i="435"/>
  <c r="AN46" i="435" s="1"/>
  <c r="AK46" i="435"/>
  <c r="X47" i="435"/>
  <c r="AA47" i="435"/>
  <c r="AG47" i="435"/>
  <c r="V47" i="435"/>
  <c r="AN47" i="435" s="1"/>
  <c r="AH47" i="435"/>
  <c r="AC57" i="436" l="1"/>
  <c r="AG57" i="436"/>
  <c r="AL57" i="436"/>
  <c r="AD57" i="436"/>
  <c r="AH57" i="436"/>
  <c r="AF57" i="436"/>
  <c r="AI57" i="436"/>
  <c r="AA58" i="436"/>
  <c r="AB57" i="436"/>
  <c r="AK57" i="436"/>
  <c r="AE57" i="436"/>
  <c r="AE58" i="437"/>
  <c r="AK58" i="437"/>
  <c r="AQ58" i="437"/>
  <c r="AA59" i="437"/>
  <c r="AB58" i="437"/>
  <c r="AF58" i="437"/>
  <c r="AL58" i="437"/>
  <c r="AR58" i="437"/>
  <c r="AD58" i="437"/>
  <c r="AC58" i="437" s="1"/>
  <c r="AO58" i="437"/>
  <c r="AI58" i="437"/>
  <c r="AU58" i="437"/>
  <c r="AN58" i="437"/>
  <c r="AT58" i="437"/>
  <c r="AH58" i="437"/>
  <c r="DA76" i="434"/>
  <c r="DB76" i="434"/>
  <c r="CY77" i="434"/>
  <c r="DC77" i="434"/>
  <c r="DE77" i="434" s="1"/>
  <c r="CV77" i="434"/>
  <c r="CZ77" i="434"/>
  <c r="DD77" i="434"/>
  <c r="CX77" i="434"/>
  <c r="CW77" i="434" s="1"/>
  <c r="CU78" i="434"/>
  <c r="B45" i="420"/>
  <c r="A36" i="456"/>
  <c r="B40" i="236"/>
  <c r="AA44" i="5"/>
  <c r="AC44" i="5" s="1"/>
  <c r="AB43" i="5"/>
  <c r="S49" i="435"/>
  <c r="Z45" i="5"/>
  <c r="AA45" i="5" s="1"/>
  <c r="AC45" i="5" s="1"/>
  <c r="Y46" i="5"/>
  <c r="B40" i="235"/>
  <c r="A37" i="234"/>
  <c r="AA48" i="435"/>
  <c r="AK47" i="435"/>
  <c r="AL47" i="435"/>
  <c r="AH48" i="435"/>
  <c r="X48" i="435"/>
  <c r="AG48" i="435"/>
  <c r="AB58" i="436" l="1"/>
  <c r="AF58" i="436"/>
  <c r="AK58" i="436"/>
  <c r="AA59" i="436"/>
  <c r="AC58" i="436"/>
  <c r="AG58" i="436"/>
  <c r="AL58" i="436"/>
  <c r="AH58" i="436"/>
  <c r="AI58" i="436"/>
  <c r="AD58" i="436"/>
  <c r="AE58" i="436"/>
  <c r="AE59" i="437"/>
  <c r="AK59" i="437"/>
  <c r="AQ59" i="437"/>
  <c r="AA60" i="437"/>
  <c r="AB59" i="437"/>
  <c r="AF59" i="437"/>
  <c r="AL59" i="437"/>
  <c r="AR59" i="437"/>
  <c r="AH59" i="437"/>
  <c r="AT59" i="437"/>
  <c r="AN59" i="437"/>
  <c r="AU59" i="437"/>
  <c r="AD59" i="437"/>
  <c r="AC59" i="437" s="1"/>
  <c r="AI59" i="437"/>
  <c r="AO59" i="437"/>
  <c r="DA77" i="434"/>
  <c r="DB77" i="434"/>
  <c r="CU79" i="434"/>
  <c r="CX78" i="434"/>
  <c r="CW78" i="434" s="1"/>
  <c r="CZ78" i="434"/>
  <c r="DC78" i="434"/>
  <c r="DE78" i="434" s="1"/>
  <c r="CV78" i="434"/>
  <c r="DD78" i="434"/>
  <c r="CY78" i="434"/>
  <c r="CE40" i="236"/>
  <c r="N56" i="436" s="1"/>
  <c r="CI40" i="236"/>
  <c r="L56" i="455" s="1"/>
  <c r="CH40" i="236"/>
  <c r="K56" i="455" s="1"/>
  <c r="CD40" i="236"/>
  <c r="G56" i="455" s="1"/>
  <c r="CQ40" i="236"/>
  <c r="T56" i="455" s="1"/>
  <c r="CL40" i="236"/>
  <c r="O56" i="455" s="1"/>
  <c r="CK40" i="236"/>
  <c r="N56" i="455" s="1"/>
  <c r="CN40" i="236"/>
  <c r="Q56" i="455" s="1"/>
  <c r="CO40" i="236"/>
  <c r="R56" i="455" s="1"/>
  <c r="CG40" i="236"/>
  <c r="J56" i="455" s="1"/>
  <c r="CM40" i="236"/>
  <c r="P56" i="455" s="1"/>
  <c r="CF40" i="236"/>
  <c r="I56" i="455" s="1"/>
  <c r="CP40" i="236"/>
  <c r="S56" i="455" s="1"/>
  <c r="CJ40" i="236"/>
  <c r="M56" i="455" s="1"/>
  <c r="B46" i="420"/>
  <c r="A37" i="456"/>
  <c r="B41" i="236"/>
  <c r="AB44" i="5"/>
  <c r="B41" i="235"/>
  <c r="S50" i="435"/>
  <c r="AB45" i="5"/>
  <c r="Y47" i="5"/>
  <c r="Z46" i="5"/>
  <c r="A38" i="234"/>
  <c r="V48" i="435"/>
  <c r="AN48" i="435" s="1"/>
  <c r="AL48" i="435"/>
  <c r="AH49" i="435"/>
  <c r="X49" i="435"/>
  <c r="AA49" i="435"/>
  <c r="AK48" i="435"/>
  <c r="AG49" i="435"/>
  <c r="N56" i="437" l="1"/>
  <c r="H56" i="455"/>
  <c r="AE59" i="436"/>
  <c r="AI59" i="436"/>
  <c r="AB59" i="436"/>
  <c r="AF59" i="436"/>
  <c r="AK59" i="436"/>
  <c r="AA60" i="436"/>
  <c r="AC59" i="436"/>
  <c r="AL59" i="436"/>
  <c r="AD59" i="436"/>
  <c r="AG59" i="436"/>
  <c r="AH59" i="436"/>
  <c r="AE60" i="437"/>
  <c r="AK60" i="437"/>
  <c r="AQ60" i="437"/>
  <c r="AA61" i="437"/>
  <c r="AB60" i="437"/>
  <c r="AF60" i="437"/>
  <c r="AL60" i="437"/>
  <c r="AR60" i="437"/>
  <c r="AI60" i="437"/>
  <c r="AU60" i="437"/>
  <c r="AD60" i="437"/>
  <c r="AC60" i="437" s="1"/>
  <c r="AO60" i="437"/>
  <c r="AN60" i="437"/>
  <c r="AT60" i="437"/>
  <c r="AH60" i="437"/>
  <c r="CY79" i="434"/>
  <c r="DC79" i="434"/>
  <c r="DE79" i="434" s="1"/>
  <c r="CV79" i="434"/>
  <c r="CZ79" i="434"/>
  <c r="DD79" i="434"/>
  <c r="CX79" i="434"/>
  <c r="CW79" i="434" s="1"/>
  <c r="CU80" i="434"/>
  <c r="DA78" i="434"/>
  <c r="DB78" i="434"/>
  <c r="B47" i="420"/>
  <c r="A38" i="456"/>
  <c r="B42" i="236"/>
  <c r="AA46" i="5"/>
  <c r="AC46" i="5" s="1"/>
  <c r="AD46" i="435"/>
  <c r="B42" i="235"/>
  <c r="Z47" i="5"/>
  <c r="Y48" i="5"/>
  <c r="A39" i="234"/>
  <c r="V49" i="435"/>
  <c r="AN49" i="435" s="1"/>
  <c r="AG50" i="435"/>
  <c r="AK49" i="435"/>
  <c r="AH50" i="435"/>
  <c r="AA50" i="435"/>
  <c r="AL49" i="435"/>
  <c r="V50" i="435"/>
  <c r="AN50" i="435" s="1"/>
  <c r="S51" i="435"/>
  <c r="X50" i="435"/>
  <c r="AE60" i="436" l="1"/>
  <c r="AI60" i="436"/>
  <c r="AF60" i="436"/>
  <c r="AL60" i="436"/>
  <c r="AB60" i="436"/>
  <c r="AG60" i="436"/>
  <c r="AC60" i="436"/>
  <c r="AH60" i="436"/>
  <c r="AA61" i="436"/>
  <c r="AD60" i="436"/>
  <c r="AK60" i="436"/>
  <c r="AE61" i="437"/>
  <c r="AK61" i="437"/>
  <c r="AQ61" i="437"/>
  <c r="AB61" i="437"/>
  <c r="AF61" i="437"/>
  <c r="AL61" i="437"/>
  <c r="AR61" i="437"/>
  <c r="AN61" i="437"/>
  <c r="AH61" i="437"/>
  <c r="AT61" i="437"/>
  <c r="AU61" i="437"/>
  <c r="AD61" i="437"/>
  <c r="AC61" i="437" s="1"/>
  <c r="AI61" i="437"/>
  <c r="AA62" i="437"/>
  <c r="AO61" i="437"/>
  <c r="CU81" i="434"/>
  <c r="CX80" i="434"/>
  <c r="CW80" i="434" s="1"/>
  <c r="CY80" i="434"/>
  <c r="CZ80" i="434"/>
  <c r="DC80" i="434"/>
  <c r="DE80" i="434" s="1"/>
  <c r="CV80" i="434"/>
  <c r="DD80" i="434"/>
  <c r="DA79" i="434"/>
  <c r="DB79" i="434"/>
  <c r="B48" i="420"/>
  <c r="A39" i="456"/>
  <c r="B43" i="236"/>
  <c r="AA47" i="5"/>
  <c r="AC47" i="5" s="1"/>
  <c r="AB46" i="5"/>
  <c r="B43" i="235"/>
  <c r="S52" i="435"/>
  <c r="Y49" i="5"/>
  <c r="Z48" i="5"/>
  <c r="A40" i="234"/>
  <c r="AL50" i="435"/>
  <c r="AG51" i="435"/>
  <c r="AK50" i="435"/>
  <c r="AH51" i="435"/>
  <c r="X51" i="435"/>
  <c r="AA51" i="435"/>
  <c r="AD61" i="436" l="1"/>
  <c r="AH61" i="436"/>
  <c r="AB61" i="436"/>
  <c r="AG61" i="436"/>
  <c r="AC61" i="436"/>
  <c r="AI61" i="436"/>
  <c r="AE61" i="436"/>
  <c r="AK61" i="436"/>
  <c r="AF61" i="436"/>
  <c r="AA62" i="436"/>
  <c r="AL61" i="436"/>
  <c r="AB62" i="437"/>
  <c r="AF62" i="437"/>
  <c r="AL62" i="437"/>
  <c r="AR62" i="437"/>
  <c r="AI62" i="437"/>
  <c r="AQ62" i="437"/>
  <c r="AE62" i="437"/>
  <c r="AN62" i="437"/>
  <c r="AU62" i="437"/>
  <c r="AH62" i="437"/>
  <c r="AK62" i="437"/>
  <c r="AA63" i="437"/>
  <c r="AO62" i="437"/>
  <c r="AT62" i="437"/>
  <c r="AD62" i="437"/>
  <c r="AC62" i="437" s="1"/>
  <c r="DA80" i="434"/>
  <c r="DB80" i="434"/>
  <c r="CY81" i="434"/>
  <c r="CV81" i="434"/>
  <c r="CZ81" i="434"/>
  <c r="DD81" i="434"/>
  <c r="DC81" i="434"/>
  <c r="DE81" i="434" s="1"/>
  <c r="CX81" i="434"/>
  <c r="CW81" i="434" s="1"/>
  <c r="CU82" i="434"/>
  <c r="B49" i="420"/>
  <c r="A40" i="456"/>
  <c r="B44" i="236"/>
  <c r="AA48" i="5"/>
  <c r="AC48" i="5" s="1"/>
  <c r="AB47" i="5"/>
  <c r="Y50" i="5"/>
  <c r="Z49" i="5"/>
  <c r="AA49" i="5" s="1"/>
  <c r="AC49" i="5" s="1"/>
  <c r="B44" i="235"/>
  <c r="A41" i="234"/>
  <c r="X52" i="435"/>
  <c r="AG52" i="435"/>
  <c r="AA52" i="435"/>
  <c r="V51" i="435"/>
  <c r="AN51" i="435" s="1"/>
  <c r="AL51" i="435"/>
  <c r="AK51" i="435"/>
  <c r="AC62" i="436" l="1"/>
  <c r="AG62" i="436"/>
  <c r="AL62" i="436"/>
  <c r="AB62" i="436"/>
  <c r="AH62" i="436"/>
  <c r="AD62" i="436"/>
  <c r="AI62" i="436"/>
  <c r="AE62" i="436"/>
  <c r="AK62" i="436"/>
  <c r="AF62" i="436"/>
  <c r="AA63" i="436"/>
  <c r="AB63" i="437"/>
  <c r="AF63" i="437"/>
  <c r="AL63" i="437"/>
  <c r="AR63" i="437"/>
  <c r="AD63" i="437"/>
  <c r="AC63" i="437" s="1"/>
  <c r="AI63" i="437"/>
  <c r="AO63" i="437"/>
  <c r="AU63" i="437"/>
  <c r="AH63" i="437"/>
  <c r="AT63" i="437"/>
  <c r="AK63" i="437"/>
  <c r="AN63" i="437"/>
  <c r="AA64" i="437"/>
  <c r="AE63" i="437"/>
  <c r="AQ63" i="437"/>
  <c r="DA81" i="434"/>
  <c r="DB81" i="434"/>
  <c r="CX82" i="434"/>
  <c r="CW82" i="434" s="1"/>
  <c r="CY82" i="434"/>
  <c r="DD82" i="434"/>
  <c r="CZ82" i="434"/>
  <c r="CU83" i="434"/>
  <c r="CV82" i="434"/>
  <c r="DC82" i="434"/>
  <c r="DE82" i="434" s="1"/>
  <c r="B50" i="420"/>
  <c r="A41" i="456"/>
  <c r="B45" i="236"/>
  <c r="CE44" i="236"/>
  <c r="N60" i="436" s="1"/>
  <c r="CI44" i="236"/>
  <c r="L60" i="455" s="1"/>
  <c r="CG44" i="236"/>
  <c r="J60" i="455" s="1"/>
  <c r="CN44" i="236"/>
  <c r="Q60" i="455" s="1"/>
  <c r="CK44" i="236"/>
  <c r="N60" i="455" s="1"/>
  <c r="CH44" i="236"/>
  <c r="K60" i="455" s="1"/>
  <c r="CF44" i="236"/>
  <c r="I60" i="455" s="1"/>
  <c r="CD44" i="236"/>
  <c r="G60" i="455" s="1"/>
  <c r="CM44" i="236"/>
  <c r="P60" i="455" s="1"/>
  <c r="CQ44" i="236"/>
  <c r="T60" i="455" s="1"/>
  <c r="CP44" i="236"/>
  <c r="S60" i="455" s="1"/>
  <c r="CO44" i="236"/>
  <c r="R60" i="455" s="1"/>
  <c r="CJ44" i="236"/>
  <c r="M60" i="455" s="1"/>
  <c r="CL44" i="236"/>
  <c r="O60" i="455" s="1"/>
  <c r="AB48" i="5"/>
  <c r="B45" i="235"/>
  <c r="Z50" i="5"/>
  <c r="Y51" i="5"/>
  <c r="AB49" i="5"/>
  <c r="A42" i="234"/>
  <c r="AL52" i="435"/>
  <c r="AK52" i="435"/>
  <c r="V52" i="435"/>
  <c r="AN52" i="435" s="1"/>
  <c r="N60" i="437" l="1"/>
  <c r="H60" i="455"/>
  <c r="AB63" i="436"/>
  <c r="AF63" i="436"/>
  <c r="AK63" i="436"/>
  <c r="AA64" i="436"/>
  <c r="AC63" i="436"/>
  <c r="AH63" i="436"/>
  <c r="AD63" i="436"/>
  <c r="AI63" i="436"/>
  <c r="AE63" i="436"/>
  <c r="AL63" i="436"/>
  <c r="AG63" i="436"/>
  <c r="AB64" i="437"/>
  <c r="AF64" i="437"/>
  <c r="AL64" i="437"/>
  <c r="AR64" i="437"/>
  <c r="AD64" i="437"/>
  <c r="AC64" i="437" s="1"/>
  <c r="AI64" i="437"/>
  <c r="AO64" i="437"/>
  <c r="AU64" i="437"/>
  <c r="AE64" i="437"/>
  <c r="AQ64" i="437"/>
  <c r="AH64" i="437"/>
  <c r="AT64" i="437"/>
  <c r="AK64" i="437"/>
  <c r="AN64" i="437"/>
  <c r="AA65" i="437"/>
  <c r="DB82" i="434"/>
  <c r="DA82" i="434"/>
  <c r="CX83" i="434"/>
  <c r="CW83" i="434" s="1"/>
  <c r="CY83" i="434"/>
  <c r="DC83" i="434"/>
  <c r="DE83" i="434" s="1"/>
  <c r="CV83" i="434"/>
  <c r="CZ83" i="434"/>
  <c r="DD83" i="434"/>
  <c r="CU84" i="434"/>
  <c r="CE45" i="236"/>
  <c r="N61" i="436" s="1"/>
  <c r="CM45" i="236"/>
  <c r="P61" i="455" s="1"/>
  <c r="CD45" i="236"/>
  <c r="G61" i="455" s="1"/>
  <c r="CK45" i="236"/>
  <c r="N61" i="455" s="1"/>
  <c r="CG45" i="236"/>
  <c r="J61" i="455" s="1"/>
  <c r="CF45" i="236"/>
  <c r="I61" i="455" s="1"/>
  <c r="CL45" i="236"/>
  <c r="O61" i="455" s="1"/>
  <c r="CP45" i="236"/>
  <c r="S61" i="455" s="1"/>
  <c r="CJ45" i="236"/>
  <c r="M61" i="455" s="1"/>
  <c r="CI45" i="236"/>
  <c r="L61" i="455" s="1"/>
  <c r="CQ45" i="236"/>
  <c r="T61" i="455" s="1"/>
  <c r="CH45" i="236"/>
  <c r="K61" i="455" s="1"/>
  <c r="CO45" i="236"/>
  <c r="R61" i="455" s="1"/>
  <c r="CN45" i="236"/>
  <c r="Q61" i="455" s="1"/>
  <c r="B51" i="420"/>
  <c r="A42" i="456"/>
  <c r="B46" i="236"/>
  <c r="AA50" i="5"/>
  <c r="AC50" i="5" s="1"/>
  <c r="B46" i="235"/>
  <c r="Z51" i="5"/>
  <c r="Y52" i="5"/>
  <c r="A43" i="234"/>
  <c r="N61" i="437" l="1"/>
  <c r="H61" i="455"/>
  <c r="AE64" i="436"/>
  <c r="AI64" i="436"/>
  <c r="AC64" i="436"/>
  <c r="AH64" i="436"/>
  <c r="AD64" i="436"/>
  <c r="AK64" i="436"/>
  <c r="AA65" i="436"/>
  <c r="AF64" i="436"/>
  <c r="AL64" i="436"/>
  <c r="AB64" i="436"/>
  <c r="AG64" i="436"/>
  <c r="AB65" i="437"/>
  <c r="AF65" i="437"/>
  <c r="AL65" i="437"/>
  <c r="AR65" i="437"/>
  <c r="AD65" i="437"/>
  <c r="AC65" i="437" s="1"/>
  <c r="AI65" i="437"/>
  <c r="AO65" i="437"/>
  <c r="AU65" i="437"/>
  <c r="AN65" i="437"/>
  <c r="AE65" i="437"/>
  <c r="AQ65" i="437"/>
  <c r="AA66" i="437"/>
  <c r="AH65" i="437"/>
  <c r="AT65" i="437"/>
  <c r="AK65" i="437"/>
  <c r="DB83" i="434"/>
  <c r="DA83" i="434"/>
  <c r="CV84" i="434"/>
  <c r="CZ84" i="434"/>
  <c r="DD84" i="434"/>
  <c r="CU85" i="434"/>
  <c r="CX84" i="434"/>
  <c r="CW84" i="434" s="1"/>
  <c r="CY84" i="434"/>
  <c r="DC84" i="434"/>
  <c r="DE84" i="434" s="1"/>
  <c r="B52" i="420"/>
  <c r="A43" i="456"/>
  <c r="B47" i="236"/>
  <c r="AA51" i="5"/>
  <c r="AC51" i="5" s="1"/>
  <c r="AB50" i="5"/>
  <c r="B47" i="235"/>
  <c r="Y53" i="5"/>
  <c r="Z52" i="5"/>
  <c r="A44" i="234"/>
  <c r="AD65" i="436" l="1"/>
  <c r="AH65" i="436"/>
  <c r="AE65" i="436"/>
  <c r="AK65" i="436"/>
  <c r="AA66" i="436"/>
  <c r="AF65" i="436"/>
  <c r="AL65" i="436"/>
  <c r="AB65" i="436"/>
  <c r="AG65" i="436"/>
  <c r="AC65" i="436"/>
  <c r="AI65" i="436"/>
  <c r="AD66" i="437"/>
  <c r="AC66" i="437" s="1"/>
  <c r="AI66" i="437"/>
  <c r="AO66" i="437"/>
  <c r="AU66" i="437"/>
  <c r="AE66" i="437"/>
  <c r="AL66" i="437"/>
  <c r="AT66" i="437"/>
  <c r="AF66" i="437"/>
  <c r="AN66" i="437"/>
  <c r="AB66" i="437"/>
  <c r="AH66" i="437"/>
  <c r="AQ66" i="437"/>
  <c r="AK66" i="437"/>
  <c r="AR66" i="437"/>
  <c r="AA67" i="437"/>
  <c r="DA84" i="434"/>
  <c r="DB84" i="434"/>
  <c r="CX85" i="434"/>
  <c r="CW85" i="434" s="1"/>
  <c r="CY85" i="434"/>
  <c r="DC85" i="434"/>
  <c r="DE85" i="434" s="1"/>
  <c r="CV85" i="434"/>
  <c r="CZ85" i="434"/>
  <c r="DD85" i="434"/>
  <c r="CU86" i="434"/>
  <c r="B53" i="420"/>
  <c r="A44" i="456"/>
  <c r="B48" i="236"/>
  <c r="AA52" i="5"/>
  <c r="AC52" i="5" s="1"/>
  <c r="AB51" i="5"/>
  <c r="B48" i="235"/>
  <c r="Z53" i="5"/>
  <c r="AA53" i="5" s="1"/>
  <c r="AC53" i="5" s="1"/>
  <c r="Y54" i="5"/>
  <c r="A45" i="234"/>
  <c r="A46" i="234" s="1"/>
  <c r="A47" i="234" s="1"/>
  <c r="A48" i="234" s="1"/>
  <c r="A49" i="234" l="1"/>
  <c r="A48" i="456"/>
  <c r="B57" i="420"/>
  <c r="B52" i="235"/>
  <c r="B52" i="236"/>
  <c r="AE66" i="436"/>
  <c r="AI66" i="436"/>
  <c r="AB66" i="436"/>
  <c r="AF66" i="436"/>
  <c r="AK66" i="436"/>
  <c r="AA67" i="436"/>
  <c r="AC66" i="436"/>
  <c r="AG66" i="436"/>
  <c r="AL66" i="436"/>
  <c r="AH66" i="436"/>
  <c r="AD66" i="436"/>
  <c r="AD67" i="437"/>
  <c r="AC67" i="437" s="1"/>
  <c r="AI67" i="437"/>
  <c r="AO67" i="437"/>
  <c r="AU67" i="437"/>
  <c r="AB67" i="437"/>
  <c r="AH67" i="437"/>
  <c r="AQ67" i="437"/>
  <c r="AK67" i="437"/>
  <c r="AR67" i="437"/>
  <c r="AA68" i="437"/>
  <c r="AE67" i="437"/>
  <c r="AL67" i="437"/>
  <c r="AT67" i="437"/>
  <c r="AN67" i="437"/>
  <c r="AF67" i="437"/>
  <c r="DB85" i="434"/>
  <c r="DA85" i="434"/>
  <c r="CU87" i="434"/>
  <c r="CX86" i="434"/>
  <c r="CW86" i="434" s="1"/>
  <c r="CY86" i="434"/>
  <c r="DC86" i="434"/>
  <c r="DE86" i="434" s="1"/>
  <c r="DD86" i="434"/>
  <c r="CV86" i="434"/>
  <c r="CZ86" i="434"/>
  <c r="B49" i="235"/>
  <c r="B54" i="420"/>
  <c r="A45" i="456"/>
  <c r="B49" i="236"/>
  <c r="CE48" i="236"/>
  <c r="N64" i="436" s="1"/>
  <c r="CI48" i="236"/>
  <c r="L64" i="455" s="1"/>
  <c r="CG48" i="236"/>
  <c r="J64" i="455" s="1"/>
  <c r="CL48" i="236"/>
  <c r="O64" i="455" s="1"/>
  <c r="CP48" i="236"/>
  <c r="S64" i="455" s="1"/>
  <c r="CJ48" i="236"/>
  <c r="M64" i="455" s="1"/>
  <c r="CN48" i="236"/>
  <c r="Q64" i="455" s="1"/>
  <c r="CH48" i="236"/>
  <c r="K64" i="455" s="1"/>
  <c r="CM48" i="236"/>
  <c r="P64" i="455" s="1"/>
  <c r="CF48" i="236"/>
  <c r="I64" i="455" s="1"/>
  <c r="CD48" i="236"/>
  <c r="G64" i="455" s="1"/>
  <c r="CQ48" i="236"/>
  <c r="T64" i="455" s="1"/>
  <c r="CO48" i="236"/>
  <c r="R64" i="455" s="1"/>
  <c r="CK48" i="236"/>
  <c r="N64" i="455" s="1"/>
  <c r="AB52" i="5"/>
  <c r="Y55" i="5"/>
  <c r="Z54" i="5"/>
  <c r="AB53" i="5"/>
  <c r="CE52" i="236" l="1"/>
  <c r="N68" i="436" s="1"/>
  <c r="CD52" i="236"/>
  <c r="G68" i="455" s="1"/>
  <c r="CO52" i="236"/>
  <c r="R68" i="455" s="1"/>
  <c r="CL52" i="236"/>
  <c r="O68" i="455" s="1"/>
  <c r="CI52" i="236"/>
  <c r="L68" i="455" s="1"/>
  <c r="CJ52" i="236"/>
  <c r="M68" i="455" s="1"/>
  <c r="CN52" i="236"/>
  <c r="Q68" i="455" s="1"/>
  <c r="CF52" i="236"/>
  <c r="I68" i="455" s="1"/>
  <c r="CQ52" i="236"/>
  <c r="T68" i="455" s="1"/>
  <c r="CM52" i="236"/>
  <c r="P68" i="455" s="1"/>
  <c r="CH52" i="236"/>
  <c r="K68" i="455" s="1"/>
  <c r="CG52" i="236"/>
  <c r="J68" i="455" s="1"/>
  <c r="CP52" i="236"/>
  <c r="S68" i="455" s="1"/>
  <c r="CK52" i="236"/>
  <c r="N68" i="455" s="1"/>
  <c r="A50" i="234"/>
  <c r="B58" i="420"/>
  <c r="A49" i="456"/>
  <c r="N64" i="437"/>
  <c r="H64" i="455"/>
  <c r="AD67" i="436"/>
  <c r="AH67" i="436"/>
  <c r="AE67" i="436"/>
  <c r="AI67" i="436"/>
  <c r="AB67" i="436"/>
  <c r="AF67" i="436"/>
  <c r="AK67" i="436"/>
  <c r="AA68" i="436"/>
  <c r="AL67" i="436"/>
  <c r="AG67" i="436"/>
  <c r="AC67" i="436"/>
  <c r="AD68" i="437"/>
  <c r="AC68" i="437" s="1"/>
  <c r="AI68" i="437"/>
  <c r="AO68" i="437"/>
  <c r="AU68" i="437"/>
  <c r="AE68" i="437"/>
  <c r="AL68" i="437"/>
  <c r="AT68" i="437"/>
  <c r="AF68" i="437"/>
  <c r="AN68" i="437"/>
  <c r="AA69" i="437"/>
  <c r="AB68" i="437"/>
  <c r="AH68" i="437"/>
  <c r="AQ68" i="437"/>
  <c r="AK68" i="437"/>
  <c r="AR68" i="437"/>
  <c r="CY87" i="434"/>
  <c r="DC87" i="434"/>
  <c r="DE87" i="434" s="1"/>
  <c r="CV87" i="434"/>
  <c r="CZ87" i="434"/>
  <c r="DD87" i="434"/>
  <c r="CU88" i="434"/>
  <c r="CX87" i="434"/>
  <c r="CW87" i="434" s="1"/>
  <c r="DA86" i="434"/>
  <c r="DB86" i="434"/>
  <c r="CE49" i="236"/>
  <c r="N65" i="436" s="1"/>
  <c r="CF49" i="236"/>
  <c r="I65" i="455" s="1"/>
  <c r="CP49" i="236"/>
  <c r="S65" i="455" s="1"/>
  <c r="CO49" i="236"/>
  <c r="R65" i="455" s="1"/>
  <c r="CG49" i="236"/>
  <c r="J65" i="455" s="1"/>
  <c r="CM49" i="236"/>
  <c r="P65" i="455" s="1"/>
  <c r="CD49" i="236"/>
  <c r="G65" i="455" s="1"/>
  <c r="CL49" i="236"/>
  <c r="O65" i="455" s="1"/>
  <c r="CI49" i="236"/>
  <c r="L65" i="455" s="1"/>
  <c r="CH49" i="236"/>
  <c r="K65" i="455" s="1"/>
  <c r="CQ49" i="236"/>
  <c r="T65" i="455" s="1"/>
  <c r="CN49" i="236"/>
  <c r="Q65" i="455" s="1"/>
  <c r="CK49" i="236"/>
  <c r="N65" i="455" s="1"/>
  <c r="CJ49" i="236"/>
  <c r="M65" i="455" s="1"/>
  <c r="B55" i="420"/>
  <c r="A46" i="456"/>
  <c r="B50" i="236"/>
  <c r="AA54" i="5"/>
  <c r="AC54" i="5" s="1"/>
  <c r="B50" i="235"/>
  <c r="Z55" i="5"/>
  <c r="Y56" i="5"/>
  <c r="A51" i="234" l="1"/>
  <c r="B59" i="420"/>
  <c r="A50" i="456"/>
  <c r="N68" i="437"/>
  <c r="H68" i="455"/>
  <c r="N65" i="437"/>
  <c r="H65" i="455"/>
  <c r="AC68" i="436"/>
  <c r="AG68" i="436"/>
  <c r="AL68" i="436"/>
  <c r="AD68" i="436"/>
  <c r="AH68" i="436"/>
  <c r="AE68" i="436"/>
  <c r="AI68" i="436"/>
  <c r="AF68" i="436"/>
  <c r="AK68" i="436"/>
  <c r="AB68" i="436"/>
  <c r="AA69" i="436"/>
  <c r="AD69" i="437"/>
  <c r="AC69" i="437" s="1"/>
  <c r="AI69" i="437"/>
  <c r="AO69" i="437"/>
  <c r="AU69" i="437"/>
  <c r="AE69" i="437"/>
  <c r="AK69" i="437"/>
  <c r="AQ69" i="437"/>
  <c r="AA70" i="437"/>
  <c r="AB69" i="437"/>
  <c r="AF69" i="437"/>
  <c r="AL69" i="437"/>
  <c r="AR69" i="437"/>
  <c r="AT69" i="437"/>
  <c r="AN69" i="437"/>
  <c r="AH69" i="437"/>
  <c r="CX88" i="434"/>
  <c r="CW88" i="434" s="1"/>
  <c r="CY88" i="434"/>
  <c r="DC88" i="434"/>
  <c r="DE88" i="434" s="1"/>
  <c r="CU89" i="434"/>
  <c r="CZ88" i="434"/>
  <c r="CV88" i="434"/>
  <c r="DD88" i="434"/>
  <c r="DA87" i="434"/>
  <c r="DB87" i="434"/>
  <c r="CE50" i="236"/>
  <c r="CI50" i="236"/>
  <c r="L66" i="455" s="1"/>
  <c r="CD50" i="236"/>
  <c r="G66" i="455" s="1"/>
  <c r="CK50" i="236"/>
  <c r="N66" i="455" s="1"/>
  <c r="CM50" i="236"/>
  <c r="P66" i="455" s="1"/>
  <c r="CF50" i="236"/>
  <c r="I66" i="455" s="1"/>
  <c r="CH50" i="236"/>
  <c r="K66" i="455" s="1"/>
  <c r="CG50" i="236"/>
  <c r="J66" i="455" s="1"/>
  <c r="CQ50" i="236"/>
  <c r="T66" i="455" s="1"/>
  <c r="CL50" i="236"/>
  <c r="O66" i="455" s="1"/>
  <c r="CO50" i="236"/>
  <c r="R66" i="455" s="1"/>
  <c r="CP50" i="236"/>
  <c r="S66" i="455" s="1"/>
  <c r="CJ50" i="236"/>
  <c r="M66" i="455" s="1"/>
  <c r="CN50" i="236"/>
  <c r="Q66" i="455" s="1"/>
  <c r="B56" i="420"/>
  <c r="A47" i="456"/>
  <c r="B51" i="236"/>
  <c r="AA55" i="5"/>
  <c r="AC55" i="5" s="1"/>
  <c r="AB54" i="5"/>
  <c r="B51" i="235"/>
  <c r="Y57" i="5"/>
  <c r="Z56" i="5"/>
  <c r="H66" i="455" l="1"/>
  <c r="N66" i="436"/>
  <c r="A52" i="234"/>
  <c r="A51" i="456"/>
  <c r="B60" i="420"/>
  <c r="AB69" i="436"/>
  <c r="AF69" i="436"/>
  <c r="AK69" i="436"/>
  <c r="AA70" i="436"/>
  <c r="AC69" i="436"/>
  <c r="AG69" i="436"/>
  <c r="AL69" i="436"/>
  <c r="AE69" i="436"/>
  <c r="AH69" i="436"/>
  <c r="AD69" i="436"/>
  <c r="AI69" i="436"/>
  <c r="N66" i="437"/>
  <c r="AD70" i="437"/>
  <c r="AC70" i="437" s="1"/>
  <c r="AI70" i="437"/>
  <c r="AO70" i="437"/>
  <c r="AU70" i="437"/>
  <c r="AE70" i="437"/>
  <c r="AK70" i="437"/>
  <c r="AQ70" i="437"/>
  <c r="AA71" i="437"/>
  <c r="AB70" i="437"/>
  <c r="AF70" i="437"/>
  <c r="AL70" i="437"/>
  <c r="AR70" i="437"/>
  <c r="AH70" i="437"/>
  <c r="AN70" i="437"/>
  <c r="AT70" i="437"/>
  <c r="CV89" i="434"/>
  <c r="CZ89" i="434"/>
  <c r="DD89" i="434"/>
  <c r="CU90" i="434"/>
  <c r="DC89" i="434"/>
  <c r="DE89" i="434" s="1"/>
  <c r="CX89" i="434"/>
  <c r="CW89" i="434" s="1"/>
  <c r="CY89" i="434"/>
  <c r="DB88" i="434"/>
  <c r="DA88" i="434"/>
  <c r="B53" i="236"/>
  <c r="AA56" i="5"/>
  <c r="AC56" i="5" s="1"/>
  <c r="AB55" i="5"/>
  <c r="B53" i="235"/>
  <c r="Y58" i="5"/>
  <c r="Z57" i="5"/>
  <c r="A53" i="234" l="1"/>
  <c r="A52" i="456"/>
  <c r="B61" i="420"/>
  <c r="AE70" i="436"/>
  <c r="AI70" i="436"/>
  <c r="AB70" i="436"/>
  <c r="AF70" i="436"/>
  <c r="AK70" i="436"/>
  <c r="AA71" i="436"/>
  <c r="AH70" i="436"/>
  <c r="AC70" i="436"/>
  <c r="AL70" i="436"/>
  <c r="AG70" i="436"/>
  <c r="AD70" i="436"/>
  <c r="AD71" i="437"/>
  <c r="AC71" i="437" s="1"/>
  <c r="AI71" i="437"/>
  <c r="AO71" i="437"/>
  <c r="AU71" i="437"/>
  <c r="AE71" i="437"/>
  <c r="AK71" i="437"/>
  <c r="AQ71" i="437"/>
  <c r="AA72" i="437"/>
  <c r="AB71" i="437"/>
  <c r="AF71" i="437"/>
  <c r="AL71" i="437"/>
  <c r="AR71" i="437"/>
  <c r="AT71" i="437"/>
  <c r="AN71" i="437"/>
  <c r="AH71" i="437"/>
  <c r="CX90" i="434"/>
  <c r="CW90" i="434" s="1"/>
  <c r="CY90" i="434"/>
  <c r="DC90" i="434"/>
  <c r="DE90" i="434" s="1"/>
  <c r="CV90" i="434"/>
  <c r="DD90" i="434"/>
  <c r="CZ90" i="434"/>
  <c r="CU91" i="434"/>
  <c r="DA89" i="434"/>
  <c r="DB89" i="434"/>
  <c r="B54" i="235"/>
  <c r="B54" i="236"/>
  <c r="AA57" i="5"/>
  <c r="AC57" i="5" s="1"/>
  <c r="AB56" i="5"/>
  <c r="Y59" i="5"/>
  <c r="Z58" i="5"/>
  <c r="A54" i="234" l="1"/>
  <c r="B62" i="420"/>
  <c r="A53" i="456"/>
  <c r="AD71" i="436"/>
  <c r="AH71" i="436"/>
  <c r="AE71" i="436"/>
  <c r="AI71" i="436"/>
  <c r="AF71" i="436"/>
  <c r="AG71" i="436"/>
  <c r="AC71" i="436"/>
  <c r="AL71" i="436"/>
  <c r="AB71" i="436"/>
  <c r="AK71" i="436"/>
  <c r="AA72" i="436"/>
  <c r="AD72" i="437"/>
  <c r="AC72" i="437" s="1"/>
  <c r="AI72" i="437"/>
  <c r="AO72" i="437"/>
  <c r="AU72" i="437"/>
  <c r="AE72" i="437"/>
  <c r="AK72" i="437"/>
  <c r="AQ72" i="437"/>
  <c r="AA73" i="437"/>
  <c r="AB72" i="437"/>
  <c r="AF72" i="437"/>
  <c r="AL72" i="437"/>
  <c r="AR72" i="437"/>
  <c r="AH72" i="437"/>
  <c r="AN72" i="437"/>
  <c r="AT72" i="437"/>
  <c r="CV91" i="434"/>
  <c r="CZ91" i="434"/>
  <c r="DD91" i="434"/>
  <c r="CU92" i="434"/>
  <c r="CX91" i="434"/>
  <c r="CW91" i="434" s="1"/>
  <c r="CY91" i="434"/>
  <c r="DC91" i="434"/>
  <c r="DE91" i="434" s="1"/>
  <c r="DB90" i="434"/>
  <c r="DA90" i="434"/>
  <c r="CE54" i="236"/>
  <c r="N70" i="436" s="1"/>
  <c r="CI54" i="236"/>
  <c r="L70" i="455" s="1"/>
  <c r="CM54" i="236"/>
  <c r="P70" i="455" s="1"/>
  <c r="CD54" i="236"/>
  <c r="G70" i="455" s="1"/>
  <c r="CK54" i="236"/>
  <c r="N70" i="455" s="1"/>
  <c r="CO54" i="236"/>
  <c r="R70" i="455" s="1"/>
  <c r="CG54" i="236"/>
  <c r="J70" i="455" s="1"/>
  <c r="CH54" i="236"/>
  <c r="K70" i="455" s="1"/>
  <c r="CF54" i="236"/>
  <c r="I70" i="455" s="1"/>
  <c r="CN54" i="236"/>
  <c r="Q70" i="455" s="1"/>
  <c r="CL54" i="236"/>
  <c r="O70" i="455" s="1"/>
  <c r="CP54" i="236"/>
  <c r="S70" i="455" s="1"/>
  <c r="CQ54" i="236"/>
  <c r="T70" i="455" s="1"/>
  <c r="CJ54" i="236"/>
  <c r="M70" i="455" s="1"/>
  <c r="B55" i="236"/>
  <c r="AB57" i="5"/>
  <c r="AA58" i="5"/>
  <c r="AC58" i="5" s="1"/>
  <c r="Y60" i="5"/>
  <c r="Z59" i="5"/>
  <c r="AA59" i="5" s="1"/>
  <c r="AC59" i="5" s="1"/>
  <c r="B55" i="235"/>
  <c r="A55" i="234" l="1"/>
  <c r="B63" i="420"/>
  <c r="A54" i="456"/>
  <c r="B58" i="235"/>
  <c r="B58" i="236"/>
  <c r="N70" i="437"/>
  <c r="H70" i="455"/>
  <c r="AC72" i="436"/>
  <c r="AG72" i="436"/>
  <c r="AL72" i="436"/>
  <c r="AD72" i="436"/>
  <c r="AH72" i="436"/>
  <c r="AB72" i="436"/>
  <c r="AK72" i="436"/>
  <c r="AE72" i="436"/>
  <c r="AA73" i="436"/>
  <c r="AF72" i="436"/>
  <c r="AI72" i="436"/>
  <c r="AD73" i="437"/>
  <c r="AC73" i="437" s="1"/>
  <c r="AI73" i="437"/>
  <c r="AO73" i="437"/>
  <c r="AU73" i="437"/>
  <c r="AE73" i="437"/>
  <c r="AK73" i="437"/>
  <c r="AQ73" i="437"/>
  <c r="AA74" i="437"/>
  <c r="AB73" i="437"/>
  <c r="AF73" i="437"/>
  <c r="AL73" i="437"/>
  <c r="AR73" i="437"/>
  <c r="AT73" i="437"/>
  <c r="AH73" i="437"/>
  <c r="AN73" i="437"/>
  <c r="CX92" i="434"/>
  <c r="CW92" i="434" s="1"/>
  <c r="CY92" i="434"/>
  <c r="DC92" i="434"/>
  <c r="DE92" i="434" s="1"/>
  <c r="CV92" i="434"/>
  <c r="DD92" i="434"/>
  <c r="CZ92" i="434"/>
  <c r="CU93" i="434"/>
  <c r="DA91" i="434"/>
  <c r="DB91" i="434"/>
  <c r="B56" i="236"/>
  <c r="CE55" i="236"/>
  <c r="N71" i="436" s="1"/>
  <c r="CI55" i="236"/>
  <c r="L71" i="455" s="1"/>
  <c r="CH55" i="236"/>
  <c r="K71" i="455" s="1"/>
  <c r="CD55" i="236"/>
  <c r="G71" i="455" s="1"/>
  <c r="CQ55" i="236"/>
  <c r="T71" i="455" s="1"/>
  <c r="CO55" i="236"/>
  <c r="R71" i="455" s="1"/>
  <c r="CM55" i="236"/>
  <c r="P71" i="455" s="1"/>
  <c r="CF55" i="236"/>
  <c r="I71" i="455" s="1"/>
  <c r="CP55" i="236"/>
  <c r="S71" i="455" s="1"/>
  <c r="CK55" i="236"/>
  <c r="N71" i="455" s="1"/>
  <c r="CG55" i="236"/>
  <c r="J71" i="455" s="1"/>
  <c r="CN55" i="236"/>
  <c r="Q71" i="455" s="1"/>
  <c r="CL55" i="236"/>
  <c r="O71" i="455" s="1"/>
  <c r="CJ55" i="236"/>
  <c r="M71" i="455" s="1"/>
  <c r="AB58" i="5"/>
  <c r="B56" i="235"/>
  <c r="AY2" i="238"/>
  <c r="B2" i="238"/>
  <c r="O19" i="450" s="1"/>
  <c r="AB59" i="5"/>
  <c r="Y61" i="5"/>
  <c r="Z60" i="5"/>
  <c r="CK58" i="236" l="1"/>
  <c r="N74" i="455" s="1"/>
  <c r="CH58" i="236"/>
  <c r="K74" i="455" s="1"/>
  <c r="CI58" i="236"/>
  <c r="L74" i="455" s="1"/>
  <c r="CD58" i="236"/>
  <c r="G74" i="455" s="1"/>
  <c r="CP58" i="236"/>
  <c r="S74" i="455" s="1"/>
  <c r="CL58" i="236"/>
  <c r="O74" i="455" s="1"/>
  <c r="CG58" i="236"/>
  <c r="J74" i="455" s="1"/>
  <c r="CE58" i="236"/>
  <c r="N74" i="436" s="1"/>
  <c r="CN58" i="236"/>
  <c r="Q74" i="455" s="1"/>
  <c r="CO58" i="236"/>
  <c r="R74" i="455" s="1"/>
  <c r="CQ58" i="236"/>
  <c r="T74" i="455" s="1"/>
  <c r="CJ58" i="236"/>
  <c r="M74" i="455" s="1"/>
  <c r="CF58" i="236"/>
  <c r="I74" i="455" s="1"/>
  <c r="CM58" i="236"/>
  <c r="P74" i="455" s="1"/>
  <c r="A56" i="234"/>
  <c r="A57" i="234" s="1"/>
  <c r="A55" i="456"/>
  <c r="B64" i="420"/>
  <c r="N71" i="437"/>
  <c r="H71" i="455"/>
  <c r="AB73" i="436"/>
  <c r="AF73" i="436"/>
  <c r="AK73" i="436"/>
  <c r="AA74" i="436"/>
  <c r="AC73" i="436"/>
  <c r="AG73" i="436"/>
  <c r="AL73" i="436"/>
  <c r="AD73" i="436"/>
  <c r="AE73" i="436"/>
  <c r="AI73" i="436"/>
  <c r="AH73" i="436"/>
  <c r="AD74" i="437"/>
  <c r="AC74" i="437" s="1"/>
  <c r="AI74" i="437"/>
  <c r="AO74" i="437"/>
  <c r="AU74" i="437"/>
  <c r="AE74" i="437"/>
  <c r="AK74" i="437"/>
  <c r="AQ74" i="437"/>
  <c r="AA75" i="437"/>
  <c r="AB74" i="437"/>
  <c r="AF74" i="437"/>
  <c r="AL74" i="437"/>
  <c r="AR74" i="437"/>
  <c r="AH74" i="437"/>
  <c r="AN74" i="437"/>
  <c r="AT74" i="437"/>
  <c r="CV93" i="434"/>
  <c r="CZ93" i="434"/>
  <c r="DD93" i="434"/>
  <c r="CU94" i="434"/>
  <c r="CY93" i="434"/>
  <c r="DC93" i="434"/>
  <c r="DE93" i="434" s="1"/>
  <c r="CX93" i="434"/>
  <c r="CW93" i="434" s="1"/>
  <c r="DB92" i="434"/>
  <c r="DA92" i="434"/>
  <c r="CE56" i="236"/>
  <c r="N72" i="436" s="1"/>
  <c r="CI56" i="236"/>
  <c r="L72" i="455" s="1"/>
  <c r="CH56" i="236"/>
  <c r="K72" i="455" s="1"/>
  <c r="CG56" i="236"/>
  <c r="J72" i="455" s="1"/>
  <c r="CM56" i="236"/>
  <c r="P72" i="455" s="1"/>
  <c r="CD56" i="236"/>
  <c r="G72" i="455" s="1"/>
  <c r="CK56" i="236"/>
  <c r="N72" i="455" s="1"/>
  <c r="CN56" i="236"/>
  <c r="Q72" i="455" s="1"/>
  <c r="CF56" i="236"/>
  <c r="I72" i="455" s="1"/>
  <c r="CQ56" i="236"/>
  <c r="T72" i="455" s="1"/>
  <c r="CL56" i="236"/>
  <c r="O72" i="455" s="1"/>
  <c r="CP56" i="236"/>
  <c r="S72" i="455" s="1"/>
  <c r="CJ56" i="236"/>
  <c r="M72" i="455" s="1"/>
  <c r="CO56" i="236"/>
  <c r="R72" i="455" s="1"/>
  <c r="B57" i="236"/>
  <c r="AA60" i="5"/>
  <c r="AC60" i="5" s="1"/>
  <c r="B57" i="235"/>
  <c r="D6" i="2"/>
  <c r="C27" i="2"/>
  <c r="C29" i="2"/>
  <c r="C6" i="2"/>
  <c r="F4" i="432" s="1"/>
  <c r="C30" i="2"/>
  <c r="C31" i="2"/>
  <c r="C28" i="2"/>
  <c r="Y62" i="5"/>
  <c r="Z61" i="5"/>
  <c r="AA61" i="5" s="1"/>
  <c r="AC61" i="5" s="1"/>
  <c r="H74" i="455" l="1"/>
  <c r="N74" i="437"/>
  <c r="N72" i="437"/>
  <c r="H72" i="455"/>
  <c r="AE74" i="436"/>
  <c r="AI74" i="436"/>
  <c r="AB74" i="436"/>
  <c r="AF74" i="436"/>
  <c r="AK74" i="436"/>
  <c r="AA75" i="436"/>
  <c r="AG74" i="436"/>
  <c r="AH74" i="436"/>
  <c r="AC74" i="436"/>
  <c r="AL74" i="436"/>
  <c r="AD74" i="436"/>
  <c r="AD75" i="437"/>
  <c r="AC75" i="437" s="1"/>
  <c r="AI75" i="437"/>
  <c r="AO75" i="437"/>
  <c r="AU75" i="437"/>
  <c r="AE75" i="437"/>
  <c r="AK75" i="437"/>
  <c r="AQ75" i="437"/>
  <c r="AA76" i="437"/>
  <c r="AB75" i="437"/>
  <c r="AF75" i="437"/>
  <c r="AL75" i="437"/>
  <c r="AR75" i="437"/>
  <c r="AT75" i="437"/>
  <c r="AN75" i="437"/>
  <c r="AH75" i="437"/>
  <c r="CX94" i="434"/>
  <c r="CW94" i="434" s="1"/>
  <c r="CY94" i="434"/>
  <c r="DC94" i="434"/>
  <c r="DE94" i="434" s="1"/>
  <c r="CZ94" i="434"/>
  <c r="CU95" i="434"/>
  <c r="CV94" i="434"/>
  <c r="DD94" i="434"/>
  <c r="DA93" i="434"/>
  <c r="DB93" i="434"/>
  <c r="B59" i="236"/>
  <c r="AB60" i="5"/>
  <c r="B59" i="235"/>
  <c r="U3" i="238"/>
  <c r="C3" i="437"/>
  <c r="C3" i="436"/>
  <c r="C3" i="434"/>
  <c r="U7" i="238"/>
  <c r="U11" i="238"/>
  <c r="U6" i="238"/>
  <c r="U5" i="238"/>
  <c r="U9" i="238"/>
  <c r="U10" i="238"/>
  <c r="U8" i="238"/>
  <c r="U4" i="238"/>
  <c r="U12" i="238"/>
  <c r="U14" i="238"/>
  <c r="U13" i="238"/>
  <c r="U16" i="238"/>
  <c r="U15" i="238"/>
  <c r="U17" i="238"/>
  <c r="U18" i="238"/>
  <c r="U19" i="238"/>
  <c r="U22" i="238"/>
  <c r="U20" i="238"/>
  <c r="U23" i="238"/>
  <c r="U21" i="238"/>
  <c r="U24" i="238"/>
  <c r="U26" i="238"/>
  <c r="U28" i="238"/>
  <c r="U25" i="238"/>
  <c r="U30" i="238"/>
  <c r="U27" i="238"/>
  <c r="U29" i="238"/>
  <c r="U32" i="238"/>
  <c r="U31" i="238"/>
  <c r="AB61" i="5"/>
  <c r="Y63" i="5"/>
  <c r="Z62" i="5"/>
  <c r="AE75" i="436" l="1"/>
  <c r="AI75" i="436"/>
  <c r="AC75" i="436"/>
  <c r="AH75" i="436"/>
  <c r="AD75" i="436"/>
  <c r="AK75" i="436"/>
  <c r="AA76" i="436"/>
  <c r="AB75" i="436"/>
  <c r="AF75" i="436"/>
  <c r="AL75" i="436"/>
  <c r="AG75" i="436"/>
  <c r="AD76" i="437"/>
  <c r="AC76" i="437" s="1"/>
  <c r="AI76" i="437"/>
  <c r="AO76" i="437"/>
  <c r="AU76" i="437"/>
  <c r="AE76" i="437"/>
  <c r="AK76" i="437"/>
  <c r="AQ76" i="437"/>
  <c r="AA77" i="437"/>
  <c r="AB76" i="437"/>
  <c r="AF76" i="437"/>
  <c r="AL76" i="437"/>
  <c r="AR76" i="437"/>
  <c r="AH76" i="437"/>
  <c r="AN76" i="437"/>
  <c r="AT76" i="437"/>
  <c r="DB94" i="434"/>
  <c r="DA94" i="434"/>
  <c r="CV95" i="434"/>
  <c r="CZ95" i="434"/>
  <c r="DD95" i="434"/>
  <c r="CU96" i="434"/>
  <c r="DC95" i="434"/>
  <c r="DE95" i="434" s="1"/>
  <c r="CX95" i="434"/>
  <c r="CW95" i="434" s="1"/>
  <c r="CY95" i="434"/>
  <c r="B65" i="420"/>
  <c r="A56" i="456"/>
  <c r="B60" i="236"/>
  <c r="AA62" i="5"/>
  <c r="AC62" i="5" s="1"/>
  <c r="B60" i="235"/>
  <c r="V3" i="238"/>
  <c r="AA4" i="451" s="1"/>
  <c r="V7" i="238"/>
  <c r="AE4" i="451" s="1"/>
  <c r="V15" i="238"/>
  <c r="AM4" i="451" s="1"/>
  <c r="V23" i="238"/>
  <c r="AU4" i="451" s="1"/>
  <c r="V4" i="238"/>
  <c r="AB4" i="451" s="1"/>
  <c r="V12" i="238"/>
  <c r="AJ4" i="451" s="1"/>
  <c r="V20" i="238"/>
  <c r="AR4" i="451" s="1"/>
  <c r="V10" i="238"/>
  <c r="AH4" i="451" s="1"/>
  <c r="V9" i="238"/>
  <c r="AG4" i="451" s="1"/>
  <c r="V17" i="238"/>
  <c r="AO4" i="451" s="1"/>
  <c r="V6" i="238"/>
  <c r="AD4" i="451" s="1"/>
  <c r="V14" i="238"/>
  <c r="AL4" i="451" s="1"/>
  <c r="V22" i="238"/>
  <c r="AT4" i="451" s="1"/>
  <c r="V25" i="238"/>
  <c r="AW4" i="451" s="1"/>
  <c r="V11" i="238"/>
  <c r="AI4" i="451" s="1"/>
  <c r="V19" i="238"/>
  <c r="AQ4" i="451" s="1"/>
  <c r="V8" i="238"/>
  <c r="AF4" i="451" s="1"/>
  <c r="V16" i="238"/>
  <c r="AN4" i="451" s="1"/>
  <c r="V24" i="238"/>
  <c r="AV4" i="451" s="1"/>
  <c r="V5" i="238"/>
  <c r="AC4" i="451" s="1"/>
  <c r="V13" i="238"/>
  <c r="AK4" i="451" s="1"/>
  <c r="V21" i="238"/>
  <c r="AS4" i="451" s="1"/>
  <c r="V18" i="238"/>
  <c r="AP4" i="451" s="1"/>
  <c r="V26" i="238"/>
  <c r="AX4" i="451" s="1"/>
  <c r="V27" i="238"/>
  <c r="AY4" i="451" s="1"/>
  <c r="V28" i="238"/>
  <c r="V29" i="238"/>
  <c r="V30" i="238"/>
  <c r="V31" i="238"/>
  <c r="V32" i="238"/>
  <c r="Y64" i="5"/>
  <c r="Z63" i="5"/>
  <c r="AD76" i="436" l="1"/>
  <c r="AH76" i="436"/>
  <c r="AE76" i="436"/>
  <c r="AK76" i="436"/>
  <c r="AF76" i="436"/>
  <c r="AL76" i="436"/>
  <c r="AA77" i="436"/>
  <c r="AB76" i="436"/>
  <c r="AG76" i="436"/>
  <c r="AC76" i="436"/>
  <c r="AI76" i="436"/>
  <c r="AD77" i="437"/>
  <c r="AC77" i="437" s="1"/>
  <c r="AI77" i="437"/>
  <c r="AO77" i="437"/>
  <c r="AU77" i="437"/>
  <c r="AE77" i="437"/>
  <c r="AK77" i="437"/>
  <c r="AQ77" i="437"/>
  <c r="AB77" i="437"/>
  <c r="AF77" i="437"/>
  <c r="AL77" i="437"/>
  <c r="AR77" i="437"/>
  <c r="AT77" i="437"/>
  <c r="AA78" i="437"/>
  <c r="AH77" i="437"/>
  <c r="AN77" i="437"/>
  <c r="CX96" i="434"/>
  <c r="CW96" i="434" s="1"/>
  <c r="CY96" i="434"/>
  <c r="DC96" i="434"/>
  <c r="DE96" i="434" s="1"/>
  <c r="CZ96" i="434"/>
  <c r="CU97" i="434"/>
  <c r="CV96" i="434"/>
  <c r="DD96" i="434"/>
  <c r="DA95" i="434"/>
  <c r="DB95" i="434"/>
  <c r="AX33" i="451"/>
  <c r="AX34" i="451"/>
  <c r="AX32" i="451"/>
  <c r="AX31" i="451"/>
  <c r="AX30" i="451"/>
  <c r="AC33" i="451"/>
  <c r="AC31" i="451"/>
  <c r="AC32" i="451"/>
  <c r="AC30" i="451"/>
  <c r="AC34" i="451"/>
  <c r="AQ33" i="451"/>
  <c r="AQ32" i="451"/>
  <c r="AQ31" i="451"/>
  <c r="AQ34" i="451"/>
  <c r="AQ30" i="451"/>
  <c r="AL33" i="451"/>
  <c r="AL32" i="451"/>
  <c r="AL34" i="451"/>
  <c r="AL31" i="451"/>
  <c r="AL30" i="451"/>
  <c r="AH33" i="451"/>
  <c r="AH34" i="451"/>
  <c r="AH32" i="451"/>
  <c r="AH31" i="451"/>
  <c r="AH30" i="451"/>
  <c r="AU32" i="451"/>
  <c r="AU33" i="451"/>
  <c r="AU34" i="451"/>
  <c r="AU31" i="451"/>
  <c r="AU30" i="451"/>
  <c r="AP33" i="451"/>
  <c r="AP31" i="451"/>
  <c r="AP30" i="451"/>
  <c r="AP34" i="451"/>
  <c r="AP32" i="451"/>
  <c r="AV31" i="451"/>
  <c r="AV32" i="451"/>
  <c r="AV33" i="451"/>
  <c r="AV34" i="451"/>
  <c r="AV30" i="451"/>
  <c r="AI32" i="451"/>
  <c r="AI33" i="451"/>
  <c r="AI34" i="451"/>
  <c r="AI30" i="451"/>
  <c r="AI31" i="451"/>
  <c r="AD33" i="451"/>
  <c r="AD31" i="451"/>
  <c r="AD32" i="451"/>
  <c r="AD30" i="451"/>
  <c r="AD34" i="451"/>
  <c r="AR31" i="451"/>
  <c r="AR32" i="451"/>
  <c r="AR33" i="451"/>
  <c r="AR34" i="451"/>
  <c r="AR30" i="451"/>
  <c r="AM32" i="451"/>
  <c r="AM33" i="451"/>
  <c r="AM30" i="451"/>
  <c r="AM34" i="451"/>
  <c r="AM31" i="451"/>
  <c r="AS33" i="451"/>
  <c r="AS31" i="451"/>
  <c r="AS32" i="451"/>
  <c r="AS30" i="451"/>
  <c r="AS34" i="451"/>
  <c r="AN32" i="451"/>
  <c r="AN31" i="451"/>
  <c r="AN33" i="451"/>
  <c r="AN34" i="451"/>
  <c r="AN30" i="451"/>
  <c r="AW32" i="451"/>
  <c r="AW33" i="451"/>
  <c r="AW30" i="451"/>
  <c r="AW31" i="451"/>
  <c r="AW34" i="451"/>
  <c r="AO33" i="451"/>
  <c r="AO30" i="451"/>
  <c r="AO34" i="451"/>
  <c r="AO32" i="451"/>
  <c r="AO31" i="451"/>
  <c r="AJ31" i="451"/>
  <c r="AJ32" i="451"/>
  <c r="AJ33" i="451"/>
  <c r="AJ30" i="451"/>
  <c r="AJ34" i="451"/>
  <c r="AE32" i="451"/>
  <c r="AE33" i="451"/>
  <c r="AE34" i="451"/>
  <c r="AE31" i="451"/>
  <c r="AE30" i="451"/>
  <c r="AY32" i="451"/>
  <c r="AY33" i="451"/>
  <c r="AY34" i="451"/>
  <c r="AY30" i="451"/>
  <c r="AY31" i="451"/>
  <c r="AK30" i="451"/>
  <c r="AK33" i="451"/>
  <c r="AK34" i="451"/>
  <c r="AK31" i="451"/>
  <c r="AK32" i="451"/>
  <c r="AF31" i="451"/>
  <c r="AF32" i="451"/>
  <c r="AF33" i="451"/>
  <c r="AF34" i="451"/>
  <c r="AF30" i="451"/>
  <c r="AT33" i="451"/>
  <c r="AT31" i="451"/>
  <c r="AT30" i="451"/>
  <c r="AT32" i="451"/>
  <c r="AT34" i="451"/>
  <c r="AG32" i="451"/>
  <c r="AG33" i="451"/>
  <c r="AG30" i="451"/>
  <c r="AG31" i="451"/>
  <c r="AG34" i="451"/>
  <c r="AB31" i="451"/>
  <c r="AB32" i="451"/>
  <c r="AB33" i="451"/>
  <c r="AB34" i="451"/>
  <c r="AB30" i="451"/>
  <c r="AA33" i="451"/>
  <c r="AA32" i="451"/>
  <c r="AA31" i="451"/>
  <c r="AA34" i="451"/>
  <c r="AA30" i="451"/>
  <c r="B66" i="420"/>
  <c r="A57" i="456"/>
  <c r="B61" i="236"/>
  <c r="AA63" i="5"/>
  <c r="AC63" i="5" s="1"/>
  <c r="AB62" i="5"/>
  <c r="B61" i="235"/>
  <c r="AS4" i="420"/>
  <c r="BD4" i="451"/>
  <c r="AQ4" i="420"/>
  <c r="BB4" i="451"/>
  <c r="AO4" i="420"/>
  <c r="AZ4" i="451"/>
  <c r="AR4" i="420"/>
  <c r="BC4" i="451"/>
  <c r="AP4" i="420"/>
  <c r="BA4" i="451"/>
  <c r="AL4" i="420"/>
  <c r="AN4" i="420"/>
  <c r="Z4" i="420"/>
  <c r="AI4" i="420"/>
  <c r="AH4" i="420"/>
  <c r="AC4" i="420"/>
  <c r="AD4" i="420"/>
  <c r="Y4" i="420"/>
  <c r="AM4" i="420"/>
  <c r="AF4" i="420"/>
  <c r="AA4" i="420"/>
  <c r="AJ4" i="420"/>
  <c r="AE4" i="420"/>
  <c r="AK4" i="420"/>
  <c r="AG4" i="420"/>
  <c r="AB4" i="420"/>
  <c r="P4" i="420"/>
  <c r="V4" i="420"/>
  <c r="X4" i="420"/>
  <c r="S4" i="420"/>
  <c r="W4" i="420"/>
  <c r="Q4" i="420"/>
  <c r="R4" i="420"/>
  <c r="U4" i="420"/>
  <c r="T4" i="420"/>
  <c r="Y65" i="5"/>
  <c r="Z64" i="5"/>
  <c r="AA64" i="5" s="1"/>
  <c r="AC64" i="5" s="1"/>
  <c r="A58" i="234"/>
  <c r="U22" i="420" l="1"/>
  <c r="U63" i="420"/>
  <c r="U57" i="420"/>
  <c r="U62" i="420"/>
  <c r="U60" i="420"/>
  <c r="U59" i="420"/>
  <c r="U61" i="420"/>
  <c r="S22" i="420"/>
  <c r="S63" i="420"/>
  <c r="S57" i="420"/>
  <c r="S62" i="420"/>
  <c r="S60" i="420"/>
  <c r="S59" i="420"/>
  <c r="S61" i="420"/>
  <c r="AB22" i="420"/>
  <c r="AB63" i="420"/>
  <c r="AB57" i="420"/>
  <c r="AB62" i="420"/>
  <c r="AB60" i="420"/>
  <c r="AB59" i="420"/>
  <c r="AB61" i="420"/>
  <c r="AJ22" i="420"/>
  <c r="AJ63" i="420"/>
  <c r="AJ57" i="420"/>
  <c r="AJ60" i="420"/>
  <c r="AJ62" i="420"/>
  <c r="AJ61" i="420"/>
  <c r="AJ59" i="420"/>
  <c r="Y22" i="420"/>
  <c r="Y63" i="420"/>
  <c r="Y57" i="420"/>
  <c r="Y60" i="420"/>
  <c r="Y62" i="420"/>
  <c r="Y59" i="420"/>
  <c r="Y61" i="420"/>
  <c r="AI22" i="420"/>
  <c r="AI63" i="420"/>
  <c r="AI57" i="420"/>
  <c r="AI60" i="420"/>
  <c r="AI62" i="420"/>
  <c r="AI59" i="420"/>
  <c r="AI61" i="420"/>
  <c r="R22" i="420"/>
  <c r="R63" i="420"/>
  <c r="R57" i="420"/>
  <c r="R60" i="420"/>
  <c r="R62" i="420"/>
  <c r="R59" i="420"/>
  <c r="R61" i="420"/>
  <c r="X22" i="420"/>
  <c r="X63" i="420"/>
  <c r="X57" i="420"/>
  <c r="X60" i="420"/>
  <c r="X62" i="420"/>
  <c r="X59" i="420"/>
  <c r="X61" i="420"/>
  <c r="AG22" i="420"/>
  <c r="AG63" i="420"/>
  <c r="AG57" i="420"/>
  <c r="AG60" i="420"/>
  <c r="AG62" i="420"/>
  <c r="AG59" i="420"/>
  <c r="AG61" i="420"/>
  <c r="AA22" i="420"/>
  <c r="AA63" i="420"/>
  <c r="AA57" i="420"/>
  <c r="AA62" i="420"/>
  <c r="AA60" i="420"/>
  <c r="AA61" i="420"/>
  <c r="AA59" i="420"/>
  <c r="AD22" i="420"/>
  <c r="AD63" i="420"/>
  <c r="AD57" i="420"/>
  <c r="AD60" i="420"/>
  <c r="AD62" i="420"/>
  <c r="AD61" i="420"/>
  <c r="AD59" i="420"/>
  <c r="Z22" i="420"/>
  <c r="Z63" i="420"/>
  <c r="Z57" i="420"/>
  <c r="Z60" i="420"/>
  <c r="Z62" i="420"/>
  <c r="Z59" i="420"/>
  <c r="Z61" i="420"/>
  <c r="AP22" i="420"/>
  <c r="AP63" i="420"/>
  <c r="AP57" i="420"/>
  <c r="AP60" i="420"/>
  <c r="AP62" i="420"/>
  <c r="AP59" i="420"/>
  <c r="AP61" i="420"/>
  <c r="AO22" i="420"/>
  <c r="AO63" i="420"/>
  <c r="AO57" i="420"/>
  <c r="AO60" i="420"/>
  <c r="AO62" i="420"/>
  <c r="AO59" i="420"/>
  <c r="AO61" i="420"/>
  <c r="AS22" i="420"/>
  <c r="AS63" i="420"/>
  <c r="AS57" i="420"/>
  <c r="AS60" i="420"/>
  <c r="AS62" i="420"/>
  <c r="AS59" i="420"/>
  <c r="AS61" i="420"/>
  <c r="Q22" i="420"/>
  <c r="Q63" i="420"/>
  <c r="Q57" i="420"/>
  <c r="Q60" i="420"/>
  <c r="Q62" i="420"/>
  <c r="Q59" i="420"/>
  <c r="Q61" i="420"/>
  <c r="V22" i="420"/>
  <c r="V63" i="420"/>
  <c r="V57" i="420"/>
  <c r="V60" i="420"/>
  <c r="V62" i="420"/>
  <c r="V59" i="420"/>
  <c r="V61" i="420"/>
  <c r="AK22" i="420"/>
  <c r="AK63" i="420"/>
  <c r="AK57" i="420"/>
  <c r="AK60" i="420"/>
  <c r="AK62" i="420"/>
  <c r="AK59" i="420"/>
  <c r="AK61" i="420"/>
  <c r="AF22" i="420"/>
  <c r="AF63" i="420"/>
  <c r="AF57" i="420"/>
  <c r="AF60" i="420"/>
  <c r="AF62" i="420"/>
  <c r="AF61" i="420"/>
  <c r="AF59" i="420"/>
  <c r="AC22" i="420"/>
  <c r="AC63" i="420"/>
  <c r="AC57" i="420"/>
  <c r="AC60" i="420"/>
  <c r="AC62" i="420"/>
  <c r="AC61" i="420"/>
  <c r="AC59" i="420"/>
  <c r="AN22" i="420"/>
  <c r="AN63" i="420"/>
  <c r="AN57" i="420"/>
  <c r="AN62" i="420"/>
  <c r="AN60" i="420"/>
  <c r="AN59" i="420"/>
  <c r="AN61" i="420"/>
  <c r="T22" i="420"/>
  <c r="T63" i="420"/>
  <c r="T57" i="420"/>
  <c r="T60" i="420"/>
  <c r="T62" i="420"/>
  <c r="T59" i="420"/>
  <c r="T61" i="420"/>
  <c r="W22" i="420"/>
  <c r="W63" i="420"/>
  <c r="W57" i="420"/>
  <c r="W62" i="420"/>
  <c r="W60" i="420"/>
  <c r="W61" i="420"/>
  <c r="W59" i="420"/>
  <c r="P22" i="420"/>
  <c r="P63" i="420"/>
  <c r="P57" i="420"/>
  <c r="P60" i="420"/>
  <c r="P62" i="420"/>
  <c r="P59" i="420"/>
  <c r="P61" i="420"/>
  <c r="AE22" i="420"/>
  <c r="AE63" i="420"/>
  <c r="AE57" i="420"/>
  <c r="AE60" i="420"/>
  <c r="AE62" i="420"/>
  <c r="AE59" i="420"/>
  <c r="AE61" i="420"/>
  <c r="AM22" i="420"/>
  <c r="AM63" i="420"/>
  <c r="AM57" i="420"/>
  <c r="AM62" i="420"/>
  <c r="AM60" i="420"/>
  <c r="AM59" i="420"/>
  <c r="AM61" i="420"/>
  <c r="AH22" i="420"/>
  <c r="AH63" i="420"/>
  <c r="AH57" i="420"/>
  <c r="AH60" i="420"/>
  <c r="AH62" i="420"/>
  <c r="AH61" i="420"/>
  <c r="AH59" i="420"/>
  <c r="AL22" i="420"/>
  <c r="AL63" i="420"/>
  <c r="AL57" i="420"/>
  <c r="AL60" i="420"/>
  <c r="AL62" i="420"/>
  <c r="AL61" i="420"/>
  <c r="AL59" i="420"/>
  <c r="AR22" i="420"/>
  <c r="AR63" i="420"/>
  <c r="AR57" i="420"/>
  <c r="AR62" i="420"/>
  <c r="AR60" i="420"/>
  <c r="AR59" i="420"/>
  <c r="AR61" i="420"/>
  <c r="AQ22" i="420"/>
  <c r="AQ63" i="420"/>
  <c r="AQ57" i="420"/>
  <c r="AQ60" i="420"/>
  <c r="AQ62" i="420"/>
  <c r="AQ61" i="420"/>
  <c r="AQ59" i="420"/>
  <c r="AC77" i="436"/>
  <c r="AG77" i="436"/>
  <c r="AL77" i="436"/>
  <c r="AE77" i="436"/>
  <c r="AK77" i="436"/>
  <c r="AF77" i="436"/>
  <c r="AA78" i="436"/>
  <c r="AB77" i="436"/>
  <c r="AH77" i="436"/>
  <c r="AD77" i="436"/>
  <c r="AI77" i="436"/>
  <c r="AD78" i="437"/>
  <c r="AC78" i="437" s="1"/>
  <c r="AB78" i="437"/>
  <c r="AF78" i="437"/>
  <c r="AL78" i="437"/>
  <c r="AR78" i="437"/>
  <c r="AK78" i="437"/>
  <c r="AT78" i="437"/>
  <c r="AI78" i="437"/>
  <c r="AQ78" i="437"/>
  <c r="AE78" i="437"/>
  <c r="AN78" i="437"/>
  <c r="AU78" i="437"/>
  <c r="AA79" i="437"/>
  <c r="AH78" i="437"/>
  <c r="AO78" i="437"/>
  <c r="DB96" i="434"/>
  <c r="DA96" i="434"/>
  <c r="CV97" i="434"/>
  <c r="CZ97" i="434"/>
  <c r="DD97" i="434"/>
  <c r="CU98" i="434"/>
  <c r="DC97" i="434"/>
  <c r="DE97" i="434" s="1"/>
  <c r="CX97" i="434"/>
  <c r="CW97" i="434" s="1"/>
  <c r="CY97" i="434"/>
  <c r="BC32" i="451"/>
  <c r="BC33" i="451"/>
  <c r="BC30" i="451"/>
  <c r="BC34" i="451"/>
  <c r="BC31" i="451"/>
  <c r="BB33" i="451"/>
  <c r="BB32" i="451"/>
  <c r="BB34" i="451"/>
  <c r="BB31" i="451"/>
  <c r="BB30" i="451"/>
  <c r="BA30" i="451"/>
  <c r="BA33" i="451"/>
  <c r="BA34" i="451"/>
  <c r="BA31" i="451"/>
  <c r="BA32" i="451"/>
  <c r="AZ31" i="451"/>
  <c r="AZ32" i="451"/>
  <c r="AZ33" i="451"/>
  <c r="AZ30" i="451"/>
  <c r="AZ34" i="451"/>
  <c r="BD32" i="451"/>
  <c r="BD31" i="451"/>
  <c r="BD33" i="451"/>
  <c r="BD34" i="451"/>
  <c r="BD30" i="451"/>
  <c r="B67" i="420"/>
  <c r="A58" i="456"/>
  <c r="B62" i="236"/>
  <c r="R15" i="420"/>
  <c r="R17" i="420"/>
  <c r="R19" i="420"/>
  <c r="R21" i="420"/>
  <c r="R24" i="420"/>
  <c r="R16" i="420"/>
  <c r="R29" i="420"/>
  <c r="R33" i="420"/>
  <c r="R39" i="420"/>
  <c r="R45" i="420"/>
  <c r="R32" i="420"/>
  <c r="R20" i="420"/>
  <c r="R36" i="420"/>
  <c r="R28" i="420"/>
  <c r="R40" i="420"/>
  <c r="R49" i="420"/>
  <c r="R50" i="420"/>
  <c r="R53" i="420"/>
  <c r="R54" i="420"/>
  <c r="R55" i="420"/>
  <c r="X16" i="420"/>
  <c r="X20" i="420"/>
  <c r="X15" i="420"/>
  <c r="X17" i="420"/>
  <c r="X19" i="420"/>
  <c r="X24" i="420"/>
  <c r="X36" i="420"/>
  <c r="X40" i="420"/>
  <c r="X28" i="420"/>
  <c r="X21" i="420"/>
  <c r="X29" i="420"/>
  <c r="X49" i="420"/>
  <c r="X32" i="420"/>
  <c r="X33" i="420"/>
  <c r="X50" i="420"/>
  <c r="X55" i="420"/>
  <c r="X39" i="420"/>
  <c r="X45" i="420"/>
  <c r="X53" i="420"/>
  <c r="X54" i="420"/>
  <c r="AG16" i="420"/>
  <c r="AG20" i="420"/>
  <c r="AG21" i="420"/>
  <c r="AG29" i="420"/>
  <c r="AG15" i="420"/>
  <c r="AG28" i="420"/>
  <c r="AG24" i="420"/>
  <c r="AG33" i="420"/>
  <c r="AG39" i="420"/>
  <c r="AG19" i="420"/>
  <c r="AG17" i="420"/>
  <c r="AG45" i="420"/>
  <c r="AG36" i="420"/>
  <c r="AG49" i="420"/>
  <c r="AG54" i="420"/>
  <c r="AG53" i="420"/>
  <c r="AG55" i="420"/>
  <c r="AG32" i="420"/>
  <c r="AG50" i="420"/>
  <c r="AG40" i="420"/>
  <c r="AA15" i="420"/>
  <c r="AA17" i="420"/>
  <c r="AA19" i="420"/>
  <c r="AA21" i="420"/>
  <c r="AA24" i="420"/>
  <c r="AA28" i="420"/>
  <c r="AA32" i="420"/>
  <c r="AA20" i="420"/>
  <c r="AA29" i="420"/>
  <c r="AA16" i="420"/>
  <c r="AA36" i="420"/>
  <c r="AA40" i="420"/>
  <c r="AA33" i="420"/>
  <c r="AA39" i="420"/>
  <c r="AA53" i="420"/>
  <c r="AA45" i="420"/>
  <c r="AA55" i="420"/>
  <c r="AA54" i="420"/>
  <c r="AA49" i="420"/>
  <c r="AA50" i="420"/>
  <c r="AD15" i="420"/>
  <c r="AD17" i="420"/>
  <c r="AD19" i="420"/>
  <c r="AD21" i="420"/>
  <c r="AD24" i="420"/>
  <c r="AD16" i="420"/>
  <c r="AD28" i="420"/>
  <c r="AD33" i="420"/>
  <c r="AD39" i="420"/>
  <c r="AD45" i="420"/>
  <c r="AD20" i="420"/>
  <c r="AD32" i="420"/>
  <c r="AD40" i="420"/>
  <c r="AD29" i="420"/>
  <c r="AD36" i="420"/>
  <c r="AD49" i="420"/>
  <c r="AD50" i="420"/>
  <c r="AD53" i="420"/>
  <c r="AD54" i="420"/>
  <c r="AD55" i="420"/>
  <c r="Z15" i="420"/>
  <c r="Z17" i="420"/>
  <c r="Z19" i="420"/>
  <c r="Z21" i="420"/>
  <c r="Z24" i="420"/>
  <c r="Z16" i="420"/>
  <c r="Z29" i="420"/>
  <c r="Z32" i="420"/>
  <c r="Z20" i="420"/>
  <c r="Z33" i="420"/>
  <c r="Z39" i="420"/>
  <c r="Z45" i="420"/>
  <c r="Z28" i="420"/>
  <c r="Z36" i="420"/>
  <c r="Z40" i="420"/>
  <c r="Z49" i="420"/>
  <c r="Z50" i="420"/>
  <c r="Z53" i="420"/>
  <c r="Z54" i="420"/>
  <c r="Z55" i="420"/>
  <c r="AP15" i="420"/>
  <c r="AP17" i="420"/>
  <c r="AP19" i="420"/>
  <c r="AP21" i="420"/>
  <c r="AP24" i="420"/>
  <c r="AP16" i="420"/>
  <c r="AP29" i="420"/>
  <c r="AP20" i="420"/>
  <c r="AP33" i="420"/>
  <c r="AP39" i="420"/>
  <c r="AP45" i="420"/>
  <c r="AP28" i="420"/>
  <c r="AP36" i="420"/>
  <c r="AP32" i="420"/>
  <c r="AP40" i="420"/>
  <c r="AP49" i="420"/>
  <c r="AP50" i="420"/>
  <c r="AP53" i="420"/>
  <c r="AP54" i="420"/>
  <c r="AP55" i="420"/>
  <c r="AO16" i="420"/>
  <c r="AO20" i="420"/>
  <c r="AO15" i="420"/>
  <c r="AO21" i="420"/>
  <c r="AO29" i="420"/>
  <c r="AO28" i="420"/>
  <c r="AO17" i="420"/>
  <c r="AO19" i="420"/>
  <c r="AO33" i="420"/>
  <c r="AO39" i="420"/>
  <c r="AO24" i="420"/>
  <c r="AO45" i="420"/>
  <c r="AO40" i="420"/>
  <c r="AO49" i="420"/>
  <c r="AO32" i="420"/>
  <c r="AO53" i="420"/>
  <c r="AO54" i="420"/>
  <c r="AO55" i="420"/>
  <c r="AO36" i="420"/>
  <c r="AO50" i="420"/>
  <c r="AS16" i="420"/>
  <c r="AS20" i="420"/>
  <c r="AS17" i="420"/>
  <c r="AS29" i="420"/>
  <c r="AS21" i="420"/>
  <c r="AS28" i="420"/>
  <c r="AS33" i="420"/>
  <c r="AS39" i="420"/>
  <c r="AS15" i="420"/>
  <c r="AS19" i="420"/>
  <c r="AS32" i="420"/>
  <c r="AS24" i="420"/>
  <c r="AS49" i="420"/>
  <c r="AS40" i="420"/>
  <c r="AS55" i="420"/>
  <c r="AS36" i="420"/>
  <c r="AS53" i="420"/>
  <c r="AS45" i="420"/>
  <c r="AS50" i="420"/>
  <c r="AS54" i="420"/>
  <c r="Q16" i="420"/>
  <c r="Q20" i="420"/>
  <c r="Q19" i="420"/>
  <c r="Q21" i="420"/>
  <c r="Q29" i="420"/>
  <c r="Q15" i="420"/>
  <c r="Q28" i="420"/>
  <c r="Q24" i="420"/>
  <c r="Q33" i="420"/>
  <c r="Q39" i="420"/>
  <c r="Q17" i="420"/>
  <c r="Q32" i="420"/>
  <c r="Q36" i="420"/>
  <c r="Q45" i="420"/>
  <c r="Q54" i="420"/>
  <c r="Q53" i="420"/>
  <c r="Q49" i="420"/>
  <c r="Q40" i="420"/>
  <c r="Q50" i="420"/>
  <c r="Q55" i="420"/>
  <c r="V15" i="420"/>
  <c r="V17" i="420"/>
  <c r="V19" i="420"/>
  <c r="V21" i="420"/>
  <c r="V24" i="420"/>
  <c r="V16" i="420"/>
  <c r="V20" i="420"/>
  <c r="V28" i="420"/>
  <c r="V32" i="420"/>
  <c r="V33" i="420"/>
  <c r="V39" i="420"/>
  <c r="V45" i="420"/>
  <c r="V29" i="420"/>
  <c r="V40" i="420"/>
  <c r="V36" i="420"/>
  <c r="V50" i="420"/>
  <c r="V49" i="420"/>
  <c r="V53" i="420"/>
  <c r="V55" i="420"/>
  <c r="V54" i="420"/>
  <c r="AK16" i="420"/>
  <c r="AK20" i="420"/>
  <c r="AK29" i="420"/>
  <c r="AK17" i="420"/>
  <c r="AK21" i="420"/>
  <c r="AK28" i="420"/>
  <c r="AK15" i="420"/>
  <c r="AK33" i="420"/>
  <c r="AK39" i="420"/>
  <c r="AK24" i="420"/>
  <c r="AK19" i="420"/>
  <c r="AK32" i="420"/>
  <c r="AK49" i="420"/>
  <c r="AK36" i="420"/>
  <c r="AK40" i="420"/>
  <c r="AK45" i="420"/>
  <c r="AK53" i="420"/>
  <c r="AK55" i="420"/>
  <c r="AK50" i="420"/>
  <c r="AK54" i="420"/>
  <c r="AF16" i="420"/>
  <c r="AF20" i="420"/>
  <c r="AF15" i="420"/>
  <c r="AF17" i="420"/>
  <c r="AF19" i="420"/>
  <c r="AF24" i="420"/>
  <c r="AF21" i="420"/>
  <c r="AF32" i="420"/>
  <c r="AF36" i="420"/>
  <c r="AF40" i="420"/>
  <c r="AF28" i="420"/>
  <c r="AF29" i="420"/>
  <c r="AF33" i="420"/>
  <c r="AF39" i="420"/>
  <c r="AF45" i="420"/>
  <c r="AF50" i="420"/>
  <c r="AF49" i="420"/>
  <c r="AF55" i="420"/>
  <c r="AF54" i="420"/>
  <c r="AF53" i="420"/>
  <c r="AC16" i="420"/>
  <c r="AC20" i="420"/>
  <c r="AC17" i="420"/>
  <c r="AC29" i="420"/>
  <c r="AC21" i="420"/>
  <c r="AC28" i="420"/>
  <c r="AC33" i="420"/>
  <c r="AC39" i="420"/>
  <c r="AC19" i="420"/>
  <c r="AC15" i="420"/>
  <c r="AC24" i="420"/>
  <c r="AC32" i="420"/>
  <c r="AC45" i="420"/>
  <c r="AC49" i="420"/>
  <c r="AC40" i="420"/>
  <c r="AC55" i="420"/>
  <c r="AC36" i="420"/>
  <c r="AC53" i="420"/>
  <c r="AC50" i="420"/>
  <c r="AC54" i="420"/>
  <c r="AN16" i="420"/>
  <c r="AN20" i="420"/>
  <c r="AN15" i="420"/>
  <c r="AN17" i="420"/>
  <c r="AN19" i="420"/>
  <c r="AN24" i="420"/>
  <c r="AN32" i="420"/>
  <c r="AN36" i="420"/>
  <c r="AN40" i="420"/>
  <c r="AN28" i="420"/>
  <c r="AN29" i="420"/>
  <c r="AN21" i="420"/>
  <c r="AN33" i="420"/>
  <c r="AN45" i="420"/>
  <c r="AN50" i="420"/>
  <c r="AN55" i="420"/>
  <c r="AN49" i="420"/>
  <c r="AN54" i="420"/>
  <c r="AN39" i="420"/>
  <c r="AN53" i="420"/>
  <c r="T16" i="420"/>
  <c r="T20" i="420"/>
  <c r="T15" i="420"/>
  <c r="T17" i="420"/>
  <c r="T19" i="420"/>
  <c r="T24" i="420"/>
  <c r="T28" i="420"/>
  <c r="T29" i="420"/>
  <c r="T36" i="420"/>
  <c r="T40" i="420"/>
  <c r="T21" i="420"/>
  <c r="T32" i="420"/>
  <c r="T33" i="420"/>
  <c r="T49" i="420"/>
  <c r="T45" i="420"/>
  <c r="T39" i="420"/>
  <c r="T50" i="420"/>
  <c r="T54" i="420"/>
  <c r="T55" i="420"/>
  <c r="T53" i="420"/>
  <c r="W15" i="420"/>
  <c r="W17" i="420"/>
  <c r="W19" i="420"/>
  <c r="W21" i="420"/>
  <c r="W24" i="420"/>
  <c r="W16" i="420"/>
  <c r="W20" i="420"/>
  <c r="W28" i="420"/>
  <c r="W32" i="420"/>
  <c r="W29" i="420"/>
  <c r="W36" i="420"/>
  <c r="W40" i="420"/>
  <c r="W45" i="420"/>
  <c r="W39" i="420"/>
  <c r="W33" i="420"/>
  <c r="W53" i="420"/>
  <c r="W54" i="420"/>
  <c r="W49" i="420"/>
  <c r="W50" i="420"/>
  <c r="W55" i="420"/>
  <c r="P16" i="420"/>
  <c r="P20" i="420"/>
  <c r="P15" i="420"/>
  <c r="P17" i="420"/>
  <c r="P19" i="420"/>
  <c r="P24" i="420"/>
  <c r="P32" i="420"/>
  <c r="P21" i="420"/>
  <c r="P36" i="420"/>
  <c r="P40" i="420"/>
  <c r="P49" i="420"/>
  <c r="P28" i="420"/>
  <c r="P29" i="420"/>
  <c r="P33" i="420"/>
  <c r="P39" i="420"/>
  <c r="P50" i="420"/>
  <c r="P45" i="420"/>
  <c r="P55" i="420"/>
  <c r="P54" i="420"/>
  <c r="P53" i="420"/>
  <c r="AE15" i="420"/>
  <c r="AE17" i="420"/>
  <c r="AE19" i="420"/>
  <c r="AE21" i="420"/>
  <c r="AE24" i="420"/>
  <c r="AE20" i="420"/>
  <c r="AE28" i="420"/>
  <c r="AE16" i="420"/>
  <c r="AE29" i="420"/>
  <c r="AE32" i="420"/>
  <c r="AE36" i="420"/>
  <c r="AE40" i="420"/>
  <c r="AE39" i="420"/>
  <c r="AE45" i="420"/>
  <c r="AE53" i="420"/>
  <c r="AE54" i="420"/>
  <c r="AE33" i="420"/>
  <c r="AE49" i="420"/>
  <c r="AE55" i="420"/>
  <c r="AE50" i="420"/>
  <c r="AM15" i="420"/>
  <c r="AM17" i="420"/>
  <c r="AM19" i="420"/>
  <c r="AM21" i="420"/>
  <c r="AM24" i="420"/>
  <c r="AM16" i="420"/>
  <c r="AM20" i="420"/>
  <c r="AM28" i="420"/>
  <c r="AM29" i="420"/>
  <c r="AM32" i="420"/>
  <c r="AM36" i="420"/>
  <c r="AM40" i="420"/>
  <c r="AM45" i="420"/>
  <c r="AM39" i="420"/>
  <c r="AM53" i="420"/>
  <c r="AM54" i="420"/>
  <c r="AM33" i="420"/>
  <c r="AM50" i="420"/>
  <c r="AM49" i="420"/>
  <c r="AM55" i="420"/>
  <c r="AH15" i="420"/>
  <c r="AH17" i="420"/>
  <c r="AH19" i="420"/>
  <c r="AH21" i="420"/>
  <c r="AH24" i="420"/>
  <c r="AH16" i="420"/>
  <c r="AH29" i="420"/>
  <c r="AH33" i="420"/>
  <c r="AH39" i="420"/>
  <c r="AH45" i="420"/>
  <c r="AH36" i="420"/>
  <c r="AH20" i="420"/>
  <c r="AH28" i="420"/>
  <c r="AH32" i="420"/>
  <c r="AH40" i="420"/>
  <c r="AH49" i="420"/>
  <c r="AH50" i="420"/>
  <c r="AH53" i="420"/>
  <c r="AH55" i="420"/>
  <c r="AH54" i="420"/>
  <c r="AL15" i="420"/>
  <c r="AL17" i="420"/>
  <c r="AL19" i="420"/>
  <c r="AL21" i="420"/>
  <c r="AL24" i="420"/>
  <c r="AL16" i="420"/>
  <c r="AL20" i="420"/>
  <c r="AL28" i="420"/>
  <c r="AL33" i="420"/>
  <c r="AL39" i="420"/>
  <c r="AL45" i="420"/>
  <c r="AL29" i="420"/>
  <c r="AL32" i="420"/>
  <c r="AL40" i="420"/>
  <c r="AL36" i="420"/>
  <c r="AL49" i="420"/>
  <c r="AL50" i="420"/>
  <c r="AL53" i="420"/>
  <c r="AL55" i="420"/>
  <c r="AL54" i="420"/>
  <c r="AR16" i="420"/>
  <c r="AR20" i="420"/>
  <c r="AR15" i="420"/>
  <c r="AR17" i="420"/>
  <c r="AR24" i="420"/>
  <c r="AR19" i="420"/>
  <c r="AR21" i="420"/>
  <c r="AR28" i="420"/>
  <c r="AR29" i="420"/>
  <c r="AR32" i="420"/>
  <c r="AR36" i="420"/>
  <c r="AR40" i="420"/>
  <c r="AR33" i="420"/>
  <c r="AR45" i="420"/>
  <c r="AR50" i="420"/>
  <c r="AR54" i="420"/>
  <c r="AR39" i="420"/>
  <c r="AR49" i="420"/>
  <c r="AR53" i="420"/>
  <c r="AR55" i="420"/>
  <c r="AQ15" i="420"/>
  <c r="AQ17" i="420"/>
  <c r="AQ19" i="420"/>
  <c r="AQ21" i="420"/>
  <c r="AQ24" i="420"/>
  <c r="AQ28" i="420"/>
  <c r="AQ20" i="420"/>
  <c r="AQ29" i="420"/>
  <c r="AQ32" i="420"/>
  <c r="AQ36" i="420"/>
  <c r="AQ40" i="420"/>
  <c r="AQ16" i="420"/>
  <c r="AQ33" i="420"/>
  <c r="AQ39" i="420"/>
  <c r="AQ45" i="420"/>
  <c r="AQ53" i="420"/>
  <c r="AQ55" i="420"/>
  <c r="AQ54" i="420"/>
  <c r="AQ49" i="420"/>
  <c r="AQ50" i="420"/>
  <c r="U16" i="420"/>
  <c r="U20" i="420"/>
  <c r="U29" i="420"/>
  <c r="U17" i="420"/>
  <c r="U21" i="420"/>
  <c r="U28" i="420"/>
  <c r="U19" i="420"/>
  <c r="U32" i="420"/>
  <c r="U33" i="420"/>
  <c r="U39" i="420"/>
  <c r="U24" i="420"/>
  <c r="U15" i="420"/>
  <c r="U45" i="420"/>
  <c r="U49" i="420"/>
  <c r="U40" i="420"/>
  <c r="U53" i="420"/>
  <c r="U55" i="420"/>
  <c r="U36" i="420"/>
  <c r="U50" i="420"/>
  <c r="U54" i="420"/>
  <c r="S15" i="420"/>
  <c r="S17" i="420"/>
  <c r="S19" i="420"/>
  <c r="S21" i="420"/>
  <c r="S24" i="420"/>
  <c r="S28" i="420"/>
  <c r="S32" i="420"/>
  <c r="S20" i="420"/>
  <c r="S29" i="420"/>
  <c r="S36" i="420"/>
  <c r="S40" i="420"/>
  <c r="S16" i="420"/>
  <c r="S33" i="420"/>
  <c r="S39" i="420"/>
  <c r="S45" i="420"/>
  <c r="S49" i="420"/>
  <c r="S50" i="420"/>
  <c r="S53" i="420"/>
  <c r="S55" i="420"/>
  <c r="S54" i="420"/>
  <c r="AB16" i="420"/>
  <c r="AB20" i="420"/>
  <c r="AB15" i="420"/>
  <c r="AB17" i="420"/>
  <c r="AB19" i="420"/>
  <c r="AB24" i="420"/>
  <c r="AB21" i="420"/>
  <c r="AB28" i="420"/>
  <c r="AB29" i="420"/>
  <c r="AB32" i="420"/>
  <c r="AB36" i="420"/>
  <c r="AB40" i="420"/>
  <c r="AB33" i="420"/>
  <c r="AB45" i="420"/>
  <c r="AB50" i="420"/>
  <c r="AB54" i="420"/>
  <c r="AB39" i="420"/>
  <c r="AB49" i="420"/>
  <c r="AB53" i="420"/>
  <c r="AB55" i="420"/>
  <c r="AJ16" i="420"/>
  <c r="AJ20" i="420"/>
  <c r="AJ15" i="420"/>
  <c r="AJ17" i="420"/>
  <c r="AJ24" i="420"/>
  <c r="AJ19" i="420"/>
  <c r="AJ28" i="420"/>
  <c r="AJ29" i="420"/>
  <c r="AJ32" i="420"/>
  <c r="AJ36" i="420"/>
  <c r="AJ40" i="420"/>
  <c r="AJ21" i="420"/>
  <c r="AJ33" i="420"/>
  <c r="AJ45" i="420"/>
  <c r="AJ39" i="420"/>
  <c r="AJ50" i="420"/>
  <c r="AJ49" i="420"/>
  <c r="AJ54" i="420"/>
  <c r="AJ53" i="420"/>
  <c r="AJ55" i="420"/>
  <c r="Y16" i="420"/>
  <c r="Y20" i="420"/>
  <c r="Y15" i="420"/>
  <c r="Y21" i="420"/>
  <c r="Y29" i="420"/>
  <c r="Y19" i="420"/>
  <c r="Y28" i="420"/>
  <c r="Y33" i="420"/>
  <c r="Y39" i="420"/>
  <c r="Y17" i="420"/>
  <c r="Y24" i="420"/>
  <c r="Y36" i="420"/>
  <c r="Y32" i="420"/>
  <c r="Y45" i="420"/>
  <c r="Y40" i="420"/>
  <c r="Y49" i="420"/>
  <c r="Y53" i="420"/>
  <c r="Y54" i="420"/>
  <c r="Y50" i="420"/>
  <c r="Y55" i="420"/>
  <c r="AI15" i="420"/>
  <c r="AI17" i="420"/>
  <c r="AI19" i="420"/>
  <c r="AI21" i="420"/>
  <c r="AI24" i="420"/>
  <c r="AI28" i="420"/>
  <c r="AI20" i="420"/>
  <c r="AI29" i="420"/>
  <c r="AI32" i="420"/>
  <c r="AI36" i="420"/>
  <c r="AI40" i="420"/>
  <c r="AI16" i="420"/>
  <c r="AI33" i="420"/>
  <c r="AI39" i="420"/>
  <c r="AI53" i="420"/>
  <c r="AI55" i="420"/>
  <c r="AI49" i="420"/>
  <c r="AI45" i="420"/>
  <c r="AI50" i="420"/>
  <c r="AI54" i="420"/>
  <c r="AB63" i="5"/>
  <c r="AG10" i="420"/>
  <c r="AP10" i="420"/>
  <c r="AM10" i="420"/>
  <c r="AE10" i="420"/>
  <c r="AQ10" i="420"/>
  <c r="Z10" i="420"/>
  <c r="AR10" i="420"/>
  <c r="AK10" i="420"/>
  <c r="AN10" i="420"/>
  <c r="AC10" i="420"/>
  <c r="B62" i="235"/>
  <c r="AD10" i="420"/>
  <c r="AL10" i="420"/>
  <c r="AH10" i="420"/>
  <c r="AS10" i="420"/>
  <c r="AI10" i="420"/>
  <c r="Y10" i="420"/>
  <c r="AO10" i="420"/>
  <c r="R10" i="420"/>
  <c r="AB10" i="420"/>
  <c r="AJ10" i="420"/>
  <c r="AF10" i="420"/>
  <c r="Z4" i="451"/>
  <c r="U10" i="420"/>
  <c r="AA10" i="420"/>
  <c r="T10" i="420"/>
  <c r="AX10" i="420"/>
  <c r="AX4" i="420"/>
  <c r="W10" i="420"/>
  <c r="X10" i="420"/>
  <c r="V10" i="420"/>
  <c r="AW4" i="420"/>
  <c r="P10" i="420"/>
  <c r="AW10" i="420" s="1"/>
  <c r="Q10" i="420"/>
  <c r="S10" i="420"/>
  <c r="AB64" i="5"/>
  <c r="Y66" i="5"/>
  <c r="Z65" i="5"/>
  <c r="A59" i="234"/>
  <c r="AB78" i="436" l="1"/>
  <c r="AF78" i="436"/>
  <c r="AK78" i="436"/>
  <c r="AA79" i="436"/>
  <c r="AE78" i="436"/>
  <c r="AL78" i="436"/>
  <c r="AG78" i="436"/>
  <c r="AD78" i="436"/>
  <c r="AI78" i="436"/>
  <c r="AC78" i="436"/>
  <c r="AH78" i="436"/>
  <c r="AB79" i="437"/>
  <c r="AF79" i="437"/>
  <c r="AL79" i="437"/>
  <c r="AR79" i="437"/>
  <c r="AE79" i="437"/>
  <c r="AN79" i="437"/>
  <c r="AU79" i="437"/>
  <c r="AA80" i="437"/>
  <c r="AH79" i="437"/>
  <c r="AO79" i="437"/>
  <c r="AD79" i="437"/>
  <c r="AC79" i="437" s="1"/>
  <c r="AK79" i="437"/>
  <c r="AT79" i="437"/>
  <c r="AI79" i="437"/>
  <c r="AQ79" i="437"/>
  <c r="CX98" i="434"/>
  <c r="CW98" i="434" s="1"/>
  <c r="CY98" i="434"/>
  <c r="DC98" i="434"/>
  <c r="DE98" i="434" s="1"/>
  <c r="CV98" i="434"/>
  <c r="DD98" i="434"/>
  <c r="CZ98" i="434"/>
  <c r="CU99" i="434"/>
  <c r="DA97" i="434"/>
  <c r="DB97" i="434"/>
  <c r="B68" i="420"/>
  <c r="A59" i="456"/>
  <c r="B63" i="236"/>
  <c r="AA65" i="5"/>
  <c r="AC65" i="5" s="1"/>
  <c r="Y67" i="5"/>
  <c r="Z66" i="5"/>
  <c r="A60" i="234"/>
  <c r="B63" i="235"/>
  <c r="AE79" i="436" l="1"/>
  <c r="AI79" i="436"/>
  <c r="AF79" i="436"/>
  <c r="AL79" i="436"/>
  <c r="AB79" i="436"/>
  <c r="AG79" i="436"/>
  <c r="AD79" i="436"/>
  <c r="AK79" i="436"/>
  <c r="AA80" i="436"/>
  <c r="AC79" i="436"/>
  <c r="AH79" i="436"/>
  <c r="AB80" i="437"/>
  <c r="AF80" i="437"/>
  <c r="AL80" i="437"/>
  <c r="AR80" i="437"/>
  <c r="AH80" i="437"/>
  <c r="AO80" i="437"/>
  <c r="AI80" i="437"/>
  <c r="AQ80" i="437"/>
  <c r="AE80" i="437"/>
  <c r="AN80" i="437"/>
  <c r="AU80" i="437"/>
  <c r="AA81" i="437"/>
  <c r="AD80" i="437"/>
  <c r="AC80" i="437" s="1"/>
  <c r="AK80" i="437"/>
  <c r="AT80" i="437"/>
  <c r="CV99" i="434"/>
  <c r="CZ99" i="434"/>
  <c r="DD99" i="434"/>
  <c r="CU100" i="434"/>
  <c r="CX99" i="434"/>
  <c r="CW99" i="434" s="1"/>
  <c r="CY99" i="434"/>
  <c r="DC99" i="434"/>
  <c r="DE99" i="434" s="1"/>
  <c r="DB98" i="434"/>
  <c r="DA98" i="434"/>
  <c r="B69" i="420"/>
  <c r="A60" i="456"/>
  <c r="B64" i="236"/>
  <c r="AA66" i="5"/>
  <c r="AC66" i="5" s="1"/>
  <c r="AB65" i="5"/>
  <c r="B64" i="235"/>
  <c r="Y68" i="5"/>
  <c r="Z67" i="5"/>
  <c r="AA67" i="5" s="1"/>
  <c r="AC67" i="5" s="1"/>
  <c r="A61" i="234"/>
  <c r="AD80" i="436" l="1"/>
  <c r="AH80" i="436"/>
  <c r="AB80" i="436"/>
  <c r="AG80" i="436"/>
  <c r="AC80" i="436"/>
  <c r="AI80" i="436"/>
  <c r="AL80" i="436"/>
  <c r="AE80" i="436"/>
  <c r="AK80" i="436"/>
  <c r="AF80" i="436"/>
  <c r="AA81" i="436"/>
  <c r="AB81" i="437"/>
  <c r="AF81" i="437"/>
  <c r="AL81" i="437"/>
  <c r="AR81" i="437"/>
  <c r="AI81" i="437"/>
  <c r="AQ81" i="437"/>
  <c r="AD81" i="437"/>
  <c r="AC81" i="437" s="1"/>
  <c r="AK81" i="437"/>
  <c r="AT81" i="437"/>
  <c r="AO81" i="437"/>
  <c r="AE81" i="437"/>
  <c r="AN81" i="437"/>
  <c r="AU81" i="437"/>
  <c r="AA82" i="437"/>
  <c r="AH81" i="437"/>
  <c r="CX100" i="434"/>
  <c r="CW100" i="434" s="1"/>
  <c r="CY100" i="434"/>
  <c r="DC100" i="434"/>
  <c r="DE100" i="434" s="1"/>
  <c r="CV100" i="434"/>
  <c r="DD100" i="434"/>
  <c r="CZ100" i="434"/>
  <c r="CU101" i="434"/>
  <c r="DA99" i="434"/>
  <c r="DB99" i="434"/>
  <c r="B70" i="420"/>
  <c r="A61" i="456"/>
  <c r="B65" i="236"/>
  <c r="CE64" i="236"/>
  <c r="N80" i="436" s="1"/>
  <c r="CG64" i="236"/>
  <c r="J80" i="455" s="1"/>
  <c r="CK64" i="236"/>
  <c r="N80" i="455" s="1"/>
  <c r="CN64" i="236"/>
  <c r="Q80" i="455" s="1"/>
  <c r="CP64" i="236"/>
  <c r="S80" i="455" s="1"/>
  <c r="CJ64" i="236"/>
  <c r="M80" i="455" s="1"/>
  <c r="CI64" i="236"/>
  <c r="L80" i="455" s="1"/>
  <c r="CH64" i="236"/>
  <c r="K80" i="455" s="1"/>
  <c r="CM64" i="236"/>
  <c r="P80" i="455" s="1"/>
  <c r="CF64" i="236"/>
  <c r="I80" i="455" s="1"/>
  <c r="CD64" i="236"/>
  <c r="G80" i="455" s="1"/>
  <c r="CQ64" i="236"/>
  <c r="T80" i="455" s="1"/>
  <c r="CL64" i="236"/>
  <c r="O80" i="455" s="1"/>
  <c r="CO64" i="236"/>
  <c r="R80" i="455" s="1"/>
  <c r="AP69" i="420"/>
  <c r="AC69" i="420"/>
  <c r="AR69" i="420"/>
  <c r="AA69" i="420"/>
  <c r="Q69" i="420"/>
  <c r="AK69" i="420"/>
  <c r="AE69" i="420"/>
  <c r="AH69" i="420"/>
  <c r="AL69" i="420"/>
  <c r="U69" i="420"/>
  <c r="S69" i="420"/>
  <c r="AB69" i="420"/>
  <c r="AJ69" i="420"/>
  <c r="Y69" i="420"/>
  <c r="R69" i="420"/>
  <c r="X69" i="420"/>
  <c r="AG69" i="420"/>
  <c r="AD69" i="420"/>
  <c r="Z69" i="420"/>
  <c r="AS69" i="420"/>
  <c r="AO69" i="420"/>
  <c r="V69" i="420"/>
  <c r="AF69" i="420"/>
  <c r="AN69" i="420"/>
  <c r="T69" i="420"/>
  <c r="W69" i="420"/>
  <c r="P69" i="420"/>
  <c r="AM69" i="420"/>
  <c r="AI69" i="420"/>
  <c r="AQ69" i="420"/>
  <c r="AB66" i="5"/>
  <c r="B65" i="235"/>
  <c r="AB67" i="5"/>
  <c r="Y69" i="5"/>
  <c r="Z68" i="5"/>
  <c r="AA68" i="5" s="1"/>
  <c r="AC68" i="5" s="1"/>
  <c r="A62" i="234"/>
  <c r="N80" i="437" l="1"/>
  <c r="H80" i="455"/>
  <c r="AC81" i="436"/>
  <c r="AG81" i="436"/>
  <c r="AL81" i="436"/>
  <c r="AB81" i="436"/>
  <c r="AH81" i="436"/>
  <c r="AD81" i="436"/>
  <c r="AI81" i="436"/>
  <c r="AA82" i="436"/>
  <c r="AE81" i="436"/>
  <c r="AK81" i="436"/>
  <c r="AF81" i="436"/>
  <c r="AB82" i="437"/>
  <c r="AF82" i="437"/>
  <c r="AL82" i="437"/>
  <c r="AR82" i="437"/>
  <c r="AD82" i="437"/>
  <c r="AC82" i="437" s="1"/>
  <c r="AK82" i="437"/>
  <c r="AT82" i="437"/>
  <c r="AE82" i="437"/>
  <c r="AN82" i="437"/>
  <c r="AU82" i="437"/>
  <c r="AA83" i="437"/>
  <c r="AI82" i="437"/>
  <c r="AQ82" i="437"/>
  <c r="AH82" i="437"/>
  <c r="AO82" i="437"/>
  <c r="CV101" i="434"/>
  <c r="CZ101" i="434"/>
  <c r="DD101" i="434"/>
  <c r="CU102" i="434"/>
  <c r="CY101" i="434"/>
  <c r="DC101" i="434"/>
  <c r="DE101" i="434" s="1"/>
  <c r="CX101" i="434"/>
  <c r="CW101" i="434" s="1"/>
  <c r="DB100" i="434"/>
  <c r="DA100" i="434"/>
  <c r="B71" i="420"/>
  <c r="A62" i="456"/>
  <c r="B66" i="236"/>
  <c r="AB68" i="5"/>
  <c r="Y70" i="5"/>
  <c r="Z69" i="5"/>
  <c r="AA69" i="5" s="1"/>
  <c r="AC69" i="5" s="1"/>
  <c r="A63" i="234"/>
  <c r="B66" i="235"/>
  <c r="AB82" i="436" l="1"/>
  <c r="AF82" i="436"/>
  <c r="AK82" i="436"/>
  <c r="AA83" i="436"/>
  <c r="AC82" i="436"/>
  <c r="AH82" i="436"/>
  <c r="AG82" i="436"/>
  <c r="AD82" i="436"/>
  <c r="AI82" i="436"/>
  <c r="AE82" i="436"/>
  <c r="AL82" i="436"/>
  <c r="AB83" i="437"/>
  <c r="AF83" i="437"/>
  <c r="AL83" i="437"/>
  <c r="AR83" i="437"/>
  <c r="AE83" i="437"/>
  <c r="AN83" i="437"/>
  <c r="AU83" i="437"/>
  <c r="AA84" i="437"/>
  <c r="AH83" i="437"/>
  <c r="AO83" i="437"/>
  <c r="AD83" i="437"/>
  <c r="AC83" i="437" s="1"/>
  <c r="AK83" i="437"/>
  <c r="AT83" i="437"/>
  <c r="AI83" i="437"/>
  <c r="AQ83" i="437"/>
  <c r="CX102" i="434"/>
  <c r="CW102" i="434" s="1"/>
  <c r="CY102" i="434"/>
  <c r="DC102" i="434"/>
  <c r="DE102" i="434" s="1"/>
  <c r="CZ102" i="434"/>
  <c r="CU103" i="434"/>
  <c r="CV102" i="434"/>
  <c r="DD102" i="434"/>
  <c r="DA101" i="434"/>
  <c r="DB101" i="434"/>
  <c r="B72" i="420"/>
  <c r="A63" i="456"/>
  <c r="B67" i="236"/>
  <c r="B67" i="235"/>
  <c r="AB69" i="5"/>
  <c r="Y71" i="5"/>
  <c r="Y72" i="5" s="1"/>
  <c r="Z70" i="5"/>
  <c r="AA70" i="5" s="1"/>
  <c r="AC70" i="5" s="1"/>
  <c r="A64" i="234"/>
  <c r="AE83" i="436" l="1"/>
  <c r="AI83" i="436"/>
  <c r="AC83" i="436"/>
  <c r="AH83" i="436"/>
  <c r="AG83" i="436"/>
  <c r="AD83" i="436"/>
  <c r="AK83" i="436"/>
  <c r="AA84" i="436"/>
  <c r="AF83" i="436"/>
  <c r="AL83" i="436"/>
  <c r="AB83" i="436"/>
  <c r="AB84" i="437"/>
  <c r="AF84" i="437"/>
  <c r="AL84" i="437"/>
  <c r="AR84" i="437"/>
  <c r="AH84" i="437"/>
  <c r="AO84" i="437"/>
  <c r="AI84" i="437"/>
  <c r="AQ84" i="437"/>
  <c r="AE84" i="437"/>
  <c r="AN84" i="437"/>
  <c r="AU84" i="437"/>
  <c r="AD84" i="437"/>
  <c r="AC84" i="437" s="1"/>
  <c r="AK84" i="437"/>
  <c r="AT84" i="437"/>
  <c r="AA85" i="437"/>
  <c r="DB102" i="434"/>
  <c r="DA102" i="434"/>
  <c r="CV103" i="434"/>
  <c r="CZ103" i="434"/>
  <c r="DD103" i="434"/>
  <c r="CU104" i="434"/>
  <c r="DC103" i="434"/>
  <c r="DE103" i="434" s="1"/>
  <c r="CX103" i="434"/>
  <c r="CW103" i="434" s="1"/>
  <c r="CY103" i="434"/>
  <c r="B73" i="420"/>
  <c r="A64" i="456"/>
  <c r="B68" i="236"/>
  <c r="Z72" i="5"/>
  <c r="Y73" i="5"/>
  <c r="AB70" i="5"/>
  <c r="Z71" i="5"/>
  <c r="AA71" i="5" s="1"/>
  <c r="AC71" i="5" s="1"/>
  <c r="A65" i="234"/>
  <c r="B68" i="235"/>
  <c r="AD84" i="436" l="1"/>
  <c r="AH84" i="436"/>
  <c r="AE84" i="436"/>
  <c r="AK84" i="436"/>
  <c r="AF84" i="436"/>
  <c r="AL84" i="436"/>
  <c r="AA85" i="436"/>
  <c r="AC84" i="436"/>
  <c r="AI84" i="436"/>
  <c r="AB84" i="436"/>
  <c r="AG84" i="436"/>
  <c r="AB85" i="437"/>
  <c r="AF85" i="437"/>
  <c r="AL85" i="437"/>
  <c r="AR85" i="437"/>
  <c r="AI85" i="437"/>
  <c r="AQ85" i="437"/>
  <c r="AH85" i="437"/>
  <c r="AD85" i="437"/>
  <c r="AC85" i="437" s="1"/>
  <c r="AK85" i="437"/>
  <c r="AT85" i="437"/>
  <c r="AE85" i="437"/>
  <c r="AN85" i="437"/>
  <c r="AU85" i="437"/>
  <c r="AA86" i="437"/>
  <c r="AO85" i="437"/>
  <c r="CX104" i="434"/>
  <c r="CW104" i="434" s="1"/>
  <c r="CY104" i="434"/>
  <c r="DC104" i="434"/>
  <c r="DE104" i="434" s="1"/>
  <c r="CZ104" i="434"/>
  <c r="CU105" i="434"/>
  <c r="CV104" i="434"/>
  <c r="DD104" i="434"/>
  <c r="DA103" i="434"/>
  <c r="DB103" i="434"/>
  <c r="AD73" i="420"/>
  <c r="Z73" i="420"/>
  <c r="AO73" i="420"/>
  <c r="V73" i="420"/>
  <c r="AF73" i="420"/>
  <c r="Y73" i="420"/>
  <c r="AI73" i="420"/>
  <c r="AG73" i="420"/>
  <c r="AP73" i="420"/>
  <c r="Q73" i="420"/>
  <c r="AC73" i="420"/>
  <c r="AN73" i="420"/>
  <c r="W73" i="420"/>
  <c r="AL73" i="420"/>
  <c r="AE73" i="420"/>
  <c r="AR73" i="420"/>
  <c r="U73" i="420"/>
  <c r="R73" i="420"/>
  <c r="AS73" i="420"/>
  <c r="AK73" i="420"/>
  <c r="P73" i="420"/>
  <c r="AM73" i="420"/>
  <c r="AQ73" i="420"/>
  <c r="S73" i="420"/>
  <c r="AB73" i="420"/>
  <c r="X73" i="420"/>
  <c r="AA73" i="420"/>
  <c r="T73" i="420"/>
  <c r="AH73" i="420"/>
  <c r="AJ73" i="420"/>
  <c r="B74" i="420"/>
  <c r="A65" i="456"/>
  <c r="B69" i="236"/>
  <c r="CE68" i="236"/>
  <c r="N84" i="436" s="1"/>
  <c r="CH68" i="236"/>
  <c r="K84" i="455" s="1"/>
  <c r="CP68" i="236"/>
  <c r="S84" i="455" s="1"/>
  <c r="CM68" i="236"/>
  <c r="P84" i="455" s="1"/>
  <c r="CQ68" i="236"/>
  <c r="T84" i="455" s="1"/>
  <c r="CF68" i="236"/>
  <c r="I84" i="455" s="1"/>
  <c r="CD68" i="236"/>
  <c r="G84" i="455" s="1"/>
  <c r="CI68" i="236"/>
  <c r="L84" i="455" s="1"/>
  <c r="CG68" i="236"/>
  <c r="J84" i="455" s="1"/>
  <c r="CL68" i="236"/>
  <c r="O84" i="455" s="1"/>
  <c r="CO68" i="236"/>
  <c r="R84" i="455" s="1"/>
  <c r="CJ68" i="236"/>
  <c r="M84" i="455" s="1"/>
  <c r="CN68" i="236"/>
  <c r="Q84" i="455" s="1"/>
  <c r="CK68" i="236"/>
  <c r="N84" i="455" s="1"/>
  <c r="AA72" i="5"/>
  <c r="AC72" i="5" s="1"/>
  <c r="Y74" i="5"/>
  <c r="Y75" i="5" s="1"/>
  <c r="Z73" i="5"/>
  <c r="AA73" i="5" s="1"/>
  <c r="AC73" i="5" s="1"/>
  <c r="AB71" i="5"/>
  <c r="A66" i="234"/>
  <c r="B69" i="235"/>
  <c r="N84" i="437" l="1"/>
  <c r="H84" i="455"/>
  <c r="AC85" i="436"/>
  <c r="AG85" i="436"/>
  <c r="AL85" i="436"/>
  <c r="AE85" i="436"/>
  <c r="AK85" i="436"/>
  <c r="AF85" i="436"/>
  <c r="AA86" i="436"/>
  <c r="AI85" i="436"/>
  <c r="AB85" i="436"/>
  <c r="AH85" i="436"/>
  <c r="AD85" i="436"/>
  <c r="AB86" i="437"/>
  <c r="AF86" i="437"/>
  <c r="AL86" i="437"/>
  <c r="AR86" i="437"/>
  <c r="AD86" i="437"/>
  <c r="AC86" i="437" s="1"/>
  <c r="AK86" i="437"/>
  <c r="AT86" i="437"/>
  <c r="AI86" i="437"/>
  <c r="AQ86" i="437"/>
  <c r="AE86" i="437"/>
  <c r="AN86" i="437"/>
  <c r="AU86" i="437"/>
  <c r="AA87" i="437"/>
  <c r="AH86" i="437"/>
  <c r="AO86" i="437"/>
  <c r="DB104" i="434"/>
  <c r="DA104" i="434"/>
  <c r="CV105" i="434"/>
  <c r="CZ105" i="434"/>
  <c r="DD105" i="434"/>
  <c r="CU106" i="434"/>
  <c r="DC105" i="434"/>
  <c r="DE105" i="434" s="1"/>
  <c r="CX105" i="434"/>
  <c r="CW105" i="434" s="1"/>
  <c r="CY105" i="434"/>
  <c r="Z75" i="5"/>
  <c r="AA75" i="5" s="1"/>
  <c r="AC75" i="5" s="1"/>
  <c r="AB75" i="5" s="1"/>
  <c r="Y76" i="5"/>
  <c r="B75" i="420"/>
  <c r="A66" i="456"/>
  <c r="B70" i="236"/>
  <c r="AB72" i="5"/>
  <c r="AB73" i="5"/>
  <c r="Z74" i="5"/>
  <c r="AA74" i="5" s="1"/>
  <c r="AC74" i="5" s="1"/>
  <c r="A67" i="234"/>
  <c r="B70" i="235"/>
  <c r="AB86" i="436" l="1"/>
  <c r="AF86" i="436"/>
  <c r="AK86" i="436"/>
  <c r="AA87" i="436"/>
  <c r="AE86" i="436"/>
  <c r="AL86" i="436"/>
  <c r="AG86" i="436"/>
  <c r="AD86" i="436"/>
  <c r="AI86" i="436"/>
  <c r="AC86" i="436"/>
  <c r="AH86" i="436"/>
  <c r="AB87" i="437"/>
  <c r="AF87" i="437"/>
  <c r="AL87" i="437"/>
  <c r="AR87" i="437"/>
  <c r="AE87" i="437"/>
  <c r="AN87" i="437"/>
  <c r="AU87" i="437"/>
  <c r="AA88" i="437"/>
  <c r="AH87" i="437"/>
  <c r="AO87" i="437"/>
  <c r="AD87" i="437"/>
  <c r="AC87" i="437" s="1"/>
  <c r="AK87" i="437"/>
  <c r="AI87" i="437"/>
  <c r="AQ87" i="437"/>
  <c r="AT87" i="437"/>
  <c r="CX106" i="434"/>
  <c r="CW106" i="434" s="1"/>
  <c r="CY106" i="434"/>
  <c r="DC106" i="434"/>
  <c r="DE106" i="434" s="1"/>
  <c r="CV106" i="434"/>
  <c r="DD106" i="434"/>
  <c r="CZ106" i="434"/>
  <c r="CU107" i="434"/>
  <c r="DA105" i="434"/>
  <c r="DB105" i="434"/>
  <c r="Y77" i="5"/>
  <c r="Z76" i="5"/>
  <c r="AA76" i="5" s="1"/>
  <c r="AC76" i="5" s="1"/>
  <c r="AB76" i="5" s="1"/>
  <c r="B76" i="420"/>
  <c r="A67" i="456"/>
  <c r="B71" i="236"/>
  <c r="AB74" i="5"/>
  <c r="A68" i="234"/>
  <c r="B71" i="235"/>
  <c r="AE87" i="436" l="1"/>
  <c r="AI87" i="436"/>
  <c r="AF87" i="436"/>
  <c r="AL87" i="436"/>
  <c r="AD87" i="436"/>
  <c r="AB87" i="436"/>
  <c r="AG87" i="436"/>
  <c r="AC87" i="436"/>
  <c r="AH87" i="436"/>
  <c r="AK87" i="436"/>
  <c r="AA88" i="436"/>
  <c r="AB88" i="437"/>
  <c r="AF88" i="437"/>
  <c r="AL88" i="437"/>
  <c r="AR88" i="437"/>
  <c r="AH88" i="437"/>
  <c r="AO88" i="437"/>
  <c r="AA89" i="437"/>
  <c r="AI88" i="437"/>
  <c r="AQ88" i="437"/>
  <c r="AE88" i="437"/>
  <c r="AN88" i="437"/>
  <c r="AU88" i="437"/>
  <c r="AD88" i="437"/>
  <c r="AC88" i="437" s="1"/>
  <c r="AK88" i="437"/>
  <c r="AT88" i="437"/>
  <c r="CV107" i="434"/>
  <c r="CZ107" i="434"/>
  <c r="DD107" i="434"/>
  <c r="CU108" i="434"/>
  <c r="CX107" i="434"/>
  <c r="CW107" i="434" s="1"/>
  <c r="CY107" i="434"/>
  <c r="DC107" i="434"/>
  <c r="DE107" i="434" s="1"/>
  <c r="DB106" i="434"/>
  <c r="DA106" i="434"/>
  <c r="Z77" i="5"/>
  <c r="AA77" i="5" s="1"/>
  <c r="AC77" i="5" s="1"/>
  <c r="AB77" i="5" s="1"/>
  <c r="Y78" i="5"/>
  <c r="Z78" i="5" s="1"/>
  <c r="AA78" i="5" s="1"/>
  <c r="AC78" i="5" s="1"/>
  <c r="AB78" i="5" s="1"/>
  <c r="B77" i="420"/>
  <c r="A68" i="456"/>
  <c r="B72" i="236"/>
  <c r="A69" i="234"/>
  <c r="B72" i="235"/>
  <c r="AB88" i="436" l="1"/>
  <c r="AF88" i="436"/>
  <c r="AK88" i="436"/>
  <c r="AA89" i="436"/>
  <c r="AC88" i="436"/>
  <c r="AG88" i="436"/>
  <c r="AL88" i="436"/>
  <c r="AD88" i="436"/>
  <c r="AH88" i="436"/>
  <c r="AE88" i="436"/>
  <c r="AI88" i="436"/>
  <c r="AB89" i="437"/>
  <c r="AF89" i="437"/>
  <c r="AL89" i="437"/>
  <c r="AR89" i="437"/>
  <c r="AI89" i="437"/>
  <c r="AQ89" i="437"/>
  <c r="AH89" i="437"/>
  <c r="AO89" i="437"/>
  <c r="AD89" i="437"/>
  <c r="AC89" i="437" s="1"/>
  <c r="AK89" i="437"/>
  <c r="AT89" i="437"/>
  <c r="AE89" i="437"/>
  <c r="AN89" i="437"/>
  <c r="AU89" i="437"/>
  <c r="AA90" i="437"/>
  <c r="CX108" i="434"/>
  <c r="CW108" i="434" s="1"/>
  <c r="CY108" i="434"/>
  <c r="CV108" i="434"/>
  <c r="DC108" i="434"/>
  <c r="DE108" i="434" s="1"/>
  <c r="DD108" i="434"/>
  <c r="CZ108" i="434"/>
  <c r="CU109" i="434"/>
  <c r="DA107" i="434"/>
  <c r="DB107" i="434"/>
  <c r="B78" i="420"/>
  <c r="A69" i="456"/>
  <c r="B73" i="236"/>
  <c r="A70" i="234"/>
  <c r="B73" i="235"/>
  <c r="AE89" i="436" l="1"/>
  <c r="AI89" i="436"/>
  <c r="AD89" i="436"/>
  <c r="AB89" i="436"/>
  <c r="AF89" i="436"/>
  <c r="AK89" i="436"/>
  <c r="AA90" i="436"/>
  <c r="AH89" i="436"/>
  <c r="AC89" i="436"/>
  <c r="AG89" i="436"/>
  <c r="AL89" i="436"/>
  <c r="AB90" i="437"/>
  <c r="AF90" i="437"/>
  <c r="AL90" i="437"/>
  <c r="AR90" i="437"/>
  <c r="AD90" i="437"/>
  <c r="AC90" i="437" s="1"/>
  <c r="AK90" i="437"/>
  <c r="AT90" i="437"/>
  <c r="AE90" i="437"/>
  <c r="AN90" i="437"/>
  <c r="AU90" i="437"/>
  <c r="AA91" i="437"/>
  <c r="AH90" i="437"/>
  <c r="AO90" i="437"/>
  <c r="AI90" i="437"/>
  <c r="AQ90" i="437"/>
  <c r="CU110" i="434"/>
  <c r="CX109" i="434"/>
  <c r="CW109" i="434" s="1"/>
  <c r="CY109" i="434"/>
  <c r="DC109" i="434"/>
  <c r="DE109" i="434" s="1"/>
  <c r="CV109" i="434"/>
  <c r="CZ109" i="434"/>
  <c r="DD109" i="434"/>
  <c r="DB108" i="434"/>
  <c r="DA108" i="434"/>
  <c r="B79" i="420"/>
  <c r="A70" i="456"/>
  <c r="B74" i="236"/>
  <c r="A71" i="234"/>
  <c r="B74" i="235"/>
  <c r="AD90" i="436" l="1"/>
  <c r="AH90" i="436"/>
  <c r="AE90" i="436"/>
  <c r="AI90" i="436"/>
  <c r="AC90" i="436"/>
  <c r="AG90" i="436"/>
  <c r="AL90" i="436"/>
  <c r="AB90" i="436"/>
  <c r="AF90" i="436"/>
  <c r="AK90" i="436"/>
  <c r="AA91" i="436"/>
  <c r="AB91" i="437"/>
  <c r="AF91" i="437"/>
  <c r="AL91" i="437"/>
  <c r="AR91" i="437"/>
  <c r="AE91" i="437"/>
  <c r="AN91" i="437"/>
  <c r="AU91" i="437"/>
  <c r="AH91" i="437"/>
  <c r="AO91" i="437"/>
  <c r="AD91" i="437"/>
  <c r="AC91" i="437" s="1"/>
  <c r="AK91" i="437"/>
  <c r="AT91" i="437"/>
  <c r="AI91" i="437"/>
  <c r="AQ91" i="437"/>
  <c r="DA109" i="434"/>
  <c r="DB109" i="434"/>
  <c r="CY110" i="434"/>
  <c r="DC110" i="434"/>
  <c r="DE110" i="434" s="1"/>
  <c r="CV110" i="434"/>
  <c r="CZ110" i="434"/>
  <c r="DD110" i="434"/>
  <c r="CX110" i="434"/>
  <c r="CW110" i="434" s="1"/>
  <c r="B80" i="420"/>
  <c r="A71" i="456"/>
  <c r="A72" i="234"/>
  <c r="B75" i="236"/>
  <c r="Z79" i="420"/>
  <c r="AS79" i="420"/>
  <c r="AK79" i="420"/>
  <c r="AR79" i="420"/>
  <c r="AJ79" i="420"/>
  <c r="AG79" i="420"/>
  <c r="AA79" i="420"/>
  <c r="AP79" i="420"/>
  <c r="AO79" i="420"/>
  <c r="AF79" i="420"/>
  <c r="AN79" i="420"/>
  <c r="AH79" i="420"/>
  <c r="S79" i="420"/>
  <c r="T79" i="420"/>
  <c r="AL79" i="420"/>
  <c r="AQ79" i="420"/>
  <c r="AI79" i="420"/>
  <c r="R79" i="420"/>
  <c r="Q79" i="420"/>
  <c r="V79" i="420"/>
  <c r="AB79" i="420"/>
  <c r="X79" i="420"/>
  <c r="AD79" i="420"/>
  <c r="AC79" i="420"/>
  <c r="W79" i="420"/>
  <c r="P79" i="420"/>
  <c r="AE79" i="420"/>
  <c r="AM79" i="420"/>
  <c r="U79" i="420"/>
  <c r="Y79" i="420"/>
  <c r="CE74" i="236"/>
  <c r="N90" i="436" s="1"/>
  <c r="CF74" i="236"/>
  <c r="I90" i="455" s="1"/>
  <c r="CG74" i="236"/>
  <c r="J90" i="455" s="1"/>
  <c r="CM74" i="236"/>
  <c r="P90" i="455" s="1"/>
  <c r="CQ74" i="236"/>
  <c r="T90" i="455" s="1"/>
  <c r="CH74" i="236"/>
  <c r="K90" i="455" s="1"/>
  <c r="CO74" i="236"/>
  <c r="R90" i="455" s="1"/>
  <c r="CN74" i="236"/>
  <c r="Q90" i="455" s="1"/>
  <c r="CD74" i="236"/>
  <c r="G90" i="455" s="1"/>
  <c r="CJ74" i="236"/>
  <c r="M90" i="455" s="1"/>
  <c r="CI74" i="236"/>
  <c r="L90" i="455" s="1"/>
  <c r="CL74" i="236"/>
  <c r="O90" i="455" s="1"/>
  <c r="CP74" i="236"/>
  <c r="S90" i="455" s="1"/>
  <c r="CK74" i="236"/>
  <c r="N90" i="455" s="1"/>
  <c r="B75" i="235"/>
  <c r="N90" i="437" l="1"/>
  <c r="H90" i="455"/>
  <c r="AC91" i="436"/>
  <c r="AG91" i="436"/>
  <c r="AL91" i="436"/>
  <c r="AB91" i="436"/>
  <c r="AF91" i="436"/>
  <c r="AK91" i="436"/>
  <c r="AD91" i="436"/>
  <c r="AH91" i="436"/>
  <c r="AE91" i="436"/>
  <c r="AI91" i="436"/>
  <c r="DA110" i="434"/>
  <c r="DB110" i="434"/>
  <c r="CE75" i="236"/>
  <c r="CH75" i="236"/>
  <c r="K91" i="455" s="1"/>
  <c r="CM75" i="236"/>
  <c r="P91" i="455" s="1"/>
  <c r="CF75" i="236"/>
  <c r="I91" i="455" s="1"/>
  <c r="CP75" i="236"/>
  <c r="S91" i="455" s="1"/>
  <c r="CD75" i="236"/>
  <c r="G91" i="455" s="1"/>
  <c r="CL75" i="236"/>
  <c r="O91" i="455" s="1"/>
  <c r="CO75" i="236"/>
  <c r="R91" i="455" s="1"/>
  <c r="CI75" i="236"/>
  <c r="L91" i="455" s="1"/>
  <c r="CJ75" i="236"/>
  <c r="M91" i="455" s="1"/>
  <c r="CG75" i="236"/>
  <c r="J91" i="455" s="1"/>
  <c r="CQ75" i="236"/>
  <c r="T91" i="455" s="1"/>
  <c r="CN75" i="236"/>
  <c r="Q91" i="455" s="1"/>
  <c r="CK75" i="236"/>
  <c r="N91" i="455" s="1"/>
  <c r="B76" i="236"/>
  <c r="A72" i="456"/>
  <c r="B76" i="235"/>
  <c r="X80" i="420"/>
  <c r="AO80" i="420"/>
  <c r="Q80" i="420"/>
  <c r="AN80" i="420"/>
  <c r="AG80" i="420"/>
  <c r="AM80" i="420"/>
  <c r="AR80" i="420"/>
  <c r="AL80" i="420"/>
  <c r="AB80" i="420"/>
  <c r="AA80" i="420"/>
  <c r="Z80" i="420"/>
  <c r="V80" i="420"/>
  <c r="AK80" i="420"/>
  <c r="AC80" i="420"/>
  <c r="U80" i="420"/>
  <c r="R80" i="420"/>
  <c r="AD80" i="420"/>
  <c r="AP80" i="420"/>
  <c r="AS80" i="420"/>
  <c r="AF80" i="420"/>
  <c r="T80" i="420"/>
  <c r="AH80" i="420"/>
  <c r="S80" i="420"/>
  <c r="AJ80" i="420"/>
  <c r="Y80" i="420"/>
  <c r="AI80" i="420"/>
  <c r="W80" i="420"/>
  <c r="P80" i="420"/>
  <c r="AE80" i="420"/>
  <c r="AQ80" i="420"/>
  <c r="F6" i="2"/>
  <c r="AP3" i="235"/>
  <c r="H91" i="455" l="1"/>
  <c r="N91" i="436"/>
  <c r="N91" i="437"/>
  <c r="I138" i="2"/>
  <c r="E138" i="2" l="1"/>
  <c r="I40" i="434" l="1"/>
  <c r="AA14" i="435" l="1"/>
  <c r="AE2" i="436"/>
  <c r="AE16" i="436" s="1"/>
  <c r="AU21" i="436" s="1"/>
  <c r="AG2" i="436"/>
  <c r="AG16" i="436" s="1"/>
  <c r="AD14" i="435"/>
  <c r="AF2" i="436"/>
  <c r="AF16" i="436" s="1"/>
  <c r="AV21" i="436" s="1"/>
  <c r="X14" i="435"/>
  <c r="AD2" i="436"/>
  <c r="AD16" i="436" s="1"/>
  <c r="AT21" i="436" s="1"/>
  <c r="I21" i="436" l="1"/>
  <c r="I21" i="437"/>
  <c r="L225" i="5"/>
  <c r="B113" i="5"/>
  <c r="AB7" i="5"/>
  <c r="D19" i="26"/>
  <c r="AB12" i="5"/>
  <c r="D20" i="26"/>
  <c r="E20" i="26" s="1"/>
  <c r="D43" i="27"/>
  <c r="AB19" i="5"/>
  <c r="AB28" i="5"/>
  <c r="AX6" i="453"/>
  <c r="B6" i="5"/>
  <c r="AC6" i="453" l="1"/>
  <c r="B9" i="455"/>
  <c r="D9" i="455" s="1"/>
  <c r="C15" i="454" s="1"/>
  <c r="BC6" i="453"/>
  <c r="E113" i="5"/>
  <c r="F42" i="26" s="1"/>
  <c r="D42" i="26"/>
  <c r="BS6" i="453"/>
  <c r="B9" i="451"/>
  <c r="B25" i="437"/>
  <c r="AB23" i="5"/>
  <c r="B20" i="2"/>
  <c r="B21" i="2"/>
  <c r="B138" i="2" s="1"/>
  <c r="D21" i="27"/>
  <c r="Q20" i="26"/>
  <c r="D113" i="5"/>
  <c r="C113" i="5" s="1"/>
  <c r="AB5" i="5"/>
  <c r="AB27" i="5"/>
  <c r="D20" i="27"/>
  <c r="AB15" i="5"/>
  <c r="AB26" i="5"/>
  <c r="AB25" i="5"/>
  <c r="AB6" i="5"/>
  <c r="AB24" i="5"/>
  <c r="AB22" i="5"/>
  <c r="AB11" i="5"/>
  <c r="AA2" i="5"/>
  <c r="B18" i="2" s="1"/>
  <c r="D192" i="5"/>
  <c r="O35" i="2" s="1"/>
  <c r="AB21" i="5"/>
  <c r="AB8" i="5"/>
  <c r="C9" i="451"/>
  <c r="C6" i="451" s="1"/>
  <c r="H23" i="448" s="1"/>
  <c r="H6" i="5"/>
  <c r="C12" i="434"/>
  <c r="E6" i="5"/>
  <c r="C6" i="5"/>
  <c r="D13" i="26"/>
  <c r="DK42" i="434"/>
  <c r="BH6" i="453"/>
  <c r="R13" i="452" s="1"/>
  <c r="DK43" i="434"/>
  <c r="DL43" i="434" s="1"/>
  <c r="Y13" i="452"/>
  <c r="D15" i="2"/>
  <c r="C25" i="437"/>
  <c r="AB20" i="5"/>
  <c r="AB18" i="5"/>
  <c r="AB17" i="5"/>
  <c r="AB16" i="5"/>
  <c r="AB14" i="5"/>
  <c r="D224" i="5"/>
  <c r="D36" i="2" s="1"/>
  <c r="AB13" i="5"/>
  <c r="M20" i="26"/>
  <c r="P20" i="26"/>
  <c r="I20" i="26"/>
  <c r="L20" i="26"/>
  <c r="E20" i="27"/>
  <c r="N20" i="26"/>
  <c r="J20" i="26"/>
  <c r="O20" i="26"/>
  <c r="R20" i="26"/>
  <c r="S20" i="26"/>
  <c r="D19" i="27"/>
  <c r="E19" i="26"/>
  <c r="F20" i="26"/>
  <c r="G20" i="26" s="1"/>
  <c r="F19" i="26"/>
  <c r="B84" i="5"/>
  <c r="AB10" i="5"/>
  <c r="AB9" i="5"/>
  <c r="AM6" i="453" l="1"/>
  <c r="K13" i="452" s="1"/>
  <c r="E9" i="455"/>
  <c r="D15" i="454" s="1"/>
  <c r="BX6" i="453"/>
  <c r="E42" i="26"/>
  <c r="E42" i="27" s="1"/>
  <c r="F42" i="27" s="1"/>
  <c r="D42" i="27"/>
  <c r="A9" i="451"/>
  <c r="B6" i="451"/>
  <c r="L36" i="2"/>
  <c r="I36" i="2"/>
  <c r="J36" i="2"/>
  <c r="G36" i="2"/>
  <c r="F36" i="2"/>
  <c r="K36" i="2"/>
  <c r="B2" i="450"/>
  <c r="B2" i="432"/>
  <c r="J3" i="432" s="1" a="1"/>
  <c r="J3" i="432" s="1"/>
  <c r="B222" i="2"/>
  <c r="B22" i="2"/>
  <c r="E21" i="2" s="1"/>
  <c r="E21" i="27"/>
  <c r="F21" i="27" s="1"/>
  <c r="E43" i="27"/>
  <c r="F43" i="27" s="1"/>
  <c r="C35" i="2"/>
  <c r="C127" i="2"/>
  <c r="O36" i="2"/>
  <c r="B224" i="5" s="1"/>
  <c r="C36" i="2"/>
  <c r="E25" i="437"/>
  <c r="D6" i="5"/>
  <c r="L6" i="108"/>
  <c r="O4" i="108" s="1"/>
  <c r="X4" i="108" s="1"/>
  <c r="AG4" i="108" s="1"/>
  <c r="D14" i="27"/>
  <c r="F6" i="5"/>
  <c r="F13" i="26"/>
  <c r="J6" i="5"/>
  <c r="F20" i="27"/>
  <c r="S19" i="26"/>
  <c r="O19" i="26"/>
  <c r="R19" i="26"/>
  <c r="N19" i="26"/>
  <c r="P19" i="26"/>
  <c r="M19" i="26"/>
  <c r="Q19" i="26"/>
  <c r="G19" i="26"/>
  <c r="E19" i="27"/>
  <c r="F19" i="27" s="1"/>
  <c r="I43" i="26"/>
  <c r="J43" i="26"/>
  <c r="O43" i="26"/>
  <c r="R43" i="26"/>
  <c r="M43" i="26"/>
  <c r="S43" i="26"/>
  <c r="P43" i="26"/>
  <c r="Q43" i="26"/>
  <c r="N43" i="26"/>
  <c r="AI4" i="108"/>
  <c r="P4" i="108"/>
  <c r="Y4" i="108" s="1"/>
  <c r="AH4" i="108" s="1"/>
  <c r="AG7" i="436"/>
  <c r="E13" i="26"/>
  <c r="D13" i="27"/>
  <c r="F23" i="234"/>
  <c r="AR13" i="234" l="1"/>
  <c r="O17" i="236" s="1"/>
  <c r="O22" i="420" s="1"/>
  <c r="AR48" i="234"/>
  <c r="AR54" i="234"/>
  <c r="U2" i="432"/>
  <c r="AK1" i="432" a="1"/>
  <c r="AK1" i="432" s="1"/>
  <c r="E27" i="236"/>
  <c r="AR34" i="234"/>
  <c r="AR19" i="234"/>
  <c r="AR40" i="234"/>
  <c r="AR37" i="234"/>
  <c r="AR9" i="234"/>
  <c r="AZ9" i="234" s="1"/>
  <c r="AR12" i="234"/>
  <c r="AZ12" i="234" s="1"/>
  <c r="AR23" i="234"/>
  <c r="AR18" i="234"/>
  <c r="AZ18" i="234" s="1"/>
  <c r="AR27" i="234"/>
  <c r="AR68" i="234"/>
  <c r="AR36" i="234"/>
  <c r="AR10" i="234"/>
  <c r="AZ10" i="234" s="1"/>
  <c r="AR59" i="234"/>
  <c r="AZ59" i="234" s="1"/>
  <c r="AR46" i="234"/>
  <c r="AR64" i="234"/>
  <c r="AR62" i="234"/>
  <c r="AR55" i="234"/>
  <c r="AZ55" i="234" s="1"/>
  <c r="AR33" i="234"/>
  <c r="AZ33" i="234" s="1"/>
  <c r="AR31" i="234"/>
  <c r="AR26" i="234"/>
  <c r="AR22" i="234"/>
  <c r="AZ22" i="234" s="1"/>
  <c r="AR29" i="234"/>
  <c r="AZ29" i="234" s="1"/>
  <c r="AR25" i="234"/>
  <c r="AZ25" i="234" s="1"/>
  <c r="AR39" i="234"/>
  <c r="AZ39" i="234" s="1"/>
  <c r="AR51" i="234"/>
  <c r="AR32" i="234"/>
  <c r="AR7" i="234"/>
  <c r="AZ7" i="234" s="1"/>
  <c r="AR43" i="234"/>
  <c r="AZ43" i="234" s="1"/>
  <c r="AR11" i="234"/>
  <c r="AZ11" i="234" s="1"/>
  <c r="AR50" i="234"/>
  <c r="AR42" i="234"/>
  <c r="AR45" i="234"/>
  <c r="AR57" i="234"/>
  <c r="AR16" i="234"/>
  <c r="AZ16" i="234" s="1"/>
  <c r="AR66" i="234"/>
  <c r="AR35" i="234"/>
  <c r="AZ35" i="234" s="1"/>
  <c r="AR4" i="234"/>
  <c r="AZ4" i="234" s="1"/>
  <c r="AR47" i="234"/>
  <c r="AR20" i="234"/>
  <c r="AR41" i="234"/>
  <c r="AR69" i="234"/>
  <c r="AZ69" i="234" s="1"/>
  <c r="AR24" i="234"/>
  <c r="AZ24" i="234" s="1"/>
  <c r="AR56" i="234"/>
  <c r="AR52" i="234"/>
  <c r="AR61" i="234"/>
  <c r="AR28" i="234"/>
  <c r="AR21" i="234"/>
  <c r="AR67" i="234"/>
  <c r="AZ67" i="234" s="1"/>
  <c r="AR65" i="234"/>
  <c r="AR60" i="234"/>
  <c r="AR53" i="234"/>
  <c r="AR63" i="234"/>
  <c r="AZ63" i="234" s="1"/>
  <c r="AR6" i="234"/>
  <c r="AZ6" i="234" s="1"/>
  <c r="AR71" i="234"/>
  <c r="AR70" i="234"/>
  <c r="AR14" i="234"/>
  <c r="AZ14" i="234" s="1"/>
  <c r="AR30" i="234"/>
  <c r="AR44" i="234"/>
  <c r="AR49" i="234"/>
  <c r="AZ49" i="234" s="1"/>
  <c r="AR15" i="234"/>
  <c r="AZ15" i="234" s="1"/>
  <c r="AR5" i="234"/>
  <c r="AZ5" i="234" s="1"/>
  <c r="AR8" i="234"/>
  <c r="AZ8" i="234" s="1"/>
  <c r="AR58" i="234"/>
  <c r="AZ58" i="234" s="1"/>
  <c r="AR38" i="234"/>
  <c r="AZ38" i="234" s="1"/>
  <c r="AR17" i="234"/>
  <c r="AZ17" i="234" s="1"/>
  <c r="G42" i="26"/>
  <c r="C7" i="450"/>
  <c r="C2" i="450"/>
  <c r="G3" i="432" a="1"/>
  <c r="G3" i="432" s="1"/>
  <c r="I3" i="432" s="1"/>
  <c r="W2" i="432"/>
  <c r="N2" i="432"/>
  <c r="T2" i="432"/>
  <c r="O2" i="432"/>
  <c r="J2" i="432"/>
  <c r="AD2" i="432"/>
  <c r="M2" i="432"/>
  <c r="F2" i="432" a="1"/>
  <c r="F2" i="432" s="1"/>
  <c r="C11" i="431" s="1"/>
  <c r="BO11" i="431" s="1"/>
  <c r="T21" i="2"/>
  <c r="P21" i="2"/>
  <c r="L21" i="2"/>
  <c r="H21" i="2"/>
  <c r="H2" i="432" s="1"/>
  <c r="C21" i="2"/>
  <c r="S21" i="2"/>
  <c r="O21" i="2"/>
  <c r="K21" i="2"/>
  <c r="G21" i="2"/>
  <c r="G2" i="432" s="1"/>
  <c r="C10" i="431" s="1"/>
  <c r="R21" i="2"/>
  <c r="N21" i="2"/>
  <c r="J21" i="2"/>
  <c r="AN2" i="432" s="1"/>
  <c r="F21" i="2"/>
  <c r="Q21" i="2"/>
  <c r="P2" i="432" s="1"/>
  <c r="M21" i="2"/>
  <c r="I21" i="2"/>
  <c r="I2" i="432" s="1"/>
  <c r="AT1" i="432" s="1"/>
  <c r="D21" i="2"/>
  <c r="D2" i="432" s="1"/>
  <c r="K2" i="432" s="1"/>
  <c r="F1" i="450"/>
  <c r="AB6" i="436"/>
  <c r="B23" i="437"/>
  <c r="B24" i="437"/>
  <c r="AB5" i="436"/>
  <c r="AG8" i="436"/>
  <c r="E2" i="432"/>
  <c r="AU3" i="432"/>
  <c r="BD3" i="432"/>
  <c r="AO2" i="432"/>
  <c r="E14" i="431" s="1"/>
  <c r="AR2" i="432"/>
  <c r="AS2" i="432" s="1"/>
  <c r="BA3" i="432"/>
  <c r="AM2" i="432"/>
  <c r="CG2" i="432"/>
  <c r="AX3" i="432"/>
  <c r="BG3" i="432"/>
  <c r="R193" i="2"/>
  <c r="M193" i="2"/>
  <c r="V34" i="435"/>
  <c r="AN34" i="435" s="1"/>
  <c r="V35" i="435"/>
  <c r="AN35" i="435" s="1"/>
  <c r="AD25" i="437"/>
  <c r="AB25" i="437" s="1"/>
  <c r="V33" i="435"/>
  <c r="AN33" i="435" s="1"/>
  <c r="CV41" i="434"/>
  <c r="B15" i="433" s="1"/>
  <c r="DL42" i="434"/>
  <c r="AH52" i="435"/>
  <c r="G1" i="450"/>
  <c r="C51" i="449"/>
  <c r="H1" i="450"/>
  <c r="B42" i="434"/>
  <c r="F2" i="450"/>
  <c r="C52" i="449"/>
  <c r="G2" i="450"/>
  <c r="H2" i="450"/>
  <c r="B43" i="434"/>
  <c r="E13" i="27"/>
  <c r="F13" i="27" s="1"/>
  <c r="G13" i="26"/>
  <c r="E14" i="27"/>
  <c r="F14" i="27" s="1"/>
  <c r="AC8" i="436"/>
  <c r="AC7" i="436"/>
  <c r="A10" i="5"/>
  <c r="C18" i="2" s="1"/>
  <c r="B23" i="436"/>
  <c r="AR3" i="234"/>
  <c r="AZ3" i="234" s="1"/>
  <c r="AR24" i="437"/>
  <c r="AU24" i="437"/>
  <c r="AZ13" i="234" l="1"/>
  <c r="L9" i="234" s="1"/>
  <c r="H51" i="27"/>
  <c r="J51" i="27" s="1"/>
  <c r="H90" i="27"/>
  <c r="J90" i="27" s="1"/>
  <c r="AZ54" i="234"/>
  <c r="O58" i="236"/>
  <c r="O63" i="420" s="1"/>
  <c r="H84" i="27"/>
  <c r="J84" i="27" s="1"/>
  <c r="AZ48" i="234"/>
  <c r="O52" i="236"/>
  <c r="O57" i="420" s="1"/>
  <c r="H50" i="27"/>
  <c r="J50" i="27" s="1"/>
  <c r="H48" i="27"/>
  <c r="J48" i="27" s="1"/>
  <c r="AN4" i="432"/>
  <c r="AX1" i="432" s="1"/>
  <c r="AQ4" i="432"/>
  <c r="BG1" i="432" s="1"/>
  <c r="AI14" i="431" s="1"/>
  <c r="AI15" i="431" s="1"/>
  <c r="BM16" i="431" s="1"/>
  <c r="AM4" i="432"/>
  <c r="AU1" i="432" s="1"/>
  <c r="AP4" i="432"/>
  <c r="BD1" i="432" s="1"/>
  <c r="AF14" i="431" s="1"/>
  <c r="AF15" i="431" s="1"/>
  <c r="BJ16" i="431" s="1"/>
  <c r="AO4" i="432"/>
  <c r="BA1" i="432" s="1"/>
  <c r="H49" i="27"/>
  <c r="J49" i="27" s="1"/>
  <c r="AZ26" i="234"/>
  <c r="H62" i="27"/>
  <c r="J62" i="27" s="1"/>
  <c r="H53" i="27"/>
  <c r="J53" i="27" s="1"/>
  <c r="H61" i="27"/>
  <c r="J61" i="27" s="1"/>
  <c r="H46" i="27"/>
  <c r="J46" i="27" s="1"/>
  <c r="H105" i="27"/>
  <c r="J105" i="27" s="1"/>
  <c r="AZ70" i="234"/>
  <c r="AZ20" i="234"/>
  <c r="H57" i="27"/>
  <c r="J57" i="27" s="1"/>
  <c r="H101" i="27"/>
  <c r="J101" i="27" s="1"/>
  <c r="AZ66" i="234"/>
  <c r="H78" i="27"/>
  <c r="J78" i="27" s="1"/>
  <c r="AZ42" i="234"/>
  <c r="H68" i="27"/>
  <c r="J68" i="27" s="1"/>
  <c r="AZ31" i="234"/>
  <c r="H99" i="27"/>
  <c r="J99" i="27" s="1"/>
  <c r="AZ64" i="234"/>
  <c r="H73" i="27"/>
  <c r="J73" i="27" s="1"/>
  <c r="AZ36" i="234"/>
  <c r="AZ23" i="234"/>
  <c r="H60" i="27"/>
  <c r="J60" i="27" s="1"/>
  <c r="AZ40" i="234"/>
  <c r="H76" i="27"/>
  <c r="J76" i="27" s="1"/>
  <c r="AZ21" i="234"/>
  <c r="H58" i="27"/>
  <c r="J58" i="27" s="1"/>
  <c r="H80" i="27"/>
  <c r="J80" i="27" s="1"/>
  <c r="AZ44" i="234"/>
  <c r="H106" i="27"/>
  <c r="J106" i="27" s="1"/>
  <c r="AZ71" i="234"/>
  <c r="AZ60" i="234"/>
  <c r="H95" i="27"/>
  <c r="J95" i="27" s="1"/>
  <c r="H65" i="27"/>
  <c r="J65" i="27" s="1"/>
  <c r="AZ28" i="234"/>
  <c r="AZ47" i="234"/>
  <c r="H83" i="27"/>
  <c r="J83" i="27" s="1"/>
  <c r="AZ50" i="234"/>
  <c r="H86" i="27"/>
  <c r="J86" i="27" s="1"/>
  <c r="H69" i="27"/>
  <c r="J69" i="27" s="1"/>
  <c r="AZ32" i="234"/>
  <c r="H82" i="27"/>
  <c r="J82" i="27" s="1"/>
  <c r="AZ46" i="234"/>
  <c r="H103" i="27"/>
  <c r="J103" i="27" s="1"/>
  <c r="AZ68" i="234"/>
  <c r="L67" i="234" s="1"/>
  <c r="O67" i="234" s="1"/>
  <c r="H56" i="27"/>
  <c r="J56" i="27" s="1"/>
  <c r="AZ19" i="234"/>
  <c r="AZ53" i="234"/>
  <c r="H89" i="27"/>
  <c r="J89" i="27" s="1"/>
  <c r="H67" i="27"/>
  <c r="J67" i="27" s="1"/>
  <c r="AZ30" i="234"/>
  <c r="H100" i="27"/>
  <c r="J100" i="27" s="1"/>
  <c r="AZ65" i="234"/>
  <c r="H96" i="27"/>
  <c r="J96" i="27" s="1"/>
  <c r="AZ61" i="234"/>
  <c r="AZ57" i="234"/>
  <c r="H93" i="27"/>
  <c r="J93" i="27" s="1"/>
  <c r="AZ51" i="234"/>
  <c r="H87" i="27"/>
  <c r="J87" i="27" s="1"/>
  <c r="H64" i="27"/>
  <c r="J64" i="27" s="1"/>
  <c r="AZ27" i="234"/>
  <c r="H71" i="27"/>
  <c r="J71" i="27" s="1"/>
  <c r="AZ34" i="234"/>
  <c r="L33" i="234" s="1"/>
  <c r="O33" i="234" s="1"/>
  <c r="AZ56" i="234"/>
  <c r="H92" i="27"/>
  <c r="J92" i="27" s="1"/>
  <c r="AZ52" i="234"/>
  <c r="H88" i="27"/>
  <c r="J88" i="27" s="1"/>
  <c r="H77" i="27"/>
  <c r="J77" i="27" s="1"/>
  <c r="AZ41" i="234"/>
  <c r="H81" i="27"/>
  <c r="J81" i="27" s="1"/>
  <c r="AZ45" i="234"/>
  <c r="H97" i="27"/>
  <c r="J97" i="27" s="1"/>
  <c r="AZ62" i="234"/>
  <c r="H74" i="27"/>
  <c r="J74" i="27" s="1"/>
  <c r="AZ37" i="234"/>
  <c r="O68" i="236"/>
  <c r="O54" i="236"/>
  <c r="O59" i="420" s="1"/>
  <c r="O40" i="236"/>
  <c r="O55" i="236"/>
  <c r="O60" i="420" s="1"/>
  <c r="H31" i="27"/>
  <c r="J31" i="27" s="1"/>
  <c r="O35" i="236"/>
  <c r="O40" i="420" s="1"/>
  <c r="H32" i="27"/>
  <c r="J32" i="27" s="1"/>
  <c r="O20" i="236"/>
  <c r="O25" i="420" s="1"/>
  <c r="H54" i="27"/>
  <c r="J54" i="27" s="1"/>
  <c r="O29" i="236"/>
  <c r="O34" i="420" s="1"/>
  <c r="O50" i="236"/>
  <c r="O55" i="420" s="1"/>
  <c r="O32" i="236"/>
  <c r="O37" i="420" s="1"/>
  <c r="H27" i="27"/>
  <c r="J27" i="27" s="1"/>
  <c r="H28" i="27"/>
  <c r="J28" i="27" s="1"/>
  <c r="O25" i="236"/>
  <c r="O30" i="420" s="1"/>
  <c r="H33" i="27"/>
  <c r="J33" i="27" s="1"/>
  <c r="O13" i="236"/>
  <c r="O18" i="420" s="1"/>
  <c r="H29" i="27"/>
  <c r="J29" i="27" s="1"/>
  <c r="H34" i="27"/>
  <c r="J34" i="27" s="1"/>
  <c r="O48" i="236"/>
  <c r="O51" i="236"/>
  <c r="O56" i="420" s="1"/>
  <c r="H24" i="27"/>
  <c r="J24" i="27" s="1"/>
  <c r="H26" i="27"/>
  <c r="J26" i="27" s="1"/>
  <c r="O36" i="236"/>
  <c r="O41" i="420" s="1"/>
  <c r="O49" i="236"/>
  <c r="O54" i="420" s="1"/>
  <c r="O71" i="236"/>
  <c r="O76" i="420" s="1"/>
  <c r="H38" i="27"/>
  <c r="J38" i="27" s="1"/>
  <c r="O45" i="236"/>
  <c r="O50" i="420" s="1"/>
  <c r="O63" i="236"/>
  <c r="H36" i="27"/>
  <c r="J36" i="27" s="1"/>
  <c r="O8" i="236"/>
  <c r="O73" i="236"/>
  <c r="O78" i="420" s="1"/>
  <c r="H39" i="27"/>
  <c r="J39" i="27" s="1"/>
  <c r="O67" i="236"/>
  <c r="O72" i="420" s="1"/>
  <c r="H37" i="27"/>
  <c r="J37" i="27" s="1"/>
  <c r="O21" i="236"/>
  <c r="O26" i="420" s="1"/>
  <c r="O26" i="236"/>
  <c r="O31" i="420" s="1"/>
  <c r="H25" i="27"/>
  <c r="J25" i="27" s="1"/>
  <c r="O18" i="236"/>
  <c r="O23" i="420" s="1"/>
  <c r="H22" i="27"/>
  <c r="J22" i="27" s="1"/>
  <c r="O47" i="236"/>
  <c r="O52" i="420" s="1"/>
  <c r="O53" i="236"/>
  <c r="O58" i="420" s="1"/>
  <c r="O59" i="236"/>
  <c r="O64" i="420" s="1"/>
  <c r="O42" i="236"/>
  <c r="O47" i="420" s="1"/>
  <c r="H15" i="27"/>
  <c r="J15" i="27" s="1"/>
  <c r="H16" i="27"/>
  <c r="J16" i="27" s="1"/>
  <c r="O41" i="236"/>
  <c r="O46" i="420" s="1"/>
  <c r="O15" i="236"/>
  <c r="O20" i="420" s="1"/>
  <c r="O14" i="236"/>
  <c r="O61" i="236"/>
  <c r="O66" i="420" s="1"/>
  <c r="O38" i="236"/>
  <c r="O28" i="236"/>
  <c r="O33" i="420" s="1"/>
  <c r="O65" i="236"/>
  <c r="O70" i="420" s="1"/>
  <c r="O69" i="236"/>
  <c r="O74" i="420" s="1"/>
  <c r="O9" i="236"/>
  <c r="O24" i="236"/>
  <c r="O29" i="420" s="1"/>
  <c r="O44" i="236"/>
  <c r="O12" i="236"/>
  <c r="O17" i="420" s="1"/>
  <c r="O57" i="236"/>
  <c r="O62" i="420" s="1"/>
  <c r="O23" i="236"/>
  <c r="O31" i="236"/>
  <c r="O33" i="236"/>
  <c r="O38" i="420" s="1"/>
  <c r="O37" i="236"/>
  <c r="O42" i="420" s="1"/>
  <c r="O60" i="236"/>
  <c r="O66" i="236"/>
  <c r="O71" i="420" s="1"/>
  <c r="O11" i="236"/>
  <c r="O16" i="420" s="1"/>
  <c r="O43" i="236"/>
  <c r="O19" i="236"/>
  <c r="O74" i="236"/>
  <c r="O46" i="236"/>
  <c r="O51" i="420" s="1"/>
  <c r="O75" i="236"/>
  <c r="O80" i="420" s="1"/>
  <c r="O70" i="236"/>
  <c r="O75" i="420" s="1"/>
  <c r="O34" i="236"/>
  <c r="O64" i="236"/>
  <c r="O39" i="236"/>
  <c r="O44" i="420" s="1"/>
  <c r="O72" i="236"/>
  <c r="O16" i="236"/>
  <c r="O21" i="420" s="1"/>
  <c r="O62" i="236"/>
  <c r="O67" i="420" s="1"/>
  <c r="O27" i="236"/>
  <c r="O22" i="236"/>
  <c r="O30" i="236"/>
  <c r="O35" i="420" s="1"/>
  <c r="O10" i="236"/>
  <c r="O15" i="420" s="1"/>
  <c r="O56" i="236"/>
  <c r="O61" i="420" s="1"/>
  <c r="K15" i="431"/>
  <c r="J15" i="431"/>
  <c r="U4" i="432"/>
  <c r="AT2" i="431"/>
  <c r="V4" i="432"/>
  <c r="H14" i="450"/>
  <c r="D52" i="449"/>
  <c r="D51" i="449"/>
  <c r="G14" i="450"/>
  <c r="C23" i="437"/>
  <c r="C42" i="434"/>
  <c r="E30" i="434"/>
  <c r="F30" i="434"/>
  <c r="S22" i="435"/>
  <c r="S21" i="435"/>
  <c r="S26" i="435"/>
  <c r="S27" i="435"/>
  <c r="S32" i="435"/>
  <c r="CX43" i="434"/>
  <c r="CW43" i="434" s="1"/>
  <c r="E27" i="434" s="1"/>
  <c r="V31" i="435"/>
  <c r="AN31" i="435" s="1"/>
  <c r="S31" i="435"/>
  <c r="V28" i="435"/>
  <c r="AN28" i="435" s="1"/>
  <c r="S28" i="435"/>
  <c r="V25" i="435"/>
  <c r="AN25" i="435" s="1"/>
  <c r="S25" i="435"/>
  <c r="V24" i="435"/>
  <c r="AN24" i="435" s="1"/>
  <c r="S24" i="435"/>
  <c r="V29" i="435"/>
  <c r="AN29" i="435" s="1"/>
  <c r="S29" i="435"/>
  <c r="V23" i="435"/>
  <c r="AN23" i="435" s="1"/>
  <c r="S23" i="435"/>
  <c r="V30" i="435"/>
  <c r="AN30" i="435" s="1"/>
  <c r="S30" i="435"/>
  <c r="V19" i="435"/>
  <c r="AN19" i="435" s="1"/>
  <c r="S19" i="435"/>
  <c r="R15" i="431"/>
  <c r="B4" i="432"/>
  <c r="S5" i="432" s="1"/>
  <c r="R16" i="431" s="1"/>
  <c r="C2" i="432"/>
  <c r="AC6" i="436"/>
  <c r="AC5" i="436"/>
  <c r="AR23" i="437"/>
  <c r="AR22" i="437"/>
  <c r="AU23" i="437"/>
  <c r="AU22" i="437"/>
  <c r="E17" i="434"/>
  <c r="W3" i="26"/>
  <c r="B5" i="2" s="1"/>
  <c r="H45" i="27"/>
  <c r="J45" i="27" s="1"/>
  <c r="H44" i="27"/>
  <c r="J44" i="27" s="1"/>
  <c r="H13" i="27"/>
  <c r="J13" i="27" s="1"/>
  <c r="O7" i="236"/>
  <c r="H43" i="27"/>
  <c r="J43" i="27" s="1"/>
  <c r="H21" i="27"/>
  <c r="J21" i="27" s="1"/>
  <c r="H20" i="27"/>
  <c r="J20" i="27" s="1"/>
  <c r="E23" i="437"/>
  <c r="C23" i="436"/>
  <c r="DN43" i="434"/>
  <c r="C24" i="437"/>
  <c r="H14" i="27"/>
  <c r="J14" i="27" s="1"/>
  <c r="C18" i="433"/>
  <c r="B18" i="433"/>
  <c r="F28" i="434"/>
  <c r="E28" i="434"/>
  <c r="L43" i="234" l="1"/>
  <c r="O43" i="234" s="1"/>
  <c r="L49" i="234"/>
  <c r="O49" i="234" s="1"/>
  <c r="AU73" i="236" a="1"/>
  <c r="AU73" i="236" s="1"/>
  <c r="AU71" i="236" s="1" a="1"/>
  <c r="AU71" i="236" s="1"/>
  <c r="AU67" i="236" s="1" a="1"/>
  <c r="AU67" i="236" s="1"/>
  <c r="AU63" i="236" s="1" a="1"/>
  <c r="AU63" i="236" s="1"/>
  <c r="AU62" i="236" s="1" a="1"/>
  <c r="AU62" i="236" s="1"/>
  <c r="AU59" i="236" s="1" a="1"/>
  <c r="AU59" i="236" s="1"/>
  <c r="AU53" i="236" s="1" a="1"/>
  <c r="AU53" i="236" s="1"/>
  <c r="AU47" i="236" s="1" a="1"/>
  <c r="AU47" i="236" s="1"/>
  <c r="AU43" i="236" s="1" a="1"/>
  <c r="AU43" i="236" s="1"/>
  <c r="AU42" i="236" s="1" a="1"/>
  <c r="AU42" i="236" s="1"/>
  <c r="AU39" i="236" s="1" a="1"/>
  <c r="AU39" i="236" s="1"/>
  <c r="AU37" i="236" s="1" a="1"/>
  <c r="AU37" i="236" s="1"/>
  <c r="AU33" i="236" s="1" a="1"/>
  <c r="AU33" i="236" s="1"/>
  <c r="AU30" i="236" s="1" a="1"/>
  <c r="AU30" i="236" s="1"/>
  <c r="AU26" i="236" s="1" a="1"/>
  <c r="AU26" i="236" s="1"/>
  <c r="AU22" i="236" s="1" a="1"/>
  <c r="AU22" i="236" s="1"/>
  <c r="AU21" i="236" s="1" a="1"/>
  <c r="AU21" i="236" s="1"/>
  <c r="AU18" i="236" s="1" a="1"/>
  <c r="AU18" i="236" s="1"/>
  <c r="AU13" i="236" s="1" a="1"/>
  <c r="AU13" i="236" s="1"/>
  <c r="AM73" i="236" a="1"/>
  <c r="AM73" i="236" s="1"/>
  <c r="AM71" i="236" s="1" a="1"/>
  <c r="AM71" i="236" s="1"/>
  <c r="AM67" i="236" s="1" a="1"/>
  <c r="AM67" i="236" s="1"/>
  <c r="AM63" i="236" s="1" a="1"/>
  <c r="AM63" i="236" s="1"/>
  <c r="AM62" i="236" s="1" a="1"/>
  <c r="AM62" i="236" s="1"/>
  <c r="AM59" i="236" s="1" a="1"/>
  <c r="AM59" i="236" s="1"/>
  <c r="AM53" i="236" s="1" a="1"/>
  <c r="AM53" i="236" s="1"/>
  <c r="AM47" i="236" s="1" a="1"/>
  <c r="AM47" i="236" s="1"/>
  <c r="AM43" i="236" s="1" a="1"/>
  <c r="AM43" i="236" s="1"/>
  <c r="AM42" i="236" s="1" a="1"/>
  <c r="AM42" i="236" s="1"/>
  <c r="AM39" i="236" s="1" a="1"/>
  <c r="AM39" i="236" s="1"/>
  <c r="AM37" i="236" s="1" a="1"/>
  <c r="AM37" i="236" s="1"/>
  <c r="AM33" i="236" s="1" a="1"/>
  <c r="AM33" i="236" s="1"/>
  <c r="AM30" i="236" s="1" a="1"/>
  <c r="AM30" i="236" s="1"/>
  <c r="AM26" i="236" s="1" a="1"/>
  <c r="AM26" i="236" s="1"/>
  <c r="AM22" i="236" s="1" a="1"/>
  <c r="AM22" i="236" s="1"/>
  <c r="AM21" i="236" s="1" a="1"/>
  <c r="AM21" i="236" s="1"/>
  <c r="AM18" i="236" s="1" a="1"/>
  <c r="AM18" i="236" s="1"/>
  <c r="AM13" i="236" s="1" a="1"/>
  <c r="AM13" i="236" s="1"/>
  <c r="AE73" i="236" a="1"/>
  <c r="AE73" i="236" s="1"/>
  <c r="AE71" i="236" s="1" a="1"/>
  <c r="AE71" i="236" s="1"/>
  <c r="AE67" i="236" s="1" a="1"/>
  <c r="AE67" i="236" s="1"/>
  <c r="AE63" i="236" s="1" a="1"/>
  <c r="AE63" i="236" s="1"/>
  <c r="AE62" i="236" s="1" a="1"/>
  <c r="AE62" i="236" s="1"/>
  <c r="AE59" i="236" s="1" a="1"/>
  <c r="AE59" i="236" s="1"/>
  <c r="AE53" i="236" s="1" a="1"/>
  <c r="AE53" i="236" s="1"/>
  <c r="AE47" i="236" s="1" a="1"/>
  <c r="AE47" i="236" s="1"/>
  <c r="AE43" i="236" s="1" a="1"/>
  <c r="AE43" i="236" s="1"/>
  <c r="AE42" i="236" s="1" a="1"/>
  <c r="AE42" i="236" s="1"/>
  <c r="AE39" i="236" s="1" a="1"/>
  <c r="AE39" i="236" s="1"/>
  <c r="AE37" i="236" s="1" a="1"/>
  <c r="AE37" i="236" s="1"/>
  <c r="AE33" i="236" s="1" a="1"/>
  <c r="AE33" i="236" s="1"/>
  <c r="AE30" i="236" s="1" a="1"/>
  <c r="AE30" i="236" s="1"/>
  <c r="AE26" i="236" s="1" a="1"/>
  <c r="AE26" i="236" s="1"/>
  <c r="AE22" i="236" s="1" a="1"/>
  <c r="AE22" i="236" s="1"/>
  <c r="AE21" i="236" s="1" a="1"/>
  <c r="AE21" i="236" s="1"/>
  <c r="AE18" i="236" s="1" a="1"/>
  <c r="AE18" i="236" s="1"/>
  <c r="AE13" i="236" s="1" a="1"/>
  <c r="AE13" i="236" s="1"/>
  <c r="W73" i="236" a="1"/>
  <c r="W73" i="236" s="1"/>
  <c r="W71" i="236" s="1" a="1"/>
  <c r="W71" i="236" s="1"/>
  <c r="W67" i="236" s="1" a="1"/>
  <c r="W67" i="236" s="1"/>
  <c r="W63" i="236" s="1" a="1"/>
  <c r="W63" i="236" s="1"/>
  <c r="W62" i="236" s="1" a="1"/>
  <c r="W62" i="236" s="1"/>
  <c r="W59" i="236" s="1" a="1"/>
  <c r="W59" i="236" s="1"/>
  <c r="W53" i="236" s="1" a="1"/>
  <c r="W53" i="236" s="1"/>
  <c r="W47" i="236" s="1" a="1"/>
  <c r="W47" i="236" s="1"/>
  <c r="W43" i="236" s="1" a="1"/>
  <c r="W43" i="236" s="1"/>
  <c r="W42" i="236" s="1" a="1"/>
  <c r="W42" i="236" s="1"/>
  <c r="W39" i="236" s="1" a="1"/>
  <c r="W39" i="236" s="1"/>
  <c r="W37" i="236" s="1" a="1"/>
  <c r="W37" i="236" s="1"/>
  <c r="W33" i="236" s="1" a="1"/>
  <c r="W33" i="236" s="1"/>
  <c r="W30" i="236" s="1" a="1"/>
  <c r="W30" i="236" s="1"/>
  <c r="W26" i="236" s="1" a="1"/>
  <c r="W26" i="236" s="1"/>
  <c r="W22" i="236" s="1" a="1"/>
  <c r="W22" i="236" s="1"/>
  <c r="W21" i="236" s="1" a="1"/>
  <c r="W21" i="236" s="1"/>
  <c r="W18" i="236" s="1" a="1"/>
  <c r="W18" i="236" s="1"/>
  <c r="W13" i="236" s="1" a="1"/>
  <c r="W13" i="236" s="1"/>
  <c r="AS73" i="236" a="1"/>
  <c r="AS73" i="236" s="1"/>
  <c r="AS71" i="236" s="1" a="1"/>
  <c r="AS71" i="236" s="1"/>
  <c r="AS67" i="236" s="1" a="1"/>
  <c r="AS67" i="236" s="1"/>
  <c r="AS63" i="236" s="1" a="1"/>
  <c r="AS63" i="236" s="1"/>
  <c r="AS62" i="236" s="1" a="1"/>
  <c r="AS62" i="236" s="1"/>
  <c r="AS59" i="236" s="1" a="1"/>
  <c r="AS59" i="236" s="1"/>
  <c r="AS53" i="236" s="1" a="1"/>
  <c r="AS53" i="236" s="1"/>
  <c r="AS47" i="236" s="1" a="1"/>
  <c r="AS47" i="236" s="1"/>
  <c r="AS43" i="236" s="1" a="1"/>
  <c r="AS43" i="236" s="1"/>
  <c r="AS42" i="236" s="1" a="1"/>
  <c r="AS42" i="236" s="1"/>
  <c r="AS39" i="236" s="1" a="1"/>
  <c r="AS39" i="236" s="1"/>
  <c r="AS37" i="236" s="1" a="1"/>
  <c r="AS37" i="236" s="1"/>
  <c r="AS33" i="236" s="1" a="1"/>
  <c r="AS33" i="236" s="1"/>
  <c r="AS30" i="236" s="1" a="1"/>
  <c r="AS30" i="236" s="1"/>
  <c r="AS26" i="236" s="1" a="1"/>
  <c r="AS26" i="236" s="1"/>
  <c r="AS22" i="236" s="1" a="1"/>
  <c r="AS22" i="236" s="1"/>
  <c r="AS21" i="236" s="1" a="1"/>
  <c r="AS21" i="236" s="1"/>
  <c r="AS18" i="236" s="1" a="1"/>
  <c r="AS18" i="236" s="1"/>
  <c r="AS13" i="236" s="1" a="1"/>
  <c r="AS13" i="236" s="1"/>
  <c r="AK73" i="236" a="1"/>
  <c r="AK73" i="236" s="1"/>
  <c r="AK71" i="236" s="1" a="1"/>
  <c r="AK71" i="236" s="1"/>
  <c r="AK67" i="236" s="1" a="1"/>
  <c r="AK67" i="236" s="1"/>
  <c r="AK63" i="236" s="1" a="1"/>
  <c r="AK63" i="236" s="1"/>
  <c r="AK62" i="236" s="1" a="1"/>
  <c r="AK62" i="236" s="1"/>
  <c r="AK59" i="236" s="1" a="1"/>
  <c r="AK59" i="236" s="1"/>
  <c r="AK53" i="236" s="1" a="1"/>
  <c r="AK53" i="236" s="1"/>
  <c r="AK47" i="236" s="1" a="1"/>
  <c r="AK47" i="236" s="1"/>
  <c r="AK43" i="236" s="1" a="1"/>
  <c r="AK43" i="236" s="1"/>
  <c r="AK42" i="236" s="1" a="1"/>
  <c r="AK42" i="236" s="1"/>
  <c r="AK39" i="236" s="1" a="1"/>
  <c r="AK39" i="236" s="1"/>
  <c r="AK37" i="236" s="1" a="1"/>
  <c r="AK37" i="236" s="1"/>
  <c r="AK33" i="236" s="1" a="1"/>
  <c r="AK33" i="236" s="1"/>
  <c r="AK30" i="236" s="1" a="1"/>
  <c r="AK30" i="236" s="1"/>
  <c r="AK26" i="236" s="1" a="1"/>
  <c r="AK26" i="236" s="1"/>
  <c r="AK22" i="236" s="1" a="1"/>
  <c r="AK22" i="236" s="1"/>
  <c r="AK21" i="236" s="1" a="1"/>
  <c r="AK21" i="236" s="1"/>
  <c r="AK18" i="236" s="1" a="1"/>
  <c r="AK18" i="236" s="1"/>
  <c r="AK13" i="236" s="1" a="1"/>
  <c r="AK13" i="236" s="1"/>
  <c r="AC73" i="236" a="1"/>
  <c r="AC73" i="236" s="1"/>
  <c r="AC71" i="236" s="1" a="1"/>
  <c r="AC71" i="236" s="1"/>
  <c r="AC67" i="236" s="1" a="1"/>
  <c r="AC67" i="236" s="1"/>
  <c r="AC63" i="236" s="1" a="1"/>
  <c r="AC63" i="236" s="1"/>
  <c r="AC62" i="236" s="1" a="1"/>
  <c r="AC62" i="236" s="1"/>
  <c r="AC59" i="236" s="1" a="1"/>
  <c r="AC59" i="236" s="1"/>
  <c r="AC53" i="236" s="1" a="1"/>
  <c r="AC53" i="236" s="1"/>
  <c r="AC47" i="236" s="1" a="1"/>
  <c r="AC47" i="236" s="1"/>
  <c r="AC43" i="236" s="1" a="1"/>
  <c r="AC43" i="236" s="1"/>
  <c r="AC42" i="236" s="1" a="1"/>
  <c r="AC42" i="236" s="1"/>
  <c r="AC39" i="236" s="1" a="1"/>
  <c r="AC39" i="236" s="1"/>
  <c r="AC37" i="236" s="1" a="1"/>
  <c r="AC37" i="236" s="1"/>
  <c r="AC33" i="236" s="1" a="1"/>
  <c r="AC33" i="236" s="1"/>
  <c r="AC30" i="236" s="1" a="1"/>
  <c r="AC30" i="236" s="1"/>
  <c r="AC26" i="236" s="1" a="1"/>
  <c r="AC26" i="236" s="1"/>
  <c r="AC22" i="236" s="1" a="1"/>
  <c r="AC22" i="236" s="1"/>
  <c r="AC21" i="236" s="1" a="1"/>
  <c r="AC21" i="236" s="1"/>
  <c r="AC18" i="236" s="1" a="1"/>
  <c r="AC18" i="236" s="1"/>
  <c r="AC13" i="236" s="1" a="1"/>
  <c r="AC13" i="236" s="1"/>
  <c r="U73" i="236" a="1"/>
  <c r="U73" i="236" s="1"/>
  <c r="U71" i="236" s="1" a="1"/>
  <c r="U71" i="236" s="1"/>
  <c r="U67" i="236" s="1" a="1"/>
  <c r="U67" i="236" s="1"/>
  <c r="U63" i="236" s="1" a="1"/>
  <c r="U63" i="236" s="1"/>
  <c r="U62" i="236" s="1" a="1"/>
  <c r="U62" i="236" s="1"/>
  <c r="U59" i="236" s="1" a="1"/>
  <c r="U59" i="236" s="1"/>
  <c r="U53" i="236" s="1" a="1"/>
  <c r="U53" i="236" s="1"/>
  <c r="U47" i="236" s="1" a="1"/>
  <c r="U47" i="236" s="1"/>
  <c r="U43" i="236" s="1" a="1"/>
  <c r="U43" i="236" s="1"/>
  <c r="U42" i="236" s="1" a="1"/>
  <c r="U42" i="236" s="1"/>
  <c r="U39" i="236" s="1" a="1"/>
  <c r="U39" i="236" s="1"/>
  <c r="U37" i="236" s="1" a="1"/>
  <c r="U37" i="236" s="1"/>
  <c r="U33" i="236" s="1" a="1"/>
  <c r="U33" i="236" s="1"/>
  <c r="U30" i="236" s="1" a="1"/>
  <c r="U30" i="236" s="1"/>
  <c r="U26" i="236" s="1" a="1"/>
  <c r="U26" i="236" s="1"/>
  <c r="U22" i="236" s="1" a="1"/>
  <c r="U22" i="236" s="1"/>
  <c r="U21" i="236" s="1" a="1"/>
  <c r="U21" i="236" s="1"/>
  <c r="U18" i="236" s="1" a="1"/>
  <c r="U18" i="236" s="1"/>
  <c r="U13" i="236" s="1" a="1"/>
  <c r="U13" i="236" s="1"/>
  <c r="AQ73" i="236" a="1"/>
  <c r="AQ73" i="236" s="1"/>
  <c r="AQ71" i="236" s="1" a="1"/>
  <c r="AQ71" i="236" s="1"/>
  <c r="AQ67" i="236" s="1" a="1"/>
  <c r="AQ67" i="236" s="1"/>
  <c r="AQ63" i="236" s="1" a="1"/>
  <c r="AQ63" i="236" s="1"/>
  <c r="AQ62" i="236" s="1" a="1"/>
  <c r="AQ62" i="236" s="1"/>
  <c r="AQ59" i="236" s="1" a="1"/>
  <c r="AQ59" i="236" s="1"/>
  <c r="AQ53" i="236" s="1" a="1"/>
  <c r="AQ53" i="236" s="1"/>
  <c r="AQ47" i="236" s="1" a="1"/>
  <c r="AQ47" i="236" s="1"/>
  <c r="AQ43" i="236" s="1" a="1"/>
  <c r="AQ43" i="236" s="1"/>
  <c r="AQ42" i="236" s="1" a="1"/>
  <c r="AQ42" i="236" s="1"/>
  <c r="AQ39" i="236" s="1" a="1"/>
  <c r="AQ39" i="236" s="1"/>
  <c r="AQ37" i="236" s="1" a="1"/>
  <c r="AQ37" i="236" s="1"/>
  <c r="AQ33" i="236" s="1" a="1"/>
  <c r="AQ33" i="236" s="1"/>
  <c r="AQ30" i="236" s="1" a="1"/>
  <c r="AQ30" i="236" s="1"/>
  <c r="AQ26" i="236" s="1" a="1"/>
  <c r="AQ26" i="236" s="1"/>
  <c r="AQ22" i="236" s="1" a="1"/>
  <c r="AQ22" i="236" s="1"/>
  <c r="AQ21" i="236" s="1" a="1"/>
  <c r="AQ21" i="236" s="1"/>
  <c r="AQ18" i="236" s="1" a="1"/>
  <c r="AQ18" i="236" s="1"/>
  <c r="AQ13" i="236" s="1" a="1"/>
  <c r="AQ13" i="236" s="1"/>
  <c r="AI73" i="236" a="1"/>
  <c r="AI73" i="236" s="1"/>
  <c r="AI71" i="236" s="1" a="1"/>
  <c r="AI71" i="236" s="1"/>
  <c r="AI67" i="236" s="1" a="1"/>
  <c r="AI67" i="236" s="1"/>
  <c r="AI63" i="236" s="1" a="1"/>
  <c r="AI63" i="236" s="1"/>
  <c r="AI62" i="236" s="1" a="1"/>
  <c r="AI62" i="236" s="1"/>
  <c r="AI59" i="236" s="1" a="1"/>
  <c r="AI59" i="236" s="1"/>
  <c r="AI53" i="236" s="1" a="1"/>
  <c r="AI53" i="236" s="1"/>
  <c r="AI47" i="236" s="1" a="1"/>
  <c r="AI47" i="236" s="1"/>
  <c r="AI43" i="236" s="1" a="1"/>
  <c r="AI43" i="236" s="1"/>
  <c r="AI42" i="236" s="1" a="1"/>
  <c r="AI42" i="236" s="1"/>
  <c r="AI39" i="236" s="1" a="1"/>
  <c r="AI39" i="236" s="1"/>
  <c r="AI37" i="236" s="1" a="1"/>
  <c r="AI37" i="236" s="1"/>
  <c r="AI33" i="236" s="1" a="1"/>
  <c r="AI33" i="236" s="1"/>
  <c r="AI30" i="236" s="1" a="1"/>
  <c r="AI30" i="236" s="1"/>
  <c r="AI26" i="236" s="1" a="1"/>
  <c r="AI26" i="236" s="1"/>
  <c r="AI22" i="236" s="1" a="1"/>
  <c r="AI22" i="236" s="1"/>
  <c r="AI21" i="236" s="1" a="1"/>
  <c r="AI21" i="236" s="1"/>
  <c r="AI18" i="236" s="1" a="1"/>
  <c r="AI18" i="236" s="1"/>
  <c r="AI13" i="236" s="1" a="1"/>
  <c r="AI13" i="236" s="1"/>
  <c r="AA73" i="236" a="1"/>
  <c r="AA73" i="236" s="1"/>
  <c r="AA71" i="236" s="1" a="1"/>
  <c r="AA71" i="236" s="1"/>
  <c r="AA67" i="236" s="1" a="1"/>
  <c r="AA67" i="236" s="1"/>
  <c r="AA63" i="236" s="1" a="1"/>
  <c r="AA63" i="236" s="1"/>
  <c r="AA62" i="236" s="1" a="1"/>
  <c r="AA62" i="236" s="1"/>
  <c r="AA59" i="236" s="1" a="1"/>
  <c r="AA59" i="236" s="1"/>
  <c r="AA53" i="236" s="1" a="1"/>
  <c r="AA53" i="236" s="1"/>
  <c r="AA47" i="236" s="1" a="1"/>
  <c r="AA47" i="236" s="1"/>
  <c r="AA43" i="236" s="1" a="1"/>
  <c r="AA43" i="236" s="1"/>
  <c r="AA42" i="236" s="1" a="1"/>
  <c r="AA42" i="236" s="1"/>
  <c r="AA39" i="236" s="1" a="1"/>
  <c r="AA39" i="236" s="1"/>
  <c r="AA37" i="236" s="1" a="1"/>
  <c r="AA37" i="236" s="1"/>
  <c r="AA33" i="236" s="1" a="1"/>
  <c r="AA33" i="236" s="1"/>
  <c r="AA30" i="236" s="1" a="1"/>
  <c r="AA30" i="236" s="1"/>
  <c r="AA26" i="236" s="1" a="1"/>
  <c r="AA26" i="236" s="1"/>
  <c r="AA22" i="236" s="1" a="1"/>
  <c r="AA22" i="236" s="1"/>
  <c r="AA21" i="236" s="1" a="1"/>
  <c r="AA21" i="236" s="1"/>
  <c r="AA18" i="236" s="1" a="1"/>
  <c r="AA18" i="236" s="1"/>
  <c r="AA13" i="236" s="1" a="1"/>
  <c r="AA13" i="236" s="1"/>
  <c r="AA8" i="236" s="1" a="1"/>
  <c r="AA8" i="236" s="1"/>
  <c r="AA7" i="236" s="1" a="1"/>
  <c r="AA7" i="236" s="1"/>
  <c r="AA6" i="236" s="1" a="1"/>
  <c r="AA6" i="236" s="1"/>
  <c r="S73" i="236" a="1"/>
  <c r="S73" i="236" s="1"/>
  <c r="S71" i="236" s="1" a="1"/>
  <c r="S71" i="236" s="1"/>
  <c r="S67" i="236" s="1" a="1"/>
  <c r="S67" i="236" s="1"/>
  <c r="S63" i="236" s="1" a="1"/>
  <c r="S63" i="236" s="1"/>
  <c r="S62" i="236" s="1" a="1"/>
  <c r="S62" i="236" s="1"/>
  <c r="S59" i="236" s="1" a="1"/>
  <c r="S59" i="236" s="1"/>
  <c r="S53" i="236" s="1" a="1"/>
  <c r="S53" i="236" s="1"/>
  <c r="S47" i="236" s="1" a="1"/>
  <c r="S47" i="236" s="1"/>
  <c r="S43" i="236" s="1" a="1"/>
  <c r="S43" i="236" s="1"/>
  <c r="S42" i="236" s="1" a="1"/>
  <c r="S42" i="236" s="1"/>
  <c r="S39" i="236" s="1" a="1"/>
  <c r="S39" i="236" s="1"/>
  <c r="S37" i="236" s="1" a="1"/>
  <c r="S37" i="236" s="1"/>
  <c r="S33" i="236" s="1" a="1"/>
  <c r="S33" i="236" s="1"/>
  <c r="S30" i="236" s="1" a="1"/>
  <c r="S30" i="236" s="1"/>
  <c r="S26" i="236" s="1" a="1"/>
  <c r="S26" i="236" s="1"/>
  <c r="S22" i="236" s="1" a="1"/>
  <c r="S22" i="236" s="1"/>
  <c r="S21" i="236" s="1" a="1"/>
  <c r="S21" i="236" s="1"/>
  <c r="S18" i="236" s="1" a="1"/>
  <c r="S18" i="236" s="1"/>
  <c r="S13" i="236" s="1" a="1"/>
  <c r="S13" i="236" s="1"/>
  <c r="AO73" i="236" a="1"/>
  <c r="AO73" i="236" s="1"/>
  <c r="AO71" i="236" s="1" a="1"/>
  <c r="AO71" i="236" s="1"/>
  <c r="AO67" i="236" s="1" a="1"/>
  <c r="AO67" i="236" s="1"/>
  <c r="AO63" i="236" s="1" a="1"/>
  <c r="AO63" i="236" s="1"/>
  <c r="AO62" i="236" s="1" a="1"/>
  <c r="AO62" i="236" s="1"/>
  <c r="AO59" i="236" s="1" a="1"/>
  <c r="AO59" i="236" s="1"/>
  <c r="AO53" i="236" s="1" a="1"/>
  <c r="AO53" i="236" s="1"/>
  <c r="AO47" i="236" s="1" a="1"/>
  <c r="AO47" i="236" s="1"/>
  <c r="AO43" i="236" s="1" a="1"/>
  <c r="AO43" i="236" s="1"/>
  <c r="AO42" i="236" s="1" a="1"/>
  <c r="AO42" i="236" s="1"/>
  <c r="AO39" i="236" s="1" a="1"/>
  <c r="AO39" i="236" s="1"/>
  <c r="AO37" i="236" s="1" a="1"/>
  <c r="AO37" i="236" s="1"/>
  <c r="AO33" i="236" s="1" a="1"/>
  <c r="AO33" i="236" s="1"/>
  <c r="AO30" i="236" s="1" a="1"/>
  <c r="AO30" i="236" s="1"/>
  <c r="AO26" i="236" s="1" a="1"/>
  <c r="AO26" i="236" s="1"/>
  <c r="AO22" i="236" s="1" a="1"/>
  <c r="AO22" i="236" s="1"/>
  <c r="AO21" i="236" s="1" a="1"/>
  <c r="AO21" i="236" s="1"/>
  <c r="AO18" i="236" s="1" a="1"/>
  <c r="AO18" i="236" s="1"/>
  <c r="AO13" i="236" s="1" a="1"/>
  <c r="AO13" i="236" s="1"/>
  <c r="AG73" i="236" a="1"/>
  <c r="AG73" i="236" s="1"/>
  <c r="AG71" i="236" s="1" a="1"/>
  <c r="AG71" i="236" s="1"/>
  <c r="AG67" i="236" s="1" a="1"/>
  <c r="AG67" i="236" s="1"/>
  <c r="AG63" i="236" s="1" a="1"/>
  <c r="AG63" i="236" s="1"/>
  <c r="AG62" i="236" s="1" a="1"/>
  <c r="AG62" i="236" s="1"/>
  <c r="AG59" i="236" s="1" a="1"/>
  <c r="AG59" i="236" s="1"/>
  <c r="AG53" i="236" s="1" a="1"/>
  <c r="AG53" i="236" s="1"/>
  <c r="AG47" i="236" s="1" a="1"/>
  <c r="AG47" i="236" s="1"/>
  <c r="AG43" i="236" s="1" a="1"/>
  <c r="AG43" i="236" s="1"/>
  <c r="AG42" i="236" s="1" a="1"/>
  <c r="AG42" i="236" s="1"/>
  <c r="AG39" i="236" s="1" a="1"/>
  <c r="AG39" i="236" s="1"/>
  <c r="AG37" i="236" s="1" a="1"/>
  <c r="AG37" i="236" s="1"/>
  <c r="AG33" i="236" s="1" a="1"/>
  <c r="AG33" i="236" s="1"/>
  <c r="AG30" i="236" s="1" a="1"/>
  <c r="AG30" i="236" s="1"/>
  <c r="AG26" i="236" s="1" a="1"/>
  <c r="AG26" i="236" s="1"/>
  <c r="AG22" i="236" s="1" a="1"/>
  <c r="AG22" i="236" s="1"/>
  <c r="AG21" i="236" s="1" a="1"/>
  <c r="AG21" i="236" s="1"/>
  <c r="AG18" i="236" s="1" a="1"/>
  <c r="AG18" i="236" s="1"/>
  <c r="AG13" i="236" s="1" a="1"/>
  <c r="AG13" i="236" s="1"/>
  <c r="Y73" i="236" a="1"/>
  <c r="Y73" i="236" s="1"/>
  <c r="Y71" i="236" s="1" a="1"/>
  <c r="Y71" i="236" s="1"/>
  <c r="Y67" i="236" s="1" a="1"/>
  <c r="Y67" i="236" s="1"/>
  <c r="Y63" i="236" s="1" a="1"/>
  <c r="Y63" i="236" s="1"/>
  <c r="Y62" i="236" s="1" a="1"/>
  <c r="Y62" i="236" s="1"/>
  <c r="Y59" i="236" s="1" a="1"/>
  <c r="Y59" i="236" s="1"/>
  <c r="Y53" i="236" s="1" a="1"/>
  <c r="Y53" i="236" s="1"/>
  <c r="Y47" i="236" s="1" a="1"/>
  <c r="Y47" i="236" s="1"/>
  <c r="Y43" i="236" s="1" a="1"/>
  <c r="Y43" i="236" s="1"/>
  <c r="Y42" i="236" s="1" a="1"/>
  <c r="Y42" i="236" s="1"/>
  <c r="Y39" i="236" s="1" a="1"/>
  <c r="Y39" i="236" s="1"/>
  <c r="Y37" i="236" s="1" a="1"/>
  <c r="Y37" i="236" s="1"/>
  <c r="Y33" i="236" s="1" a="1"/>
  <c r="Y33" i="236" s="1"/>
  <c r="Y30" i="236" s="1" a="1"/>
  <c r="Y30" i="236" s="1"/>
  <c r="Y26" i="236" s="1" a="1"/>
  <c r="Y26" i="236" s="1"/>
  <c r="Y22" i="236" s="1" a="1"/>
  <c r="Y22" i="236" s="1"/>
  <c r="Y21" i="236" s="1" a="1"/>
  <c r="Y21" i="236" s="1"/>
  <c r="Y18" i="236" s="1" a="1"/>
  <c r="Y18" i="236" s="1"/>
  <c r="Y13" i="236" s="1" a="1"/>
  <c r="Y13" i="236" s="1"/>
  <c r="AD73" i="236" a="1"/>
  <c r="AD73" i="236" s="1"/>
  <c r="AD71" i="236" s="1" a="1"/>
  <c r="AD71" i="236" s="1"/>
  <c r="AD67" i="236" s="1" a="1"/>
  <c r="AD67" i="236" s="1"/>
  <c r="AD63" i="236" s="1" a="1"/>
  <c r="AD63" i="236" s="1"/>
  <c r="AD62" i="236" s="1" a="1"/>
  <c r="AD62" i="236" s="1"/>
  <c r="AD59" i="236" s="1" a="1"/>
  <c r="AD59" i="236" s="1"/>
  <c r="AD53" i="236" s="1" a="1"/>
  <c r="AD53" i="236" s="1"/>
  <c r="AD47" i="236" s="1" a="1"/>
  <c r="AD47" i="236" s="1"/>
  <c r="AD43" i="236" s="1" a="1"/>
  <c r="AD43" i="236" s="1"/>
  <c r="AD42" i="236" s="1" a="1"/>
  <c r="AD42" i="236" s="1"/>
  <c r="AD39" i="236" s="1" a="1"/>
  <c r="AD39" i="236" s="1"/>
  <c r="AD37" i="236" s="1" a="1"/>
  <c r="AD37" i="236" s="1"/>
  <c r="AD33" i="236" s="1" a="1"/>
  <c r="AD33" i="236" s="1"/>
  <c r="AD30" i="236" s="1" a="1"/>
  <c r="AD30" i="236" s="1"/>
  <c r="AD26" i="236" s="1" a="1"/>
  <c r="AD26" i="236" s="1"/>
  <c r="AD22" i="236" s="1" a="1"/>
  <c r="AD22" i="236" s="1"/>
  <c r="AD21" i="236" s="1" a="1"/>
  <c r="AD21" i="236" s="1"/>
  <c r="AD18" i="236" s="1" a="1"/>
  <c r="AD18" i="236" s="1"/>
  <c r="AD13" i="236" s="1" a="1"/>
  <c r="AD13" i="236" s="1"/>
  <c r="AT73" i="236" a="1"/>
  <c r="AT73" i="236" s="1"/>
  <c r="AT71" i="236" s="1" a="1"/>
  <c r="AT71" i="236" s="1"/>
  <c r="AT67" i="236" s="1" a="1"/>
  <c r="AT67" i="236" s="1"/>
  <c r="AT63" i="236" s="1" a="1"/>
  <c r="AT63" i="236" s="1"/>
  <c r="AT62" i="236" s="1" a="1"/>
  <c r="AT62" i="236" s="1"/>
  <c r="AT59" i="236" s="1" a="1"/>
  <c r="AT59" i="236" s="1"/>
  <c r="AT53" i="236" s="1" a="1"/>
  <c r="AT53" i="236" s="1"/>
  <c r="AT47" i="236" s="1" a="1"/>
  <c r="AT47" i="236" s="1"/>
  <c r="AT43" i="236" s="1" a="1"/>
  <c r="AT43" i="236" s="1"/>
  <c r="AT42" i="236" s="1" a="1"/>
  <c r="AT42" i="236" s="1"/>
  <c r="AT39" i="236" s="1" a="1"/>
  <c r="AT39" i="236" s="1"/>
  <c r="AT37" i="236" s="1" a="1"/>
  <c r="AT37" i="236" s="1"/>
  <c r="AT33" i="236" s="1" a="1"/>
  <c r="AT33" i="236" s="1"/>
  <c r="AT30" i="236" s="1" a="1"/>
  <c r="AT30" i="236" s="1"/>
  <c r="AT26" i="236" s="1" a="1"/>
  <c r="AT26" i="236" s="1"/>
  <c r="AT22" i="236" s="1" a="1"/>
  <c r="AT22" i="236" s="1"/>
  <c r="AT21" i="236" s="1" a="1"/>
  <c r="AT21" i="236" s="1"/>
  <c r="AT18" i="236" s="1" a="1"/>
  <c r="AT18" i="236" s="1"/>
  <c r="AT13" i="236" s="1" a="1"/>
  <c r="AT13" i="236" s="1"/>
  <c r="AF73" i="236" a="1"/>
  <c r="AF73" i="236" s="1"/>
  <c r="AF71" i="236" s="1" a="1"/>
  <c r="AF71" i="236" s="1"/>
  <c r="AF67" i="236" s="1" a="1"/>
  <c r="AF67" i="236" s="1"/>
  <c r="AF63" i="236" s="1" a="1"/>
  <c r="AF63" i="236" s="1"/>
  <c r="AF62" i="236" s="1" a="1"/>
  <c r="AF62" i="236" s="1"/>
  <c r="AF59" i="236" s="1" a="1"/>
  <c r="AF59" i="236" s="1"/>
  <c r="AF53" i="236" s="1" a="1"/>
  <c r="AF53" i="236" s="1"/>
  <c r="AF47" i="236" s="1" a="1"/>
  <c r="AF47" i="236" s="1"/>
  <c r="AF43" i="236" s="1" a="1"/>
  <c r="AF43" i="236" s="1"/>
  <c r="AF42" i="236" s="1" a="1"/>
  <c r="AF42" i="236" s="1"/>
  <c r="AF39" i="236" s="1" a="1"/>
  <c r="AF39" i="236" s="1"/>
  <c r="AF37" i="236" s="1" a="1"/>
  <c r="AF37" i="236" s="1"/>
  <c r="AF33" i="236" s="1" a="1"/>
  <c r="AF33" i="236" s="1"/>
  <c r="AF30" i="236" s="1" a="1"/>
  <c r="AF30" i="236" s="1"/>
  <c r="AF26" i="236" s="1" a="1"/>
  <c r="AF26" i="236" s="1"/>
  <c r="AF22" i="236" s="1" a="1"/>
  <c r="AF22" i="236" s="1"/>
  <c r="AF21" i="236" s="1" a="1"/>
  <c r="AF21" i="236" s="1"/>
  <c r="AF18" i="236" s="1" a="1"/>
  <c r="AF18" i="236" s="1"/>
  <c r="AF13" i="236" s="1" a="1"/>
  <c r="AF13" i="236" s="1"/>
  <c r="R73" i="236" a="1"/>
  <c r="R73" i="236" s="1"/>
  <c r="R71" i="236" s="1" a="1"/>
  <c r="R71" i="236" s="1"/>
  <c r="R67" i="236" s="1" a="1"/>
  <c r="R67" i="236" s="1"/>
  <c r="R63" i="236" s="1" a="1"/>
  <c r="R63" i="236" s="1"/>
  <c r="R62" i="236" s="1" a="1"/>
  <c r="R62" i="236" s="1"/>
  <c r="R59" i="236" s="1" a="1"/>
  <c r="R59" i="236" s="1"/>
  <c r="R53" i="236" s="1" a="1"/>
  <c r="R53" i="236" s="1"/>
  <c r="R47" i="236" s="1" a="1"/>
  <c r="R47" i="236" s="1"/>
  <c r="R43" i="236" s="1" a="1"/>
  <c r="R43" i="236" s="1"/>
  <c r="R42" i="236" s="1" a="1"/>
  <c r="R42" i="236" s="1"/>
  <c r="R39" i="236" s="1" a="1"/>
  <c r="R39" i="236" s="1"/>
  <c r="R37" i="236" s="1" a="1"/>
  <c r="R37" i="236" s="1"/>
  <c r="R33" i="236" s="1" a="1"/>
  <c r="R33" i="236" s="1"/>
  <c r="R30" i="236" s="1" a="1"/>
  <c r="R30" i="236" s="1"/>
  <c r="R26" i="236" s="1" a="1"/>
  <c r="R26" i="236" s="1"/>
  <c r="R22" i="236" s="1" a="1"/>
  <c r="R22" i="236" s="1"/>
  <c r="R21" i="236" s="1" a="1"/>
  <c r="R21" i="236" s="1"/>
  <c r="R18" i="236" s="1" a="1"/>
  <c r="R18" i="236" s="1"/>
  <c r="R13" i="236" s="1" a="1"/>
  <c r="R13" i="236" s="1"/>
  <c r="AH73" i="236" a="1"/>
  <c r="AH73" i="236" s="1"/>
  <c r="AH71" i="236" s="1" a="1"/>
  <c r="AH71" i="236" s="1"/>
  <c r="AH67" i="236" s="1" a="1"/>
  <c r="AH67" i="236" s="1"/>
  <c r="AH63" i="236" s="1" a="1"/>
  <c r="AH63" i="236" s="1"/>
  <c r="AH62" i="236" s="1" a="1"/>
  <c r="AH62" i="236" s="1"/>
  <c r="AH59" i="236" s="1" a="1"/>
  <c r="AH59" i="236" s="1"/>
  <c r="AH53" i="236" s="1" a="1"/>
  <c r="AH53" i="236" s="1"/>
  <c r="AH47" i="236" s="1" a="1"/>
  <c r="AH47" i="236" s="1"/>
  <c r="AH43" i="236" s="1" a="1"/>
  <c r="AH43" i="236" s="1"/>
  <c r="AH42" i="236" s="1" a="1"/>
  <c r="AH42" i="236" s="1"/>
  <c r="AH39" i="236" s="1" a="1"/>
  <c r="AH39" i="236" s="1"/>
  <c r="AH37" i="236" s="1" a="1"/>
  <c r="AH37" i="236" s="1"/>
  <c r="AH33" i="236" s="1" a="1"/>
  <c r="AH33" i="236" s="1"/>
  <c r="AH30" i="236" s="1" a="1"/>
  <c r="AH30" i="236" s="1"/>
  <c r="AH26" i="236" s="1" a="1"/>
  <c r="AH26" i="236" s="1"/>
  <c r="AH22" i="236" s="1" a="1"/>
  <c r="AH22" i="236" s="1"/>
  <c r="AH21" i="236" s="1" a="1"/>
  <c r="AH21" i="236" s="1"/>
  <c r="AH18" i="236" s="1" a="1"/>
  <c r="AH18" i="236" s="1"/>
  <c r="AH13" i="236" s="1" a="1"/>
  <c r="AH13" i="236" s="1"/>
  <c r="T73" i="236" a="1"/>
  <c r="T73" i="236" s="1"/>
  <c r="T71" i="236" s="1" a="1"/>
  <c r="T71" i="236" s="1"/>
  <c r="T67" i="236" s="1" a="1"/>
  <c r="T67" i="236" s="1"/>
  <c r="T63" i="236" s="1" a="1"/>
  <c r="T63" i="236" s="1"/>
  <c r="T62" i="236" s="1" a="1"/>
  <c r="T62" i="236" s="1"/>
  <c r="T59" i="236" s="1" a="1"/>
  <c r="T59" i="236" s="1"/>
  <c r="T53" i="236" s="1" a="1"/>
  <c r="T53" i="236" s="1"/>
  <c r="T47" i="236" s="1" a="1"/>
  <c r="T47" i="236" s="1"/>
  <c r="T43" i="236" s="1" a="1"/>
  <c r="T43" i="236" s="1"/>
  <c r="T42" i="236" s="1" a="1"/>
  <c r="T42" i="236" s="1"/>
  <c r="T39" i="236" s="1" a="1"/>
  <c r="T39" i="236" s="1"/>
  <c r="T37" i="236" s="1" a="1"/>
  <c r="T37" i="236" s="1"/>
  <c r="T33" i="236" s="1" a="1"/>
  <c r="T33" i="236" s="1"/>
  <c r="T30" i="236" s="1" a="1"/>
  <c r="T30" i="236" s="1"/>
  <c r="T26" i="236" s="1" a="1"/>
  <c r="T26" i="236" s="1"/>
  <c r="T22" i="236" s="1" a="1"/>
  <c r="T22" i="236" s="1"/>
  <c r="T21" i="236" s="1" a="1"/>
  <c r="T21" i="236" s="1"/>
  <c r="T18" i="236" s="1" a="1"/>
  <c r="T18" i="236" s="1"/>
  <c r="T13" i="236" s="1" a="1"/>
  <c r="T13" i="236" s="1"/>
  <c r="AJ73" i="236" a="1"/>
  <c r="AJ73" i="236" s="1"/>
  <c r="AJ71" i="236" s="1" a="1"/>
  <c r="AJ71" i="236" s="1"/>
  <c r="AJ67" i="236" s="1" a="1"/>
  <c r="AJ67" i="236" s="1"/>
  <c r="AJ63" i="236" s="1" a="1"/>
  <c r="AJ63" i="236" s="1"/>
  <c r="AJ62" i="236" s="1" a="1"/>
  <c r="AJ62" i="236" s="1"/>
  <c r="AJ59" i="236" s="1" a="1"/>
  <c r="AJ59" i="236" s="1"/>
  <c r="AJ53" i="236" s="1" a="1"/>
  <c r="AJ53" i="236" s="1"/>
  <c r="AJ47" i="236" s="1" a="1"/>
  <c r="AJ47" i="236" s="1"/>
  <c r="AJ43" i="236" s="1" a="1"/>
  <c r="AJ43" i="236" s="1"/>
  <c r="AJ42" i="236" s="1" a="1"/>
  <c r="AJ42" i="236" s="1"/>
  <c r="AJ39" i="236" s="1" a="1"/>
  <c r="AJ39" i="236" s="1"/>
  <c r="AJ37" i="236" s="1" a="1"/>
  <c r="AJ37" i="236" s="1"/>
  <c r="AJ33" i="236" s="1" a="1"/>
  <c r="AJ33" i="236" s="1"/>
  <c r="AJ30" i="236" s="1" a="1"/>
  <c r="AJ30" i="236" s="1"/>
  <c r="AJ26" i="236" s="1" a="1"/>
  <c r="AJ26" i="236" s="1"/>
  <c r="AJ22" i="236" s="1" a="1"/>
  <c r="AJ22" i="236" s="1"/>
  <c r="AJ21" i="236" s="1" a="1"/>
  <c r="AJ21" i="236" s="1"/>
  <c r="AJ18" i="236" s="1" a="1"/>
  <c r="AJ18" i="236" s="1"/>
  <c r="AJ13" i="236" s="1" a="1"/>
  <c r="AJ13" i="236" s="1"/>
  <c r="V73" i="236" a="1"/>
  <c r="V73" i="236" s="1"/>
  <c r="V71" i="236" s="1" a="1"/>
  <c r="V71" i="236" s="1"/>
  <c r="V67" i="236" s="1" a="1"/>
  <c r="V67" i="236" s="1"/>
  <c r="V63" i="236" s="1" a="1"/>
  <c r="V63" i="236" s="1"/>
  <c r="V62" i="236" s="1" a="1"/>
  <c r="V62" i="236" s="1"/>
  <c r="V59" i="236" s="1" a="1"/>
  <c r="V59" i="236" s="1"/>
  <c r="V53" i="236" s="1" a="1"/>
  <c r="V53" i="236" s="1"/>
  <c r="V47" i="236" s="1" a="1"/>
  <c r="V47" i="236" s="1"/>
  <c r="V43" i="236" s="1" a="1"/>
  <c r="V43" i="236" s="1"/>
  <c r="V42" i="236" s="1" a="1"/>
  <c r="V42" i="236" s="1"/>
  <c r="V39" i="236" s="1" a="1"/>
  <c r="V39" i="236" s="1"/>
  <c r="V37" i="236" s="1" a="1"/>
  <c r="V37" i="236" s="1"/>
  <c r="V33" i="236" s="1" a="1"/>
  <c r="V33" i="236" s="1"/>
  <c r="V30" i="236" s="1" a="1"/>
  <c r="V30" i="236" s="1"/>
  <c r="V26" i="236" s="1" a="1"/>
  <c r="V26" i="236" s="1"/>
  <c r="V22" i="236" s="1" a="1"/>
  <c r="V22" i="236" s="1"/>
  <c r="V21" i="236" s="1" a="1"/>
  <c r="V21" i="236" s="1"/>
  <c r="V18" i="236" s="1" a="1"/>
  <c r="V18" i="236" s="1"/>
  <c r="V13" i="236" s="1" a="1"/>
  <c r="V13" i="236" s="1"/>
  <c r="AL73" i="236" a="1"/>
  <c r="AL73" i="236" s="1"/>
  <c r="AL71" i="236" s="1" a="1"/>
  <c r="AL71" i="236" s="1"/>
  <c r="AL67" i="236" s="1" a="1"/>
  <c r="AL67" i="236" s="1"/>
  <c r="AL63" i="236" s="1" a="1"/>
  <c r="AL63" i="236" s="1"/>
  <c r="AL62" i="236" s="1" a="1"/>
  <c r="AL62" i="236" s="1"/>
  <c r="AL59" i="236" s="1" a="1"/>
  <c r="AL59" i="236" s="1"/>
  <c r="AL53" i="236" s="1" a="1"/>
  <c r="AL53" i="236" s="1"/>
  <c r="AL47" i="236" s="1" a="1"/>
  <c r="AL47" i="236" s="1"/>
  <c r="AL43" i="236" s="1" a="1"/>
  <c r="AL43" i="236" s="1"/>
  <c r="AL42" i="236" s="1" a="1"/>
  <c r="AL42" i="236" s="1"/>
  <c r="AL39" i="236" s="1" a="1"/>
  <c r="AL39" i="236" s="1"/>
  <c r="AL37" i="236" s="1" a="1"/>
  <c r="AL37" i="236" s="1"/>
  <c r="AL33" i="236" s="1" a="1"/>
  <c r="AL33" i="236" s="1"/>
  <c r="AL30" i="236" s="1" a="1"/>
  <c r="AL30" i="236" s="1"/>
  <c r="AL26" i="236" s="1" a="1"/>
  <c r="AL26" i="236" s="1"/>
  <c r="AL22" i="236" s="1" a="1"/>
  <c r="AL22" i="236" s="1"/>
  <c r="AL21" i="236" s="1" a="1"/>
  <c r="AL21" i="236" s="1"/>
  <c r="AL18" i="236" s="1" a="1"/>
  <c r="AL18" i="236" s="1"/>
  <c r="AL13" i="236" s="1" a="1"/>
  <c r="AL13" i="236" s="1"/>
  <c r="X73" i="236" a="1"/>
  <c r="X73" i="236" s="1"/>
  <c r="X71" i="236" s="1" a="1"/>
  <c r="X71" i="236" s="1"/>
  <c r="X67" i="236" s="1" a="1"/>
  <c r="X67" i="236" s="1"/>
  <c r="X63" i="236" s="1" a="1"/>
  <c r="X63" i="236" s="1"/>
  <c r="X62" i="236" s="1" a="1"/>
  <c r="X62" i="236" s="1"/>
  <c r="X59" i="236" s="1" a="1"/>
  <c r="X59" i="236" s="1"/>
  <c r="X53" i="236" s="1" a="1"/>
  <c r="X53" i="236" s="1"/>
  <c r="X47" i="236" s="1" a="1"/>
  <c r="X47" i="236" s="1"/>
  <c r="X43" i="236" s="1" a="1"/>
  <c r="X43" i="236" s="1"/>
  <c r="X42" i="236" s="1" a="1"/>
  <c r="X42" i="236" s="1"/>
  <c r="X39" i="236" s="1" a="1"/>
  <c r="X39" i="236" s="1"/>
  <c r="X37" i="236" s="1" a="1"/>
  <c r="X37" i="236" s="1"/>
  <c r="X33" i="236" s="1" a="1"/>
  <c r="X33" i="236" s="1"/>
  <c r="X30" i="236" s="1" a="1"/>
  <c r="X30" i="236" s="1"/>
  <c r="X26" i="236" s="1" a="1"/>
  <c r="X26" i="236" s="1"/>
  <c r="X22" i="236" s="1" a="1"/>
  <c r="X22" i="236" s="1"/>
  <c r="X21" i="236" s="1" a="1"/>
  <c r="X21" i="236" s="1"/>
  <c r="X18" i="236" s="1" a="1"/>
  <c r="X18" i="236" s="1"/>
  <c r="X13" i="236" s="1" a="1"/>
  <c r="X13" i="236" s="1"/>
  <c r="AN73" i="236" a="1"/>
  <c r="AN73" i="236" s="1"/>
  <c r="AN71" i="236" s="1" a="1"/>
  <c r="AN71" i="236" s="1"/>
  <c r="AN67" i="236" s="1" a="1"/>
  <c r="AN67" i="236" s="1"/>
  <c r="AN63" i="236" s="1" a="1"/>
  <c r="AN63" i="236" s="1"/>
  <c r="AN62" i="236" s="1" a="1"/>
  <c r="AN62" i="236" s="1"/>
  <c r="AN59" i="236" s="1" a="1"/>
  <c r="AN59" i="236" s="1"/>
  <c r="AN53" i="236" s="1" a="1"/>
  <c r="AN53" i="236" s="1"/>
  <c r="AN47" i="236" s="1" a="1"/>
  <c r="AN47" i="236" s="1"/>
  <c r="AN43" i="236" s="1" a="1"/>
  <c r="AN43" i="236" s="1"/>
  <c r="AN42" i="236" s="1" a="1"/>
  <c r="AN42" i="236" s="1"/>
  <c r="AN39" i="236" s="1" a="1"/>
  <c r="AN39" i="236" s="1"/>
  <c r="AN37" i="236" s="1" a="1"/>
  <c r="AN37" i="236" s="1"/>
  <c r="AN33" i="236" s="1" a="1"/>
  <c r="AN33" i="236" s="1"/>
  <c r="AN30" i="236" s="1" a="1"/>
  <c r="AN30" i="236" s="1"/>
  <c r="AN26" i="236" s="1" a="1"/>
  <c r="AN26" i="236" s="1"/>
  <c r="AN22" i="236" s="1" a="1"/>
  <c r="AN22" i="236" s="1"/>
  <c r="AN21" i="236" s="1" a="1"/>
  <c r="AN21" i="236" s="1"/>
  <c r="AN18" i="236" s="1" a="1"/>
  <c r="AN18" i="236" s="1"/>
  <c r="AN13" i="236" s="1" a="1"/>
  <c r="AN13" i="236" s="1"/>
  <c r="Z73" i="236" a="1"/>
  <c r="Z73" i="236" s="1"/>
  <c r="Z71" i="236" s="1" a="1"/>
  <c r="Z71" i="236" s="1"/>
  <c r="Z67" i="236" s="1" a="1"/>
  <c r="Z67" i="236" s="1"/>
  <c r="Z63" i="236" s="1" a="1"/>
  <c r="Z63" i="236" s="1"/>
  <c r="Z62" i="236" s="1" a="1"/>
  <c r="Z62" i="236" s="1"/>
  <c r="Z59" i="236" s="1" a="1"/>
  <c r="Z59" i="236" s="1"/>
  <c r="Z53" i="236" s="1" a="1"/>
  <c r="Z53" i="236" s="1"/>
  <c r="Z47" i="236" s="1" a="1"/>
  <c r="Z47" i="236" s="1"/>
  <c r="Z43" i="236" s="1" a="1"/>
  <c r="Z43" i="236" s="1"/>
  <c r="Z42" i="236" s="1" a="1"/>
  <c r="Z42" i="236" s="1"/>
  <c r="Z39" i="236" s="1" a="1"/>
  <c r="Z39" i="236" s="1"/>
  <c r="Z37" i="236" s="1" a="1"/>
  <c r="Z37" i="236" s="1"/>
  <c r="Z33" i="236" s="1" a="1"/>
  <c r="Z33" i="236" s="1"/>
  <c r="Z30" i="236" s="1" a="1"/>
  <c r="Z30" i="236" s="1"/>
  <c r="Z26" i="236" s="1" a="1"/>
  <c r="Z26" i="236" s="1"/>
  <c r="Z22" i="236" s="1" a="1"/>
  <c r="Z22" i="236" s="1"/>
  <c r="Z21" i="236" s="1" a="1"/>
  <c r="Z21" i="236" s="1"/>
  <c r="Z18" i="236" s="1" a="1"/>
  <c r="Z18" i="236" s="1"/>
  <c r="Z13" i="236" s="1" a="1"/>
  <c r="Z13" i="236" s="1"/>
  <c r="AP73" i="236" a="1"/>
  <c r="AP73" i="236" s="1"/>
  <c r="AP71" i="236" s="1" a="1"/>
  <c r="AP71" i="236" s="1"/>
  <c r="AP67" i="236" s="1" a="1"/>
  <c r="AP67" i="236" s="1"/>
  <c r="AP63" i="236" s="1" a="1"/>
  <c r="AP63" i="236" s="1"/>
  <c r="AP62" i="236" s="1" a="1"/>
  <c r="AP62" i="236" s="1"/>
  <c r="AP59" i="236" s="1" a="1"/>
  <c r="AP59" i="236" s="1"/>
  <c r="AP53" i="236" s="1" a="1"/>
  <c r="AP53" i="236" s="1"/>
  <c r="AP47" i="236" s="1" a="1"/>
  <c r="AP47" i="236" s="1"/>
  <c r="AP43" i="236" s="1" a="1"/>
  <c r="AP43" i="236" s="1"/>
  <c r="AP42" i="236" s="1" a="1"/>
  <c r="AP42" i="236" s="1"/>
  <c r="AP39" i="236" s="1" a="1"/>
  <c r="AP39" i="236" s="1"/>
  <c r="AP37" i="236" s="1" a="1"/>
  <c r="AP37" i="236" s="1"/>
  <c r="AP33" i="236" s="1" a="1"/>
  <c r="AP33" i="236" s="1"/>
  <c r="AP30" i="236" s="1" a="1"/>
  <c r="AP30" i="236" s="1"/>
  <c r="AP26" i="236" s="1" a="1"/>
  <c r="AP26" i="236" s="1"/>
  <c r="AP22" i="236" s="1" a="1"/>
  <c r="AP22" i="236" s="1"/>
  <c r="AP21" i="236" s="1" a="1"/>
  <c r="AP21" i="236" s="1"/>
  <c r="AP18" i="236" s="1" a="1"/>
  <c r="AP18" i="236" s="1"/>
  <c r="AP13" i="236" s="1" a="1"/>
  <c r="AP13" i="236" s="1"/>
  <c r="AB73" i="236" a="1"/>
  <c r="AB73" i="236" s="1"/>
  <c r="AB71" i="236" s="1" a="1"/>
  <c r="AB71" i="236" s="1"/>
  <c r="AB67" i="236" s="1" a="1"/>
  <c r="AB67" i="236" s="1"/>
  <c r="AB63" i="236" s="1" a="1"/>
  <c r="AB63" i="236" s="1"/>
  <c r="AB62" i="236" s="1" a="1"/>
  <c r="AB62" i="236" s="1"/>
  <c r="AB59" i="236" s="1" a="1"/>
  <c r="AB59" i="236" s="1"/>
  <c r="AB53" i="236" s="1" a="1"/>
  <c r="AB53" i="236" s="1"/>
  <c r="AB47" i="236" s="1" a="1"/>
  <c r="AB47" i="236" s="1"/>
  <c r="AB43" i="236" s="1" a="1"/>
  <c r="AB43" i="236" s="1"/>
  <c r="AB42" i="236" s="1" a="1"/>
  <c r="AB42" i="236" s="1"/>
  <c r="AB39" i="236" s="1" a="1"/>
  <c r="AB39" i="236" s="1"/>
  <c r="AB37" i="236" s="1" a="1"/>
  <c r="AB37" i="236" s="1"/>
  <c r="AB33" i="236" s="1" a="1"/>
  <c r="AB33" i="236" s="1"/>
  <c r="AB30" i="236" s="1" a="1"/>
  <c r="AB30" i="236" s="1"/>
  <c r="AB26" i="236" s="1" a="1"/>
  <c r="AB26" i="236" s="1"/>
  <c r="AB22" i="236" s="1" a="1"/>
  <c r="AB22" i="236" s="1"/>
  <c r="AB21" i="236" s="1" a="1"/>
  <c r="AB21" i="236" s="1"/>
  <c r="AB18" i="236" s="1" a="1"/>
  <c r="AB18" i="236" s="1"/>
  <c r="AB13" i="236" s="1" a="1"/>
  <c r="AB13" i="236" s="1"/>
  <c r="AR73" i="236" a="1"/>
  <c r="AR73" i="236" s="1"/>
  <c r="AR71" i="236" s="1" a="1"/>
  <c r="AR71" i="236" s="1"/>
  <c r="AR67" i="236" s="1" a="1"/>
  <c r="AR67" i="236" s="1"/>
  <c r="AR63" i="236" s="1" a="1"/>
  <c r="AR63" i="236" s="1"/>
  <c r="AR62" i="236" s="1" a="1"/>
  <c r="AR62" i="236" s="1"/>
  <c r="AR59" i="236" s="1" a="1"/>
  <c r="AR59" i="236" s="1"/>
  <c r="AR53" i="236" s="1" a="1"/>
  <c r="AR53" i="236" s="1"/>
  <c r="AR47" i="236" s="1" a="1"/>
  <c r="AR47" i="236" s="1"/>
  <c r="AR43" i="236" s="1" a="1"/>
  <c r="AR43" i="236" s="1"/>
  <c r="AR42" i="236" s="1" a="1"/>
  <c r="AR42" i="236" s="1"/>
  <c r="AR39" i="236" s="1" a="1"/>
  <c r="AR39" i="236" s="1"/>
  <c r="AR37" i="236" s="1" a="1"/>
  <c r="AR37" i="236" s="1"/>
  <c r="AR33" i="236" s="1" a="1"/>
  <c r="AR33" i="236" s="1"/>
  <c r="AR30" i="236" s="1" a="1"/>
  <c r="AR30" i="236" s="1"/>
  <c r="AR26" i="236" s="1" a="1"/>
  <c r="AR26" i="236" s="1"/>
  <c r="AR22" i="236" s="1" a="1"/>
  <c r="AR22" i="236" s="1"/>
  <c r="AR21" i="236" s="1" a="1"/>
  <c r="AR21" i="236" s="1"/>
  <c r="AR18" i="236" s="1" a="1"/>
  <c r="AR18" i="236" s="1"/>
  <c r="AR13" i="236" s="1" a="1"/>
  <c r="AR13" i="236" s="1"/>
  <c r="AR8" i="236" s="1" a="1"/>
  <c r="AR8" i="236" s="1"/>
  <c r="AR7" i="236" s="1" a="1"/>
  <c r="AR7" i="236" s="1"/>
  <c r="AR6" i="236" s="1" a="1"/>
  <c r="AR6" i="236" s="1"/>
  <c r="Z14" i="431"/>
  <c r="Z15" i="431" s="1"/>
  <c r="BD16" i="431" s="1"/>
  <c r="W14" i="431"/>
  <c r="W15" i="431" s="1"/>
  <c r="BA16" i="431" s="1"/>
  <c r="AC14" i="431"/>
  <c r="AC15" i="431" s="1"/>
  <c r="BG16" i="431" s="1"/>
  <c r="O27" i="420"/>
  <c r="O77" i="420"/>
  <c r="O24" i="420"/>
  <c r="O32" i="420"/>
  <c r="O48" i="420"/>
  <c r="O43" i="420"/>
  <c r="O45" i="420"/>
  <c r="O69" i="420"/>
  <c r="O65" i="420"/>
  <c r="O28" i="420"/>
  <c r="O53" i="420"/>
  <c r="O39" i="420"/>
  <c r="O79" i="420"/>
  <c r="O36" i="420"/>
  <c r="O49" i="420"/>
  <c r="O19" i="420"/>
  <c r="O68" i="420"/>
  <c r="O73" i="420"/>
  <c r="AD22" i="437"/>
  <c r="V16" i="435" s="1"/>
  <c r="AN16" i="435" s="1"/>
  <c r="AB23" i="436"/>
  <c r="AB4" i="436" s="1"/>
  <c r="AB22" i="436"/>
  <c r="AB3" i="436" s="1"/>
  <c r="L58" i="234"/>
  <c r="O58" i="234" s="1"/>
  <c r="L18" i="234"/>
  <c r="O18" i="234" s="1"/>
  <c r="L59" i="234"/>
  <c r="O59" i="234" s="1"/>
  <c r="O9" i="234"/>
  <c r="L4" i="234"/>
  <c r="O4" i="234" s="1"/>
  <c r="L38" i="234"/>
  <c r="O38" i="234" s="1"/>
  <c r="L17" i="234"/>
  <c r="O17" i="234" s="1"/>
  <c r="L22" i="234"/>
  <c r="O22" i="234" s="1"/>
  <c r="L26" i="234"/>
  <c r="O26" i="234" s="1"/>
  <c r="L14" i="234"/>
  <c r="O14" i="234" s="1"/>
  <c r="BT73" i="236"/>
  <c r="AV29" i="451" s="1"/>
  <c r="BN73" i="236"/>
  <c r="AP29" i="451" s="1"/>
  <c r="BD73" i="236"/>
  <c r="AF29" i="451" s="1"/>
  <c r="L35" i="234"/>
  <c r="O35" i="234" s="1"/>
  <c r="L29" i="234"/>
  <c r="O29" i="234" s="1"/>
  <c r="L63" i="234"/>
  <c r="O63" i="234" s="1"/>
  <c r="L2" i="234"/>
  <c r="O2" i="234" s="1"/>
  <c r="L69" i="234"/>
  <c r="O69" i="234" s="1"/>
  <c r="L39" i="234"/>
  <c r="O39" i="234" s="1"/>
  <c r="L3" i="234"/>
  <c r="O3" i="234" s="1"/>
  <c r="L55" i="234"/>
  <c r="O55" i="234" s="1"/>
  <c r="A73" i="234"/>
  <c r="B81" i="420"/>
  <c r="Q15" i="431"/>
  <c r="L15" i="431"/>
  <c r="P15" i="431"/>
  <c r="O14" i="420"/>
  <c r="O13" i="420"/>
  <c r="O12" i="420"/>
  <c r="F17" i="434"/>
  <c r="F12" i="434"/>
  <c r="F13" i="434"/>
  <c r="V22" i="435"/>
  <c r="AN22" i="435" s="1"/>
  <c r="V27" i="435"/>
  <c r="AN27" i="435" s="1"/>
  <c r="V26" i="435"/>
  <c r="AN26" i="435" s="1"/>
  <c r="V32" i="435"/>
  <c r="AN32" i="435" s="1"/>
  <c r="V21" i="435"/>
  <c r="AN21" i="435" s="1"/>
  <c r="S20" i="435"/>
  <c r="V20" i="435"/>
  <c r="AN20" i="435" s="1"/>
  <c r="E29" i="434"/>
  <c r="C19" i="433"/>
  <c r="F29" i="434"/>
  <c r="CV43" i="434"/>
  <c r="B17" i="433" s="1"/>
  <c r="C17" i="433"/>
  <c r="F27" i="434"/>
  <c r="D198" i="2"/>
  <c r="E198" i="2" s="1" a="1"/>
  <c r="E198" i="2" s="1"/>
  <c r="F198" i="2" s="1"/>
  <c r="E13" i="434"/>
  <c r="E42" i="434"/>
  <c r="DN48" i="434" s="1"/>
  <c r="DM48" i="434" s="1"/>
  <c r="E12" i="434"/>
  <c r="F18" i="434"/>
  <c r="E18" i="434"/>
  <c r="F10" i="434"/>
  <c r="DM43" i="434"/>
  <c r="E10" i="434" s="1"/>
  <c r="E11" i="434"/>
  <c r="F11" i="434"/>
  <c r="E24" i="437"/>
  <c r="AD24" i="437" s="1"/>
  <c r="AB24" i="437" s="1"/>
  <c r="E43" i="434"/>
  <c r="DN49" i="434" s="1"/>
  <c r="DM49" i="434" s="1"/>
  <c r="AX2" i="435"/>
  <c r="BK73" i="236" l="1"/>
  <c r="AM29" i="451" s="1"/>
  <c r="BI73" i="236"/>
  <c r="AK29" i="451" s="1"/>
  <c r="L2" i="432"/>
  <c r="BX73" i="236"/>
  <c r="AZ29" i="451" s="1"/>
  <c r="BR73" i="236"/>
  <c r="AT29" i="451" s="1"/>
  <c r="BB73" i="236"/>
  <c r="AD29" i="451" s="1"/>
  <c r="BH73" i="236"/>
  <c r="AJ29" i="451" s="1"/>
  <c r="Z77" i="420"/>
  <c r="AK77" i="420"/>
  <c r="AB77" i="420"/>
  <c r="AE77" i="420"/>
  <c r="U77" i="420"/>
  <c r="AO77" i="420"/>
  <c r="BL73" i="236"/>
  <c r="BQ73" i="236"/>
  <c r="BA73" i="236"/>
  <c r="AC29" i="451" s="1"/>
  <c r="BF73" i="236"/>
  <c r="BV73" i="236"/>
  <c r="AX29" i="451" s="1"/>
  <c r="BC73" i="236"/>
  <c r="AE29" i="451" s="1"/>
  <c r="BG73" i="236"/>
  <c r="AI29" i="451" s="1"/>
  <c r="AY73" i="236"/>
  <c r="BZ73" i="236"/>
  <c r="BB29" i="451" s="1"/>
  <c r="BS73" i="236"/>
  <c r="BE73" i="236"/>
  <c r="AG29" i="451" s="1"/>
  <c r="CB73" i="236"/>
  <c r="BD29" i="451" s="1"/>
  <c r="BY73" i="236"/>
  <c r="BA29" i="451" s="1"/>
  <c r="T77" i="420"/>
  <c r="S77" i="420"/>
  <c r="CI72" i="236"/>
  <c r="L88" i="455" s="1"/>
  <c r="Y77" i="420"/>
  <c r="R81" i="420"/>
  <c r="AG81" i="420"/>
  <c r="AD81" i="420"/>
  <c r="AP81" i="420"/>
  <c r="AS81" i="420"/>
  <c r="V81" i="420"/>
  <c r="AF81" i="420"/>
  <c r="AN81" i="420"/>
  <c r="W81" i="420"/>
  <c r="AE81" i="420"/>
  <c r="AH81" i="420"/>
  <c r="AR81" i="420"/>
  <c r="U81" i="420"/>
  <c r="AB81" i="420"/>
  <c r="Y81" i="420"/>
  <c r="X81" i="420"/>
  <c r="AA81" i="420"/>
  <c r="Z81" i="420"/>
  <c r="AO81" i="420"/>
  <c r="Q81" i="420"/>
  <c r="AK81" i="420"/>
  <c r="AC81" i="420"/>
  <c r="T81" i="420"/>
  <c r="P81" i="420"/>
  <c r="AM81" i="420"/>
  <c r="AL81" i="420"/>
  <c r="AQ81" i="420"/>
  <c r="S81" i="420"/>
  <c r="AJ81" i="420"/>
  <c r="AI81" i="420"/>
  <c r="B77" i="236"/>
  <c r="A73" i="456"/>
  <c r="B77" i="235"/>
  <c r="U78" i="420"/>
  <c r="AK78" i="420"/>
  <c r="AE78" i="420"/>
  <c r="AB78" i="420"/>
  <c r="AC23" i="436"/>
  <c r="AC4" i="436" s="1"/>
  <c r="AC3" i="436"/>
  <c r="AD23" i="437"/>
  <c r="BH71" i="236"/>
  <c r="CA73" i="236"/>
  <c r="BC29" i="451" s="1"/>
  <c r="BJ73" i="236"/>
  <c r="AL29" i="451" s="1"/>
  <c r="BP73" i="236"/>
  <c r="AR29" i="451" s="1"/>
  <c r="BU73" i="236"/>
  <c r="AW29" i="451" s="1"/>
  <c r="AZ73" i="236"/>
  <c r="BW73" i="236"/>
  <c r="AY29" i="451" s="1"/>
  <c r="BM73" i="236"/>
  <c r="AO29" i="451" s="1"/>
  <c r="BO73" i="236"/>
  <c r="AQ29" i="451" s="1"/>
  <c r="A74" i="234"/>
  <c r="B82" i="420"/>
  <c r="V18" i="435"/>
  <c r="CX41" i="434"/>
  <c r="E15" i="434"/>
  <c r="E16" i="434"/>
  <c r="DN42" i="434"/>
  <c r="F9" i="434" s="1"/>
  <c r="CX42" i="434"/>
  <c r="F26" i="434" s="1"/>
  <c r="E15" i="2"/>
  <c r="C15" i="2" s="1"/>
  <c r="AY2" i="435"/>
  <c r="Q193" i="2"/>
  <c r="AY1" i="435"/>
  <c r="C187" i="2"/>
  <c r="K89" i="436" l="1"/>
  <c r="K89" i="437"/>
  <c r="K108" i="434"/>
  <c r="AW108" i="434" s="1"/>
  <c r="AV108" i="434" s="1"/>
  <c r="H89" i="436"/>
  <c r="J89" i="436" s="1"/>
  <c r="I89" i="436" s="1"/>
  <c r="H89" i="437"/>
  <c r="J89" i="437" s="1"/>
  <c r="I89" i="437" s="1"/>
  <c r="H108" i="434"/>
  <c r="J108" i="434" s="1"/>
  <c r="I108" i="434" s="1"/>
  <c r="S89" i="436"/>
  <c r="P77" i="420"/>
  <c r="Z78" i="420"/>
  <c r="X77" i="420"/>
  <c r="V77" i="420"/>
  <c r="R77" i="420"/>
  <c r="AI77" i="420"/>
  <c r="AJ28" i="451"/>
  <c r="CI69" i="236"/>
  <c r="L85" i="455" s="1"/>
  <c r="Y74" i="420"/>
  <c r="AB29" i="451"/>
  <c r="AJ78" i="420"/>
  <c r="AU29" i="451"/>
  <c r="AH78" i="420"/>
  <c r="AS29" i="451"/>
  <c r="AC78" i="420"/>
  <c r="AN29" i="451"/>
  <c r="AA29" i="451"/>
  <c r="G29" i="451"/>
  <c r="W78" i="420"/>
  <c r="AH29" i="451"/>
  <c r="Z2" i="432"/>
  <c r="Y2" i="432"/>
  <c r="AA2" i="432"/>
  <c r="AO78" i="420"/>
  <c r="S78" i="420"/>
  <c r="Y78" i="420"/>
  <c r="AI78" i="420"/>
  <c r="T78" i="420"/>
  <c r="R78" i="420"/>
  <c r="V78" i="420"/>
  <c r="X78" i="420"/>
  <c r="AH77" i="420"/>
  <c r="AS77" i="420"/>
  <c r="CL72" i="236"/>
  <c r="O88" i="455" s="1"/>
  <c r="AQ77" i="420"/>
  <c r="AM77" i="420"/>
  <c r="AC77" i="420"/>
  <c r="CQ72" i="236"/>
  <c r="T88" i="455" s="1"/>
  <c r="AN77" i="420"/>
  <c r="AP77" i="420"/>
  <c r="P78" i="420"/>
  <c r="W77" i="420"/>
  <c r="CN72" i="236"/>
  <c r="Q88" i="455" s="1"/>
  <c r="AJ77" i="420"/>
  <c r="AQ78" i="420"/>
  <c r="AM78" i="420"/>
  <c r="AS78" i="420"/>
  <c r="AP78" i="420"/>
  <c r="AD78" i="420"/>
  <c r="AD77" i="420"/>
  <c r="AL78" i="420"/>
  <c r="AL77" i="420"/>
  <c r="AR78" i="420"/>
  <c r="AR77" i="420"/>
  <c r="Y75" i="420"/>
  <c r="CI70" i="236"/>
  <c r="L86" i="455" s="1"/>
  <c r="CH72" i="236"/>
  <c r="K88" i="455" s="1"/>
  <c r="CJ72" i="236"/>
  <c r="M88" i="455" s="1"/>
  <c r="AF78" i="420"/>
  <c r="CK72" i="236"/>
  <c r="N88" i="455" s="1"/>
  <c r="AF77" i="420"/>
  <c r="Q77" i="420"/>
  <c r="CF72" i="236"/>
  <c r="I88" i="455" s="1"/>
  <c r="AA78" i="420"/>
  <c r="AA77" i="420"/>
  <c r="CD72" i="236"/>
  <c r="G88" i="455" s="1"/>
  <c r="CG72" i="236"/>
  <c r="J88" i="455" s="1"/>
  <c r="AG78" i="420"/>
  <c r="AG77" i="420"/>
  <c r="CO72" i="236"/>
  <c r="R88" i="455" s="1"/>
  <c r="CP72" i="236"/>
  <c r="S88" i="455" s="1"/>
  <c r="CM72" i="236"/>
  <c r="P88" i="455" s="1"/>
  <c r="CE72" i="236"/>
  <c r="N88" i="436" s="1"/>
  <c r="Q78" i="420"/>
  <c r="D24" i="458"/>
  <c r="I35" i="457" s="1"/>
  <c r="B78" i="236"/>
  <c r="A74" i="456"/>
  <c r="B78" i="235"/>
  <c r="R82" i="420"/>
  <c r="AG82" i="420"/>
  <c r="AD82" i="420"/>
  <c r="AP82" i="420"/>
  <c r="AS82" i="420"/>
  <c r="V82" i="420"/>
  <c r="AF82" i="420"/>
  <c r="AN82" i="420"/>
  <c r="W82" i="420"/>
  <c r="AE82" i="420"/>
  <c r="AH82" i="420"/>
  <c r="AR82" i="420"/>
  <c r="U82" i="420"/>
  <c r="AB82" i="420"/>
  <c r="Y82" i="420"/>
  <c r="X82" i="420"/>
  <c r="AA82" i="420"/>
  <c r="Z82" i="420"/>
  <c r="AO82" i="420"/>
  <c r="Q82" i="420"/>
  <c r="AK82" i="420"/>
  <c r="AC82" i="420"/>
  <c r="T82" i="420"/>
  <c r="P82" i="420"/>
  <c r="AM82" i="420"/>
  <c r="AL82" i="420"/>
  <c r="AQ82" i="420"/>
  <c r="S82" i="420"/>
  <c r="AJ82" i="420"/>
  <c r="AI82" i="420"/>
  <c r="Y76" i="420"/>
  <c r="AN78" i="420"/>
  <c r="EK41" i="459"/>
  <c r="EK42" i="459"/>
  <c r="BZ71" i="236"/>
  <c r="CF73" i="236"/>
  <c r="I89" i="455" s="1"/>
  <c r="AB23" i="437"/>
  <c r="S17" i="435" s="1"/>
  <c r="V17" i="435"/>
  <c r="AN17" i="435" s="1"/>
  <c r="CQ73" i="236"/>
  <c r="T89" i="455" s="1"/>
  <c r="CL73" i="236"/>
  <c r="O89" i="455" s="1"/>
  <c r="CN73" i="236"/>
  <c r="Q89" i="455" s="1"/>
  <c r="CO73" i="236"/>
  <c r="R89" i="455" s="1"/>
  <c r="CP73" i="236"/>
  <c r="S89" i="455" s="1"/>
  <c r="CK73" i="236"/>
  <c r="N89" i="455" s="1"/>
  <c r="AY71" i="236"/>
  <c r="BQ71" i="236"/>
  <c r="CM73" i="236"/>
  <c r="P89" i="455" s="1"/>
  <c r="BK71" i="236"/>
  <c r="BE71" i="236"/>
  <c r="BG71" i="236"/>
  <c r="BX71" i="236"/>
  <c r="BU71" i="236"/>
  <c r="CD73" i="236"/>
  <c r="G89" i="455" s="1"/>
  <c r="CE73" i="236"/>
  <c r="N89" i="436" s="1"/>
  <c r="BF71" i="236"/>
  <c r="BS71" i="236"/>
  <c r="BO71" i="236"/>
  <c r="BW71" i="236"/>
  <c r="BC71" i="236"/>
  <c r="CG73" i="236"/>
  <c r="J89" i="455" s="1"/>
  <c r="BV71" i="236"/>
  <c r="BP71" i="236"/>
  <c r="AY67" i="236"/>
  <c r="BN71" i="236"/>
  <c r="CA71" i="236"/>
  <c r="BL71" i="236"/>
  <c r="BT71" i="236"/>
  <c r="AZ71" i="236"/>
  <c r="CI73" i="236"/>
  <c r="L89" i="455" s="1"/>
  <c r="BY71" i="236"/>
  <c r="BJ71" i="236"/>
  <c r="BB71" i="236"/>
  <c r="BI71" i="236"/>
  <c r="BM71" i="236"/>
  <c r="BR71" i="236"/>
  <c r="CB71" i="236"/>
  <c r="CJ73" i="236"/>
  <c r="M89" i="455" s="1"/>
  <c r="CH73" i="236"/>
  <c r="K89" i="455" s="1"/>
  <c r="BD71" i="236"/>
  <c r="BA71" i="236"/>
  <c r="BZ67" i="236"/>
  <c r="BQ67" i="236"/>
  <c r="A75" i="234"/>
  <c r="B83" i="420"/>
  <c r="F16" i="434"/>
  <c r="AC14" i="437"/>
  <c r="G187" i="2"/>
  <c r="H187" i="2" s="1"/>
  <c r="AA17" i="436"/>
  <c r="F187" i="2"/>
  <c r="D187" i="2"/>
  <c r="AB17" i="436" s="1"/>
  <c r="AN18" i="435"/>
  <c r="S18" i="435"/>
  <c r="F25" i="434"/>
  <c r="CW41" i="434"/>
  <c r="E25" i="434" s="1"/>
  <c r="C15" i="433"/>
  <c r="F15" i="434"/>
  <c r="DM42" i="434"/>
  <c r="E9" i="434" s="1"/>
  <c r="AX4" i="435"/>
  <c r="CV42" i="434"/>
  <c r="B16" i="433" s="1"/>
  <c r="B13" i="433" s="1"/>
  <c r="C16" i="433"/>
  <c r="CW42" i="434"/>
  <c r="E26" i="434" s="1"/>
  <c r="X2" i="432"/>
  <c r="C181" i="2" a="1"/>
  <c r="H83" i="437" l="1"/>
  <c r="H102" i="434"/>
  <c r="H83" i="436"/>
  <c r="K87" i="437"/>
  <c r="K106" i="434"/>
  <c r="AW106" i="434" s="1"/>
  <c r="AV106" i="434" s="1"/>
  <c r="K87" i="436"/>
  <c r="M87" i="436" s="1"/>
  <c r="L87" i="436" s="1"/>
  <c r="H87" i="437"/>
  <c r="J87" i="437" s="1"/>
  <c r="I87" i="437" s="1"/>
  <c r="H87" i="436"/>
  <c r="J87" i="436" s="1"/>
  <c r="I87" i="436" s="1"/>
  <c r="H106" i="434"/>
  <c r="J106" i="434" s="1"/>
  <c r="I106" i="434" s="1"/>
  <c r="S87" i="436"/>
  <c r="M89" i="437"/>
  <c r="L89" i="437" s="1"/>
  <c r="AI43" i="437" s="1"/>
  <c r="M89" i="436"/>
  <c r="L89" i="436" s="1"/>
  <c r="N89" i="437"/>
  <c r="H89" i="455"/>
  <c r="N88" i="437"/>
  <c r="H88" i="455"/>
  <c r="AF43" i="437"/>
  <c r="AS27" i="451"/>
  <c r="AH70" i="420"/>
  <c r="AO28" i="451"/>
  <c r="AD74" i="420"/>
  <c r="BA28" i="451"/>
  <c r="AP74" i="420"/>
  <c r="AN28" i="451"/>
  <c r="AC74" i="420"/>
  <c r="AR28" i="451"/>
  <c r="AG74" i="420"/>
  <c r="AY28" i="451"/>
  <c r="AN74" i="420"/>
  <c r="AI28" i="451"/>
  <c r="X74" i="420"/>
  <c r="CJ69" i="236"/>
  <c r="M85" i="455" s="1"/>
  <c r="AS28" i="451"/>
  <c r="AH74" i="420"/>
  <c r="AK28" i="451"/>
  <c r="Z74" i="420"/>
  <c r="BC28" i="451"/>
  <c r="AR74" i="420"/>
  <c r="AG28" i="451"/>
  <c r="CH69" i="236"/>
  <c r="K85" i="455" s="1"/>
  <c r="V74" i="420"/>
  <c r="P74" i="420"/>
  <c r="CD69" i="236"/>
  <c r="G85" i="455" s="1"/>
  <c r="CE69" i="236"/>
  <c r="N85" i="436" s="1"/>
  <c r="CN69" i="236"/>
  <c r="Q85" i="455" s="1"/>
  <c r="CM69" i="236"/>
  <c r="P85" i="455" s="1"/>
  <c r="CG69" i="236"/>
  <c r="J85" i="455" s="1"/>
  <c r="BB27" i="451"/>
  <c r="AQ70" i="420"/>
  <c r="AX28" i="451"/>
  <c r="AM74" i="420"/>
  <c r="AQ28" i="451"/>
  <c r="AF74" i="420"/>
  <c r="AC28" i="451"/>
  <c r="CP69" i="236"/>
  <c r="S85" i="455" s="1"/>
  <c r="R74" i="420"/>
  <c r="CL69" i="236"/>
  <c r="O85" i="455" s="1"/>
  <c r="BD28" i="451"/>
  <c r="AS74" i="420"/>
  <c r="AD28" i="451"/>
  <c r="S74" i="420"/>
  <c r="CO69" i="236"/>
  <c r="R85" i="455" s="1"/>
  <c r="Q74" i="420"/>
  <c r="CF69" i="236"/>
  <c r="I85" i="455" s="1"/>
  <c r="AP28" i="451"/>
  <c r="AE74" i="420"/>
  <c r="AU28" i="451"/>
  <c r="AJ74" i="420"/>
  <c r="AW28" i="451"/>
  <c r="AL74" i="420"/>
  <c r="AM28" i="451"/>
  <c r="CK69" i="236"/>
  <c r="N85" i="455" s="1"/>
  <c r="AB74" i="420"/>
  <c r="AF28" i="451"/>
  <c r="U74" i="420"/>
  <c r="AT28" i="451"/>
  <c r="AI74" i="420"/>
  <c r="AL28" i="451"/>
  <c r="AA74" i="420"/>
  <c r="AV28" i="451"/>
  <c r="AK74" i="420"/>
  <c r="P70" i="420"/>
  <c r="AE28" i="451"/>
  <c r="CQ69" i="236"/>
  <c r="T85" i="455" s="1"/>
  <c r="T74" i="420"/>
  <c r="AH28" i="451"/>
  <c r="W74" i="420"/>
  <c r="AZ28" i="451"/>
  <c r="AO74" i="420"/>
  <c r="BB28" i="451"/>
  <c r="AQ74" i="420"/>
  <c r="AB28" i="451"/>
  <c r="G28" i="451"/>
  <c r="AA28" i="451"/>
  <c r="AA27" i="451"/>
  <c r="C181" i="2"/>
  <c r="D181" i="2" s="1"/>
  <c r="U75" i="420"/>
  <c r="AH43" i="437"/>
  <c r="AA37" i="435" s="1"/>
  <c r="Z75" i="420"/>
  <c r="AE43" i="437"/>
  <c r="X37" i="435" s="1"/>
  <c r="AC30" i="437"/>
  <c r="T24" i="435" s="1"/>
  <c r="AC31" i="437"/>
  <c r="T25" i="435" s="1"/>
  <c r="AC32" i="437"/>
  <c r="T26" i="435" s="1"/>
  <c r="AC33" i="437"/>
  <c r="T27" i="435" s="1"/>
  <c r="AC34" i="437"/>
  <c r="T28" i="435" s="1"/>
  <c r="AC35" i="437"/>
  <c r="T29" i="435" s="1"/>
  <c r="AC36" i="437"/>
  <c r="T30" i="435" s="1"/>
  <c r="AC37" i="437"/>
  <c r="T31" i="435" s="1"/>
  <c r="AC38" i="437"/>
  <c r="T32" i="435" s="1"/>
  <c r="AC39" i="437"/>
  <c r="T33" i="435" s="1"/>
  <c r="AC40" i="437"/>
  <c r="T34" i="435" s="1"/>
  <c r="AC41" i="437"/>
  <c r="T35" i="435" s="1"/>
  <c r="AC42" i="437"/>
  <c r="T36" i="435" s="1"/>
  <c r="AC43" i="437"/>
  <c r="T37" i="435" s="1"/>
  <c r="AR76" i="420"/>
  <c r="AR75" i="420"/>
  <c r="AH72" i="420"/>
  <c r="AH71" i="420"/>
  <c r="R76" i="420"/>
  <c r="CP70" i="236"/>
  <c r="S86" i="455" s="1"/>
  <c r="R75" i="420"/>
  <c r="CL70" i="236"/>
  <c r="O86" i="455" s="1"/>
  <c r="AI76" i="420"/>
  <c r="AI75" i="420"/>
  <c r="AA76" i="420"/>
  <c r="AA75" i="420"/>
  <c r="AN76" i="420"/>
  <c r="AN75" i="420"/>
  <c r="AJ76" i="420"/>
  <c r="AJ75" i="420"/>
  <c r="AO76" i="420"/>
  <c r="AO75" i="420"/>
  <c r="V76" i="420"/>
  <c r="CH70" i="236"/>
  <c r="K86" i="455" s="1"/>
  <c r="V75" i="420"/>
  <c r="AK76" i="420"/>
  <c r="AK75" i="420"/>
  <c r="P71" i="420"/>
  <c r="AM76" i="420"/>
  <c r="AM75" i="420"/>
  <c r="AC76" i="420"/>
  <c r="AC75" i="420"/>
  <c r="AG76" i="420"/>
  <c r="AG75" i="420"/>
  <c r="AH76" i="420"/>
  <c r="AH75" i="420"/>
  <c r="AQ76" i="420"/>
  <c r="AQ75" i="420"/>
  <c r="Q75" i="420"/>
  <c r="CF70" i="236"/>
  <c r="I86" i="455" s="1"/>
  <c r="AE76" i="420"/>
  <c r="AE75" i="420"/>
  <c r="AQ72" i="420"/>
  <c r="AQ71" i="420"/>
  <c r="AS76" i="420"/>
  <c r="AS75" i="420"/>
  <c r="AD76" i="420"/>
  <c r="AD75" i="420"/>
  <c r="S75" i="420"/>
  <c r="CO70" i="236"/>
  <c r="R86" i="455" s="1"/>
  <c r="AP76" i="420"/>
  <c r="AP75" i="420"/>
  <c r="T76" i="420"/>
  <c r="CQ70" i="236"/>
  <c r="T86" i="455" s="1"/>
  <c r="T75" i="420"/>
  <c r="AF76" i="420"/>
  <c r="CK70" i="236"/>
  <c r="N86" i="455" s="1"/>
  <c r="AF75" i="420"/>
  <c r="W76" i="420"/>
  <c r="W75" i="420"/>
  <c r="AL76" i="420"/>
  <c r="AL75" i="420"/>
  <c r="X76" i="420"/>
  <c r="CJ70" i="236"/>
  <c r="M86" i="455" s="1"/>
  <c r="X75" i="420"/>
  <c r="AB76" i="420"/>
  <c r="AB75" i="420"/>
  <c r="CM70" i="236"/>
  <c r="P86" i="455" s="1"/>
  <c r="CE70" i="236"/>
  <c r="N86" i="436" s="1"/>
  <c r="P75" i="420"/>
  <c r="CG70" i="236"/>
  <c r="J86" i="455" s="1"/>
  <c r="CD70" i="236"/>
  <c r="G86" i="455" s="1"/>
  <c r="CN70" i="236"/>
  <c r="Q86" i="455" s="1"/>
  <c r="P76" i="420"/>
  <c r="EK40" i="459"/>
  <c r="P72" i="420"/>
  <c r="Q76" i="420"/>
  <c r="I24" i="458"/>
  <c r="E24" i="458" s="1"/>
  <c r="J35" i="457" s="1"/>
  <c r="X83" i="420"/>
  <c r="AA83" i="420"/>
  <c r="Z83" i="420"/>
  <c r="AO83" i="420"/>
  <c r="Q83" i="420"/>
  <c r="AK83" i="420"/>
  <c r="AC83" i="420"/>
  <c r="T83" i="420"/>
  <c r="P83" i="420"/>
  <c r="AM83" i="420"/>
  <c r="AL83" i="420"/>
  <c r="AQ83" i="420"/>
  <c r="S83" i="420"/>
  <c r="AJ83" i="420"/>
  <c r="AI83" i="420"/>
  <c r="R83" i="420"/>
  <c r="AG83" i="420"/>
  <c r="AD83" i="420"/>
  <c r="AP83" i="420"/>
  <c r="AS83" i="420"/>
  <c r="V83" i="420"/>
  <c r="AF83" i="420"/>
  <c r="AN83" i="420"/>
  <c r="W83" i="420"/>
  <c r="AE83" i="420"/>
  <c r="AH83" i="420"/>
  <c r="AR83" i="420"/>
  <c r="U83" i="420"/>
  <c r="AB83" i="420"/>
  <c r="Y83" i="420"/>
  <c r="B79" i="236"/>
  <c r="A75" i="456"/>
  <c r="B79" i="235"/>
  <c r="U76" i="420"/>
  <c r="S76" i="420"/>
  <c r="Z76" i="420"/>
  <c r="EE42" i="459"/>
  <c r="D23" i="458"/>
  <c r="EE41" i="459"/>
  <c r="G24" i="458"/>
  <c r="K35" i="457" s="1"/>
  <c r="CH71" i="236"/>
  <c r="K87" i="455" s="1"/>
  <c r="S14" i="435"/>
  <c r="CN71" i="236"/>
  <c r="Q87" i="455" s="1"/>
  <c r="CL71" i="236"/>
  <c r="O87" i="455" s="1"/>
  <c r="AC27" i="437"/>
  <c r="T21" i="435" s="1"/>
  <c r="AC28" i="437"/>
  <c r="T22" i="435" s="1"/>
  <c r="AC29" i="437"/>
  <c r="T23" i="435" s="1"/>
  <c r="CQ71" i="236"/>
  <c r="T87" i="455" s="1"/>
  <c r="T39" i="435"/>
  <c r="T40" i="435"/>
  <c r="T41" i="435"/>
  <c r="T42" i="435"/>
  <c r="T43" i="435"/>
  <c r="T44" i="435"/>
  <c r="T45" i="435"/>
  <c r="T46" i="435"/>
  <c r="T47" i="435"/>
  <c r="T48" i="435"/>
  <c r="T49" i="435"/>
  <c r="T50" i="435"/>
  <c r="T51" i="435"/>
  <c r="T52" i="435"/>
  <c r="BH67" i="236"/>
  <c r="CM71" i="236"/>
  <c r="P87" i="455" s="1"/>
  <c r="BZ63" i="236"/>
  <c r="BB26" i="451" s="1"/>
  <c r="CN35" i="453"/>
  <c r="BD67" i="236"/>
  <c r="AZ67" i="236"/>
  <c r="BL67" i="236"/>
  <c r="BN67" i="236"/>
  <c r="BP67" i="236"/>
  <c r="BX67" i="236"/>
  <c r="BE67" i="236"/>
  <c r="CB67" i="236"/>
  <c r="CD71" i="236"/>
  <c r="G87" i="455" s="1"/>
  <c r="CJ71" i="236"/>
  <c r="M87" i="455" s="1"/>
  <c r="BF67" i="236"/>
  <c r="CO71" i="236"/>
  <c r="R87" i="455" s="1"/>
  <c r="BB67" i="236"/>
  <c r="BY67" i="236"/>
  <c r="BC67" i="236"/>
  <c r="BQ63" i="236"/>
  <c r="AS26" i="451" s="1"/>
  <c r="CN26" i="453"/>
  <c r="BA67" i="236"/>
  <c r="CF71" i="236"/>
  <c r="I87" i="455" s="1"/>
  <c r="CI71" i="236"/>
  <c r="L87" i="455" s="1"/>
  <c r="CG71" i="236"/>
  <c r="J87" i="455" s="1"/>
  <c r="BT67" i="236"/>
  <c r="CA67" i="236"/>
  <c r="AY63" i="236"/>
  <c r="CN8" i="453"/>
  <c r="BV67" i="236"/>
  <c r="CP71" i="236"/>
  <c r="S87" i="455" s="1"/>
  <c r="BU67" i="236"/>
  <c r="BG67" i="236"/>
  <c r="BK67" i="236"/>
  <c r="BM67" i="236"/>
  <c r="BO67" i="236"/>
  <c r="BR67" i="236"/>
  <c r="BI67" i="236"/>
  <c r="BJ67" i="236"/>
  <c r="CK71" i="236"/>
  <c r="N87" i="455" s="1"/>
  <c r="CE71" i="236"/>
  <c r="BW67" i="236"/>
  <c r="BS67" i="236"/>
  <c r="B84" i="420"/>
  <c r="AC17" i="436"/>
  <c r="Q2" i="432"/>
  <c r="P4" i="432" s="1"/>
  <c r="B15" i="431" s="1"/>
  <c r="T38" i="435"/>
  <c r="AC26" i="437"/>
  <c r="T20" i="435" s="1"/>
  <c r="AC23" i="437"/>
  <c r="T17" i="435" s="1"/>
  <c r="AC22" i="437"/>
  <c r="T16" i="435" s="1"/>
  <c r="AC24" i="437"/>
  <c r="T18" i="435" s="1"/>
  <c r="AC25" i="437"/>
  <c r="T19" i="435" s="1"/>
  <c r="B14" i="435"/>
  <c r="B137" i="2" s="1"/>
  <c r="B10" i="434"/>
  <c r="B234" i="2" s="1"/>
  <c r="H87" i="455" l="1"/>
  <c r="N87" i="436"/>
  <c r="H79" i="437"/>
  <c r="H79" i="436"/>
  <c r="H98" i="434"/>
  <c r="K83" i="437"/>
  <c r="K102" i="434"/>
  <c r="AW102" i="434" s="1"/>
  <c r="AV102" i="434" s="1"/>
  <c r="K83" i="436"/>
  <c r="M83" i="436" s="1"/>
  <c r="L83" i="436" s="1"/>
  <c r="S83" i="436"/>
  <c r="J83" i="436"/>
  <c r="I83" i="436" s="1"/>
  <c r="DO108" i="434"/>
  <c r="J102" i="434"/>
  <c r="I102" i="434" s="1"/>
  <c r="DP108" i="434" s="1"/>
  <c r="M87" i="437"/>
  <c r="L87" i="437" s="1"/>
  <c r="AI42" i="437" s="1"/>
  <c r="AB36" i="435" s="1"/>
  <c r="J83" i="437"/>
  <c r="I83" i="437" s="1"/>
  <c r="N86" i="437"/>
  <c r="H86" i="455"/>
  <c r="N85" i="437"/>
  <c r="H85" i="455"/>
  <c r="AK43" i="437"/>
  <c r="N87" i="437"/>
  <c r="AK42" i="437" s="1"/>
  <c r="CM65" i="236"/>
  <c r="P81" i="455" s="1"/>
  <c r="CG65" i="236"/>
  <c r="J81" i="455" s="1"/>
  <c r="AU27" i="451"/>
  <c r="AJ70" i="420"/>
  <c r="AO27" i="451"/>
  <c r="AD70" i="420"/>
  <c r="AE27" i="451"/>
  <c r="T70" i="420"/>
  <c r="CQ65" i="236"/>
  <c r="T81" i="455" s="1"/>
  <c r="AH27" i="451"/>
  <c r="W70" i="420"/>
  <c r="AG27" i="451"/>
  <c r="CH65" i="236"/>
  <c r="K81" i="455" s="1"/>
  <c r="V70" i="420"/>
  <c r="AN27" i="451"/>
  <c r="AC70" i="420"/>
  <c r="AY27" i="451"/>
  <c r="AN70" i="420"/>
  <c r="AK27" i="451"/>
  <c r="Z70" i="420"/>
  <c r="AM27" i="451"/>
  <c r="CK65" i="236"/>
  <c r="N81" i="455" s="1"/>
  <c r="AB70" i="420"/>
  <c r="AX27" i="451"/>
  <c r="AM70" i="420"/>
  <c r="AV27" i="451"/>
  <c r="AK70" i="420"/>
  <c r="AC27" i="451"/>
  <c r="CP65" i="236"/>
  <c r="S81" i="455" s="1"/>
  <c r="R70" i="420"/>
  <c r="CL65" i="236"/>
  <c r="O81" i="455" s="1"/>
  <c r="BA27" i="451"/>
  <c r="AP70" i="420"/>
  <c r="AZ27" i="451"/>
  <c r="AO70" i="420"/>
  <c r="CF65" i="236"/>
  <c r="I81" i="455" s="1"/>
  <c r="Q70" i="420"/>
  <c r="AL27" i="451"/>
  <c r="AA70" i="420"/>
  <c r="BC27" i="451"/>
  <c r="AR70" i="420"/>
  <c r="AT27" i="451"/>
  <c r="AI70" i="420"/>
  <c r="AI27" i="451"/>
  <c r="X70" i="420"/>
  <c r="CJ65" i="236"/>
  <c r="M81" i="455" s="1"/>
  <c r="AD27" i="451"/>
  <c r="CO65" i="236"/>
  <c r="R81" i="455" s="1"/>
  <c r="S70" i="420"/>
  <c r="AR27" i="451"/>
  <c r="AG70" i="420"/>
  <c r="AF27" i="451"/>
  <c r="U70" i="420"/>
  <c r="AJ27" i="451"/>
  <c r="CI65" i="236"/>
  <c r="L81" i="455" s="1"/>
  <c r="Y70" i="420"/>
  <c r="CN65" i="236"/>
  <c r="Q81" i="455" s="1"/>
  <c r="AQ27" i="451"/>
  <c r="AF70" i="420"/>
  <c r="AW27" i="451"/>
  <c r="AL70" i="420"/>
  <c r="BD27" i="451"/>
  <c r="AS70" i="420"/>
  <c r="AP27" i="451"/>
  <c r="AE70" i="420"/>
  <c r="CD65" i="236"/>
  <c r="G81" i="455" s="1"/>
  <c r="CE65" i="236"/>
  <c r="N81" i="436" s="1"/>
  <c r="AB27" i="451"/>
  <c r="AA26" i="451"/>
  <c r="G27" i="451"/>
  <c r="AH41" i="437"/>
  <c r="AA35" i="435" s="1"/>
  <c r="P68" i="420"/>
  <c r="AH68" i="420"/>
  <c r="AQ68" i="420"/>
  <c r="AE42" i="437"/>
  <c r="X36" i="435" s="1"/>
  <c r="AF42" i="437"/>
  <c r="Y36" i="435" s="1"/>
  <c r="AH42" i="437"/>
  <c r="AA36" i="435" s="1"/>
  <c r="CD66" i="236"/>
  <c r="G82" i="455" s="1"/>
  <c r="AN72" i="420"/>
  <c r="AN71" i="420"/>
  <c r="AA72" i="420"/>
  <c r="AA71" i="420"/>
  <c r="AI72" i="420"/>
  <c r="AI71" i="420"/>
  <c r="AD72" i="420"/>
  <c r="AD71" i="420"/>
  <c r="X72" i="420"/>
  <c r="CJ66" i="236"/>
  <c r="M82" i="455" s="1"/>
  <c r="X71" i="420"/>
  <c r="R72" i="420"/>
  <c r="R71" i="420"/>
  <c r="CL66" i="236"/>
  <c r="O82" i="455" s="1"/>
  <c r="CP66" i="236"/>
  <c r="S82" i="455" s="1"/>
  <c r="T72" i="420"/>
  <c r="T71" i="420"/>
  <c r="CQ66" i="236"/>
  <c r="T82" i="455" s="1"/>
  <c r="S72" i="420"/>
  <c r="S71" i="420"/>
  <c r="CO66" i="236"/>
  <c r="R82" i="455" s="1"/>
  <c r="CE66" i="236"/>
  <c r="CN66" i="236"/>
  <c r="Q82" i="455" s="1"/>
  <c r="AM72" i="420"/>
  <c r="AM71" i="420"/>
  <c r="AR72" i="420"/>
  <c r="AR71" i="420"/>
  <c r="V72" i="420"/>
  <c r="CH66" i="236"/>
  <c r="K82" i="455" s="1"/>
  <c r="V71" i="420"/>
  <c r="AG72" i="420"/>
  <c r="AG71" i="420"/>
  <c r="AC72" i="420"/>
  <c r="AC71" i="420"/>
  <c r="U72" i="420"/>
  <c r="U71" i="420"/>
  <c r="AJ72" i="420"/>
  <c r="AJ71" i="420"/>
  <c r="Z72" i="420"/>
  <c r="Z71" i="420"/>
  <c r="AF72" i="420"/>
  <c r="CK66" i="236"/>
  <c r="N82" i="455" s="1"/>
  <c r="AF71" i="420"/>
  <c r="AB72" i="420"/>
  <c r="AB71" i="420"/>
  <c r="AL72" i="420"/>
  <c r="AL71" i="420"/>
  <c r="AP72" i="420"/>
  <c r="AP71" i="420"/>
  <c r="Y72" i="420"/>
  <c r="CI66" i="236"/>
  <c r="L82" i="455" s="1"/>
  <c r="Y71" i="420"/>
  <c r="CG66" i="236"/>
  <c r="J82" i="455" s="1"/>
  <c r="AK72" i="420"/>
  <c r="AK71" i="420"/>
  <c r="W72" i="420"/>
  <c r="W71" i="420"/>
  <c r="AS72" i="420"/>
  <c r="AS71" i="420"/>
  <c r="AO72" i="420"/>
  <c r="AO71" i="420"/>
  <c r="AE72" i="420"/>
  <c r="AE71" i="420"/>
  <c r="CF66" i="236"/>
  <c r="I82" i="455" s="1"/>
  <c r="Q71" i="420"/>
  <c r="CM66" i="236"/>
  <c r="P82" i="455" s="1"/>
  <c r="Q72" i="420"/>
  <c r="D22" i="458"/>
  <c r="I33" i="457" s="1"/>
  <c r="X84" i="420"/>
  <c r="AA84" i="420"/>
  <c r="Z84" i="420"/>
  <c r="AO84" i="420"/>
  <c r="Q84" i="420"/>
  <c r="AK84" i="420"/>
  <c r="AC84" i="420"/>
  <c r="T84" i="420"/>
  <c r="P84" i="420"/>
  <c r="AM84" i="420"/>
  <c r="AL84" i="420"/>
  <c r="AQ84" i="420"/>
  <c r="S84" i="420"/>
  <c r="AJ84" i="420"/>
  <c r="AI84" i="420"/>
  <c r="R84" i="420"/>
  <c r="AG84" i="420"/>
  <c r="AD84" i="420"/>
  <c r="AP84" i="420"/>
  <c r="AS84" i="420"/>
  <c r="V84" i="420"/>
  <c r="AF84" i="420"/>
  <c r="AN84" i="420"/>
  <c r="W84" i="420"/>
  <c r="AE84" i="420"/>
  <c r="AH84" i="420"/>
  <c r="AR84" i="420"/>
  <c r="U84" i="420"/>
  <c r="AB84" i="420"/>
  <c r="Y84" i="420"/>
  <c r="DY41" i="459"/>
  <c r="DY42" i="459"/>
  <c r="I23" i="458"/>
  <c r="E23" i="458" s="1"/>
  <c r="J34" i="457" s="1"/>
  <c r="I34" i="457"/>
  <c r="G23" i="458"/>
  <c r="K34" i="457" s="1"/>
  <c r="EE40" i="459"/>
  <c r="AL37" i="435"/>
  <c r="AK37" i="435"/>
  <c r="CL67" i="236"/>
  <c r="O83" i="455" s="1"/>
  <c r="CQ67" i="236"/>
  <c r="T83" i="455" s="1"/>
  <c r="CN67" i="236"/>
  <c r="Q83" i="455" s="1"/>
  <c r="CN17" i="453"/>
  <c r="BH63" i="236"/>
  <c r="AJ26" i="451" s="1"/>
  <c r="CD67" i="236"/>
  <c r="G83" i="455" s="1"/>
  <c r="CH67" i="236"/>
  <c r="K83" i="455" s="1"/>
  <c r="BV63" i="236"/>
  <c r="AX26" i="451" s="1"/>
  <c r="CN31" i="453"/>
  <c r="BA63" i="236"/>
  <c r="AC26" i="451" s="1"/>
  <c r="CN10" i="453"/>
  <c r="BC63" i="236"/>
  <c r="AE26" i="451" s="1"/>
  <c r="CN12" i="453"/>
  <c r="BB63" i="236"/>
  <c r="AD26" i="451" s="1"/>
  <c r="CN11" i="453"/>
  <c r="CO67" i="236"/>
  <c r="R83" i="455" s="1"/>
  <c r="BZ62" i="236"/>
  <c r="BS63" i="236"/>
  <c r="AU26" i="451" s="1"/>
  <c r="CN28" i="453"/>
  <c r="CA63" i="236"/>
  <c r="BC26" i="451" s="1"/>
  <c r="CN36" i="453"/>
  <c r="CM67" i="236"/>
  <c r="P83" i="455" s="1"/>
  <c r="BJ63" i="236"/>
  <c r="AL26" i="451" s="1"/>
  <c r="CN19" i="453"/>
  <c r="BR63" i="236"/>
  <c r="AT26" i="451" s="1"/>
  <c r="CN27" i="453"/>
  <c r="BO63" i="236"/>
  <c r="AQ26" i="451" s="1"/>
  <c r="CN24" i="453"/>
  <c r="BK63" i="236"/>
  <c r="AM26" i="451" s="1"/>
  <c r="CN20" i="453"/>
  <c r="BU63" i="236"/>
  <c r="AW26" i="451" s="1"/>
  <c r="CN30" i="453"/>
  <c r="CB63" i="236"/>
  <c r="BD26" i="451" s="1"/>
  <c r="CN37" i="453"/>
  <c r="BX63" i="236"/>
  <c r="AZ26" i="451" s="1"/>
  <c r="CN33" i="453"/>
  <c r="BN63" i="236"/>
  <c r="AP26" i="451" s="1"/>
  <c r="CN23" i="453"/>
  <c r="AZ63" i="236"/>
  <c r="CN9" i="453"/>
  <c r="BW63" i="236"/>
  <c r="AY26" i="451" s="1"/>
  <c r="CN32" i="453"/>
  <c r="CK67" i="236"/>
  <c r="N83" i="455" s="1"/>
  <c r="CI67" i="236"/>
  <c r="L83" i="455" s="1"/>
  <c r="CP67" i="236"/>
  <c r="S83" i="455" s="1"/>
  <c r="AY62" i="236"/>
  <c r="BT63" i="236"/>
  <c r="AV26" i="451" s="1"/>
  <c r="CN29" i="453"/>
  <c r="BQ62" i="236"/>
  <c r="BY63" i="236"/>
  <c r="BA26" i="451" s="1"/>
  <c r="CN34" i="453"/>
  <c r="CJ67" i="236"/>
  <c r="M83" i="455" s="1"/>
  <c r="BD63" i="236"/>
  <c r="AF26" i="451" s="1"/>
  <c r="CN13" i="453"/>
  <c r="CF67" i="236"/>
  <c r="I83" i="455" s="1"/>
  <c r="CG67" i="236"/>
  <c r="J83" i="455" s="1"/>
  <c r="CE67" i="236"/>
  <c r="N83" i="436" s="1"/>
  <c r="BI63" i="236"/>
  <c r="AK26" i="451" s="1"/>
  <c r="CN18" i="453"/>
  <c r="BM63" i="236"/>
  <c r="AO26" i="451" s="1"/>
  <c r="CN22" i="453"/>
  <c r="BG63" i="236"/>
  <c r="AI26" i="451" s="1"/>
  <c r="CN16" i="453"/>
  <c r="BF63" i="236"/>
  <c r="AH26" i="451" s="1"/>
  <c r="CN15" i="453"/>
  <c r="BE63" i="236"/>
  <c r="AG26" i="451" s="1"/>
  <c r="CN14" i="453"/>
  <c r="BP63" i="236"/>
  <c r="AR26" i="451" s="1"/>
  <c r="CN25" i="453"/>
  <c r="BL63" i="236"/>
  <c r="AN26" i="451" s="1"/>
  <c r="CN21" i="453"/>
  <c r="A76" i="234"/>
  <c r="Q3" i="432"/>
  <c r="AW13" i="434"/>
  <c r="Q4" i="432"/>
  <c r="C10" i="434"/>
  <c r="C234" i="2" s="1"/>
  <c r="H82" i="455" l="1"/>
  <c r="N82" i="436"/>
  <c r="S79" i="436"/>
  <c r="H78" i="436"/>
  <c r="H97" i="434"/>
  <c r="H78" i="437"/>
  <c r="DO104" i="434"/>
  <c r="J98" i="434"/>
  <c r="I98" i="434" s="1"/>
  <c r="DP104" i="434" s="1"/>
  <c r="AB26" i="451"/>
  <c r="K79" i="437"/>
  <c r="AH40" i="437" s="1"/>
  <c r="AA34" i="435" s="1"/>
  <c r="K98" i="434"/>
  <c r="AW98" i="434" s="1"/>
  <c r="AV98" i="434" s="1"/>
  <c r="K79" i="436"/>
  <c r="M79" i="436" s="1"/>
  <c r="L79" i="436" s="1"/>
  <c r="DQ108" i="434"/>
  <c r="DS108" i="434"/>
  <c r="J79" i="436"/>
  <c r="I79" i="436" s="1"/>
  <c r="M83" i="437"/>
  <c r="L83" i="437" s="1"/>
  <c r="AI41" i="437" s="1"/>
  <c r="J79" i="437"/>
  <c r="I79" i="437" s="1"/>
  <c r="N83" i="437"/>
  <c r="H83" i="455"/>
  <c r="N81" i="437"/>
  <c r="H81" i="455"/>
  <c r="N82" i="437"/>
  <c r="P65" i="420"/>
  <c r="BB25" i="451"/>
  <c r="AQ65" i="420"/>
  <c r="AS25" i="451"/>
  <c r="AH65" i="420"/>
  <c r="G26" i="451"/>
  <c r="AA25" i="451"/>
  <c r="D21" i="458"/>
  <c r="I32" i="457" s="1"/>
  <c r="AF68" i="420"/>
  <c r="AE41" i="437"/>
  <c r="X35" i="435" s="1"/>
  <c r="AF41" i="437"/>
  <c r="AL68" i="420"/>
  <c r="AJ68" i="420"/>
  <c r="R68" i="420"/>
  <c r="AO68" i="420"/>
  <c r="AA68" i="420"/>
  <c r="AC68" i="420"/>
  <c r="X68" i="420"/>
  <c r="AP68" i="420"/>
  <c r="S68" i="420"/>
  <c r="U68" i="420"/>
  <c r="AH66" i="420"/>
  <c r="AN68" i="420"/>
  <c r="AE68" i="420"/>
  <c r="AS68" i="420"/>
  <c r="AB68" i="420"/>
  <c r="AI68" i="420"/>
  <c r="AQ66" i="420"/>
  <c r="Y68" i="420"/>
  <c r="AK68" i="420"/>
  <c r="V68" i="420"/>
  <c r="Z68" i="420"/>
  <c r="AG68" i="420"/>
  <c r="W68" i="420"/>
  <c r="AR68" i="420"/>
  <c r="T68" i="420"/>
  <c r="AM68" i="420"/>
  <c r="I22" i="458"/>
  <c r="E22" i="458" s="1"/>
  <c r="J33" i="457" s="1"/>
  <c r="P66" i="420"/>
  <c r="DY40" i="459"/>
  <c r="P67" i="420"/>
  <c r="B80" i="236"/>
  <c r="A76" i="456"/>
  <c r="B80" i="235"/>
  <c r="CS26" i="453"/>
  <c r="AH67" i="420"/>
  <c r="AD68" i="420"/>
  <c r="CS35" i="453"/>
  <c r="AQ67" i="420"/>
  <c r="Q68" i="420"/>
  <c r="DS41" i="459"/>
  <c r="DS42" i="459"/>
  <c r="G22" i="458"/>
  <c r="K33" i="457" s="1"/>
  <c r="AL36" i="435"/>
  <c r="AK36" i="435"/>
  <c r="CQ63" i="236"/>
  <c r="T79" i="455" s="1"/>
  <c r="CN63" i="236"/>
  <c r="Q79" i="455" s="1"/>
  <c r="CL63" i="236"/>
  <c r="O79" i="455" s="1"/>
  <c r="CS8" i="453"/>
  <c r="CN38" i="453"/>
  <c r="CO22" i="453" s="1"/>
  <c r="BH62" i="236"/>
  <c r="CO63" i="236"/>
  <c r="R79" i="455" s="1"/>
  <c r="CG63" i="236"/>
  <c r="J79" i="455" s="1"/>
  <c r="BW62" i="236"/>
  <c r="BK62" i="236"/>
  <c r="BR62" i="236"/>
  <c r="BS62" i="236"/>
  <c r="BC62" i="236"/>
  <c r="BV62" i="236"/>
  <c r="BP62" i="236"/>
  <c r="BF62" i="236"/>
  <c r="CI63" i="236"/>
  <c r="L79" i="455" s="1"/>
  <c r="BM62" i="236"/>
  <c r="BQ59" i="236"/>
  <c r="AY59" i="236"/>
  <c r="AZ62" i="236"/>
  <c r="BX62" i="236"/>
  <c r="CF63" i="236"/>
  <c r="I79" i="455" s="1"/>
  <c r="CE63" i="236"/>
  <c r="CH63" i="236"/>
  <c r="K79" i="455" s="1"/>
  <c r="BD62" i="236"/>
  <c r="CJ63" i="236"/>
  <c r="M79" i="455" s="1"/>
  <c r="BU62" i="236"/>
  <c r="BO62" i="236"/>
  <c r="BJ62" i="236"/>
  <c r="CA62" i="236"/>
  <c r="BZ59" i="236"/>
  <c r="BB62" i="236"/>
  <c r="BA62" i="236"/>
  <c r="BL62" i="236"/>
  <c r="BE62" i="236"/>
  <c r="CK63" i="236"/>
  <c r="N79" i="455" s="1"/>
  <c r="CD63" i="236"/>
  <c r="G79" i="455" s="1"/>
  <c r="CM63" i="236"/>
  <c r="P79" i="455" s="1"/>
  <c r="BG62" i="236"/>
  <c r="BI62" i="236"/>
  <c r="BY62" i="236"/>
  <c r="BT62" i="236"/>
  <c r="BN62" i="236"/>
  <c r="CB62" i="236"/>
  <c r="CP63" i="236"/>
  <c r="S79" i="455" s="1"/>
  <c r="B85" i="420"/>
  <c r="A77" i="234"/>
  <c r="AW30" i="434"/>
  <c r="BZ13" i="434"/>
  <c r="BK13" i="434"/>
  <c r="BO13" i="434"/>
  <c r="BJ13" i="434"/>
  <c r="BS13" i="434"/>
  <c r="BC13" i="434"/>
  <c r="BB13" i="434"/>
  <c r="BI13" i="434"/>
  <c r="BT13" i="434"/>
  <c r="CJ13" i="434"/>
  <c r="CE13" i="434"/>
  <c r="BG13" i="434"/>
  <c r="CG13" i="434"/>
  <c r="BL13" i="434"/>
  <c r="BX13" i="434"/>
  <c r="CH13" i="434"/>
  <c r="AZ13" i="434"/>
  <c r="BU13" i="434"/>
  <c r="BE13" i="434"/>
  <c r="CC13" i="434"/>
  <c r="CA13" i="434"/>
  <c r="CD13" i="434"/>
  <c r="BV13" i="434"/>
  <c r="BY13" i="434"/>
  <c r="BM13" i="434"/>
  <c r="BR13" i="434"/>
  <c r="BD13" i="434"/>
  <c r="CI13" i="434"/>
  <c r="CK13" i="434"/>
  <c r="BF13" i="434"/>
  <c r="BA13" i="434"/>
  <c r="AY13" i="434"/>
  <c r="CF13" i="434"/>
  <c r="BP13" i="434"/>
  <c r="BW13" i="434"/>
  <c r="BQ13" i="434"/>
  <c r="BH13" i="434"/>
  <c r="CB13" i="434"/>
  <c r="BN13" i="434"/>
  <c r="H79" i="455" l="1"/>
  <c r="N79" i="436"/>
  <c r="S78" i="436"/>
  <c r="M79" i="437"/>
  <c r="L79" i="437" s="1"/>
  <c r="AI40" i="437" s="1"/>
  <c r="K78" i="437"/>
  <c r="K97" i="434"/>
  <c r="AW97" i="434" s="1"/>
  <c r="AV97" i="434" s="1"/>
  <c r="K78" i="436"/>
  <c r="M78" i="436" s="1"/>
  <c r="L78" i="436" s="1"/>
  <c r="J78" i="437"/>
  <c r="I78" i="437" s="1"/>
  <c r="P64" i="420"/>
  <c r="H75" i="437"/>
  <c r="H75" i="436"/>
  <c r="H94" i="434"/>
  <c r="J97" i="434"/>
  <c r="I97" i="434" s="1"/>
  <c r="DP103" i="434" s="1"/>
  <c r="DO103" i="434"/>
  <c r="BB24" i="451"/>
  <c r="AQ64" i="420"/>
  <c r="AS24" i="451"/>
  <c r="AH64" i="420"/>
  <c r="DQ104" i="434"/>
  <c r="DS104" i="434"/>
  <c r="J78" i="436"/>
  <c r="I78" i="436" s="1"/>
  <c r="N79" i="437"/>
  <c r="CM60" i="236"/>
  <c r="P76" i="455" s="1"/>
  <c r="AD25" i="451"/>
  <c r="CO60" i="236"/>
  <c r="R76" i="455" s="1"/>
  <c r="S65" i="420"/>
  <c r="AQ25" i="451"/>
  <c r="AF65" i="420"/>
  <c r="AE25" i="451"/>
  <c r="CQ60" i="236"/>
  <c r="T76" i="455" s="1"/>
  <c r="T65" i="420"/>
  <c r="AY25" i="451"/>
  <c r="AN65" i="420"/>
  <c r="AI25" i="451"/>
  <c r="CJ60" i="236"/>
  <c r="M76" i="455" s="1"/>
  <c r="X65" i="420"/>
  <c r="AU25" i="451"/>
  <c r="AJ65" i="420"/>
  <c r="AN25" i="451"/>
  <c r="AC65" i="420"/>
  <c r="BC25" i="451"/>
  <c r="AR65" i="420"/>
  <c r="AR25" i="451"/>
  <c r="AG65" i="420"/>
  <c r="AT25" i="451"/>
  <c r="AI65" i="420"/>
  <c r="BD25" i="451"/>
  <c r="AS65" i="420"/>
  <c r="AK25" i="451"/>
  <c r="Z65" i="420"/>
  <c r="CF60" i="236"/>
  <c r="I76" i="455" s="1"/>
  <c r="Q65" i="420"/>
  <c r="AP25" i="451"/>
  <c r="AE65" i="420"/>
  <c r="AG25" i="451"/>
  <c r="CH60" i="236"/>
  <c r="K76" i="455" s="1"/>
  <c r="V65" i="420"/>
  <c r="AV25" i="451"/>
  <c r="AK65" i="420"/>
  <c r="BA25" i="451"/>
  <c r="AP65" i="420"/>
  <c r="AC25" i="451"/>
  <c r="CP60" i="236"/>
  <c r="S76" i="455" s="1"/>
  <c r="CL60" i="236"/>
  <c r="O76" i="455" s="1"/>
  <c r="R65" i="420"/>
  <c r="AL25" i="451"/>
  <c r="AA65" i="420"/>
  <c r="AF25" i="451"/>
  <c r="U65" i="420"/>
  <c r="AZ25" i="451"/>
  <c r="AO65" i="420"/>
  <c r="AO25" i="451"/>
  <c r="AD65" i="420"/>
  <c r="AX25" i="451"/>
  <c r="AM65" i="420"/>
  <c r="AM25" i="451"/>
  <c r="CK60" i="236"/>
  <c r="N76" i="455" s="1"/>
  <c r="AB65" i="420"/>
  <c r="AJ25" i="451"/>
  <c r="CI60" i="236"/>
  <c r="L76" i="455" s="1"/>
  <c r="Y65" i="420"/>
  <c r="CD60" i="236"/>
  <c r="G76" i="455" s="1"/>
  <c r="CN60" i="236"/>
  <c r="Q76" i="455" s="1"/>
  <c r="AW25" i="451"/>
  <c r="AL65" i="420"/>
  <c r="AH25" i="451"/>
  <c r="W65" i="420"/>
  <c r="CE60" i="236"/>
  <c r="N76" i="436" s="1"/>
  <c r="CG60" i="236"/>
  <c r="J76" i="455" s="1"/>
  <c r="AB25" i="451"/>
  <c r="G25" i="451"/>
  <c r="AA24" i="451"/>
  <c r="DC45" i="434"/>
  <c r="DE45" i="434" s="1"/>
  <c r="I21" i="458"/>
  <c r="E21" i="458" s="1"/>
  <c r="J32" i="457" s="1"/>
  <c r="AN66" i="420"/>
  <c r="AC66" i="420"/>
  <c r="AR66" i="420"/>
  <c r="AS66" i="420"/>
  <c r="AE66" i="420"/>
  <c r="AL66" i="420"/>
  <c r="W66" i="420"/>
  <c r="AJ66" i="420"/>
  <c r="AE40" i="437"/>
  <c r="X34" i="435" s="1"/>
  <c r="AL34" i="435" s="1"/>
  <c r="AF40" i="437"/>
  <c r="AG66" i="420"/>
  <c r="AI66" i="420"/>
  <c r="AK66" i="420"/>
  <c r="AP66" i="420"/>
  <c r="AA66" i="420"/>
  <c r="AO66" i="420"/>
  <c r="AD66" i="420"/>
  <c r="AM66" i="420"/>
  <c r="AB66" i="420"/>
  <c r="DS40" i="459"/>
  <c r="CG61" i="236"/>
  <c r="J77" i="455" s="1"/>
  <c r="CM61" i="236"/>
  <c r="P77" i="455" s="1"/>
  <c r="V67" i="420"/>
  <c r="CH61" i="236"/>
  <c r="K77" i="455" s="1"/>
  <c r="V66" i="420"/>
  <c r="CL61" i="236"/>
  <c r="O77" i="455" s="1"/>
  <c r="CP61" i="236"/>
  <c r="S77" i="455" s="1"/>
  <c r="R66" i="420"/>
  <c r="Z67" i="420"/>
  <c r="Z66" i="420"/>
  <c r="T66" i="420"/>
  <c r="CQ61" i="236"/>
  <c r="T77" i="455" s="1"/>
  <c r="CI61" i="236"/>
  <c r="L77" i="455" s="1"/>
  <c r="Y66" i="420"/>
  <c r="S67" i="420"/>
  <c r="CO61" i="236"/>
  <c r="R77" i="455" s="1"/>
  <c r="S66" i="420"/>
  <c r="AF67" i="420"/>
  <c r="AF66" i="420"/>
  <c r="CK61" i="236"/>
  <c r="N77" i="455" s="1"/>
  <c r="CF61" i="236"/>
  <c r="I77" i="455" s="1"/>
  <c r="Q66" i="420"/>
  <c r="CN61" i="236"/>
  <c r="Q77" i="455" s="1"/>
  <c r="X67" i="420"/>
  <c r="CJ61" i="236"/>
  <c r="M77" i="455" s="1"/>
  <c r="X66" i="420"/>
  <c r="U67" i="420"/>
  <c r="U66" i="420"/>
  <c r="CD61" i="236"/>
  <c r="G77" i="455" s="1"/>
  <c r="CE61" i="236"/>
  <c r="D20" i="458"/>
  <c r="I20" i="458" s="1"/>
  <c r="E20" i="458" s="1"/>
  <c r="J31" i="457" s="1"/>
  <c r="B81" i="236"/>
  <c r="A77" i="456"/>
  <c r="B81" i="235"/>
  <c r="R85" i="420"/>
  <c r="AG85" i="420"/>
  <c r="AD85" i="420"/>
  <c r="AP85" i="420"/>
  <c r="AS85" i="420"/>
  <c r="V85" i="420"/>
  <c r="AF85" i="420"/>
  <c r="AN85" i="420"/>
  <c r="W85" i="420"/>
  <c r="AE85" i="420"/>
  <c r="AH85" i="420"/>
  <c r="AR85" i="420"/>
  <c r="U85" i="420"/>
  <c r="AB85" i="420"/>
  <c r="Y85" i="420"/>
  <c r="X85" i="420"/>
  <c r="AA85" i="420"/>
  <c r="Z85" i="420"/>
  <c r="AO85" i="420"/>
  <c r="Q85" i="420"/>
  <c r="AK85" i="420"/>
  <c r="AC85" i="420"/>
  <c r="T85" i="420"/>
  <c r="P85" i="420"/>
  <c r="AM85" i="420"/>
  <c r="AL85" i="420"/>
  <c r="AQ85" i="420"/>
  <c r="S85" i="420"/>
  <c r="AJ85" i="420"/>
  <c r="AI85" i="420"/>
  <c r="CS10" i="453"/>
  <c r="R67" i="420"/>
  <c r="CS19" i="453"/>
  <c r="AA67" i="420"/>
  <c r="CS30" i="453"/>
  <c r="AL67" i="420"/>
  <c r="CS33" i="453"/>
  <c r="AO67" i="420"/>
  <c r="CS22" i="453"/>
  <c r="AD67" i="420"/>
  <c r="CS37" i="453"/>
  <c r="AS67" i="420"/>
  <c r="CS29" i="453"/>
  <c r="AK67" i="420"/>
  <c r="CS25" i="453"/>
  <c r="AG67" i="420"/>
  <c r="CS12" i="453"/>
  <c r="T67" i="420"/>
  <c r="CS27" i="453"/>
  <c r="AI67" i="420"/>
  <c r="CS32" i="453"/>
  <c r="AN67" i="420"/>
  <c r="CS17" i="453"/>
  <c r="Y67" i="420"/>
  <c r="CS21" i="453"/>
  <c r="AC67" i="420"/>
  <c r="CS36" i="453"/>
  <c r="AR67" i="420"/>
  <c r="Q67" i="420"/>
  <c r="CS23" i="453"/>
  <c r="AE67" i="420"/>
  <c r="CS34" i="453"/>
  <c r="AP67" i="420"/>
  <c r="CS15" i="453"/>
  <c r="W67" i="420"/>
  <c r="CS31" i="453"/>
  <c r="AM67" i="420"/>
  <c r="CS28" i="453"/>
  <c r="AJ67" i="420"/>
  <c r="CS20" i="453"/>
  <c r="AB67" i="420"/>
  <c r="DM41" i="459"/>
  <c r="DM42" i="459"/>
  <c r="G21" i="458"/>
  <c r="K32" i="457" s="1"/>
  <c r="AL35" i="435"/>
  <c r="AK35" i="435"/>
  <c r="CN62" i="236"/>
  <c r="Q78" i="455" s="1"/>
  <c r="CL62" i="236"/>
  <c r="O78" i="455" s="1"/>
  <c r="CS16" i="453"/>
  <c r="CS9" i="453"/>
  <c r="CO20" i="453"/>
  <c r="CO12" i="453"/>
  <c r="CO29" i="453"/>
  <c r="CO14" i="453"/>
  <c r="CO10" i="453"/>
  <c r="CO9" i="453"/>
  <c r="CS14" i="453"/>
  <c r="CS13" i="453"/>
  <c r="CO32" i="453"/>
  <c r="CO28" i="453"/>
  <c r="CO34" i="453"/>
  <c r="CO21" i="453"/>
  <c r="CO19" i="453"/>
  <c r="CO11" i="453"/>
  <c r="CS18" i="453"/>
  <c r="CO35" i="453"/>
  <c r="CO38" i="453"/>
  <c r="CO8" i="453"/>
  <c r="CO37" i="453"/>
  <c r="CO18" i="453"/>
  <c r="CO26" i="453"/>
  <c r="CO24" i="453"/>
  <c r="CO36" i="453"/>
  <c r="CO15" i="453"/>
  <c r="CS11" i="453"/>
  <c r="CS24" i="453"/>
  <c r="CO27" i="453"/>
  <c r="CO31" i="453"/>
  <c r="CO23" i="453"/>
  <c r="CO16" i="453"/>
  <c r="CO17" i="453"/>
  <c r="CO30" i="453"/>
  <c r="CO13" i="453"/>
  <c r="CO33" i="453"/>
  <c r="CO25" i="453"/>
  <c r="BH59" i="236"/>
  <c r="BI59" i="236"/>
  <c r="CO62" i="236"/>
  <c r="R78" i="455" s="1"/>
  <c r="CP62" i="236"/>
  <c r="S78" i="455" s="1"/>
  <c r="CK62" i="236"/>
  <c r="N78" i="455" s="1"/>
  <c r="CI62" i="236"/>
  <c r="L78" i="455" s="1"/>
  <c r="AZ59" i="236"/>
  <c r="BQ53" i="236"/>
  <c r="BP59" i="236"/>
  <c r="BC59" i="236"/>
  <c r="BR59" i="236"/>
  <c r="BW59" i="236"/>
  <c r="BN59" i="236"/>
  <c r="BY59" i="236"/>
  <c r="BL59" i="236"/>
  <c r="BA59" i="236"/>
  <c r="BZ53" i="236"/>
  <c r="BJ59" i="236"/>
  <c r="BU59" i="236"/>
  <c r="CF62" i="236"/>
  <c r="I78" i="455" s="1"/>
  <c r="CM62" i="236"/>
  <c r="P78" i="455" s="1"/>
  <c r="BD59" i="236"/>
  <c r="CJ62" i="236"/>
  <c r="M78" i="455" s="1"/>
  <c r="BG59" i="236"/>
  <c r="CD62" i="236"/>
  <c r="G78" i="455" s="1"/>
  <c r="CG62" i="236"/>
  <c r="J78" i="455" s="1"/>
  <c r="BX59" i="236"/>
  <c r="AY53" i="236"/>
  <c r="BM59" i="236"/>
  <c r="BF59" i="236"/>
  <c r="BV59" i="236"/>
  <c r="BS59" i="236"/>
  <c r="BK59" i="236"/>
  <c r="CB59" i="236"/>
  <c r="BT59" i="236"/>
  <c r="CQ62" i="236"/>
  <c r="T78" i="455" s="1"/>
  <c r="BE59" i="236"/>
  <c r="BB59" i="236"/>
  <c r="CA59" i="236"/>
  <c r="BO59" i="236"/>
  <c r="CE62" i="236"/>
  <c r="N78" i="436" s="1"/>
  <c r="CH62" i="236"/>
  <c r="K78" i="455" s="1"/>
  <c r="B86" i="420"/>
  <c r="CM30" i="434"/>
  <c r="AY30" i="434"/>
  <c r="BM30" i="434"/>
  <c r="CC30" i="434"/>
  <c r="BF30" i="434"/>
  <c r="BV30" i="434"/>
  <c r="CL30" i="434"/>
  <c r="BO30" i="434"/>
  <c r="CE30" i="434"/>
  <c r="CF30" i="434"/>
  <c r="CB30" i="434"/>
  <c r="BA30" i="434"/>
  <c r="BQ30" i="434"/>
  <c r="CG30" i="434"/>
  <c r="BJ30" i="434"/>
  <c r="BZ30" i="434"/>
  <c r="BC30" i="434"/>
  <c r="BS30" i="434"/>
  <c r="CI30" i="434"/>
  <c r="BD30" i="434"/>
  <c r="BH30" i="434"/>
  <c r="BE30" i="434"/>
  <c r="BU30" i="434"/>
  <c r="CK30" i="434"/>
  <c r="BN30" i="434"/>
  <c r="CD30" i="434"/>
  <c r="BG30" i="434"/>
  <c r="BW30" i="434"/>
  <c r="AZ30" i="434"/>
  <c r="BT30" i="434"/>
  <c r="BX30" i="434"/>
  <c r="BI30" i="434"/>
  <c r="BY30" i="434"/>
  <c r="BB30" i="434"/>
  <c r="BR30" i="434"/>
  <c r="CH30" i="434"/>
  <c r="BK30" i="434"/>
  <c r="CA30" i="434"/>
  <c r="BP30" i="434"/>
  <c r="CJ30" i="434"/>
  <c r="BL30" i="434"/>
  <c r="H77" i="455" l="1"/>
  <c r="N77" i="436"/>
  <c r="AY24" i="451"/>
  <c r="AN64" i="420"/>
  <c r="J75" i="437"/>
  <c r="I75" i="437" s="1"/>
  <c r="AF39" i="437" s="1"/>
  <c r="AN24" i="451"/>
  <c r="AC64" i="420"/>
  <c r="AT24" i="451"/>
  <c r="AI64" i="420"/>
  <c r="K94" i="434"/>
  <c r="AW94" i="434" s="1"/>
  <c r="AV94" i="434" s="1"/>
  <c r="Q64" i="420"/>
  <c r="K75" i="437"/>
  <c r="K75" i="436"/>
  <c r="M75" i="436" s="1"/>
  <c r="L75" i="436" s="1"/>
  <c r="S75" i="436"/>
  <c r="M78" i="437"/>
  <c r="L78" i="437" s="1"/>
  <c r="AI24" i="451"/>
  <c r="X64" i="420"/>
  <c r="AC24" i="451"/>
  <c r="R64" i="420"/>
  <c r="BC24" i="451"/>
  <c r="AR64" i="420"/>
  <c r="AD24" i="451"/>
  <c r="S64" i="420"/>
  <c r="BD24" i="451"/>
  <c r="AS64" i="420"/>
  <c r="AH24" i="451"/>
  <c r="W64" i="420"/>
  <c r="AF24" i="451"/>
  <c r="U64" i="420"/>
  <c r="AL24" i="451"/>
  <c r="AA64" i="420"/>
  <c r="BA24" i="451"/>
  <c r="AP64" i="420"/>
  <c r="AE24" i="451"/>
  <c r="T64" i="420"/>
  <c r="AK24" i="451"/>
  <c r="Z64" i="420"/>
  <c r="DO100" i="434"/>
  <c r="J94" i="434"/>
  <c r="I94" i="434" s="1"/>
  <c r="DP100" i="434" s="1"/>
  <c r="AQ24" i="451"/>
  <c r="AF64" i="420"/>
  <c r="AU24" i="451"/>
  <c r="AJ64" i="420"/>
  <c r="AV24" i="451"/>
  <c r="AK64" i="420"/>
  <c r="AX24" i="451"/>
  <c r="AM64" i="420"/>
  <c r="AZ24" i="451"/>
  <c r="AO64" i="420"/>
  <c r="AW24" i="451"/>
  <c r="AL64" i="420"/>
  <c r="AG24" i="451"/>
  <c r="V64" i="420"/>
  <c r="AM24" i="451"/>
  <c r="AB64" i="420"/>
  <c r="AO24" i="451"/>
  <c r="AD64" i="420"/>
  <c r="AP24" i="451"/>
  <c r="AE64" i="420"/>
  <c r="AR24" i="451"/>
  <c r="AG64" i="420"/>
  <c r="AJ24" i="451"/>
  <c r="Y64" i="420"/>
  <c r="DQ103" i="434"/>
  <c r="DS103" i="434"/>
  <c r="J75" i="436"/>
  <c r="I75" i="436" s="1"/>
  <c r="H69" i="437"/>
  <c r="H88" i="434"/>
  <c r="H69" i="436"/>
  <c r="P58" i="420"/>
  <c r="AS23" i="451"/>
  <c r="AH58" i="420"/>
  <c r="BB23" i="451"/>
  <c r="AQ58" i="420"/>
  <c r="N76" i="437"/>
  <c r="AK40" i="437" s="1"/>
  <c r="H76" i="455"/>
  <c r="N78" i="437"/>
  <c r="H78" i="455"/>
  <c r="N77" i="437"/>
  <c r="AK41" i="437" s="1"/>
  <c r="AB24" i="451"/>
  <c r="G24" i="451"/>
  <c r="AA23" i="451"/>
  <c r="AH26" i="436"/>
  <c r="AF7" i="436" s="1"/>
  <c r="AK34" i="435"/>
  <c r="DO44" i="434"/>
  <c r="CY45" i="434"/>
  <c r="CG57" i="236"/>
  <c r="J73" i="455" s="1"/>
  <c r="AE39" i="437"/>
  <c r="X33" i="435" s="1"/>
  <c r="AQ56" i="420"/>
  <c r="CI57" i="236"/>
  <c r="L73" i="455" s="1"/>
  <c r="CH57" i="236"/>
  <c r="K73" i="455" s="1"/>
  <c r="P56" i="420"/>
  <c r="CF57" i="236"/>
  <c r="I73" i="455" s="1"/>
  <c r="CD57" i="236"/>
  <c r="G73" i="455" s="1"/>
  <c r="CE57" i="236"/>
  <c r="N73" i="436" s="1"/>
  <c r="CK57" i="236"/>
  <c r="N73" i="455" s="1"/>
  <c r="CO57" i="236"/>
  <c r="R73" i="455" s="1"/>
  <c r="CP57" i="236"/>
  <c r="S73" i="455" s="1"/>
  <c r="CL57" i="236"/>
  <c r="O73" i="455" s="1"/>
  <c r="CM57" i="236"/>
  <c r="P73" i="455" s="1"/>
  <c r="CJ57" i="236"/>
  <c r="M73" i="455" s="1"/>
  <c r="CQ57" i="236"/>
  <c r="T73" i="455" s="1"/>
  <c r="AH56" i="420"/>
  <c r="CN57" i="236"/>
  <c r="Q73" i="455" s="1"/>
  <c r="D19" i="458"/>
  <c r="I19" i="458" s="1"/>
  <c r="E19" i="458" s="1"/>
  <c r="J30" i="457" s="1"/>
  <c r="I31" i="457"/>
  <c r="R86" i="420"/>
  <c r="AG86" i="420"/>
  <c r="AD86" i="420"/>
  <c r="AP86" i="420"/>
  <c r="AS86" i="420"/>
  <c r="V86" i="420"/>
  <c r="AF86" i="420"/>
  <c r="AN86" i="420"/>
  <c r="W86" i="420"/>
  <c r="AE86" i="420"/>
  <c r="AH86" i="420"/>
  <c r="AR86" i="420"/>
  <c r="U86" i="420"/>
  <c r="AB86" i="420"/>
  <c r="Y86" i="420"/>
  <c r="X86" i="420"/>
  <c r="AA86" i="420"/>
  <c r="Z86" i="420"/>
  <c r="AO86" i="420"/>
  <c r="Q86" i="420"/>
  <c r="AK86" i="420"/>
  <c r="AC86" i="420"/>
  <c r="T86" i="420"/>
  <c r="P86" i="420"/>
  <c r="AM86" i="420"/>
  <c r="AL86" i="420"/>
  <c r="AQ86" i="420"/>
  <c r="S86" i="420"/>
  <c r="AJ86" i="420"/>
  <c r="AI86" i="420"/>
  <c r="DG42" i="459"/>
  <c r="DG41" i="459"/>
  <c r="G20" i="458"/>
  <c r="K31" i="457" s="1"/>
  <c r="DM40" i="459"/>
  <c r="K12" i="455"/>
  <c r="X18" i="454" s="1"/>
  <c r="T12" i="455"/>
  <c r="AI18" i="454" s="1"/>
  <c r="G12" i="455"/>
  <c r="R18" i="454" s="1"/>
  <c r="N12" i="455"/>
  <c r="AB18" i="454" s="1"/>
  <c r="Q12" i="455"/>
  <c r="AF18" i="454" s="1"/>
  <c r="P12" i="455"/>
  <c r="AD18" i="454" s="1"/>
  <c r="R12" i="455"/>
  <c r="AG18" i="454" s="1"/>
  <c r="H12" i="455"/>
  <c r="T18" i="454" s="1"/>
  <c r="M12" i="455"/>
  <c r="Z18" i="454" s="1"/>
  <c r="I12" i="455"/>
  <c r="V18" i="454" s="1"/>
  <c r="S12" i="455"/>
  <c r="AH18" i="454" s="1"/>
  <c r="O12" i="455"/>
  <c r="AC18" i="454" s="1"/>
  <c r="J12" i="455"/>
  <c r="W18" i="454" s="1"/>
  <c r="L12" i="455"/>
  <c r="Y18" i="454" s="1"/>
  <c r="CN59" i="236"/>
  <c r="Q75" i="455" s="1"/>
  <c r="CL59" i="236"/>
  <c r="O75" i="455" s="1"/>
  <c r="CP35" i="453"/>
  <c r="CP14" i="453"/>
  <c r="CP38" i="453"/>
  <c r="CP13" i="453"/>
  <c r="CP27" i="453"/>
  <c r="CP28" i="453"/>
  <c r="CP30" i="453"/>
  <c r="CP21" i="453"/>
  <c r="CP19" i="453"/>
  <c r="CP17" i="453"/>
  <c r="CP37" i="453"/>
  <c r="CP12" i="453"/>
  <c r="CP34" i="453"/>
  <c r="CP8" i="453"/>
  <c r="CP29" i="453"/>
  <c r="CP36" i="453"/>
  <c r="CP26" i="453"/>
  <c r="CP20" i="453"/>
  <c r="CP32" i="453"/>
  <c r="CP15" i="453"/>
  <c r="CP33" i="453"/>
  <c r="CP11" i="453"/>
  <c r="CP18" i="453"/>
  <c r="CP16" i="453"/>
  <c r="CP25" i="453"/>
  <c r="CP31" i="453"/>
  <c r="CP10" i="453"/>
  <c r="CP9" i="453"/>
  <c r="CP24" i="453"/>
  <c r="CP23" i="453"/>
  <c r="CP22" i="453"/>
  <c r="CS38" i="453"/>
  <c r="CT36" i="453" s="1"/>
  <c r="CV36" i="453" s="1"/>
  <c r="CP59" i="236"/>
  <c r="S75" i="455" s="1"/>
  <c r="CQ59" i="236"/>
  <c r="T75" i="455" s="1"/>
  <c r="CO59" i="236"/>
  <c r="R75" i="455" s="1"/>
  <c r="CH59" i="236"/>
  <c r="K75" i="455" s="1"/>
  <c r="BH53" i="236"/>
  <c r="CF59" i="236"/>
  <c r="I75" i="455" s="1"/>
  <c r="CG59" i="236"/>
  <c r="J75" i="455" s="1"/>
  <c r="CK59" i="236"/>
  <c r="N75" i="455" s="1"/>
  <c r="BX53" i="236"/>
  <c r="BU53" i="236"/>
  <c r="BZ47" i="236"/>
  <c r="BB22" i="451" s="1"/>
  <c r="BL53" i="236"/>
  <c r="BY53" i="236"/>
  <c r="CJ59" i="236"/>
  <c r="M75" i="455" s="1"/>
  <c r="BO53" i="236"/>
  <c r="BB53" i="236"/>
  <c r="BE53" i="236"/>
  <c r="BT53" i="236"/>
  <c r="BK53" i="236"/>
  <c r="BV53" i="236"/>
  <c r="BM53" i="236"/>
  <c r="CE59" i="236"/>
  <c r="N75" i="436" s="1"/>
  <c r="BW53" i="236"/>
  <c r="BC53" i="236"/>
  <c r="BQ47" i="236"/>
  <c r="AS22" i="451" s="1"/>
  <c r="CA53" i="236"/>
  <c r="CB53" i="236"/>
  <c r="BS53" i="236"/>
  <c r="BF53" i="236"/>
  <c r="AY47" i="236"/>
  <c r="BG53" i="236"/>
  <c r="BJ53" i="236"/>
  <c r="BA53" i="236"/>
  <c r="BN53" i="236"/>
  <c r="BI53" i="236"/>
  <c r="CD59" i="236"/>
  <c r="G75" i="455" s="1"/>
  <c r="CM59" i="236"/>
  <c r="P75" i="455" s="1"/>
  <c r="CI59" i="236"/>
  <c r="L75" i="455" s="1"/>
  <c r="BD53" i="236"/>
  <c r="BR53" i="236"/>
  <c r="BP53" i="236"/>
  <c r="AZ53" i="236"/>
  <c r="M75" i="437" l="1"/>
  <c r="L75" i="437" s="1"/>
  <c r="AH39" i="437"/>
  <c r="AA33" i="435" s="1"/>
  <c r="AK33" i="435" s="1"/>
  <c r="DQ100" i="434"/>
  <c r="DS100" i="434"/>
  <c r="AC23" i="451"/>
  <c r="R58" i="420"/>
  <c r="AH23" i="451"/>
  <c r="W58" i="420"/>
  <c r="AO23" i="451"/>
  <c r="AD58" i="420"/>
  <c r="AG23" i="451"/>
  <c r="V58" i="420"/>
  <c r="BA23" i="451"/>
  <c r="AP58" i="420"/>
  <c r="AZ23" i="451"/>
  <c r="AO58" i="420"/>
  <c r="AJ23" i="451"/>
  <c r="Y58" i="420"/>
  <c r="J69" i="436"/>
  <c r="I69" i="436" s="1"/>
  <c r="AR23" i="451"/>
  <c r="AG58" i="420"/>
  <c r="AT23" i="451"/>
  <c r="AI58" i="420"/>
  <c r="AL23" i="451"/>
  <c r="AA58" i="420"/>
  <c r="AE23" i="451"/>
  <c r="T58" i="420"/>
  <c r="AD23" i="451"/>
  <c r="S58" i="420"/>
  <c r="AN23" i="451"/>
  <c r="AC58" i="420"/>
  <c r="AF23" i="451"/>
  <c r="U58" i="420"/>
  <c r="AK23" i="451"/>
  <c r="Z58" i="420"/>
  <c r="AI23" i="451"/>
  <c r="X58" i="420"/>
  <c r="BD23" i="451"/>
  <c r="AS58" i="420"/>
  <c r="AY23" i="451"/>
  <c r="AN58" i="420"/>
  <c r="AM23" i="451"/>
  <c r="AB58" i="420"/>
  <c r="AQ23" i="451"/>
  <c r="AF58" i="420"/>
  <c r="DO94" i="434"/>
  <c r="J88" i="434"/>
  <c r="I88" i="434" s="1"/>
  <c r="DP94" i="434" s="1"/>
  <c r="AU23" i="451"/>
  <c r="AJ58" i="420"/>
  <c r="AX23" i="451"/>
  <c r="AM58" i="420"/>
  <c r="K69" i="436"/>
  <c r="Q58" i="420"/>
  <c r="K69" i="437"/>
  <c r="K88" i="434"/>
  <c r="AW88" i="434" s="1"/>
  <c r="AV88" i="434" s="1"/>
  <c r="AP23" i="451"/>
  <c r="AE58" i="420"/>
  <c r="BC23" i="451"/>
  <c r="AR58" i="420"/>
  <c r="AV23" i="451"/>
  <c r="AK58" i="420"/>
  <c r="AW23" i="451"/>
  <c r="AL58" i="420"/>
  <c r="S69" i="436"/>
  <c r="J69" i="437"/>
  <c r="I69" i="437" s="1"/>
  <c r="H63" i="436"/>
  <c r="H63" i="437"/>
  <c r="H82" i="434"/>
  <c r="N73" i="437"/>
  <c r="H73" i="455"/>
  <c r="N75" i="437"/>
  <c r="AK38" i="437" s="1"/>
  <c r="H75" i="455"/>
  <c r="AH38" i="437"/>
  <c r="I30" i="457"/>
  <c r="G23" i="451"/>
  <c r="AB23" i="451"/>
  <c r="AA22" i="451"/>
  <c r="DA45" i="434"/>
  <c r="DB45" i="434"/>
  <c r="DQ44" i="434"/>
  <c r="DS44" i="434"/>
  <c r="AE38" i="437"/>
  <c r="AF38" i="437"/>
  <c r="DP44" i="434"/>
  <c r="CD51" i="236"/>
  <c r="G67" i="455" s="1"/>
  <c r="AM56" i="420"/>
  <c r="AK56" i="420"/>
  <c r="CO51" i="236"/>
  <c r="R67" i="455" s="1"/>
  <c r="S56" i="420"/>
  <c r="AE56" i="420"/>
  <c r="AA56" i="420"/>
  <c r="P51" i="420"/>
  <c r="AJ56" i="420"/>
  <c r="AR56" i="420"/>
  <c r="CQ51" i="236"/>
  <c r="T67" i="455" s="1"/>
  <c r="T56" i="420"/>
  <c r="AP56" i="420"/>
  <c r="AQ52" i="420"/>
  <c r="AQ51" i="420"/>
  <c r="AO56" i="420"/>
  <c r="CG51" i="236"/>
  <c r="J67" i="455" s="1"/>
  <c r="CF51" i="236"/>
  <c r="I67" i="455" s="1"/>
  <c r="Q56" i="420"/>
  <c r="AI56" i="420"/>
  <c r="AG56" i="420"/>
  <c r="AD56" i="420"/>
  <c r="AB56" i="420"/>
  <c r="CH51" i="236"/>
  <c r="K67" i="455" s="1"/>
  <c r="V56" i="420"/>
  <c r="CK51" i="236"/>
  <c r="N67" i="455" s="1"/>
  <c r="AF56" i="420"/>
  <c r="CI51" i="236"/>
  <c r="L67" i="455" s="1"/>
  <c r="Y56" i="420"/>
  <c r="CN51" i="236"/>
  <c r="Q67" i="455" s="1"/>
  <c r="CE51" i="236"/>
  <c r="N67" i="436" s="1"/>
  <c r="U56" i="420"/>
  <c r="Z56" i="420"/>
  <c r="CL51" i="236"/>
  <c r="O67" i="455" s="1"/>
  <c r="CP51" i="236"/>
  <c r="S67" i="455" s="1"/>
  <c r="R56" i="420"/>
  <c r="CJ51" i="236"/>
  <c r="M67" i="455" s="1"/>
  <c r="X56" i="420"/>
  <c r="W56" i="420"/>
  <c r="AS56" i="420"/>
  <c r="AH52" i="420"/>
  <c r="AH51" i="420"/>
  <c r="AN56" i="420"/>
  <c r="AC56" i="420"/>
  <c r="AL56" i="420"/>
  <c r="CM51" i="236"/>
  <c r="P67" i="455" s="1"/>
  <c r="P52" i="420"/>
  <c r="D18" i="458"/>
  <c r="I29" i="457" s="1"/>
  <c r="DG40" i="459"/>
  <c r="G19" i="458"/>
  <c r="K30" i="457" s="1"/>
  <c r="DA42" i="459"/>
  <c r="DA41" i="459"/>
  <c r="AN18" i="454"/>
  <c r="AO18" i="454"/>
  <c r="CN53" i="236"/>
  <c r="Q69" i="455" s="1"/>
  <c r="CL53" i="236"/>
  <c r="O69" i="455" s="1"/>
  <c r="CT30" i="453"/>
  <c r="CV30" i="453" s="1"/>
  <c r="CT14" i="453"/>
  <c r="CV14" i="453" s="1"/>
  <c r="CT10" i="453"/>
  <c r="CV10" i="453" s="1"/>
  <c r="CT17" i="453"/>
  <c r="CV17" i="453" s="1"/>
  <c r="CT24" i="453"/>
  <c r="CV24" i="453" s="1"/>
  <c r="CT23" i="453"/>
  <c r="CV23" i="453" s="1"/>
  <c r="CT29" i="453"/>
  <c r="CV29" i="453" s="1"/>
  <c r="CT25" i="453"/>
  <c r="CV25" i="453" s="1"/>
  <c r="CT16" i="453"/>
  <c r="CV16" i="453" s="1"/>
  <c r="CT37" i="453"/>
  <c r="CV37" i="453" s="1"/>
  <c r="CT11" i="453"/>
  <c r="CV11" i="453" s="1"/>
  <c r="CT15" i="453"/>
  <c r="CV15" i="453" s="1"/>
  <c r="CT31" i="453"/>
  <c r="CV31" i="453" s="1"/>
  <c r="CT28" i="453"/>
  <c r="CV28" i="453" s="1"/>
  <c r="CT26" i="453"/>
  <c r="CV26" i="453" s="1"/>
  <c r="CT13" i="453"/>
  <c r="CV13" i="453" s="1"/>
  <c r="CT8" i="453"/>
  <c r="CV8" i="453" s="1"/>
  <c r="CT20" i="453"/>
  <c r="CV20" i="453" s="1"/>
  <c r="CT12" i="453"/>
  <c r="CV12" i="453" s="1"/>
  <c r="CT27" i="453"/>
  <c r="CV27" i="453" s="1"/>
  <c r="CT18" i="453"/>
  <c r="CV18" i="453" s="1"/>
  <c r="CT35" i="453"/>
  <c r="CV35" i="453" s="1"/>
  <c r="CT9" i="453"/>
  <c r="CV9" i="453" s="1"/>
  <c r="CT22" i="453"/>
  <c r="CV22" i="453" s="1"/>
  <c r="CW24" i="453"/>
  <c r="AD31" i="452" s="1"/>
  <c r="CZ24" i="453"/>
  <c r="AI31" i="452" s="1"/>
  <c r="CY24" i="453"/>
  <c r="CW25" i="453"/>
  <c r="AD32" i="452" s="1"/>
  <c r="CZ25" i="453"/>
  <c r="AI32" i="452" s="1"/>
  <c r="CY25" i="453"/>
  <c r="CZ33" i="453"/>
  <c r="AI40" i="452" s="1"/>
  <c r="CY33" i="453"/>
  <c r="CW33" i="453"/>
  <c r="AD40" i="452" s="1"/>
  <c r="CY26" i="453"/>
  <c r="CW26" i="453"/>
  <c r="AD33" i="452" s="1"/>
  <c r="CZ26" i="453"/>
  <c r="AI33" i="452" s="1"/>
  <c r="CW34" i="453"/>
  <c r="AD41" i="452" s="1"/>
  <c r="CZ34" i="453"/>
  <c r="AI41" i="452" s="1"/>
  <c r="CY34" i="453"/>
  <c r="CW19" i="453"/>
  <c r="AD26" i="452" s="1"/>
  <c r="CY19" i="453"/>
  <c r="CZ19" i="453"/>
  <c r="AI26" i="452" s="1"/>
  <c r="CY27" i="453"/>
  <c r="CW27" i="453"/>
  <c r="AD34" i="452" s="1"/>
  <c r="CZ27" i="453"/>
  <c r="AI34" i="452" s="1"/>
  <c r="CZ35" i="453"/>
  <c r="AI42" i="452" s="1"/>
  <c r="CY35" i="453"/>
  <c r="CW35" i="453"/>
  <c r="AD42" i="452" s="1"/>
  <c r="CZ9" i="453"/>
  <c r="AI16" i="452" s="1"/>
  <c r="CY9" i="453"/>
  <c r="CW9" i="453"/>
  <c r="AD16" i="452" s="1"/>
  <c r="CY16" i="453"/>
  <c r="CW16" i="453"/>
  <c r="AD23" i="452" s="1"/>
  <c r="CZ16" i="453"/>
  <c r="AI23" i="452" s="1"/>
  <c r="CY15" i="453"/>
  <c r="CW15" i="453"/>
  <c r="AD22" i="452" s="1"/>
  <c r="CZ15" i="453"/>
  <c r="AI22" i="452" s="1"/>
  <c r="CZ36" i="453"/>
  <c r="AI43" i="452" s="1"/>
  <c r="CY36" i="453"/>
  <c r="CW36" i="453"/>
  <c r="AD43" i="452" s="1"/>
  <c r="CY12" i="453"/>
  <c r="CW12" i="453"/>
  <c r="AD19" i="452" s="1"/>
  <c r="CZ12" i="453"/>
  <c r="AI19" i="452" s="1"/>
  <c r="CZ21" i="453"/>
  <c r="AI28" i="452" s="1"/>
  <c r="CW21" i="453"/>
  <c r="AD28" i="452" s="1"/>
  <c r="CY21" i="453"/>
  <c r="CZ13" i="453"/>
  <c r="AI20" i="452" s="1"/>
  <c r="CY13" i="453"/>
  <c r="CW13" i="453"/>
  <c r="AD20" i="452" s="1"/>
  <c r="CT33" i="453"/>
  <c r="CV33" i="453" s="1"/>
  <c r="CT38" i="453"/>
  <c r="CT21" i="453"/>
  <c r="CV21" i="453" s="1"/>
  <c r="CT19" i="453"/>
  <c r="CV19" i="453" s="1"/>
  <c r="CY22" i="453"/>
  <c r="CW22" i="453"/>
  <c r="AD29" i="452" s="1"/>
  <c r="CZ22" i="453"/>
  <c r="AI29" i="452" s="1"/>
  <c r="CW10" i="453"/>
  <c r="AD17" i="452" s="1"/>
  <c r="CZ10" i="453"/>
  <c r="AI17" i="452" s="1"/>
  <c r="CY10" i="453"/>
  <c r="CZ18" i="453"/>
  <c r="AI25" i="452" s="1"/>
  <c r="CY18" i="453"/>
  <c r="CW18" i="453"/>
  <c r="AD25" i="452" s="1"/>
  <c r="CW32" i="453"/>
  <c r="AD39" i="452" s="1"/>
  <c r="CZ32" i="453"/>
  <c r="AI39" i="452" s="1"/>
  <c r="CY32" i="453"/>
  <c r="CY29" i="453"/>
  <c r="CW29" i="453"/>
  <c r="AD36" i="452" s="1"/>
  <c r="CZ29" i="453"/>
  <c r="AI36" i="452" s="1"/>
  <c r="CW37" i="453"/>
  <c r="AD44" i="452" s="1"/>
  <c r="CZ37" i="453"/>
  <c r="AI44" i="452" s="1"/>
  <c r="CY37" i="453"/>
  <c r="CZ30" i="453"/>
  <c r="AI37" i="452" s="1"/>
  <c r="CY30" i="453"/>
  <c r="CW30" i="453"/>
  <c r="AD37" i="452" s="1"/>
  <c r="CZ38" i="453"/>
  <c r="AI45" i="452" s="1"/>
  <c r="CY38" i="453"/>
  <c r="CW38" i="453"/>
  <c r="AD45" i="452" s="1"/>
  <c r="CT34" i="453"/>
  <c r="CV34" i="453" s="1"/>
  <c r="CZ23" i="453"/>
  <c r="AI30" i="452" s="1"/>
  <c r="CY23" i="453"/>
  <c r="CW23" i="453"/>
  <c r="AD30" i="452" s="1"/>
  <c r="CZ31" i="453"/>
  <c r="AI38" i="452" s="1"/>
  <c r="CY31" i="453"/>
  <c r="CW31" i="453"/>
  <c r="AD38" i="452" s="1"/>
  <c r="CZ11" i="453"/>
  <c r="AI18" i="452" s="1"/>
  <c r="CY11" i="453"/>
  <c r="CW11" i="453"/>
  <c r="AD18" i="452" s="1"/>
  <c r="CZ20" i="453"/>
  <c r="AI27" i="452" s="1"/>
  <c r="CY20" i="453"/>
  <c r="CW20" i="453"/>
  <c r="AD27" i="452" s="1"/>
  <c r="CY8" i="453"/>
  <c r="CW8" i="453"/>
  <c r="AD15" i="452" s="1"/>
  <c r="CZ8" i="453"/>
  <c r="AI15" i="452" s="1"/>
  <c r="CY17" i="453"/>
  <c r="CW17" i="453"/>
  <c r="AD24" i="452" s="1"/>
  <c r="CZ17" i="453"/>
  <c r="AI24" i="452" s="1"/>
  <c r="CY28" i="453"/>
  <c r="CW28" i="453"/>
  <c r="AD35" i="452" s="1"/>
  <c r="CZ28" i="453"/>
  <c r="AI35" i="452" s="1"/>
  <c r="CW14" i="453"/>
  <c r="AD21" i="452" s="1"/>
  <c r="CZ14" i="453"/>
  <c r="AI21" i="452" s="1"/>
  <c r="CY14" i="453"/>
  <c r="CT32" i="453"/>
  <c r="CV32" i="453" s="1"/>
  <c r="CH53" i="236"/>
  <c r="K69" i="455" s="1"/>
  <c r="BH47" i="236"/>
  <c r="AJ22" i="451" s="1"/>
  <c r="CD53" i="236"/>
  <c r="G69" i="455" s="1"/>
  <c r="CQ53" i="236"/>
  <c r="T69" i="455" s="1"/>
  <c r="BL47" i="236"/>
  <c r="AN22" i="451" s="1"/>
  <c r="BU47" i="236"/>
  <c r="AW22" i="451" s="1"/>
  <c r="BN47" i="236"/>
  <c r="AP22" i="451" s="1"/>
  <c r="BJ47" i="236"/>
  <c r="AL22" i="451" s="1"/>
  <c r="AY43" i="236"/>
  <c r="BS8" i="453"/>
  <c r="BS47" i="236"/>
  <c r="AU22" i="451" s="1"/>
  <c r="BQ43" i="236"/>
  <c r="AS21" i="451" s="1"/>
  <c r="BS26" i="453"/>
  <c r="BW47" i="236"/>
  <c r="AY22" i="451" s="1"/>
  <c r="BM47" i="236"/>
  <c r="AO22" i="451" s="1"/>
  <c r="BK47" i="236"/>
  <c r="AM22" i="451" s="1"/>
  <c r="BE47" i="236"/>
  <c r="AG22" i="451" s="1"/>
  <c r="BO47" i="236"/>
  <c r="AQ22" i="451" s="1"/>
  <c r="CJ53" i="236"/>
  <c r="M69" i="455" s="1"/>
  <c r="BP47" i="236"/>
  <c r="AR22" i="451" s="1"/>
  <c r="BD47" i="236"/>
  <c r="AF22" i="451" s="1"/>
  <c r="CF53" i="236"/>
  <c r="I69" i="455" s="1"/>
  <c r="CM53" i="236"/>
  <c r="P69" i="455" s="1"/>
  <c r="CK53" i="236"/>
  <c r="N69" i="455" s="1"/>
  <c r="CE53" i="236"/>
  <c r="N69" i="436" s="1"/>
  <c r="CO53" i="236"/>
  <c r="R69" i="455" s="1"/>
  <c r="CP53" i="236"/>
  <c r="S69" i="455" s="1"/>
  <c r="BY47" i="236"/>
  <c r="BA22" i="451" s="1"/>
  <c r="BZ43" i="236"/>
  <c r="BB21" i="451" s="1"/>
  <c r="BS35" i="453"/>
  <c r="BX47" i="236"/>
  <c r="AZ22" i="451" s="1"/>
  <c r="AZ47" i="236"/>
  <c r="BR47" i="236"/>
  <c r="AT22" i="451" s="1"/>
  <c r="CG53" i="236"/>
  <c r="J69" i="455" s="1"/>
  <c r="CI53" i="236"/>
  <c r="L69" i="455" s="1"/>
  <c r="BI47" i="236"/>
  <c r="AK22" i="451" s="1"/>
  <c r="BA47" i="236"/>
  <c r="AC22" i="451" s="1"/>
  <c r="BG47" i="236"/>
  <c r="AI22" i="451" s="1"/>
  <c r="BF47" i="236"/>
  <c r="AH22" i="451" s="1"/>
  <c r="CB47" i="236"/>
  <c r="BD22" i="451" s="1"/>
  <c r="CA47" i="236"/>
  <c r="BC22" i="451" s="1"/>
  <c r="BC47" i="236"/>
  <c r="AE22" i="451" s="1"/>
  <c r="BV47" i="236"/>
  <c r="AX22" i="451" s="1"/>
  <c r="BT47" i="236"/>
  <c r="AV22" i="451" s="1"/>
  <c r="BB47" i="236"/>
  <c r="AD22" i="451" s="1"/>
  <c r="AI39" i="437" l="1"/>
  <c r="AB33" i="435" s="1"/>
  <c r="AI38" i="437"/>
  <c r="AL33" i="435"/>
  <c r="M69" i="436"/>
  <c r="L69" i="436" s="1"/>
  <c r="M69" i="437"/>
  <c r="L69" i="437" s="1"/>
  <c r="AI37" i="437" s="1"/>
  <c r="DS94" i="434"/>
  <c r="DQ94" i="434"/>
  <c r="S63" i="436"/>
  <c r="H59" i="436"/>
  <c r="H59" i="437"/>
  <c r="H78" i="434"/>
  <c r="AB22" i="451"/>
  <c r="K63" i="437"/>
  <c r="M63" i="437" s="1"/>
  <c r="L63" i="437" s="1"/>
  <c r="K82" i="434"/>
  <c r="AW82" i="434" s="1"/>
  <c r="AV82" i="434" s="1"/>
  <c r="K63" i="436"/>
  <c r="DO88" i="434"/>
  <c r="J82" i="434"/>
  <c r="I82" i="434" s="1"/>
  <c r="DP88" i="434" s="1"/>
  <c r="J63" i="437"/>
  <c r="I63" i="437" s="1"/>
  <c r="J63" i="436"/>
  <c r="I63" i="436" s="1"/>
  <c r="AK39" i="437"/>
  <c r="N67" i="437"/>
  <c r="H67" i="455"/>
  <c r="N69" i="437"/>
  <c r="AK37" i="437" s="1"/>
  <c r="H69" i="455"/>
  <c r="G22" i="451"/>
  <c r="AA21" i="451"/>
  <c r="AH37" i="437"/>
  <c r="AA31" i="435" s="1"/>
  <c r="P48" i="420"/>
  <c r="CE46" i="236"/>
  <c r="N62" i="436" s="1"/>
  <c r="AH48" i="420"/>
  <c r="AE37" i="437"/>
  <c r="X31" i="435" s="1"/>
  <c r="AF37" i="437"/>
  <c r="AQ48" i="420"/>
  <c r="I18" i="458"/>
  <c r="E18" i="458" s="1"/>
  <c r="J29" i="457" s="1"/>
  <c r="S52" i="420"/>
  <c r="CO46" i="236"/>
  <c r="R62" i="455" s="1"/>
  <c r="S51" i="420"/>
  <c r="AM52" i="420"/>
  <c r="AM51" i="420"/>
  <c r="AR52" i="420"/>
  <c r="AR51" i="420"/>
  <c r="W52" i="420"/>
  <c r="W51" i="420"/>
  <c r="R52" i="420"/>
  <c r="CL46" i="236"/>
  <c r="O62" i="455" s="1"/>
  <c r="CP46" i="236"/>
  <c r="S62" i="455" s="1"/>
  <c r="R51" i="420"/>
  <c r="V52" i="420"/>
  <c r="CH46" i="236"/>
  <c r="K62" i="455" s="1"/>
  <c r="V51" i="420"/>
  <c r="AD52" i="420"/>
  <c r="AD51" i="420"/>
  <c r="AE52" i="420"/>
  <c r="AE51" i="420"/>
  <c r="AC52" i="420"/>
  <c r="AC51" i="420"/>
  <c r="CG46" i="236"/>
  <c r="J62" i="455" s="1"/>
  <c r="CM46" i="236"/>
  <c r="P62" i="455" s="1"/>
  <c r="CF46" i="236"/>
  <c r="I62" i="455" s="1"/>
  <c r="Q51" i="420"/>
  <c r="AG52" i="420"/>
  <c r="AG51" i="420"/>
  <c r="AK52" i="420"/>
  <c r="AK51" i="420"/>
  <c r="T52" i="420"/>
  <c r="CQ46" i="236"/>
  <c r="T62" i="455" s="1"/>
  <c r="T51" i="420"/>
  <c r="AS52" i="420"/>
  <c r="AS51" i="420"/>
  <c r="X52" i="420"/>
  <c r="CJ46" i="236"/>
  <c r="M62" i="455" s="1"/>
  <c r="X51" i="420"/>
  <c r="Z52" i="420"/>
  <c r="Z51" i="420"/>
  <c r="AF52" i="420"/>
  <c r="CK46" i="236"/>
  <c r="N62" i="455" s="1"/>
  <c r="AF51" i="420"/>
  <c r="AB52" i="420"/>
  <c r="AB51" i="420"/>
  <c r="AN52" i="420"/>
  <c r="AN51" i="420"/>
  <c r="AJ52" i="420"/>
  <c r="AJ51" i="420"/>
  <c r="AA52" i="420"/>
  <c r="AA51" i="420"/>
  <c r="AL52" i="420"/>
  <c r="AL51" i="420"/>
  <c r="CD46" i="236"/>
  <c r="G62" i="455" s="1"/>
  <c r="AI52" i="420"/>
  <c r="AI51" i="420"/>
  <c r="AO52" i="420"/>
  <c r="AO51" i="420"/>
  <c r="AP52" i="420"/>
  <c r="AP51" i="420"/>
  <c r="U52" i="420"/>
  <c r="U51" i="420"/>
  <c r="Y52" i="420"/>
  <c r="CI46" i="236"/>
  <c r="L62" i="455" s="1"/>
  <c r="Y51" i="420"/>
  <c r="CN46" i="236"/>
  <c r="Q62" i="455" s="1"/>
  <c r="G18" i="458"/>
  <c r="K29" i="457" s="1"/>
  <c r="D17" i="458"/>
  <c r="I28" i="457" s="1"/>
  <c r="Q52" i="420"/>
  <c r="CU41" i="459"/>
  <c r="CU42" i="459"/>
  <c r="DA40" i="459"/>
  <c r="CN47" i="236"/>
  <c r="Q63" i="455" s="1"/>
  <c r="CL47" i="236"/>
  <c r="O63" i="455" s="1"/>
  <c r="AH21" i="452"/>
  <c r="DB14" i="453"/>
  <c r="DA14" i="453"/>
  <c r="DE14" i="453" s="1"/>
  <c r="AI54" i="452"/>
  <c r="AH42" i="452"/>
  <c r="DA35" i="453"/>
  <c r="DE35" i="453" s="1"/>
  <c r="DB35" i="453"/>
  <c r="AH26" i="452"/>
  <c r="DB19" i="453"/>
  <c r="DA19" i="453"/>
  <c r="AH40" i="452"/>
  <c r="DA33" i="453"/>
  <c r="DE33" i="453" s="1"/>
  <c r="DB33" i="453"/>
  <c r="AH27" i="452"/>
  <c r="DA20" i="453"/>
  <c r="DB20" i="453"/>
  <c r="AH18" i="452"/>
  <c r="DA11" i="453"/>
  <c r="DE11" i="453" s="1"/>
  <c r="DB11" i="453"/>
  <c r="AH38" i="452"/>
  <c r="DA31" i="453"/>
  <c r="DB31" i="453"/>
  <c r="AH30" i="452"/>
  <c r="DB23" i="453"/>
  <c r="DA23" i="453"/>
  <c r="AH44" i="452"/>
  <c r="DA37" i="453"/>
  <c r="DE37" i="453" s="1"/>
  <c r="DB37" i="453"/>
  <c r="AH39" i="452"/>
  <c r="DA32" i="453"/>
  <c r="DE32" i="453" s="1"/>
  <c r="DB32" i="453"/>
  <c r="AH17" i="452"/>
  <c r="DA10" i="453"/>
  <c r="DE10" i="453" s="1"/>
  <c r="DB10" i="453"/>
  <c r="AH28" i="452"/>
  <c r="DB21" i="453"/>
  <c r="DA21" i="453"/>
  <c r="DE21" i="453" s="1"/>
  <c r="CN40" i="453"/>
  <c r="AH34" i="452"/>
  <c r="DA27" i="453"/>
  <c r="DB27" i="453"/>
  <c r="DE19" i="453"/>
  <c r="AH33" i="452"/>
  <c r="DA26" i="453"/>
  <c r="DE26" i="453" s="1"/>
  <c r="DB26" i="453"/>
  <c r="AH35" i="452"/>
  <c r="DA28" i="453"/>
  <c r="DB28" i="453"/>
  <c r="AH24" i="452"/>
  <c r="DB17" i="453"/>
  <c r="DA17" i="453"/>
  <c r="AH15" i="452"/>
  <c r="DA8" i="453"/>
  <c r="DB8" i="453"/>
  <c r="AH45" i="452"/>
  <c r="DA38" i="453"/>
  <c r="DB38" i="453"/>
  <c r="AH37" i="452"/>
  <c r="DB30" i="453"/>
  <c r="DA30" i="453"/>
  <c r="AH25" i="452"/>
  <c r="DB18" i="453"/>
  <c r="DA18" i="453"/>
  <c r="DE18" i="453" s="1"/>
  <c r="AH20" i="452"/>
  <c r="DA13" i="453"/>
  <c r="DE13" i="453" s="1"/>
  <c r="DB13" i="453"/>
  <c r="AH43" i="452"/>
  <c r="DB36" i="453"/>
  <c r="DA36" i="453"/>
  <c r="DE36" i="453" s="1"/>
  <c r="AH16" i="452"/>
  <c r="DA9" i="453"/>
  <c r="DB9" i="453"/>
  <c r="AH36" i="452"/>
  <c r="DA29" i="453"/>
  <c r="DB29" i="453"/>
  <c r="AH29" i="452"/>
  <c r="DA22" i="453"/>
  <c r="DE22" i="453" s="1"/>
  <c r="DB22" i="453"/>
  <c r="AH19" i="452"/>
  <c r="DB12" i="453"/>
  <c r="DA12" i="453"/>
  <c r="DE12" i="453" s="1"/>
  <c r="AH22" i="452"/>
  <c r="DB15" i="453"/>
  <c r="DA15" i="453"/>
  <c r="AH23" i="452"/>
  <c r="DB16" i="453"/>
  <c r="DA16" i="453"/>
  <c r="AH41" i="452"/>
  <c r="DA34" i="453"/>
  <c r="DE34" i="453" s="1"/>
  <c r="DB34" i="453"/>
  <c r="AH32" i="452"/>
  <c r="DA25" i="453"/>
  <c r="DB25" i="453"/>
  <c r="AH31" i="452"/>
  <c r="DB24" i="453"/>
  <c r="DA24" i="453"/>
  <c r="BH43" i="236"/>
  <c r="AJ21" i="451" s="1"/>
  <c r="BS17" i="453"/>
  <c r="CQ47" i="236"/>
  <c r="T63" i="455" s="1"/>
  <c r="CD47" i="236"/>
  <c r="G63" i="455" s="1"/>
  <c r="CG47" i="236"/>
  <c r="J63" i="455" s="1"/>
  <c r="CH47" i="236"/>
  <c r="K63" i="455" s="1"/>
  <c r="BE43" i="236"/>
  <c r="AG21" i="451" s="1"/>
  <c r="BM43" i="236"/>
  <c r="AO21" i="451" s="1"/>
  <c r="BS22" i="453"/>
  <c r="BQ42" i="236"/>
  <c r="AS20" i="451" s="1"/>
  <c r="BB43" i="236"/>
  <c r="AD21" i="451" s="1"/>
  <c r="CA43" i="236"/>
  <c r="BC21" i="451" s="1"/>
  <c r="BS36" i="453"/>
  <c r="BA43" i="236"/>
  <c r="AC21" i="451" s="1"/>
  <c r="AZ43" i="236"/>
  <c r="BZ42" i="236"/>
  <c r="BB20" i="451" s="1"/>
  <c r="CE47" i="236"/>
  <c r="N63" i="436" s="1"/>
  <c r="BP43" i="236"/>
  <c r="AR21" i="451" s="1"/>
  <c r="BS25" i="453"/>
  <c r="CO47" i="236"/>
  <c r="R63" i="455" s="1"/>
  <c r="BS43" i="236"/>
  <c r="AU21" i="451" s="1"/>
  <c r="BS28" i="453"/>
  <c r="BJ43" i="236"/>
  <c r="AL21" i="451" s="1"/>
  <c r="BS19" i="453"/>
  <c r="BU43" i="236"/>
  <c r="AW21" i="451" s="1"/>
  <c r="BS30" i="453"/>
  <c r="BV43" i="236"/>
  <c r="AX21" i="451" s="1"/>
  <c r="BS31" i="453"/>
  <c r="BF43" i="236"/>
  <c r="AH21" i="451" s="1"/>
  <c r="CJ47" i="236"/>
  <c r="M63" i="455" s="1"/>
  <c r="CF47" i="236"/>
  <c r="I63" i="455" s="1"/>
  <c r="CM47" i="236"/>
  <c r="P63" i="455" s="1"/>
  <c r="BO43" i="236"/>
  <c r="AQ21" i="451" s="1"/>
  <c r="BS24" i="453"/>
  <c r="BK43" i="236"/>
  <c r="AM21" i="451" s="1"/>
  <c r="BS20" i="453"/>
  <c r="BW43" i="236"/>
  <c r="AY21" i="451" s="1"/>
  <c r="BS32" i="453"/>
  <c r="BT43" i="236"/>
  <c r="AV21" i="451" s="1"/>
  <c r="BS29" i="453"/>
  <c r="BC43" i="236"/>
  <c r="AE21" i="451" s="1"/>
  <c r="CB43" i="236"/>
  <c r="BD21" i="451" s="1"/>
  <c r="BS37" i="453"/>
  <c r="BG43" i="236"/>
  <c r="AI21" i="451" s="1"/>
  <c r="BI43" i="236"/>
  <c r="AK21" i="451" s="1"/>
  <c r="BS18" i="453"/>
  <c r="BR43" i="236"/>
  <c r="AT21" i="451" s="1"/>
  <c r="BS27" i="453"/>
  <c r="BX43" i="236"/>
  <c r="AZ21" i="451" s="1"/>
  <c r="BS33" i="453"/>
  <c r="BY43" i="236"/>
  <c r="BA21" i="451" s="1"/>
  <c r="BS34" i="453"/>
  <c r="CK47" i="236"/>
  <c r="N63" i="455" s="1"/>
  <c r="CI47" i="236"/>
  <c r="L63" i="455" s="1"/>
  <c r="BD43" i="236"/>
  <c r="AF21" i="451" s="1"/>
  <c r="CP47" i="236"/>
  <c r="S63" i="455" s="1"/>
  <c r="AY42" i="236"/>
  <c r="BN43" i="236"/>
  <c r="AP21" i="451" s="1"/>
  <c r="BS23" i="453"/>
  <c r="BL43" i="236"/>
  <c r="AN21" i="451" s="1"/>
  <c r="BS21" i="453"/>
  <c r="Y51" i="435"/>
  <c r="AB51" i="435"/>
  <c r="AH36" i="437" l="1"/>
  <c r="AA30" i="435" s="1"/>
  <c r="S59" i="436"/>
  <c r="H58" i="436"/>
  <c r="H58" i="437"/>
  <c r="H77" i="434"/>
  <c r="M63" i="436"/>
  <c r="L63" i="436" s="1"/>
  <c r="J78" i="434"/>
  <c r="I78" i="434" s="1"/>
  <c r="DP84" i="434" s="1"/>
  <c r="DO84" i="434"/>
  <c r="J59" i="437"/>
  <c r="I59" i="437" s="1"/>
  <c r="AB21" i="451"/>
  <c r="K59" i="437"/>
  <c r="AH35" i="437" s="1"/>
  <c r="AA29" i="435" s="1"/>
  <c r="K78" i="434"/>
  <c r="AW78" i="434" s="1"/>
  <c r="AV78" i="434" s="1"/>
  <c r="K59" i="436"/>
  <c r="M59" i="436" s="1"/>
  <c r="L59" i="436" s="1"/>
  <c r="DQ88" i="434"/>
  <c r="DS88" i="434"/>
  <c r="J59" i="436"/>
  <c r="I59" i="436" s="1"/>
  <c r="N63" i="437"/>
  <c r="AK36" i="437" s="1"/>
  <c r="H63" i="455"/>
  <c r="N62" i="437"/>
  <c r="H62" i="455"/>
  <c r="AI36" i="437"/>
  <c r="G21" i="451"/>
  <c r="AA20" i="451"/>
  <c r="AN48" i="420"/>
  <c r="W48" i="420"/>
  <c r="AR48" i="420"/>
  <c r="AO48" i="420"/>
  <c r="T48" i="420"/>
  <c r="AF48" i="420"/>
  <c r="AL48" i="420"/>
  <c r="AJ48" i="420"/>
  <c r="Y48" i="420"/>
  <c r="U48" i="420"/>
  <c r="AP48" i="420"/>
  <c r="AI48" i="420"/>
  <c r="AK48" i="420"/>
  <c r="AB48" i="420"/>
  <c r="AM48" i="420"/>
  <c r="AA48" i="420"/>
  <c r="D16" i="458"/>
  <c r="I27" i="457" s="1"/>
  <c r="S48" i="420"/>
  <c r="V48" i="420"/>
  <c r="Z48" i="420"/>
  <c r="AC48" i="420"/>
  <c r="X48" i="420"/>
  <c r="AQ46" i="420"/>
  <c r="AD48" i="420"/>
  <c r="AE48" i="420"/>
  <c r="AS48" i="420"/>
  <c r="AG48" i="420"/>
  <c r="R48" i="420"/>
  <c r="AH46" i="420"/>
  <c r="AE36" i="437"/>
  <c r="X30" i="435" s="1"/>
  <c r="AF36" i="437"/>
  <c r="P46" i="420"/>
  <c r="I17" i="458"/>
  <c r="E17" i="458" s="1"/>
  <c r="J28" i="457" s="1"/>
  <c r="P47" i="420"/>
  <c r="BX35" i="453"/>
  <c r="AQ47" i="420"/>
  <c r="Q48" i="420"/>
  <c r="BX26" i="453"/>
  <c r="AH47" i="420"/>
  <c r="CO41" i="459"/>
  <c r="CO42" i="459"/>
  <c r="G17" i="458"/>
  <c r="K28" i="457" s="1"/>
  <c r="CU40" i="459"/>
  <c r="AK31" i="435"/>
  <c r="AL31" i="435"/>
  <c r="CN43" i="236"/>
  <c r="Q59" i="455" s="1"/>
  <c r="CL43" i="236"/>
  <c r="O59" i="455" s="1"/>
  <c r="CQ27" i="453"/>
  <c r="CR27" i="453"/>
  <c r="CQ37" i="453"/>
  <c r="CR37" i="453"/>
  <c r="CQ20" i="453"/>
  <c r="CR20" i="453"/>
  <c r="CQ35" i="453"/>
  <c r="CR35" i="453"/>
  <c r="CQ24" i="453"/>
  <c r="CR24" i="453"/>
  <c r="CQ25" i="453"/>
  <c r="CR25" i="453"/>
  <c r="CQ15" i="453"/>
  <c r="CR15" i="453"/>
  <c r="CQ12" i="453"/>
  <c r="CR12" i="453"/>
  <c r="DE29" i="453"/>
  <c r="CQ29" i="453"/>
  <c r="CR29" i="453"/>
  <c r="CQ9" i="453"/>
  <c r="CR9" i="453"/>
  <c r="CQ36" i="453"/>
  <c r="CR36" i="453"/>
  <c r="CQ30" i="453"/>
  <c r="CR30" i="453"/>
  <c r="CQ8" i="453"/>
  <c r="CR8" i="453"/>
  <c r="CQ21" i="453"/>
  <c r="CR21" i="453"/>
  <c r="CQ23" i="453"/>
  <c r="CR23" i="453"/>
  <c r="CQ11" i="453"/>
  <c r="CR11" i="453"/>
  <c r="DE27" i="453"/>
  <c r="DE20" i="453"/>
  <c r="CQ14" i="453"/>
  <c r="CR14" i="453"/>
  <c r="CQ34" i="453"/>
  <c r="CR34" i="453"/>
  <c r="DE16" i="453"/>
  <c r="CQ16" i="453"/>
  <c r="CR16" i="453"/>
  <c r="CQ18" i="453"/>
  <c r="CR18" i="453"/>
  <c r="CQ38" i="453"/>
  <c r="CR38" i="453"/>
  <c r="DE24" i="453"/>
  <c r="DE30" i="453"/>
  <c r="CQ31" i="453"/>
  <c r="CR31" i="453"/>
  <c r="DE8" i="453"/>
  <c r="CQ33" i="453"/>
  <c r="CR33" i="453"/>
  <c r="CQ19" i="453"/>
  <c r="CR19" i="453"/>
  <c r="DE23" i="453"/>
  <c r="CQ22" i="453"/>
  <c r="CR22" i="453"/>
  <c r="DE15" i="453"/>
  <c r="CQ13" i="453"/>
  <c r="CR13" i="453"/>
  <c r="CQ17" i="453"/>
  <c r="CR17" i="453"/>
  <c r="DE28" i="453"/>
  <c r="CQ28" i="453"/>
  <c r="CR28" i="453"/>
  <c r="DE25" i="453"/>
  <c r="CQ26" i="453"/>
  <c r="CR26" i="453"/>
  <c r="DE9" i="453"/>
  <c r="CQ10" i="453"/>
  <c r="CR10" i="453"/>
  <c r="CQ32" i="453"/>
  <c r="CR32" i="453"/>
  <c r="DE38" i="453"/>
  <c r="DE17" i="453"/>
  <c r="DE31" i="453"/>
  <c r="BH42" i="236"/>
  <c r="AJ20" i="451" s="1"/>
  <c r="CK43" i="236"/>
  <c r="N59" i="455" s="1"/>
  <c r="CG43" i="236"/>
  <c r="J59" i="455" s="1"/>
  <c r="BO42" i="236"/>
  <c r="AQ20" i="451" s="1"/>
  <c r="CI43" i="236"/>
  <c r="L59" i="455" s="1"/>
  <c r="BQ39" i="236"/>
  <c r="AS19" i="451" s="1"/>
  <c r="BE42" i="236"/>
  <c r="AG20" i="451" s="1"/>
  <c r="BS14" i="453"/>
  <c r="BI42" i="236"/>
  <c r="AK20" i="451" s="1"/>
  <c r="BT42" i="236"/>
  <c r="AV20" i="451" s="1"/>
  <c r="BL42" i="236"/>
  <c r="AN20" i="451" s="1"/>
  <c r="AY39" i="236"/>
  <c r="CP43" i="236"/>
  <c r="S59" i="455" s="1"/>
  <c r="BV42" i="236"/>
  <c r="AX20" i="451" s="1"/>
  <c r="BJ42" i="236"/>
  <c r="AL20" i="451" s="1"/>
  <c r="AZ42" i="236"/>
  <c r="BS9" i="453"/>
  <c r="CA42" i="236"/>
  <c r="BC20" i="451" s="1"/>
  <c r="CO43" i="236"/>
  <c r="R59" i="455" s="1"/>
  <c r="BX42" i="236"/>
  <c r="AZ20" i="451" s="1"/>
  <c r="CB42" i="236"/>
  <c r="BD20" i="451" s="1"/>
  <c r="BW42" i="236"/>
  <c r="AY20" i="451" s="1"/>
  <c r="BY42" i="236"/>
  <c r="BA20" i="451" s="1"/>
  <c r="BR42" i="236"/>
  <c r="AT20" i="451" s="1"/>
  <c r="BG42" i="236"/>
  <c r="AI20" i="451" s="1"/>
  <c r="BS16" i="453"/>
  <c r="BC42" i="236"/>
  <c r="AE20" i="451" s="1"/>
  <c r="BS12" i="453"/>
  <c r="BK42" i="236"/>
  <c r="AM20" i="451" s="1"/>
  <c r="CJ43" i="236"/>
  <c r="M59" i="455" s="1"/>
  <c r="AB48" i="435"/>
  <c r="CD43" i="236"/>
  <c r="G59" i="455" s="1"/>
  <c r="CM43" i="236"/>
  <c r="P59" i="455" s="1"/>
  <c r="BM42" i="236"/>
  <c r="AO20" i="451" s="1"/>
  <c r="BN42" i="236"/>
  <c r="AP20" i="451" s="1"/>
  <c r="BD42" i="236"/>
  <c r="AF20" i="451" s="1"/>
  <c r="BS13" i="453"/>
  <c r="CQ43" i="236"/>
  <c r="T59" i="455" s="1"/>
  <c r="Y48" i="435"/>
  <c r="BF42" i="236"/>
  <c r="AH20" i="451" s="1"/>
  <c r="BS15" i="453"/>
  <c r="BU42" i="236"/>
  <c r="AW20" i="451" s="1"/>
  <c r="BS42" i="236"/>
  <c r="AU20" i="451" s="1"/>
  <c r="BP42" i="236"/>
  <c r="AR20" i="451" s="1"/>
  <c r="BZ39" i="236"/>
  <c r="BB19" i="451" s="1"/>
  <c r="BA42" i="236"/>
  <c r="AC20" i="451" s="1"/>
  <c r="BS10" i="453"/>
  <c r="BB42" i="236"/>
  <c r="AD20" i="451" s="1"/>
  <c r="BS11" i="453"/>
  <c r="CF43" i="236"/>
  <c r="I59" i="455" s="1"/>
  <c r="CE43" i="236"/>
  <c r="N59" i="436" s="1"/>
  <c r="CH43" i="236"/>
  <c r="K59" i="455" s="1"/>
  <c r="AG6" i="436"/>
  <c r="AB20" i="451" l="1"/>
  <c r="K58" i="437"/>
  <c r="K58" i="436"/>
  <c r="K77" i="434"/>
  <c r="AW77" i="434" s="1"/>
  <c r="AV77" i="434" s="1"/>
  <c r="H55" i="436"/>
  <c r="H55" i="437"/>
  <c r="H74" i="434"/>
  <c r="DS84" i="434"/>
  <c r="DQ84" i="434"/>
  <c r="DO83" i="434"/>
  <c r="J77" i="434"/>
  <c r="I77" i="434" s="1"/>
  <c r="DP83" i="434" s="1"/>
  <c r="M59" i="437"/>
  <c r="L59" i="437" s="1"/>
  <c r="AI35" i="437" s="1"/>
  <c r="J58" i="437"/>
  <c r="I58" i="437" s="1"/>
  <c r="S58" i="436"/>
  <c r="J58" i="436"/>
  <c r="I58" i="436" s="1"/>
  <c r="N59" i="437"/>
  <c r="H59" i="455"/>
  <c r="AA19" i="451"/>
  <c r="G20" i="451"/>
  <c r="I16" i="458"/>
  <c r="E16" i="458" s="1"/>
  <c r="J27" i="457" s="1"/>
  <c r="AR46" i="420"/>
  <c r="AM46" i="420"/>
  <c r="AG46" i="420"/>
  <c r="W46" i="420"/>
  <c r="U46" i="420"/>
  <c r="AI46" i="420"/>
  <c r="AJ46" i="420"/>
  <c r="AE46" i="420"/>
  <c r="AA46" i="420"/>
  <c r="AC46" i="420"/>
  <c r="AE35" i="437"/>
  <c r="X29" i="435" s="1"/>
  <c r="AK29" i="435" s="1"/>
  <c r="AF35" i="437"/>
  <c r="AD46" i="420"/>
  <c r="AN46" i="420"/>
  <c r="AK46" i="420"/>
  <c r="AB46" i="420"/>
  <c r="AS46" i="420"/>
  <c r="Z46" i="420"/>
  <c r="AH34" i="437"/>
  <c r="CD41" i="236"/>
  <c r="G57" i="455" s="1"/>
  <c r="AQ44" i="420"/>
  <c r="AQ43" i="420"/>
  <c r="CE41" i="236"/>
  <c r="N57" i="436" s="1"/>
  <c r="CJ41" i="236"/>
  <c r="M57" i="455" s="1"/>
  <c r="X46" i="420"/>
  <c r="AP47" i="420"/>
  <c r="AP46" i="420"/>
  <c r="AH44" i="420"/>
  <c r="AH43" i="420"/>
  <c r="CK41" i="236"/>
  <c r="N57" i="455" s="1"/>
  <c r="AF46" i="420"/>
  <c r="CI41" i="236"/>
  <c r="L57" i="455" s="1"/>
  <c r="Y46" i="420"/>
  <c r="CL41" i="236"/>
  <c r="O57" i="455" s="1"/>
  <c r="CP41" i="236"/>
  <c r="S57" i="455" s="1"/>
  <c r="R46" i="420"/>
  <c r="AL47" i="420"/>
  <c r="AL46" i="420"/>
  <c r="CQ41" i="236"/>
  <c r="T57" i="455" s="1"/>
  <c r="T46" i="420"/>
  <c r="CF41" i="236"/>
  <c r="I57" i="455" s="1"/>
  <c r="Q46" i="420"/>
  <c r="P43" i="420"/>
  <c r="CM41" i="236"/>
  <c r="P57" i="455" s="1"/>
  <c r="CO41" i="236"/>
  <c r="R57" i="455" s="1"/>
  <c r="S46" i="420"/>
  <c r="AO47" i="420"/>
  <c r="AO46" i="420"/>
  <c r="CH41" i="236"/>
  <c r="K57" i="455" s="1"/>
  <c r="V46" i="420"/>
  <c r="CG41" i="236"/>
  <c r="J57" i="455" s="1"/>
  <c r="CN41" i="236"/>
  <c r="Q57" i="455" s="1"/>
  <c r="D15" i="458"/>
  <c r="I15" i="458" s="1"/>
  <c r="E15" i="458" s="1"/>
  <c r="J26" i="457" s="1"/>
  <c r="P44" i="420"/>
  <c r="BX28" i="453"/>
  <c r="AJ47" i="420"/>
  <c r="BX23" i="453"/>
  <c r="AE47" i="420"/>
  <c r="BX19" i="453"/>
  <c r="AA47" i="420"/>
  <c r="BX21" i="453"/>
  <c r="AC47" i="420"/>
  <c r="BX18" i="453"/>
  <c r="Z47" i="420"/>
  <c r="W47" i="420"/>
  <c r="X47" i="420"/>
  <c r="BX37" i="453"/>
  <c r="AS47" i="420"/>
  <c r="BX24" i="453"/>
  <c r="AF47" i="420"/>
  <c r="BX17" i="453"/>
  <c r="Y47" i="420"/>
  <c r="R47" i="420"/>
  <c r="BX25" i="453"/>
  <c r="AG47" i="420"/>
  <c r="BX13" i="453"/>
  <c r="U47" i="420"/>
  <c r="BX22" i="453"/>
  <c r="AD47" i="420"/>
  <c r="BX12" i="453"/>
  <c r="T47" i="420"/>
  <c r="Q47" i="420"/>
  <c r="BX31" i="453"/>
  <c r="AM47" i="420"/>
  <c r="BX29" i="453"/>
  <c r="AK47" i="420"/>
  <c r="S47" i="420"/>
  <c r="BX20" i="453"/>
  <c r="AB47" i="420"/>
  <c r="BX27" i="453"/>
  <c r="AI47" i="420"/>
  <c r="BX32" i="453"/>
  <c r="AN47" i="420"/>
  <c r="BX36" i="453"/>
  <c r="AR47" i="420"/>
  <c r="V47" i="420"/>
  <c r="CI41" i="459"/>
  <c r="CI42" i="459"/>
  <c r="G16" i="458"/>
  <c r="K27" i="457" s="1"/>
  <c r="CO40" i="459"/>
  <c r="AL30" i="435"/>
  <c r="AK30" i="435"/>
  <c r="CX12" i="453"/>
  <c r="DC12" i="453" s="1"/>
  <c r="DD12" i="453" s="1"/>
  <c r="CN42" i="236"/>
  <c r="Q58" i="455" s="1"/>
  <c r="CL42" i="236"/>
  <c r="O58" i="455" s="1"/>
  <c r="CX25" i="453"/>
  <c r="DC25" i="453" s="1"/>
  <c r="DD25" i="453" s="1"/>
  <c r="CX35" i="453"/>
  <c r="DC35" i="453" s="1"/>
  <c r="DD35" i="453" s="1"/>
  <c r="CX37" i="453"/>
  <c r="DC37" i="453" s="1"/>
  <c r="DD37" i="453" s="1"/>
  <c r="CX18" i="453"/>
  <c r="DC18" i="453" s="1"/>
  <c r="DD18" i="453" s="1"/>
  <c r="AD48" i="435"/>
  <c r="CX32" i="453"/>
  <c r="DC32" i="453" s="1"/>
  <c r="DD32" i="453" s="1"/>
  <c r="CX28" i="453"/>
  <c r="DC28" i="453" s="1"/>
  <c r="DD28" i="453" s="1"/>
  <c r="CX22" i="453"/>
  <c r="DC22" i="453" s="1"/>
  <c r="DD22" i="453" s="1"/>
  <c r="CX31" i="453"/>
  <c r="DC31" i="453" s="1"/>
  <c r="DD31" i="453" s="1"/>
  <c r="CX38" i="453"/>
  <c r="DC38" i="453" s="1"/>
  <c r="DD38" i="453" s="1"/>
  <c r="CX16" i="453"/>
  <c r="DC16" i="453" s="1"/>
  <c r="DD16" i="453" s="1"/>
  <c r="CX15" i="453"/>
  <c r="DC15" i="453" s="1"/>
  <c r="DD15" i="453" s="1"/>
  <c r="CX24" i="453"/>
  <c r="DC24" i="453" s="1"/>
  <c r="DD24" i="453" s="1"/>
  <c r="CX20" i="453"/>
  <c r="DC20" i="453" s="1"/>
  <c r="DD20" i="453" s="1"/>
  <c r="CX27" i="453"/>
  <c r="AG34" i="452" s="1"/>
  <c r="CX10" i="453"/>
  <c r="DC10" i="453" s="1"/>
  <c r="DD10" i="453" s="1"/>
  <c r="CX21" i="453"/>
  <c r="DC21" i="453" s="1"/>
  <c r="DD21" i="453" s="1"/>
  <c r="CX17" i="453"/>
  <c r="CX19" i="453"/>
  <c r="CX34" i="453"/>
  <c r="CX23" i="453"/>
  <c r="CX8" i="453"/>
  <c r="CX36" i="453"/>
  <c r="CX29" i="453"/>
  <c r="BX33" i="453"/>
  <c r="BX30" i="453"/>
  <c r="BX34" i="453"/>
  <c r="CX26" i="453"/>
  <c r="CX13" i="453"/>
  <c r="CX33" i="453"/>
  <c r="CX14" i="453"/>
  <c r="CX11" i="453"/>
  <c r="CX30" i="453"/>
  <c r="CX9" i="453"/>
  <c r="BH39" i="236"/>
  <c r="AJ19" i="451" s="1"/>
  <c r="CI42" i="236"/>
  <c r="L58" i="455" s="1"/>
  <c r="BR39" i="236"/>
  <c r="AT19" i="451" s="1"/>
  <c r="CG42" i="236"/>
  <c r="J58" i="455" s="1"/>
  <c r="CM42" i="236"/>
  <c r="P58" i="455" s="1"/>
  <c r="CB39" i="236"/>
  <c r="BD19" i="451" s="1"/>
  <c r="CA39" i="236"/>
  <c r="BC19" i="451" s="1"/>
  <c r="CJ42" i="236"/>
  <c r="M58" i="455" s="1"/>
  <c r="AB47" i="435"/>
  <c r="BX9" i="453"/>
  <c r="BL39" i="236"/>
  <c r="AN19" i="451" s="1"/>
  <c r="BT39" i="236"/>
  <c r="AV19" i="451" s="1"/>
  <c r="CO42" i="236"/>
  <c r="R58" i="455" s="1"/>
  <c r="BU39" i="236"/>
  <c r="AW19" i="451" s="1"/>
  <c r="BX15" i="453"/>
  <c r="BA39" i="236"/>
  <c r="AC19" i="451" s="1"/>
  <c r="BS39" i="236"/>
  <c r="AU19" i="451" s="1"/>
  <c r="BD39" i="236"/>
  <c r="AF19" i="451" s="1"/>
  <c r="BM39" i="236"/>
  <c r="AO19" i="451" s="1"/>
  <c r="BG39" i="236"/>
  <c r="AI19" i="451" s="1"/>
  <c r="CE42" i="236"/>
  <c r="N58" i="436" s="1"/>
  <c r="BW39" i="236"/>
  <c r="AY19" i="451" s="1"/>
  <c r="BV39" i="236"/>
  <c r="AX19" i="451" s="1"/>
  <c r="AY37" i="236"/>
  <c r="BQ37" i="236"/>
  <c r="AS18" i="451" s="1"/>
  <c r="BB39" i="236"/>
  <c r="AD19" i="451" s="1"/>
  <c r="BP39" i="236"/>
  <c r="AR19" i="451" s="1"/>
  <c r="BN39" i="236"/>
  <c r="AP19" i="451" s="1"/>
  <c r="BK39" i="236"/>
  <c r="AM19" i="451" s="1"/>
  <c r="BC39" i="236"/>
  <c r="AE19" i="451" s="1"/>
  <c r="CQ42" i="236"/>
  <c r="T58" i="455" s="1"/>
  <c r="CF42" i="236"/>
  <c r="I58" i="455" s="1"/>
  <c r="CK42" i="236"/>
  <c r="N58" i="455" s="1"/>
  <c r="CH42" i="236"/>
  <c r="K58" i="455" s="1"/>
  <c r="BS38" i="453"/>
  <c r="BT17" i="453" s="1"/>
  <c r="BJ39" i="236"/>
  <c r="AL19" i="451" s="1"/>
  <c r="BO39" i="236"/>
  <c r="AQ19" i="451" s="1"/>
  <c r="BZ37" i="236"/>
  <c r="BB18" i="451" s="1"/>
  <c r="BF39" i="236"/>
  <c r="AH19" i="451" s="1"/>
  <c r="BY39" i="236"/>
  <c r="BA19" i="451" s="1"/>
  <c r="CD42" i="236"/>
  <c r="G58" i="455" s="1"/>
  <c r="BX39" i="236"/>
  <c r="AZ19" i="451" s="1"/>
  <c r="AZ39" i="236"/>
  <c r="BI39" i="236"/>
  <c r="AK19" i="451" s="1"/>
  <c r="BE39" i="236"/>
  <c r="AG19" i="451" s="1"/>
  <c r="CP42" i="236"/>
  <c r="S58" i="455" s="1"/>
  <c r="AD50" i="435"/>
  <c r="AD52" i="435"/>
  <c r="BX8" i="453"/>
  <c r="BX16" i="453"/>
  <c r="BX10" i="453"/>
  <c r="BX14" i="453"/>
  <c r="BX11" i="453"/>
  <c r="AB50" i="435"/>
  <c r="Y50" i="435"/>
  <c r="DO80" i="434" l="1"/>
  <c r="J74" i="434"/>
  <c r="I74" i="434" s="1"/>
  <c r="DQ83" i="434"/>
  <c r="DS83" i="434"/>
  <c r="J55" i="437"/>
  <c r="I55" i="437" s="1"/>
  <c r="M58" i="436"/>
  <c r="L58" i="436" s="1"/>
  <c r="H53" i="436"/>
  <c r="H53" i="437"/>
  <c r="H72" i="434"/>
  <c r="K55" i="437"/>
  <c r="K74" i="434"/>
  <c r="AW74" i="434" s="1"/>
  <c r="AV74" i="434" s="1"/>
  <c r="K55" i="436"/>
  <c r="M55" i="436" s="1"/>
  <c r="L55" i="436" s="1"/>
  <c r="S55" i="436"/>
  <c r="M58" i="437"/>
  <c r="L58" i="437" s="1"/>
  <c r="AI34" i="437" s="1"/>
  <c r="J55" i="436"/>
  <c r="I55" i="436" s="1"/>
  <c r="N58" i="437"/>
  <c r="AK34" i="437" s="1"/>
  <c r="H58" i="455"/>
  <c r="N57" i="437"/>
  <c r="H57" i="455"/>
  <c r="AA18" i="451"/>
  <c r="AB19" i="451"/>
  <c r="G19" i="451"/>
  <c r="I26" i="457"/>
  <c r="AL29" i="435"/>
  <c r="AD43" i="420"/>
  <c r="AE34" i="437"/>
  <c r="AF34" i="437"/>
  <c r="CF38" i="236"/>
  <c r="I54" i="455" s="1"/>
  <c r="Q43" i="420"/>
  <c r="AF44" i="420"/>
  <c r="CK38" i="236"/>
  <c r="N54" i="455" s="1"/>
  <c r="AF43" i="420"/>
  <c r="Z44" i="420"/>
  <c r="Z43" i="420"/>
  <c r="AP44" i="420"/>
  <c r="AP43" i="420"/>
  <c r="AQ42" i="420"/>
  <c r="AQ41" i="420"/>
  <c r="AA44" i="420"/>
  <c r="AA43" i="420"/>
  <c r="AH42" i="420"/>
  <c r="AH41" i="420"/>
  <c r="P41" i="420"/>
  <c r="R44" i="420"/>
  <c r="CL38" i="236"/>
  <c r="O54" i="455" s="1"/>
  <c r="CP38" i="236"/>
  <c r="S54" i="455" s="1"/>
  <c r="R43" i="420"/>
  <c r="AL44" i="420"/>
  <c r="AL43" i="420"/>
  <c r="CD38" i="236"/>
  <c r="G54" i="455" s="1"/>
  <c r="T44" i="420"/>
  <c r="CQ38" i="236"/>
  <c r="T54" i="455" s="1"/>
  <c r="T43" i="420"/>
  <c r="S44" i="420"/>
  <c r="CO38" i="236"/>
  <c r="R54" i="455" s="1"/>
  <c r="S43" i="420"/>
  <c r="AK44" i="420"/>
  <c r="AK43" i="420"/>
  <c r="CN38" i="236"/>
  <c r="Q54" i="455" s="1"/>
  <c r="CE38" i="236"/>
  <c r="N54" i="436" s="1"/>
  <c r="AO44" i="420"/>
  <c r="AO43" i="420"/>
  <c r="W44" i="420"/>
  <c r="W43" i="420"/>
  <c r="V44" i="420"/>
  <c r="CH38" i="236"/>
  <c r="K54" i="455" s="1"/>
  <c r="V43" i="420"/>
  <c r="AE44" i="420"/>
  <c r="AE43" i="420"/>
  <c r="AG44" i="420"/>
  <c r="AG43" i="420"/>
  <c r="AM44" i="420"/>
  <c r="AM43" i="420"/>
  <c r="AN44" i="420"/>
  <c r="AN43" i="420"/>
  <c r="AJ44" i="420"/>
  <c r="AJ43" i="420"/>
  <c r="AS44" i="420"/>
  <c r="AS43" i="420"/>
  <c r="Y44" i="420"/>
  <c r="CI38" i="236"/>
  <c r="L54" i="455" s="1"/>
  <c r="Y43" i="420"/>
  <c r="CM38" i="236"/>
  <c r="P54" i="455" s="1"/>
  <c r="AB44" i="420"/>
  <c r="AB43" i="420"/>
  <c r="X44" i="420"/>
  <c r="CJ38" i="236"/>
  <c r="M54" i="455" s="1"/>
  <c r="X43" i="420"/>
  <c r="U44" i="420"/>
  <c r="U43" i="420"/>
  <c r="AC44" i="420"/>
  <c r="AC43" i="420"/>
  <c r="AR44" i="420"/>
  <c r="AR43" i="420"/>
  <c r="AI44" i="420"/>
  <c r="AI43" i="420"/>
  <c r="CG38" i="236"/>
  <c r="J54" i="455" s="1"/>
  <c r="P42" i="420"/>
  <c r="D14" i="458"/>
  <c r="I25" i="457" s="1"/>
  <c r="AG44" i="452"/>
  <c r="Q44" i="420"/>
  <c r="AD9" i="436"/>
  <c r="AD44" i="420"/>
  <c r="CC41" i="459"/>
  <c r="CC42" i="459"/>
  <c r="G15" i="458"/>
  <c r="K26" i="457" s="1"/>
  <c r="CI40" i="459"/>
  <c r="AG19" i="452"/>
  <c r="T11" i="455"/>
  <c r="AI17" i="454" s="1"/>
  <c r="R11" i="455"/>
  <c r="AG17" i="454" s="1"/>
  <c r="I11" i="455"/>
  <c r="V17" i="454" s="1"/>
  <c r="J11" i="455"/>
  <c r="W17" i="454" s="1"/>
  <c r="S11" i="455"/>
  <c r="AH17" i="454" s="1"/>
  <c r="G11" i="455"/>
  <c r="R17" i="454" s="1"/>
  <c r="L11" i="455"/>
  <c r="Y17" i="454" s="1"/>
  <c r="O11" i="455"/>
  <c r="AC17" i="454" s="1"/>
  <c r="H11" i="455"/>
  <c r="T17" i="454" s="1"/>
  <c r="M11" i="455"/>
  <c r="Z17" i="454" s="1"/>
  <c r="K11" i="455"/>
  <c r="X17" i="454" s="1"/>
  <c r="Q11" i="455"/>
  <c r="AF17" i="454" s="1"/>
  <c r="N11" i="455"/>
  <c r="AB17" i="454" s="1"/>
  <c r="P11" i="455"/>
  <c r="AD17" i="454" s="1"/>
  <c r="AG42" i="452"/>
  <c r="AG32" i="452"/>
  <c r="AG38" i="452"/>
  <c r="CN39" i="236"/>
  <c r="Q55" i="455" s="1"/>
  <c r="CL39" i="236"/>
  <c r="O55" i="455" s="1"/>
  <c r="AG25" i="452"/>
  <c r="AG22" i="452"/>
  <c r="AG31" i="452"/>
  <c r="AG29" i="452"/>
  <c r="DC27" i="453"/>
  <c r="DD27" i="453" s="1"/>
  <c r="AG23" i="452"/>
  <c r="AG35" i="452"/>
  <c r="AG28" i="452"/>
  <c r="AG27" i="452"/>
  <c r="AG39" i="452"/>
  <c r="AG45" i="452"/>
  <c r="AG17" i="452"/>
  <c r="DC33" i="453"/>
  <c r="DD33" i="453" s="1"/>
  <c r="AG40" i="452"/>
  <c r="DC23" i="453"/>
  <c r="DD23" i="453" s="1"/>
  <c r="AG30" i="452"/>
  <c r="DC13" i="453"/>
  <c r="DD13" i="453" s="1"/>
  <c r="AG20" i="452"/>
  <c r="DC29" i="453"/>
  <c r="DD29" i="453" s="1"/>
  <c r="AG36" i="452"/>
  <c r="DC34" i="453"/>
  <c r="DD34" i="453" s="1"/>
  <c r="AG41" i="452"/>
  <c r="DC9" i="453"/>
  <c r="DD9" i="453" s="1"/>
  <c r="AG16" i="452"/>
  <c r="DC11" i="453"/>
  <c r="DD11" i="453" s="1"/>
  <c r="AG18" i="452"/>
  <c r="DC26" i="453"/>
  <c r="DD26" i="453" s="1"/>
  <c r="AG33" i="452"/>
  <c r="DC36" i="453"/>
  <c r="DD36" i="453" s="1"/>
  <c r="AG43" i="452"/>
  <c r="DC19" i="453"/>
  <c r="DD19" i="453" s="1"/>
  <c r="AG26" i="452"/>
  <c r="DC30" i="453"/>
  <c r="DD30" i="453" s="1"/>
  <c r="AG37" i="452"/>
  <c r="DC14" i="453"/>
  <c r="DD14" i="453" s="1"/>
  <c r="AG21" i="452"/>
  <c r="DC8" i="453"/>
  <c r="DD8" i="453" s="1"/>
  <c r="AG15" i="452"/>
  <c r="DC17" i="453"/>
  <c r="DD17" i="453" s="1"/>
  <c r="AG24" i="452"/>
  <c r="BT26" i="453"/>
  <c r="BT32" i="453"/>
  <c r="BT23" i="453"/>
  <c r="BT33" i="453"/>
  <c r="BT28" i="453"/>
  <c r="BT30" i="453"/>
  <c r="BT18" i="453"/>
  <c r="BT27" i="453"/>
  <c r="BT19" i="453"/>
  <c r="BT20" i="453"/>
  <c r="BT29" i="453"/>
  <c r="BT35" i="453"/>
  <c r="BT25" i="453"/>
  <c r="BT34" i="453"/>
  <c r="BT31" i="453"/>
  <c r="BT21" i="453"/>
  <c r="BT37" i="453"/>
  <c r="BT36" i="453"/>
  <c r="BT22" i="453"/>
  <c r="BT24" i="453"/>
  <c r="Y33" i="435"/>
  <c r="Y47" i="435"/>
  <c r="BH37" i="236"/>
  <c r="AJ18" i="451" s="1"/>
  <c r="CQ39" i="236"/>
  <c r="T55" i="455" s="1"/>
  <c r="BU37" i="236"/>
  <c r="AW18" i="451" s="1"/>
  <c r="BT37" i="236"/>
  <c r="AV18" i="451" s="1"/>
  <c r="CA37" i="236"/>
  <c r="BC18" i="451" s="1"/>
  <c r="BR37" i="236"/>
  <c r="AT18" i="451" s="1"/>
  <c r="BT11" i="453"/>
  <c r="BX37" i="236"/>
  <c r="AZ18" i="451" s="1"/>
  <c r="BF37" i="236"/>
  <c r="AH18" i="451" s="1"/>
  <c r="BT10" i="453"/>
  <c r="BO37" i="236"/>
  <c r="AQ18" i="451" s="1"/>
  <c r="CE39" i="236"/>
  <c r="N55" i="436" s="1"/>
  <c r="BC37" i="236"/>
  <c r="AE18" i="451" s="1"/>
  <c r="BT12" i="453"/>
  <c r="AY33" i="236"/>
  <c r="BW37" i="236"/>
  <c r="AY18" i="451" s="1"/>
  <c r="BM37" i="236"/>
  <c r="AO18" i="451" s="1"/>
  <c r="BA37" i="236"/>
  <c r="AC18" i="451" s="1"/>
  <c r="CB37" i="236"/>
  <c r="BD18" i="451" s="1"/>
  <c r="BT16" i="453"/>
  <c r="CJ39" i="236"/>
  <c r="M55" i="455" s="1"/>
  <c r="AB44" i="435"/>
  <c r="CM39" i="236"/>
  <c r="P55" i="455" s="1"/>
  <c r="CO39" i="236"/>
  <c r="R55" i="455" s="1"/>
  <c r="BI37" i="236"/>
  <c r="AK18" i="451" s="1"/>
  <c r="BZ33" i="236"/>
  <c r="BB17" i="451" s="1"/>
  <c r="CP39" i="236"/>
  <c r="S55" i="455" s="1"/>
  <c r="CD39" i="236"/>
  <c r="G55" i="455" s="1"/>
  <c r="CH39" i="236"/>
  <c r="K55" i="455" s="1"/>
  <c r="CG39" i="236"/>
  <c r="J55" i="455" s="1"/>
  <c r="BJ37" i="236"/>
  <c r="AL18" i="451" s="1"/>
  <c r="BP37" i="236"/>
  <c r="AR18" i="451" s="1"/>
  <c r="BB37" i="236"/>
  <c r="AD18" i="451" s="1"/>
  <c r="BT9" i="453"/>
  <c r="BQ33" i="236"/>
  <c r="AS17" i="451" s="1"/>
  <c r="BL37" i="236"/>
  <c r="AN18" i="451" s="1"/>
  <c r="BE37" i="236"/>
  <c r="AG18" i="451" s="1"/>
  <c r="Y44" i="435"/>
  <c r="CK39" i="236"/>
  <c r="N55" i="455" s="1"/>
  <c r="BT38" i="453"/>
  <c r="BT13" i="453"/>
  <c r="BT15" i="453"/>
  <c r="AZ37" i="236"/>
  <c r="BY37" i="236"/>
  <c r="BA18" i="451" s="1"/>
  <c r="CF39" i="236"/>
  <c r="I55" i="455" s="1"/>
  <c r="CI39" i="236"/>
  <c r="L55" i="455" s="1"/>
  <c r="BK37" i="236"/>
  <c r="AM18" i="451" s="1"/>
  <c r="BN37" i="236"/>
  <c r="AP18" i="451" s="1"/>
  <c r="BT8" i="453"/>
  <c r="BT14" i="453"/>
  <c r="BV37" i="236"/>
  <c r="AX18" i="451" s="1"/>
  <c r="BG37" i="236"/>
  <c r="AI18" i="451" s="1"/>
  <c r="BD37" i="236"/>
  <c r="AF18" i="451" s="1"/>
  <c r="BS37" i="236"/>
  <c r="AU18" i="451" s="1"/>
  <c r="AD51" i="435"/>
  <c r="BX38" i="453"/>
  <c r="BY12" i="453" s="1"/>
  <c r="X32" i="435"/>
  <c r="AA32" i="435"/>
  <c r="Y52" i="435"/>
  <c r="AB52" i="435"/>
  <c r="DP80" i="434" l="1"/>
  <c r="CZ47" i="434"/>
  <c r="H21" i="433" s="1"/>
  <c r="M55" i="437"/>
  <c r="L55" i="437" s="1"/>
  <c r="J53" i="436"/>
  <c r="I53" i="436" s="1"/>
  <c r="K53" i="436"/>
  <c r="M53" i="436" s="1"/>
  <c r="L53" i="436" s="1"/>
  <c r="K53" i="437"/>
  <c r="K72" i="434"/>
  <c r="AW72" i="434" s="1"/>
  <c r="AV72" i="434" s="1"/>
  <c r="H49" i="436"/>
  <c r="H49" i="437"/>
  <c r="H68" i="434"/>
  <c r="S53" i="436"/>
  <c r="J72" i="434"/>
  <c r="I72" i="434" s="1"/>
  <c r="DO78" i="434"/>
  <c r="J53" i="437"/>
  <c r="I53" i="437" s="1"/>
  <c r="DQ80" i="434"/>
  <c r="DS80" i="434"/>
  <c r="N55" i="437"/>
  <c r="H55" i="455"/>
  <c r="N54" i="437"/>
  <c r="H54" i="455"/>
  <c r="G18" i="451"/>
  <c r="AH32" i="437"/>
  <c r="AB18" i="451"/>
  <c r="AA17" i="451"/>
  <c r="AE41" i="420"/>
  <c r="AP41" i="420"/>
  <c r="AO41" i="420"/>
  <c r="AK41" i="420"/>
  <c r="AJ41" i="420"/>
  <c r="AI41" i="420"/>
  <c r="U41" i="420"/>
  <c r="Z41" i="420"/>
  <c r="AD41" i="420"/>
  <c r="W41" i="420"/>
  <c r="AR41" i="420"/>
  <c r="AM41" i="420"/>
  <c r="AB41" i="420"/>
  <c r="AA41" i="420"/>
  <c r="AS41" i="420"/>
  <c r="AL41" i="420"/>
  <c r="AC41" i="420"/>
  <c r="AG41" i="420"/>
  <c r="AN41" i="420"/>
  <c r="I14" i="458"/>
  <c r="E14" i="458" s="1"/>
  <c r="J25" i="457" s="1"/>
  <c r="CD36" i="236"/>
  <c r="G52" i="455" s="1"/>
  <c r="CG36" i="236"/>
  <c r="J52" i="455" s="1"/>
  <c r="CJ36" i="236"/>
  <c r="M52" i="455" s="1"/>
  <c r="X41" i="420"/>
  <c r="CF36" i="236"/>
  <c r="I52" i="455" s="1"/>
  <c r="Q41" i="420"/>
  <c r="S42" i="420"/>
  <c r="CO36" i="236"/>
  <c r="R52" i="455" s="1"/>
  <c r="S41" i="420"/>
  <c r="CP36" i="236"/>
  <c r="S52" i="455" s="1"/>
  <c r="CL36" i="236"/>
  <c r="O52" i="455" s="1"/>
  <c r="R41" i="420"/>
  <c r="CK36" i="236"/>
  <c r="N52" i="455" s="1"/>
  <c r="AF41" i="420"/>
  <c r="CN36" i="236"/>
  <c r="Q52" i="455" s="1"/>
  <c r="CH36" i="236"/>
  <c r="K52" i="455" s="1"/>
  <c r="V41" i="420"/>
  <c r="AH38" i="420"/>
  <c r="AH37" i="420"/>
  <c r="AQ38" i="420"/>
  <c r="AQ37" i="420"/>
  <c r="CQ36" i="236"/>
  <c r="T52" i="455" s="1"/>
  <c r="T41" i="420"/>
  <c r="CI36" i="236"/>
  <c r="L52" i="455" s="1"/>
  <c r="Y41" i="420"/>
  <c r="CM36" i="236"/>
  <c r="P52" i="455" s="1"/>
  <c r="P37" i="420"/>
  <c r="CE36" i="236"/>
  <c r="N52" i="436" s="1"/>
  <c r="P38" i="420"/>
  <c r="Q42" i="420"/>
  <c r="D13" i="458"/>
  <c r="I24" i="457" s="1"/>
  <c r="AE42" i="420"/>
  <c r="V42" i="420"/>
  <c r="Z42" i="420"/>
  <c r="U42" i="420"/>
  <c r="AM42" i="420"/>
  <c r="AP42" i="420"/>
  <c r="AG42" i="420"/>
  <c r="Y32" i="435"/>
  <c r="AD42" i="420"/>
  <c r="AR42" i="420"/>
  <c r="AL42" i="420"/>
  <c r="Y42" i="420"/>
  <c r="AB42" i="420"/>
  <c r="AS42" i="420"/>
  <c r="W42" i="420"/>
  <c r="AC42" i="420"/>
  <c r="R42" i="420"/>
  <c r="AN42" i="420"/>
  <c r="AF42" i="420"/>
  <c r="AI42" i="420"/>
  <c r="AK42" i="420"/>
  <c r="AJ42" i="420"/>
  <c r="X42" i="420"/>
  <c r="AA42" i="420"/>
  <c r="T42" i="420"/>
  <c r="AO42" i="420"/>
  <c r="BW41" i="459"/>
  <c r="BW42" i="459"/>
  <c r="G14" i="458"/>
  <c r="K25" i="457" s="1"/>
  <c r="CC40" i="459"/>
  <c r="AE9" i="436"/>
  <c r="AO17" i="454"/>
  <c r="AN17" i="454"/>
  <c r="CN37" i="236"/>
  <c r="Q53" i="455" s="1"/>
  <c r="CL37" i="236"/>
  <c r="O53" i="455" s="1"/>
  <c r="AB32" i="435"/>
  <c r="BY28" i="453"/>
  <c r="CA28" i="453" s="1"/>
  <c r="BY31" i="453"/>
  <c r="CA31" i="453" s="1"/>
  <c r="BY29" i="453"/>
  <c r="CA29" i="453" s="1"/>
  <c r="BY18" i="453"/>
  <c r="CA18" i="453" s="1"/>
  <c r="BY25" i="453"/>
  <c r="CA25" i="453" s="1"/>
  <c r="BY20" i="453"/>
  <c r="CA20" i="453" s="1"/>
  <c r="BY33" i="453"/>
  <c r="CA33" i="453" s="1"/>
  <c r="BY21" i="453"/>
  <c r="CA21" i="453" s="1"/>
  <c r="BY19" i="453"/>
  <c r="CA19" i="453" s="1"/>
  <c r="BY37" i="453"/>
  <c r="CA37" i="453" s="1"/>
  <c r="BU21" i="453"/>
  <c r="BU19" i="453"/>
  <c r="BU23" i="453"/>
  <c r="BU17" i="453"/>
  <c r="BU26" i="453"/>
  <c r="BU29" i="453"/>
  <c r="BU25" i="453"/>
  <c r="BU27" i="453"/>
  <c r="BU30" i="453"/>
  <c r="BU28" i="453"/>
  <c r="BU33" i="453"/>
  <c r="BU31" i="453"/>
  <c r="BU32" i="453"/>
  <c r="BU35" i="453"/>
  <c r="BU36" i="453"/>
  <c r="BU34" i="453"/>
  <c r="BU37" i="453"/>
  <c r="BU24" i="453"/>
  <c r="BU22" i="453"/>
  <c r="BU18" i="453"/>
  <c r="BU20" i="453"/>
  <c r="BY32" i="453"/>
  <c r="CA32" i="453" s="1"/>
  <c r="BY36" i="453"/>
  <c r="CA36" i="453" s="1"/>
  <c r="BY26" i="453"/>
  <c r="CA26" i="453" s="1"/>
  <c r="BY27" i="453"/>
  <c r="CA27" i="453" s="1"/>
  <c r="BY23" i="453"/>
  <c r="CA23" i="453" s="1"/>
  <c r="BY35" i="453"/>
  <c r="CA35" i="453" s="1"/>
  <c r="BY24" i="453"/>
  <c r="CA24" i="453" s="1"/>
  <c r="BY30" i="453"/>
  <c r="CA30" i="453" s="1"/>
  <c r="BY22" i="453"/>
  <c r="CA22" i="453" s="1"/>
  <c r="BY17" i="453"/>
  <c r="CA17" i="453" s="1"/>
  <c r="BY34" i="453"/>
  <c r="CA34" i="453" s="1"/>
  <c r="Y49" i="435"/>
  <c r="AB49" i="435"/>
  <c r="CA12" i="453"/>
  <c r="BH33" i="236"/>
  <c r="AJ17" i="451" s="1"/>
  <c r="AB42" i="435"/>
  <c r="CH37" i="236"/>
  <c r="K53" i="455" s="1"/>
  <c r="CK37" i="236"/>
  <c r="N53" i="455" s="1"/>
  <c r="AZ33" i="236"/>
  <c r="CI37" i="236"/>
  <c r="L53" i="455" s="1"/>
  <c r="CB33" i="236"/>
  <c r="BD17" i="451" s="1"/>
  <c r="BA33" i="236"/>
  <c r="AC17" i="451" s="1"/>
  <c r="BW33" i="236"/>
  <c r="AY17" i="451" s="1"/>
  <c r="CA33" i="236"/>
  <c r="BC17" i="451" s="1"/>
  <c r="BU33" i="236"/>
  <c r="AW17" i="451" s="1"/>
  <c r="BS33" i="236"/>
  <c r="AU17" i="451" s="1"/>
  <c r="BG33" i="236"/>
  <c r="AI17" i="451" s="1"/>
  <c r="CQ37" i="236"/>
  <c r="T53" i="455" s="1"/>
  <c r="BN33" i="236"/>
  <c r="AP17" i="451" s="1"/>
  <c r="CJ37" i="236"/>
  <c r="M53" i="455" s="1"/>
  <c r="BE33" i="236"/>
  <c r="AG17" i="451" s="1"/>
  <c r="CE37" i="236"/>
  <c r="N53" i="436" s="1"/>
  <c r="BP33" i="236"/>
  <c r="AR17" i="451" s="1"/>
  <c r="BJ33" i="236"/>
  <c r="AL17" i="451" s="1"/>
  <c r="BI33" i="236"/>
  <c r="AK17" i="451" s="1"/>
  <c r="BF33" i="236"/>
  <c r="AH17" i="451" s="1"/>
  <c r="BV33" i="236"/>
  <c r="AX17" i="451" s="1"/>
  <c r="CO37" i="236"/>
  <c r="R53" i="455" s="1"/>
  <c r="BQ30" i="236"/>
  <c r="AS16" i="451" s="1"/>
  <c r="BM33" i="236"/>
  <c r="AO17" i="451" s="1"/>
  <c r="AY30" i="236"/>
  <c r="BC33" i="236"/>
  <c r="AE17" i="451" s="1"/>
  <c r="BO33" i="236"/>
  <c r="AQ17" i="451" s="1"/>
  <c r="BR33" i="236"/>
  <c r="AT17" i="451" s="1"/>
  <c r="BT33" i="236"/>
  <c r="AV17" i="451" s="1"/>
  <c r="BD33" i="236"/>
  <c r="AF17" i="451" s="1"/>
  <c r="BY33" i="236"/>
  <c r="BA17" i="451" s="1"/>
  <c r="BL33" i="236"/>
  <c r="AN17" i="451" s="1"/>
  <c r="CF37" i="236"/>
  <c r="I53" i="455" s="1"/>
  <c r="CD37" i="236"/>
  <c r="G53" i="455" s="1"/>
  <c r="CM37" i="236"/>
  <c r="P53" i="455" s="1"/>
  <c r="BU12" i="453"/>
  <c r="BU9" i="453"/>
  <c r="BU13" i="453"/>
  <c r="BU11" i="453"/>
  <c r="BU16" i="453"/>
  <c r="BU14" i="453"/>
  <c r="BU10" i="453"/>
  <c r="BU8" i="453"/>
  <c r="BU15" i="453"/>
  <c r="BK33" i="236"/>
  <c r="AM17" i="451" s="1"/>
  <c r="BU38" i="453"/>
  <c r="CG37" i="236"/>
  <c r="J53" i="455" s="1"/>
  <c r="BB33" i="236"/>
  <c r="AD17" i="451" s="1"/>
  <c r="BZ30" i="236"/>
  <c r="BB16" i="451" s="1"/>
  <c r="CP37" i="236"/>
  <c r="S53" i="455" s="1"/>
  <c r="BX33" i="236"/>
  <c r="AZ17" i="451" s="1"/>
  <c r="Y42" i="435"/>
  <c r="BY15" i="453"/>
  <c r="CA15" i="453" s="1"/>
  <c r="BY9" i="453"/>
  <c r="CA9" i="453" s="1"/>
  <c r="BY8" i="453"/>
  <c r="BY38" i="453"/>
  <c r="BY10" i="453"/>
  <c r="CA10" i="453" s="1"/>
  <c r="BY11" i="453"/>
  <c r="CA11" i="453" s="1"/>
  <c r="BY13" i="453"/>
  <c r="CA13" i="453" s="1"/>
  <c r="BY14" i="453"/>
  <c r="CA14" i="453" s="1"/>
  <c r="BY16" i="453"/>
  <c r="CA16" i="453" s="1"/>
  <c r="AL32" i="435"/>
  <c r="AK32" i="435"/>
  <c r="DP78" i="434" l="1"/>
  <c r="CZ46" i="434"/>
  <c r="H46" i="436"/>
  <c r="H46" i="437"/>
  <c r="H65" i="434"/>
  <c r="J49" i="437"/>
  <c r="I49" i="437" s="1"/>
  <c r="J49" i="436"/>
  <c r="I49" i="436" s="1"/>
  <c r="AB17" i="451"/>
  <c r="K49" i="437"/>
  <c r="AH31" i="437" s="1"/>
  <c r="AA25" i="435" s="1"/>
  <c r="K49" i="436"/>
  <c r="K68" i="434"/>
  <c r="AW68" i="434" s="1"/>
  <c r="AV68" i="434" s="1"/>
  <c r="S49" i="436"/>
  <c r="DS78" i="434"/>
  <c r="DQ78" i="434"/>
  <c r="J68" i="434"/>
  <c r="I68" i="434" s="1"/>
  <c r="DO74" i="434"/>
  <c r="M53" i="437"/>
  <c r="L53" i="437" s="1"/>
  <c r="AI32" i="437" s="1"/>
  <c r="N52" i="437"/>
  <c r="H52" i="455"/>
  <c r="N53" i="437"/>
  <c r="AK32" i="437" s="1"/>
  <c r="H53" i="455"/>
  <c r="AA16" i="451"/>
  <c r="G17" i="451"/>
  <c r="AO37" i="420"/>
  <c r="AA37" i="420"/>
  <c r="AJ37" i="420"/>
  <c r="AE32" i="437"/>
  <c r="AF32" i="437"/>
  <c r="U37" i="420"/>
  <c r="AK37" i="420"/>
  <c r="AM37" i="420"/>
  <c r="AG37" i="420"/>
  <c r="AE37" i="420"/>
  <c r="AL37" i="420"/>
  <c r="AS37" i="420"/>
  <c r="AB37" i="420"/>
  <c r="AC37" i="420"/>
  <c r="AI37" i="420"/>
  <c r="AD37" i="420"/>
  <c r="W37" i="420"/>
  <c r="AR37" i="420"/>
  <c r="AP37" i="420"/>
  <c r="Z37" i="420"/>
  <c r="AN37" i="420"/>
  <c r="CM32" i="236"/>
  <c r="P48" i="455" s="1"/>
  <c r="CG32" i="236"/>
  <c r="J48" i="455" s="1"/>
  <c r="CK32" i="236"/>
  <c r="N48" i="455" s="1"/>
  <c r="AF37" i="420"/>
  <c r="P34" i="420"/>
  <c r="AH35" i="420"/>
  <c r="AH34" i="420"/>
  <c r="CJ32" i="236"/>
  <c r="M48" i="455" s="1"/>
  <c r="X37" i="420"/>
  <c r="AQ35" i="420"/>
  <c r="AQ34" i="420"/>
  <c r="CH32" i="236"/>
  <c r="K48" i="455" s="1"/>
  <c r="V37" i="420"/>
  <c r="Y38" i="420"/>
  <c r="CI32" i="236"/>
  <c r="L48" i="455" s="1"/>
  <c r="Y37" i="420"/>
  <c r="CQ32" i="236"/>
  <c r="T48" i="455" s="1"/>
  <c r="T37" i="420"/>
  <c r="CF32" i="236"/>
  <c r="I48" i="455" s="1"/>
  <c r="Q37" i="420"/>
  <c r="CD32" i="236"/>
  <c r="G48" i="455" s="1"/>
  <c r="CO32" i="236"/>
  <c r="R48" i="455" s="1"/>
  <c r="S37" i="420"/>
  <c r="CL32" i="236"/>
  <c r="O48" i="455" s="1"/>
  <c r="CP32" i="236"/>
  <c r="S48" i="455" s="1"/>
  <c r="R37" i="420"/>
  <c r="CN32" i="236"/>
  <c r="Q48" i="455" s="1"/>
  <c r="CE32" i="236"/>
  <c r="N48" i="436" s="1"/>
  <c r="I13" i="458"/>
  <c r="E13" i="458" s="1"/>
  <c r="J24" i="457" s="1"/>
  <c r="D12" i="458"/>
  <c r="I23" i="457" s="1"/>
  <c r="P35" i="420"/>
  <c r="AC38" i="420"/>
  <c r="U38" i="420"/>
  <c r="AI38" i="420"/>
  <c r="AM38" i="420"/>
  <c r="W38" i="420"/>
  <c r="V38" i="420"/>
  <c r="AN38" i="420"/>
  <c r="AS38" i="420"/>
  <c r="AB38" i="420"/>
  <c r="T38" i="420"/>
  <c r="AD38" i="420"/>
  <c r="Z38" i="420"/>
  <c r="AG38" i="420"/>
  <c r="AE38" i="420"/>
  <c r="AJ38" i="420"/>
  <c r="AR38" i="420"/>
  <c r="Q38" i="420"/>
  <c r="AO38" i="420"/>
  <c r="S38" i="420"/>
  <c r="AP38" i="420"/>
  <c r="AK38" i="420"/>
  <c r="R38" i="420"/>
  <c r="AF38" i="420"/>
  <c r="AA38" i="420"/>
  <c r="X38" i="420"/>
  <c r="AL38" i="420"/>
  <c r="BQ41" i="459"/>
  <c r="BQ42" i="459"/>
  <c r="BW40" i="459"/>
  <c r="G13" i="458"/>
  <c r="K24" i="457" s="1"/>
  <c r="AE27" i="436"/>
  <c r="AD27" i="436"/>
  <c r="AD8" i="436" s="1"/>
  <c r="AG27" i="436"/>
  <c r="AF27" i="436"/>
  <c r="AE8" i="436" s="1"/>
  <c r="CL33" i="236"/>
  <c r="O49" i="455" s="1"/>
  <c r="CN33" i="236"/>
  <c r="Q49" i="455" s="1"/>
  <c r="CE37" i="453"/>
  <c r="AB44" i="452" s="1"/>
  <c r="CD37" i="453"/>
  <c r="AA44" i="452" s="1"/>
  <c r="CB37" i="453"/>
  <c r="W44" i="452" s="1"/>
  <c r="CE32" i="453"/>
  <c r="AB39" i="452" s="1"/>
  <c r="CB32" i="453"/>
  <c r="W39" i="452" s="1"/>
  <c r="CD32" i="453"/>
  <c r="AA39" i="452" s="1"/>
  <c r="CE28" i="453"/>
  <c r="AB35" i="452" s="1"/>
  <c r="CB28" i="453"/>
  <c r="W35" i="452" s="1"/>
  <c r="CD28" i="453"/>
  <c r="AA35" i="452" s="1"/>
  <c r="CD29" i="453"/>
  <c r="AA36" i="452" s="1"/>
  <c r="CE29" i="453"/>
  <c r="AB36" i="452" s="1"/>
  <c r="CB29" i="453"/>
  <c r="W36" i="452" s="1"/>
  <c r="CE19" i="453"/>
  <c r="AB26" i="452" s="1"/>
  <c r="CB19" i="453"/>
  <c r="W26" i="452" s="1"/>
  <c r="CD19" i="453"/>
  <c r="AA26" i="452" s="1"/>
  <c r="CD22" i="453"/>
  <c r="AA29" i="452" s="1"/>
  <c r="CB22" i="453"/>
  <c r="W29" i="452" s="1"/>
  <c r="CE22" i="453"/>
  <c r="AB29" i="452" s="1"/>
  <c r="CD24" i="453"/>
  <c r="AA31" i="452" s="1"/>
  <c r="CE24" i="453"/>
  <c r="AB31" i="452" s="1"/>
  <c r="CB24" i="453"/>
  <c r="W31" i="452" s="1"/>
  <c r="CB34" i="453"/>
  <c r="W41" i="452" s="1"/>
  <c r="CD34" i="453"/>
  <c r="AA41" i="452" s="1"/>
  <c r="CE34" i="453"/>
  <c r="AB41" i="452" s="1"/>
  <c r="CE31" i="453"/>
  <c r="AB38" i="452" s="1"/>
  <c r="CB31" i="453"/>
  <c r="W38" i="452" s="1"/>
  <c r="CD31" i="453"/>
  <c r="AA38" i="452" s="1"/>
  <c r="CE30" i="453"/>
  <c r="AB37" i="452" s="1"/>
  <c r="CD30" i="453"/>
  <c r="AA37" i="452" s="1"/>
  <c r="CB30" i="453"/>
  <c r="W37" i="452" s="1"/>
  <c r="CB26" i="453"/>
  <c r="W33" i="452" s="1"/>
  <c r="CD26" i="453"/>
  <c r="AA33" i="452" s="1"/>
  <c r="CE26" i="453"/>
  <c r="AB33" i="452" s="1"/>
  <c r="CE21" i="453"/>
  <c r="AB28" i="452" s="1"/>
  <c r="CB21" i="453"/>
  <c r="W28" i="452" s="1"/>
  <c r="CD21" i="453"/>
  <c r="AA28" i="452" s="1"/>
  <c r="CB20" i="453"/>
  <c r="W27" i="452" s="1"/>
  <c r="CE20" i="453"/>
  <c r="AB27" i="452" s="1"/>
  <c r="CD20" i="453"/>
  <c r="AA27" i="452" s="1"/>
  <c r="CE36" i="453"/>
  <c r="AB43" i="452" s="1"/>
  <c r="CB36" i="453"/>
  <c r="W43" i="452" s="1"/>
  <c r="CD36" i="453"/>
  <c r="AA43" i="452" s="1"/>
  <c r="CD27" i="453"/>
  <c r="AA34" i="452" s="1"/>
  <c r="CE27" i="453"/>
  <c r="AB34" i="452" s="1"/>
  <c r="CB27" i="453"/>
  <c r="W34" i="452" s="1"/>
  <c r="CE17" i="453"/>
  <c r="AB24" i="452" s="1"/>
  <c r="CB17" i="453"/>
  <c r="W24" i="452" s="1"/>
  <c r="CD17" i="453"/>
  <c r="AA24" i="452" s="1"/>
  <c r="CD18" i="453"/>
  <c r="AA25" i="452" s="1"/>
  <c r="CB18" i="453"/>
  <c r="W25" i="452" s="1"/>
  <c r="CE18" i="453"/>
  <c r="AB25" i="452" s="1"/>
  <c r="CE35" i="453"/>
  <c r="AB42" i="452" s="1"/>
  <c r="CB35" i="453"/>
  <c r="W42" i="452" s="1"/>
  <c r="CD35" i="453"/>
  <c r="AA42" i="452" s="1"/>
  <c r="CE33" i="453"/>
  <c r="AB40" i="452" s="1"/>
  <c r="CB33" i="453"/>
  <c r="W40" i="452" s="1"/>
  <c r="CD33" i="453"/>
  <c r="AA40" i="452" s="1"/>
  <c r="CE25" i="453"/>
  <c r="AB32" i="452" s="1"/>
  <c r="CB25" i="453"/>
  <c r="W32" i="452" s="1"/>
  <c r="CD25" i="453"/>
  <c r="AA32" i="452" s="1"/>
  <c r="CE23" i="453"/>
  <c r="AB30" i="452" s="1"/>
  <c r="CB23" i="453"/>
  <c r="W30" i="452" s="1"/>
  <c r="CD23" i="453"/>
  <c r="AA30" i="452" s="1"/>
  <c r="AD45" i="435"/>
  <c r="Y45" i="435"/>
  <c r="AB45" i="435"/>
  <c r="AD47" i="435"/>
  <c r="CG33" i="236"/>
  <c r="J49" i="455" s="1"/>
  <c r="BH30" i="236"/>
  <c r="AJ16" i="451" s="1"/>
  <c r="CM33" i="236"/>
  <c r="P49" i="455" s="1"/>
  <c r="CH33" i="236"/>
  <c r="K49" i="455" s="1"/>
  <c r="BX30" i="236"/>
  <c r="AZ16" i="451" s="1"/>
  <c r="CD33" i="236"/>
  <c r="G49" i="455" s="1"/>
  <c r="CI33" i="236"/>
  <c r="L49" i="455" s="1"/>
  <c r="BB30" i="236"/>
  <c r="AD16" i="451" s="1"/>
  <c r="BK30" i="236"/>
  <c r="AM16" i="451" s="1"/>
  <c r="CD15" i="453"/>
  <c r="AA22" i="452" s="1"/>
  <c r="CE15" i="453"/>
  <c r="AB22" i="452" s="1"/>
  <c r="CB15" i="453"/>
  <c r="W22" i="452" s="1"/>
  <c r="CD8" i="453"/>
  <c r="CE8" i="453"/>
  <c r="AB15" i="452" s="1"/>
  <c r="CB8" i="453"/>
  <c r="BT30" i="236"/>
  <c r="AV16" i="451" s="1"/>
  <c r="BC30" i="236"/>
  <c r="AE16" i="451" s="1"/>
  <c r="BM30" i="236"/>
  <c r="AO16" i="451" s="1"/>
  <c r="CO33" i="236"/>
  <c r="R49" i="455" s="1"/>
  <c r="BN30" i="236"/>
  <c r="AP16" i="451" s="1"/>
  <c r="BG30" i="236"/>
  <c r="AI16" i="451" s="1"/>
  <c r="BU30" i="236"/>
  <c r="AW16" i="451" s="1"/>
  <c r="BA30" i="236"/>
  <c r="AC16" i="451" s="1"/>
  <c r="CK33" i="236"/>
  <c r="N49" i="455" s="1"/>
  <c r="CD38" i="453"/>
  <c r="AA45" i="452" s="1"/>
  <c r="CB38" i="453"/>
  <c r="W45" i="452" s="1"/>
  <c r="CE38" i="453"/>
  <c r="AB45" i="452" s="1"/>
  <c r="CB10" i="453"/>
  <c r="CE10" i="453"/>
  <c r="AB17" i="452" s="1"/>
  <c r="CD10" i="453"/>
  <c r="CE14" i="453"/>
  <c r="AB21" i="452" s="1"/>
  <c r="CD14" i="453"/>
  <c r="AA21" i="452" s="1"/>
  <c r="CB14" i="453"/>
  <c r="W21" i="452" s="1"/>
  <c r="CE9" i="453"/>
  <c r="AB16" i="452" s="1"/>
  <c r="CD9" i="453"/>
  <c r="CB9" i="453"/>
  <c r="BY30" i="236"/>
  <c r="BA16" i="451" s="1"/>
  <c r="BV30" i="236"/>
  <c r="AX16" i="451" s="1"/>
  <c r="BJ30" i="236"/>
  <c r="AL16" i="451" s="1"/>
  <c r="CQ33" i="236"/>
  <c r="T49" i="455" s="1"/>
  <c r="BZ26" i="236"/>
  <c r="BB15" i="451" s="1"/>
  <c r="CB16" i="453"/>
  <c r="W23" i="452" s="1"/>
  <c r="CD16" i="453"/>
  <c r="AA23" i="452" s="1"/>
  <c r="CE16" i="453"/>
  <c r="AB23" i="452" s="1"/>
  <c r="CE13" i="453"/>
  <c r="AB20" i="452" s="1"/>
  <c r="CD13" i="453"/>
  <c r="AA20" i="452" s="1"/>
  <c r="CB13" i="453"/>
  <c r="W20" i="452" s="1"/>
  <c r="CE12" i="453"/>
  <c r="AB19" i="452" s="1"/>
  <c r="CB12" i="453"/>
  <c r="W19" i="452" s="1"/>
  <c r="CD12" i="453"/>
  <c r="AA19" i="452" s="1"/>
  <c r="BD30" i="236"/>
  <c r="AF16" i="451" s="1"/>
  <c r="BR30" i="236"/>
  <c r="AT16" i="451" s="1"/>
  <c r="BO30" i="236"/>
  <c r="AQ16" i="451" s="1"/>
  <c r="AY26" i="236"/>
  <c r="BQ26" i="236"/>
  <c r="AS15" i="451" s="1"/>
  <c r="BS30" i="236"/>
  <c r="AU16" i="451" s="1"/>
  <c r="CA30" i="236"/>
  <c r="BC16" i="451" s="1"/>
  <c r="BW30" i="236"/>
  <c r="AY16" i="451" s="1"/>
  <c r="CB30" i="236"/>
  <c r="BD16" i="451" s="1"/>
  <c r="AZ30" i="236"/>
  <c r="CF33" i="236"/>
  <c r="I49" i="455" s="1"/>
  <c r="CE33" i="236"/>
  <c r="N49" i="436" s="1"/>
  <c r="CB11" i="453"/>
  <c r="W18" i="452" s="1"/>
  <c r="CD11" i="453"/>
  <c r="AA18" i="452" s="1"/>
  <c r="CE11" i="453"/>
  <c r="AB18" i="452" s="1"/>
  <c r="BL30" i="236"/>
  <c r="AN16" i="451" s="1"/>
  <c r="CP33" i="236"/>
  <c r="S49" i="455" s="1"/>
  <c r="BF30" i="236"/>
  <c r="AH16" i="451" s="1"/>
  <c r="BI30" i="236"/>
  <c r="AK16" i="451" s="1"/>
  <c r="BP30" i="236"/>
  <c r="AR16" i="451" s="1"/>
  <c r="BE30" i="236"/>
  <c r="AG16" i="451" s="1"/>
  <c r="Y38" i="435"/>
  <c r="CJ33" i="236"/>
  <c r="M49" i="455" s="1"/>
  <c r="AB38" i="435"/>
  <c r="AB39" i="435"/>
  <c r="Y39" i="435"/>
  <c r="AD42" i="435"/>
  <c r="AH27" i="436"/>
  <c r="AF8" i="436" s="1"/>
  <c r="AD49" i="435"/>
  <c r="AD40" i="435"/>
  <c r="CA8" i="453"/>
  <c r="BS40" i="453"/>
  <c r="G19" i="433"/>
  <c r="AW12" i="434"/>
  <c r="DP74" i="434" l="1"/>
  <c r="CZ45" i="434"/>
  <c r="H19" i="433" s="1"/>
  <c r="S46" i="436"/>
  <c r="M49" i="437"/>
  <c r="L49" i="437" s="1"/>
  <c r="AI31" i="437" s="1"/>
  <c r="H42" i="436"/>
  <c r="H61" i="434"/>
  <c r="DQ74" i="434"/>
  <c r="DS74" i="434"/>
  <c r="J65" i="434"/>
  <c r="I65" i="434" s="1"/>
  <c r="DP71" i="434" s="1"/>
  <c r="DO71" i="434"/>
  <c r="J46" i="437"/>
  <c r="I46" i="437" s="1"/>
  <c r="K46" i="437"/>
  <c r="K65" i="434"/>
  <c r="AW65" i="434" s="1"/>
  <c r="AV65" i="434" s="1"/>
  <c r="K46" i="436"/>
  <c r="M46" i="436" s="1"/>
  <c r="L46" i="436" s="1"/>
  <c r="M49" i="436"/>
  <c r="L49" i="436" s="1"/>
  <c r="J46" i="436"/>
  <c r="I46" i="436" s="1"/>
  <c r="N49" i="437"/>
  <c r="AK31" i="437" s="1"/>
  <c r="H49" i="455"/>
  <c r="N48" i="437"/>
  <c r="H48" i="455"/>
  <c r="AA15" i="451"/>
  <c r="AB16" i="451"/>
  <c r="G16" i="451"/>
  <c r="I12" i="458"/>
  <c r="E12" i="458" s="1"/>
  <c r="J23" i="457" s="1"/>
  <c r="AJ34" i="420"/>
  <c r="AL34" i="420"/>
  <c r="AD34" i="420"/>
  <c r="Z34" i="420"/>
  <c r="AR34" i="420"/>
  <c r="AP34" i="420"/>
  <c r="AB34" i="420"/>
  <c r="AO34" i="420"/>
  <c r="AI34" i="420"/>
  <c r="AE31" i="437"/>
  <c r="X25" i="435" s="1"/>
  <c r="AL25" i="435" s="1"/>
  <c r="AF31" i="437"/>
  <c r="AS34" i="420"/>
  <c r="AA34" i="420"/>
  <c r="W34" i="420"/>
  <c r="AE34" i="420"/>
  <c r="AK34" i="420"/>
  <c r="AG34" i="420"/>
  <c r="AC34" i="420"/>
  <c r="AM34" i="420"/>
  <c r="CE29" i="236"/>
  <c r="CG29" i="236"/>
  <c r="J45" i="455" s="1"/>
  <c r="CH29" i="236"/>
  <c r="K45" i="455" s="1"/>
  <c r="V34" i="420"/>
  <c r="P30" i="420"/>
  <c r="T35" i="420"/>
  <c r="CQ29" i="236"/>
  <c r="T45" i="455" s="1"/>
  <c r="T34" i="420"/>
  <c r="CD29" i="236"/>
  <c r="G45" i="455" s="1"/>
  <c r="CF29" i="236"/>
  <c r="I45" i="455" s="1"/>
  <c r="Q34" i="420"/>
  <c r="AN35" i="420"/>
  <c r="AN34" i="420"/>
  <c r="AH31" i="420"/>
  <c r="AH30" i="420"/>
  <c r="CK29" i="236"/>
  <c r="N45" i="455" s="1"/>
  <c r="AF34" i="420"/>
  <c r="U35" i="420"/>
  <c r="U34" i="420"/>
  <c r="AQ31" i="420"/>
  <c r="AQ30" i="420"/>
  <c r="CP29" i="236"/>
  <c r="S45" i="455" s="1"/>
  <c r="CL29" i="236"/>
  <c r="O45" i="455" s="1"/>
  <c r="R34" i="420"/>
  <c r="X35" i="420"/>
  <c r="CJ29" i="236"/>
  <c r="M45" i="455" s="1"/>
  <c r="X34" i="420"/>
  <c r="CO29" i="236"/>
  <c r="R45" i="455" s="1"/>
  <c r="S34" i="420"/>
  <c r="CN29" i="236"/>
  <c r="Q45" i="455" s="1"/>
  <c r="CI29" i="236"/>
  <c r="L45" i="455" s="1"/>
  <c r="Y34" i="420"/>
  <c r="CM29" i="236"/>
  <c r="P45" i="455" s="1"/>
  <c r="D11" i="458"/>
  <c r="I11" i="458" s="1"/>
  <c r="E11" i="458" s="1"/>
  <c r="J22" i="457" s="1"/>
  <c r="P31" i="420"/>
  <c r="AC35" i="420"/>
  <c r="AA35" i="420"/>
  <c r="AL35" i="420"/>
  <c r="AE35" i="420"/>
  <c r="AB35" i="420"/>
  <c r="AG35" i="420"/>
  <c r="W35" i="420"/>
  <c r="Q35" i="420"/>
  <c r="AJ35" i="420"/>
  <c r="AF35" i="420"/>
  <c r="AM35" i="420"/>
  <c r="R35" i="420"/>
  <c r="S35" i="420"/>
  <c r="AO35" i="420"/>
  <c r="V35" i="420"/>
  <c r="Z35" i="420"/>
  <c r="AS35" i="420"/>
  <c r="AR35" i="420"/>
  <c r="AI35" i="420"/>
  <c r="AP35" i="420"/>
  <c r="AD35" i="420"/>
  <c r="AK35" i="420"/>
  <c r="Y35" i="420"/>
  <c r="BK41" i="459"/>
  <c r="BK42" i="459"/>
  <c r="G12" i="458"/>
  <c r="K23" i="457" s="1"/>
  <c r="BQ40" i="459"/>
  <c r="AE26" i="436"/>
  <c r="AD26" i="436"/>
  <c r="AD7" i="436" s="1"/>
  <c r="AG26" i="436"/>
  <c r="AF26" i="436"/>
  <c r="AE7" i="436" s="1"/>
  <c r="CN30" i="236"/>
  <c r="Q46" i="455" s="1"/>
  <c r="CL30" i="236"/>
  <c r="O46" i="455" s="1"/>
  <c r="H20" i="433"/>
  <c r="X23" i="452"/>
  <c r="X27" i="452"/>
  <c r="X29" i="452"/>
  <c r="X40" i="452"/>
  <c r="X45" i="452"/>
  <c r="X22" i="452"/>
  <c r="X25" i="452"/>
  <c r="X37" i="452"/>
  <c r="X41" i="452"/>
  <c r="X19" i="452"/>
  <c r="X42" i="452"/>
  <c r="X34" i="452"/>
  <c r="X43" i="452"/>
  <c r="X31" i="452"/>
  <c r="X39" i="452"/>
  <c r="X36" i="452"/>
  <c r="X35" i="452"/>
  <c r="X18" i="452"/>
  <c r="X20" i="452"/>
  <c r="X21" i="452"/>
  <c r="X32" i="452"/>
  <c r="X24" i="452"/>
  <c r="X28" i="452"/>
  <c r="X33" i="452"/>
  <c r="X44" i="452"/>
  <c r="X30" i="452"/>
  <c r="X38" i="452"/>
  <c r="X26" i="452"/>
  <c r="CF23" i="453"/>
  <c r="CJ23" i="453" s="1"/>
  <c r="CG23" i="453"/>
  <c r="CF25" i="453"/>
  <c r="CJ25" i="453" s="1"/>
  <c r="CG25" i="453"/>
  <c r="CF35" i="453"/>
  <c r="CJ35" i="453" s="1"/>
  <c r="CG35" i="453"/>
  <c r="CF17" i="453"/>
  <c r="CJ17" i="453" s="1"/>
  <c r="CG17" i="453"/>
  <c r="CG36" i="453"/>
  <c r="CF36" i="453"/>
  <c r="CJ36" i="453" s="1"/>
  <c r="CG20" i="453"/>
  <c r="CF20" i="453"/>
  <c r="CJ20" i="453" s="1"/>
  <c r="CG31" i="453"/>
  <c r="CF31" i="453"/>
  <c r="CJ31" i="453" s="1"/>
  <c r="CF19" i="453"/>
  <c r="CJ19" i="453" s="1"/>
  <c r="CG19" i="453"/>
  <c r="CF28" i="453"/>
  <c r="CJ28" i="453" s="1"/>
  <c r="CG28" i="453"/>
  <c r="CG32" i="453"/>
  <c r="CF32" i="453"/>
  <c r="CJ32" i="453" s="1"/>
  <c r="CG33" i="453"/>
  <c r="CF33" i="453"/>
  <c r="CJ33" i="453" s="1"/>
  <c r="CF21" i="453"/>
  <c r="CJ21" i="453" s="1"/>
  <c r="CG21" i="453"/>
  <c r="CG34" i="453"/>
  <c r="CF34" i="453"/>
  <c r="CJ34" i="453" s="1"/>
  <c r="CG27" i="453"/>
  <c r="CF27" i="453"/>
  <c r="CJ27" i="453" s="1"/>
  <c r="CG26" i="453"/>
  <c r="CF26" i="453"/>
  <c r="CJ26" i="453" s="1"/>
  <c r="CG30" i="453"/>
  <c r="CF30" i="453"/>
  <c r="CG24" i="453"/>
  <c r="CF24" i="453"/>
  <c r="CJ24" i="453" s="1"/>
  <c r="CF37" i="453"/>
  <c r="CG37" i="453"/>
  <c r="CG18" i="453"/>
  <c r="CF18" i="453"/>
  <c r="CG22" i="453"/>
  <c r="CF22" i="453"/>
  <c r="CJ22" i="453" s="1"/>
  <c r="CG29" i="453"/>
  <c r="CF29" i="453"/>
  <c r="CJ29" i="453" s="1"/>
  <c r="Y40" i="435"/>
  <c r="AB40" i="435"/>
  <c r="BH26" i="236"/>
  <c r="AJ15" i="451" s="1"/>
  <c r="CE30" i="236"/>
  <c r="N46" i="436" s="1"/>
  <c r="CF30" i="236"/>
  <c r="I46" i="455" s="1"/>
  <c r="CM30" i="236"/>
  <c r="P46" i="455" s="1"/>
  <c r="Y35" i="435"/>
  <c r="CI30" i="236"/>
  <c r="L46" i="455" s="1"/>
  <c r="CG30" i="236"/>
  <c r="J46" i="455" s="1"/>
  <c r="CK30" i="236"/>
  <c r="N46" i="455" s="1"/>
  <c r="CD30" i="236"/>
  <c r="G46" i="455" s="1"/>
  <c r="BP26" i="236"/>
  <c r="AR15" i="451" s="1"/>
  <c r="CB26" i="236"/>
  <c r="BD15" i="451" s="1"/>
  <c r="BD26" i="236"/>
  <c r="AF15" i="451" s="1"/>
  <c r="CG12" i="453"/>
  <c r="CF12" i="453"/>
  <c r="CG13" i="453"/>
  <c r="CF13" i="453"/>
  <c r="BZ22" i="236"/>
  <c r="BB14" i="451" s="1"/>
  <c r="AX35" i="453"/>
  <c r="BJ26" i="236"/>
  <c r="AL15" i="451" s="1"/>
  <c r="W16" i="452"/>
  <c r="X16" i="452" s="1"/>
  <c r="CQ30" i="236"/>
  <c r="T46" i="455" s="1"/>
  <c r="AA15" i="452"/>
  <c r="CF8" i="453"/>
  <c r="CJ8" i="453" s="1"/>
  <c r="CG8" i="453"/>
  <c r="BK26" i="236"/>
  <c r="AM15" i="451" s="1"/>
  <c r="BF26" i="236"/>
  <c r="AH15" i="451" s="1"/>
  <c r="CA26" i="236"/>
  <c r="BC15" i="451" s="1"/>
  <c r="BQ22" i="236"/>
  <c r="AS14" i="451" s="1"/>
  <c r="AX26" i="453"/>
  <c r="BO26" i="236"/>
  <c r="AQ15" i="451" s="1"/>
  <c r="BL26" i="236"/>
  <c r="AN15" i="451" s="1"/>
  <c r="CP30" i="236"/>
  <c r="S46" i="455" s="1"/>
  <c r="CG16" i="453"/>
  <c r="CF16" i="453"/>
  <c r="CJ16" i="453" s="1"/>
  <c r="CG9" i="453"/>
  <c r="CF9" i="453"/>
  <c r="CJ9" i="453" s="1"/>
  <c r="AA16" i="452"/>
  <c r="CF14" i="453"/>
  <c r="CG14" i="453"/>
  <c r="W17" i="452"/>
  <c r="X17" i="452" s="1"/>
  <c r="CG38" i="453"/>
  <c r="CF38" i="453"/>
  <c r="BU26" i="236"/>
  <c r="AW15" i="451" s="1"/>
  <c r="BC26" i="236"/>
  <c r="AE15" i="451" s="1"/>
  <c r="BE26" i="236"/>
  <c r="AG15" i="451" s="1"/>
  <c r="AZ26" i="236"/>
  <c r="BW26" i="236"/>
  <c r="AY15" i="451" s="1"/>
  <c r="BS26" i="236"/>
  <c r="AU15" i="451" s="1"/>
  <c r="AY22" i="236"/>
  <c r="BR26" i="236"/>
  <c r="AT15" i="451" s="1"/>
  <c r="BV26" i="236"/>
  <c r="AX15" i="451" s="1"/>
  <c r="BY26" i="236"/>
  <c r="BA15" i="451" s="1"/>
  <c r="W15" i="452"/>
  <c r="X15" i="452" s="1"/>
  <c r="BB26" i="236"/>
  <c r="AD15" i="451" s="1"/>
  <c r="BX26" i="236"/>
  <c r="AZ15" i="451" s="1"/>
  <c r="BI26" i="236"/>
  <c r="AK15" i="451" s="1"/>
  <c r="CG11" i="453"/>
  <c r="CF11" i="453"/>
  <c r="CJ11" i="453" s="1"/>
  <c r="CO30" i="236"/>
  <c r="R46" i="455" s="1"/>
  <c r="CH30" i="236"/>
  <c r="K46" i="455" s="1"/>
  <c r="CJ30" i="236"/>
  <c r="M46" i="455" s="1"/>
  <c r="AB35" i="435"/>
  <c r="AA17" i="452"/>
  <c r="CF10" i="453"/>
  <c r="CG10" i="453"/>
  <c r="BA26" i="236"/>
  <c r="AC15" i="451" s="1"/>
  <c r="BG26" i="236"/>
  <c r="AI15" i="451" s="1"/>
  <c r="BN26" i="236"/>
  <c r="AP15" i="451" s="1"/>
  <c r="BM26" i="236"/>
  <c r="AO15" i="451" s="1"/>
  <c r="BT26" i="236"/>
  <c r="AV15" i="451" s="1"/>
  <c r="AB54" i="452"/>
  <c r="CF15" i="453"/>
  <c r="CG15" i="453"/>
  <c r="AD44" i="435"/>
  <c r="AF9" i="436"/>
  <c r="AI25" i="436"/>
  <c r="BV12" i="434"/>
  <c r="BQ12" i="434"/>
  <c r="BM12" i="434"/>
  <c r="CA12" i="434"/>
  <c r="BW12" i="434"/>
  <c r="CB12" i="434"/>
  <c r="CC12" i="434"/>
  <c r="BF12" i="434"/>
  <c r="BS12" i="434"/>
  <c r="BI12" i="434"/>
  <c r="CJ12" i="434"/>
  <c r="AZ12" i="434"/>
  <c r="BB12" i="434"/>
  <c r="BL12" i="434"/>
  <c r="BH12" i="434"/>
  <c r="BP12" i="434"/>
  <c r="CE12" i="434"/>
  <c r="CK12" i="434"/>
  <c r="BR12" i="434"/>
  <c r="BG12" i="434"/>
  <c r="CF12" i="434"/>
  <c r="CG12" i="434"/>
  <c r="CD12" i="434"/>
  <c r="BY12" i="434"/>
  <c r="BE12" i="434"/>
  <c r="CH12" i="434"/>
  <c r="CI12" i="434"/>
  <c r="BZ12" i="434"/>
  <c r="BA12" i="434"/>
  <c r="BT12" i="434"/>
  <c r="BJ12" i="434"/>
  <c r="BC12" i="434"/>
  <c r="BD12" i="434"/>
  <c r="BN12" i="434"/>
  <c r="BK12" i="434"/>
  <c r="BU12" i="434"/>
  <c r="BX12" i="434"/>
  <c r="BO12" i="434"/>
  <c r="AY12" i="434"/>
  <c r="AW29" i="434"/>
  <c r="F19" i="433"/>
  <c r="Y29" i="435"/>
  <c r="AB29" i="435"/>
  <c r="AD43" i="435"/>
  <c r="H45" i="455" l="1"/>
  <c r="N45" i="436"/>
  <c r="J61" i="434"/>
  <c r="I61" i="434" s="1"/>
  <c r="DP67" i="434" s="1"/>
  <c r="DO67" i="434"/>
  <c r="M46" i="437"/>
  <c r="L46" i="437" s="1"/>
  <c r="AI30" i="437" s="1"/>
  <c r="AB24" i="435" s="1"/>
  <c r="J42" i="436"/>
  <c r="I42" i="436" s="1"/>
  <c r="AB15" i="451"/>
  <c r="K42" i="436"/>
  <c r="K61" i="434"/>
  <c r="AW61" i="434" s="1"/>
  <c r="AV61" i="434" s="1"/>
  <c r="H38" i="436"/>
  <c r="H57" i="434"/>
  <c r="DQ71" i="434"/>
  <c r="DS71" i="434"/>
  <c r="S42" i="436"/>
  <c r="N46" i="437"/>
  <c r="AK30" i="437" s="1"/>
  <c r="H46" i="455"/>
  <c r="AH30" i="437"/>
  <c r="AA24" i="435" s="1"/>
  <c r="AA14" i="451"/>
  <c r="G15" i="451"/>
  <c r="N45" i="437"/>
  <c r="K42" i="437"/>
  <c r="M42" i="437" s="1"/>
  <c r="L42" i="437" s="1"/>
  <c r="AI29" i="437" s="1"/>
  <c r="I22" i="457"/>
  <c r="AO30" i="420"/>
  <c r="H42" i="437"/>
  <c r="J42" i="437" s="1"/>
  <c r="I42" i="437" s="1"/>
  <c r="AD30" i="420"/>
  <c r="P27" i="420"/>
  <c r="AQ27" i="420"/>
  <c r="W30" i="420"/>
  <c r="AH27" i="420"/>
  <c r="AE30" i="437"/>
  <c r="X24" i="435" s="1"/>
  <c r="AF30" i="437"/>
  <c r="Y24" i="435" s="1"/>
  <c r="CG25" i="236"/>
  <c r="J41" i="455" s="1"/>
  <c r="AK31" i="420"/>
  <c r="AK30" i="420"/>
  <c r="AE31" i="420"/>
  <c r="AE30" i="420"/>
  <c r="R31" i="420"/>
  <c r="CP25" i="236"/>
  <c r="S41" i="455" s="1"/>
  <c r="CL25" i="236"/>
  <c r="O41" i="455" s="1"/>
  <c r="R30" i="420"/>
  <c r="AP31" i="420"/>
  <c r="AP30" i="420"/>
  <c r="AI31" i="420"/>
  <c r="AI30" i="420"/>
  <c r="AJ31" i="420"/>
  <c r="AJ30" i="420"/>
  <c r="CF25" i="236"/>
  <c r="I41" i="455" s="1"/>
  <c r="Q30" i="420"/>
  <c r="Y31" i="420"/>
  <c r="CI25" i="236"/>
  <c r="L41" i="455" s="1"/>
  <c r="Y30" i="420"/>
  <c r="CM25" i="236"/>
  <c r="P41" i="455" s="1"/>
  <c r="T31" i="420"/>
  <c r="CQ25" i="236"/>
  <c r="T41" i="455" s="1"/>
  <c r="T30" i="420"/>
  <c r="AC31" i="420"/>
  <c r="AC30" i="420"/>
  <c r="AF31" i="420"/>
  <c r="CK25" i="236"/>
  <c r="N41" i="455" s="1"/>
  <c r="AF30" i="420"/>
  <c r="AR31" i="420"/>
  <c r="AR30" i="420"/>
  <c r="AB31" i="420"/>
  <c r="AB30" i="420"/>
  <c r="AA31" i="420"/>
  <c r="AA30" i="420"/>
  <c r="U31" i="420"/>
  <c r="U30" i="420"/>
  <c r="AG31" i="420"/>
  <c r="AG30" i="420"/>
  <c r="X31" i="420"/>
  <c r="CJ25" i="236"/>
  <c r="M41" i="455" s="1"/>
  <c r="X30" i="420"/>
  <c r="AM31" i="420"/>
  <c r="AM30" i="420"/>
  <c r="AN31" i="420"/>
  <c r="AN30" i="420"/>
  <c r="V31" i="420"/>
  <c r="CH25" i="236"/>
  <c r="K41" i="455" s="1"/>
  <c r="V30" i="420"/>
  <c r="CD25" i="236"/>
  <c r="G41" i="455" s="1"/>
  <c r="Z31" i="420"/>
  <c r="Z30" i="420"/>
  <c r="S31" i="420"/>
  <c r="CO25" i="236"/>
  <c r="R41" i="455" s="1"/>
  <c r="S30" i="420"/>
  <c r="AL31" i="420"/>
  <c r="AL30" i="420"/>
  <c r="AS31" i="420"/>
  <c r="AS30" i="420"/>
  <c r="CN25" i="236"/>
  <c r="Q41" i="455" s="1"/>
  <c r="CE25" i="236"/>
  <c r="N41" i="436" s="1"/>
  <c r="D10" i="458"/>
  <c r="I21" i="457" s="1"/>
  <c r="AK25" i="435"/>
  <c r="Q31" i="420"/>
  <c r="AD31" i="420"/>
  <c r="W31" i="420"/>
  <c r="AO31" i="420"/>
  <c r="BE41" i="459"/>
  <c r="BE42" i="459"/>
  <c r="BK40" i="459"/>
  <c r="G11" i="458"/>
  <c r="K22" i="457" s="1"/>
  <c r="CQ26" i="236"/>
  <c r="T42" i="455" s="1"/>
  <c r="CN26" i="236"/>
  <c r="Q42" i="455" s="1"/>
  <c r="CL26" i="236"/>
  <c r="O42" i="455" s="1"/>
  <c r="BV18" i="453"/>
  <c r="BW18" i="453"/>
  <c r="BV25" i="453"/>
  <c r="BW25" i="453"/>
  <c r="BV26" i="453"/>
  <c r="BW26" i="453"/>
  <c r="CJ18" i="453"/>
  <c r="BV34" i="453"/>
  <c r="BW34" i="453"/>
  <c r="BV32" i="453"/>
  <c r="BW32" i="453"/>
  <c r="BV19" i="453"/>
  <c r="BW19" i="453"/>
  <c r="BV36" i="453"/>
  <c r="BW36" i="453"/>
  <c r="BV35" i="453"/>
  <c r="BW35" i="453"/>
  <c r="BV22" i="453"/>
  <c r="BW22" i="453"/>
  <c r="BV37" i="453"/>
  <c r="BW37" i="453"/>
  <c r="BV30" i="453"/>
  <c r="BW30" i="453"/>
  <c r="BV27" i="453"/>
  <c r="BW27" i="453"/>
  <c r="CJ37" i="453"/>
  <c r="BV28" i="453"/>
  <c r="BW28" i="453"/>
  <c r="CJ30" i="453"/>
  <c r="BV17" i="453"/>
  <c r="BW17" i="453"/>
  <c r="BV29" i="453"/>
  <c r="BW29" i="453"/>
  <c r="BV24" i="453"/>
  <c r="BW24" i="453"/>
  <c r="BV21" i="453"/>
  <c r="BW21" i="453"/>
  <c r="BV33" i="453"/>
  <c r="BW33" i="453"/>
  <c r="BV31" i="453"/>
  <c r="BW31" i="453"/>
  <c r="BV20" i="453"/>
  <c r="BW20" i="453"/>
  <c r="BV23" i="453"/>
  <c r="BW23" i="453"/>
  <c r="Y37" i="435"/>
  <c r="AB37" i="435"/>
  <c r="CK26" i="236"/>
  <c r="N42" i="455" s="1"/>
  <c r="CI26" i="236"/>
  <c r="L42" i="455" s="1"/>
  <c r="BH22" i="236"/>
  <c r="AJ14" i="451" s="1"/>
  <c r="AX17" i="453"/>
  <c r="CG26" i="236"/>
  <c r="J42" i="455" s="1"/>
  <c r="BT22" i="236"/>
  <c r="AV14" i="451" s="1"/>
  <c r="AX29" i="453"/>
  <c r="BW15" i="453"/>
  <c r="BV15" i="453"/>
  <c r="BW10" i="453"/>
  <c r="BV10" i="453"/>
  <c r="CD26" i="236"/>
  <c r="G42" i="455" s="1"/>
  <c r="CM26" i="236"/>
  <c r="P42" i="455" s="1"/>
  <c r="BR22" i="236"/>
  <c r="AT14" i="451" s="1"/>
  <c r="AX27" i="453"/>
  <c r="BS22" i="236"/>
  <c r="AU14" i="451" s="1"/>
  <c r="AX28" i="453"/>
  <c r="AZ22" i="236"/>
  <c r="BU22" i="236"/>
  <c r="AW14" i="451" s="1"/>
  <c r="AX30" i="453"/>
  <c r="BL22" i="236"/>
  <c r="AN14" i="451" s="1"/>
  <c r="AX21" i="453"/>
  <c r="CP26" i="236"/>
  <c r="S42" i="455" s="1"/>
  <c r="BF22" i="236"/>
  <c r="AH14" i="451" s="1"/>
  <c r="BZ21" i="236"/>
  <c r="BB13" i="451" s="1"/>
  <c r="BD22" i="236"/>
  <c r="AF14" i="451" s="1"/>
  <c r="BG22" i="236"/>
  <c r="AI14" i="451" s="1"/>
  <c r="BX22" i="236"/>
  <c r="AZ14" i="451" s="1"/>
  <c r="AX33" i="453"/>
  <c r="BY22" i="236"/>
  <c r="BA14" i="451" s="1"/>
  <c r="AX34" i="453"/>
  <c r="CJ26" i="236"/>
  <c r="M42" i="455" s="1"/>
  <c r="CJ10" i="453"/>
  <c r="BV14" i="453"/>
  <c r="BW14" i="453"/>
  <c r="BW9" i="453"/>
  <c r="BV9" i="453"/>
  <c r="BW16" i="453"/>
  <c r="BV16" i="453"/>
  <c r="BQ21" i="236"/>
  <c r="AS13" i="451" s="1"/>
  <c r="BV8" i="453"/>
  <c r="BW8" i="453"/>
  <c r="CJ12" i="453"/>
  <c r="BV12" i="453"/>
  <c r="BW12" i="453"/>
  <c r="BM22" i="236"/>
  <c r="AO14" i="451" s="1"/>
  <c r="AX22" i="453"/>
  <c r="CH26" i="236"/>
  <c r="K42" i="455" s="1"/>
  <c r="BV11" i="453"/>
  <c r="BW11" i="453"/>
  <c r="AY21" i="236"/>
  <c r="AX8" i="453"/>
  <c r="BW22" i="236"/>
  <c r="AY14" i="451" s="1"/>
  <c r="AX32" i="453"/>
  <c r="BE22" i="236"/>
  <c r="AG14" i="451" s="1"/>
  <c r="CJ15" i="453"/>
  <c r="CJ38" i="453"/>
  <c r="BV38" i="453"/>
  <c r="BW38" i="453"/>
  <c r="BK22" i="236"/>
  <c r="AM14" i="451" s="1"/>
  <c r="AX20" i="453"/>
  <c r="BJ22" i="236"/>
  <c r="AL14" i="451" s="1"/>
  <c r="AX19" i="453"/>
  <c r="CJ13" i="453"/>
  <c r="BW13" i="453"/>
  <c r="BV13" i="453"/>
  <c r="CB22" i="236"/>
  <c r="BD14" i="451" s="1"/>
  <c r="AX37" i="453"/>
  <c r="BP22" i="236"/>
  <c r="AR14" i="451" s="1"/>
  <c r="AX25" i="453"/>
  <c r="BN22" i="236"/>
  <c r="AP14" i="451" s="1"/>
  <c r="AX23" i="453"/>
  <c r="BA22" i="236"/>
  <c r="AC14" i="451" s="1"/>
  <c r="CF26" i="236"/>
  <c r="I42" i="455" s="1"/>
  <c r="CE26" i="236"/>
  <c r="N42" i="436" s="1"/>
  <c r="BI22" i="236"/>
  <c r="AK14" i="451" s="1"/>
  <c r="AX18" i="453"/>
  <c r="BB22" i="236"/>
  <c r="AD14" i="451" s="1"/>
  <c r="BV22" i="236"/>
  <c r="AX14" i="451" s="1"/>
  <c r="AX31" i="453"/>
  <c r="CO26" i="236"/>
  <c r="R42" i="455" s="1"/>
  <c r="BC22" i="236"/>
  <c r="AE14" i="451" s="1"/>
  <c r="BO22" i="236"/>
  <c r="AQ14" i="451" s="1"/>
  <c r="AX24" i="453"/>
  <c r="CA22" i="236"/>
  <c r="BC14" i="451" s="1"/>
  <c r="AX36" i="453"/>
  <c r="CJ14" i="453"/>
  <c r="CB29" i="434"/>
  <c r="BN29" i="434"/>
  <c r="AZ29" i="434"/>
  <c r="BY29" i="434"/>
  <c r="BK29" i="434"/>
  <c r="CJ29" i="434"/>
  <c r="BV29" i="434"/>
  <c r="BH29" i="434"/>
  <c r="CG29" i="434"/>
  <c r="BC29" i="434"/>
  <c r="CM29" i="434"/>
  <c r="BE29" i="434"/>
  <c r="CD29" i="434"/>
  <c r="BP29" i="434"/>
  <c r="BB29" i="434"/>
  <c r="BO29" i="434"/>
  <c r="BM29" i="434"/>
  <c r="CL29" i="434"/>
  <c r="BX29" i="434"/>
  <c r="BJ29" i="434"/>
  <c r="BS29" i="434"/>
  <c r="AY29" i="434"/>
  <c r="BU29" i="434"/>
  <c r="BW29" i="434"/>
  <c r="CF29" i="434"/>
  <c r="BR29" i="434"/>
  <c r="BD29" i="434"/>
  <c r="CC29" i="434"/>
  <c r="CA29" i="434"/>
  <c r="BA29" i="434"/>
  <c r="BZ29" i="434"/>
  <c r="BL29" i="434"/>
  <c r="CK29" i="434"/>
  <c r="CI29" i="434"/>
  <c r="BI29" i="434"/>
  <c r="CH29" i="434"/>
  <c r="BT29" i="434"/>
  <c r="BF29" i="434"/>
  <c r="CE29" i="434"/>
  <c r="BQ29" i="434"/>
  <c r="BG29" i="434"/>
  <c r="AB14" i="451" l="1"/>
  <c r="K38" i="436"/>
  <c r="K57" i="434"/>
  <c r="AW57" i="434" s="1"/>
  <c r="AV57" i="434" s="1"/>
  <c r="J57" i="434"/>
  <c r="I57" i="434" s="1"/>
  <c r="DP63" i="434" s="1"/>
  <c r="DO63" i="434"/>
  <c r="M42" i="436"/>
  <c r="L42" i="436" s="1"/>
  <c r="S38" i="436"/>
  <c r="DQ67" i="434"/>
  <c r="DS67" i="434"/>
  <c r="H37" i="436"/>
  <c r="H56" i="434"/>
  <c r="J38" i="436"/>
  <c r="I38" i="436" s="1"/>
  <c r="AK24" i="435"/>
  <c r="AE29" i="437"/>
  <c r="AA13" i="451"/>
  <c r="G14" i="451"/>
  <c r="AH29" i="437"/>
  <c r="AA23" i="435" s="1"/>
  <c r="U41" i="455"/>
  <c r="U42" i="455"/>
  <c r="K38" i="437"/>
  <c r="M38" i="437" s="1"/>
  <c r="L38" i="437" s="1"/>
  <c r="N41" i="437"/>
  <c r="H41" i="455"/>
  <c r="N42" i="437"/>
  <c r="H42" i="455"/>
  <c r="AH25" i="420"/>
  <c r="Y27" i="420"/>
  <c r="Q27" i="420"/>
  <c r="H38" i="437"/>
  <c r="J38" i="437" s="1"/>
  <c r="I38" i="437" s="1"/>
  <c r="AK27" i="420"/>
  <c r="AQ25" i="420"/>
  <c r="I10" i="458"/>
  <c r="E10" i="458" s="1"/>
  <c r="J21" i="457" s="1"/>
  <c r="AF29" i="437"/>
  <c r="P25" i="420"/>
  <c r="D9" i="458"/>
  <c r="I20" i="457" s="1"/>
  <c r="AL24" i="435"/>
  <c r="AR27" i="420"/>
  <c r="T27" i="420"/>
  <c r="AM27" i="420"/>
  <c r="Z27" i="420"/>
  <c r="R27" i="420"/>
  <c r="AG27" i="420"/>
  <c r="V27" i="420"/>
  <c r="AL27" i="420"/>
  <c r="AJ27" i="420"/>
  <c r="AB27" i="420"/>
  <c r="P26" i="420"/>
  <c r="AP27" i="420"/>
  <c r="X27" i="420"/>
  <c r="BC35" i="453"/>
  <c r="AQ26" i="420"/>
  <c r="AF27" i="420"/>
  <c r="S27" i="420"/>
  <c r="AE27" i="420"/>
  <c r="AS27" i="420"/>
  <c r="AN27" i="420"/>
  <c r="AD27" i="420"/>
  <c r="BC26" i="453"/>
  <c r="AH26" i="420"/>
  <c r="AC27" i="420"/>
  <c r="AI27" i="420"/>
  <c r="AA27" i="420"/>
  <c r="AO27" i="420"/>
  <c r="U27" i="420"/>
  <c r="W27" i="420"/>
  <c r="AY42" i="459"/>
  <c r="AY41" i="459"/>
  <c r="BE40" i="459"/>
  <c r="G10" i="458"/>
  <c r="K21" i="457" s="1"/>
  <c r="CC23" i="453"/>
  <c r="CH23" i="453" s="1"/>
  <c r="CI23" i="453" s="1"/>
  <c r="AE30" i="452" s="1"/>
  <c r="CL22" i="236"/>
  <c r="O38" i="455" s="1"/>
  <c r="CN22" i="236"/>
  <c r="Q38" i="455" s="1"/>
  <c r="CC28" i="453"/>
  <c r="CC25" i="453"/>
  <c r="CC26" i="453"/>
  <c r="CC18" i="453"/>
  <c r="CC20" i="453"/>
  <c r="CC33" i="453"/>
  <c r="CC24" i="453"/>
  <c r="CC17" i="453"/>
  <c r="CC31" i="453"/>
  <c r="CC21" i="453"/>
  <c r="CC29" i="453"/>
  <c r="CC27" i="453"/>
  <c r="CC37" i="453"/>
  <c r="CC35" i="453"/>
  <c r="CC19" i="453"/>
  <c r="CC34" i="453"/>
  <c r="CC30" i="453"/>
  <c r="CC22" i="453"/>
  <c r="CC36" i="453"/>
  <c r="CC32" i="453"/>
  <c r="AD39" i="435"/>
  <c r="AD41" i="435"/>
  <c r="CK22" i="236"/>
  <c r="N38" i="455" s="1"/>
  <c r="CC8" i="453"/>
  <c r="CH8" i="453" s="1"/>
  <c r="CI8" i="453" s="1"/>
  <c r="AE15" i="452" s="1"/>
  <c r="CH22" i="236"/>
  <c r="K38" i="455" s="1"/>
  <c r="CC38" i="453"/>
  <c r="CC11" i="453"/>
  <c r="Z18" i="452" s="1"/>
  <c r="CC12" i="453"/>
  <c r="Z19" i="452" s="1"/>
  <c r="BH21" i="236"/>
  <c r="AJ13" i="451" s="1"/>
  <c r="CG22" i="236"/>
  <c r="J38" i="455" s="1"/>
  <c r="CC16" i="453"/>
  <c r="Z23" i="452" s="1"/>
  <c r="CI22" i="236"/>
  <c r="L38" i="455" s="1"/>
  <c r="BJ21" i="236"/>
  <c r="AL13" i="451" s="1"/>
  <c r="BW21" i="236"/>
  <c r="AY13" i="451" s="1"/>
  <c r="CQ22" i="236"/>
  <c r="T38" i="455" s="1"/>
  <c r="BU21" i="236"/>
  <c r="AW13" i="451" s="1"/>
  <c r="BS21" i="236"/>
  <c r="AU13" i="451" s="1"/>
  <c r="BC21" i="236"/>
  <c r="AE13" i="451" s="1"/>
  <c r="AX12" i="453"/>
  <c r="CA21" i="236"/>
  <c r="BC13" i="451" s="1"/>
  <c r="CF22" i="236"/>
  <c r="I38" i="455" s="1"/>
  <c r="BV21" i="236"/>
  <c r="AX13" i="451" s="1"/>
  <c r="BI21" i="236"/>
  <c r="AK13" i="451" s="1"/>
  <c r="BA21" i="236"/>
  <c r="AC13" i="451" s="1"/>
  <c r="AX10" i="453"/>
  <c r="BP21" i="236"/>
  <c r="AR13" i="451" s="1"/>
  <c r="CC13" i="453"/>
  <c r="Z20" i="452" s="1"/>
  <c r="CC9" i="453"/>
  <c r="BY21" i="236"/>
  <c r="BA13" i="451" s="1"/>
  <c r="BD21" i="236"/>
  <c r="AF13" i="451" s="1"/>
  <c r="AX13" i="453"/>
  <c r="CC15" i="453"/>
  <c r="Z22" i="452" s="1"/>
  <c r="BO21" i="236"/>
  <c r="AQ13" i="451" s="1"/>
  <c r="BE21" i="236"/>
  <c r="AG13" i="451" s="1"/>
  <c r="AX14" i="453"/>
  <c r="BL21" i="236"/>
  <c r="AN13" i="451" s="1"/>
  <c r="AZ21" i="236"/>
  <c r="AX9" i="453"/>
  <c r="BR21" i="236"/>
  <c r="AT13" i="451" s="1"/>
  <c r="BT21" i="236"/>
  <c r="AV13" i="451" s="1"/>
  <c r="CP22" i="236"/>
  <c r="S38" i="455" s="1"/>
  <c r="CD22" i="236"/>
  <c r="G38" i="455" s="1"/>
  <c r="CE22" i="236"/>
  <c r="N38" i="436" s="1"/>
  <c r="CM22" i="236"/>
  <c r="P38" i="455" s="1"/>
  <c r="BB21" i="236"/>
  <c r="AD13" i="451" s="1"/>
  <c r="AX11" i="453"/>
  <c r="BN21" i="236"/>
  <c r="AP13" i="451" s="1"/>
  <c r="CB21" i="236"/>
  <c r="BD13" i="451" s="1"/>
  <c r="BK21" i="236"/>
  <c r="AM13" i="451" s="1"/>
  <c r="CO22" i="236"/>
  <c r="R38" i="455" s="1"/>
  <c r="AY18" i="236"/>
  <c r="BM21" i="236"/>
  <c r="AO13" i="451" s="1"/>
  <c r="BQ18" i="236"/>
  <c r="AS12" i="451" s="1"/>
  <c r="CC14" i="453"/>
  <c r="Z21" i="452" s="1"/>
  <c r="BX21" i="236"/>
  <c r="AZ13" i="451" s="1"/>
  <c r="BG21" i="236"/>
  <c r="AI13" i="451" s="1"/>
  <c r="AX16" i="453"/>
  <c r="BZ18" i="236"/>
  <c r="BB12" i="451" s="1"/>
  <c r="BF21" i="236"/>
  <c r="AH13" i="451" s="1"/>
  <c r="AX15" i="453"/>
  <c r="CJ22" i="236"/>
  <c r="M38" i="455" s="1"/>
  <c r="CC10" i="453"/>
  <c r="AD38" i="435"/>
  <c r="AG5" i="436"/>
  <c r="H34" i="436" l="1"/>
  <c r="H53" i="434"/>
  <c r="DO62" i="434"/>
  <c r="J56" i="434"/>
  <c r="I56" i="434" s="1"/>
  <c r="DP62" i="434" s="1"/>
  <c r="J37" i="436"/>
  <c r="I37" i="436" s="1"/>
  <c r="AB13" i="451"/>
  <c r="K37" i="436"/>
  <c r="M37" i="436" s="1"/>
  <c r="L37" i="436" s="1"/>
  <c r="K56" i="434"/>
  <c r="AW56" i="434" s="1"/>
  <c r="AV56" i="434" s="1"/>
  <c r="M38" i="436"/>
  <c r="L38" i="436" s="1"/>
  <c r="S37" i="436"/>
  <c r="DQ63" i="434"/>
  <c r="DS63" i="434"/>
  <c r="G13" i="451"/>
  <c r="AA12" i="451"/>
  <c r="U38" i="455"/>
  <c r="K37" i="437"/>
  <c r="M37" i="437" s="1"/>
  <c r="L37" i="437" s="1"/>
  <c r="N38" i="437"/>
  <c r="H38" i="455"/>
  <c r="AS25" i="420"/>
  <c r="AD25" i="420"/>
  <c r="P23" i="420"/>
  <c r="AE25" i="420"/>
  <c r="AC25" i="420"/>
  <c r="AR25" i="420"/>
  <c r="AL25" i="420"/>
  <c r="H37" i="437"/>
  <c r="J37" i="437" s="1"/>
  <c r="I37" i="437" s="1"/>
  <c r="AJ25" i="420"/>
  <c r="AA25" i="420"/>
  <c r="W25" i="420"/>
  <c r="AQ23" i="420"/>
  <c r="AI25" i="420"/>
  <c r="Z25" i="420"/>
  <c r="AH23" i="420"/>
  <c r="AB25" i="420"/>
  <c r="U25" i="420"/>
  <c r="AG25" i="420"/>
  <c r="AM25" i="420"/>
  <c r="AN25" i="420"/>
  <c r="I9" i="458"/>
  <c r="E9" i="458" s="1"/>
  <c r="J20" i="457" s="1"/>
  <c r="CN20" i="236"/>
  <c r="Q36" i="455" s="1"/>
  <c r="CP20" i="236"/>
  <c r="S36" i="455" s="1"/>
  <c r="CL20" i="236"/>
  <c r="O36" i="455" s="1"/>
  <c r="R25" i="420"/>
  <c r="CQ20" i="236"/>
  <c r="T36" i="455" s="1"/>
  <c r="T25" i="420"/>
  <c r="CM20" i="236"/>
  <c r="P36" i="455" s="1"/>
  <c r="CE20" i="236"/>
  <c r="N36" i="436" s="1"/>
  <c r="CJ20" i="236"/>
  <c r="M36" i="455" s="1"/>
  <c r="X25" i="420"/>
  <c r="CO20" i="236"/>
  <c r="R36" i="455" s="1"/>
  <c r="S25" i="420"/>
  <c r="AK25" i="420"/>
  <c r="CH20" i="236"/>
  <c r="K36" i="455" s="1"/>
  <c r="V25" i="420"/>
  <c r="CF20" i="236"/>
  <c r="I36" i="455" s="1"/>
  <c r="Q25" i="420"/>
  <c r="CD20" i="236"/>
  <c r="G36" i="455" s="1"/>
  <c r="AO26" i="420"/>
  <c r="AO25" i="420"/>
  <c r="CK20" i="236"/>
  <c r="N36" i="455" s="1"/>
  <c r="AF25" i="420"/>
  <c r="AP26" i="420"/>
  <c r="AP25" i="420"/>
  <c r="CI20" i="236"/>
  <c r="L36" i="455" s="1"/>
  <c r="Y25" i="420"/>
  <c r="CG20" i="236"/>
  <c r="J36" i="455" s="1"/>
  <c r="Q26" i="420"/>
  <c r="D8" i="458"/>
  <c r="I19" i="457" s="1"/>
  <c r="X26" i="420"/>
  <c r="BC11" i="453"/>
  <c r="S26" i="420"/>
  <c r="BC29" i="453"/>
  <c r="AK26" i="420"/>
  <c r="V26" i="420"/>
  <c r="U26" i="420"/>
  <c r="BC25" i="453"/>
  <c r="AG26" i="420"/>
  <c r="BC19" i="453"/>
  <c r="AA26" i="420"/>
  <c r="BC20" i="453"/>
  <c r="AB26" i="420"/>
  <c r="BC23" i="453"/>
  <c r="AE26" i="420"/>
  <c r="BC18" i="453"/>
  <c r="Z26" i="420"/>
  <c r="BC28" i="453"/>
  <c r="AJ26" i="420"/>
  <c r="BC32" i="453"/>
  <c r="AN26" i="420"/>
  <c r="BC27" i="453"/>
  <c r="AI26" i="420"/>
  <c r="BC24" i="453"/>
  <c r="AF26" i="420"/>
  <c r="W26" i="420"/>
  <c r="BC22" i="453"/>
  <c r="AD26" i="420"/>
  <c r="BC37" i="453"/>
  <c r="AS26" i="420"/>
  <c r="BC21" i="453"/>
  <c r="AC26" i="420"/>
  <c r="BC10" i="453"/>
  <c r="R26" i="420"/>
  <c r="BC31" i="453"/>
  <c r="AM26" i="420"/>
  <c r="BC36" i="453"/>
  <c r="AR26" i="420"/>
  <c r="BC12" i="453"/>
  <c r="T26" i="420"/>
  <c r="BC30" i="453"/>
  <c r="AL26" i="420"/>
  <c r="BC17" i="453"/>
  <c r="Y26" i="420"/>
  <c r="Z30" i="452"/>
  <c r="G9" i="458"/>
  <c r="K20" i="457" s="1"/>
  <c r="AY40" i="459"/>
  <c r="AS42" i="459"/>
  <c r="AS41" i="459"/>
  <c r="AK29" i="437"/>
  <c r="Z15" i="452"/>
  <c r="CL21" i="236"/>
  <c r="O37" i="455" s="1"/>
  <c r="CN21" i="236"/>
  <c r="Q37" i="455" s="1"/>
  <c r="BC33" i="453"/>
  <c r="BC34" i="453"/>
  <c r="CH22" i="453"/>
  <c r="CI22" i="453" s="1"/>
  <c r="AE29" i="452" s="1"/>
  <c r="Z29" i="452"/>
  <c r="CH35" i="453"/>
  <c r="CI35" i="453" s="1"/>
  <c r="AE42" i="452" s="1"/>
  <c r="Z42" i="452"/>
  <c r="CH21" i="453"/>
  <c r="CI21" i="453" s="1"/>
  <c r="AE28" i="452" s="1"/>
  <c r="Z28" i="452"/>
  <c r="CH33" i="453"/>
  <c r="CI33" i="453" s="1"/>
  <c r="AE40" i="452" s="1"/>
  <c r="Z40" i="452"/>
  <c r="CH18" i="453"/>
  <c r="CI18" i="453" s="1"/>
  <c r="AE25" i="452" s="1"/>
  <c r="Z25" i="452"/>
  <c r="CH30" i="453"/>
  <c r="CI30" i="453" s="1"/>
  <c r="AE37" i="452" s="1"/>
  <c r="Z37" i="452"/>
  <c r="CH37" i="453"/>
  <c r="CI37" i="453" s="1"/>
  <c r="AE44" i="452" s="1"/>
  <c r="Z44" i="452"/>
  <c r="CH31" i="453"/>
  <c r="CI31" i="453" s="1"/>
  <c r="AE38" i="452" s="1"/>
  <c r="Z38" i="452"/>
  <c r="CH20" i="453"/>
  <c r="CI20" i="453" s="1"/>
  <c r="AE27" i="452" s="1"/>
  <c r="Z27" i="452"/>
  <c r="CH26" i="453"/>
  <c r="CI26" i="453" s="1"/>
  <c r="AE33" i="452" s="1"/>
  <c r="Z33" i="452"/>
  <c r="CH32" i="453"/>
  <c r="CI32" i="453" s="1"/>
  <c r="AE39" i="452" s="1"/>
  <c r="Z39" i="452"/>
  <c r="CH34" i="453"/>
  <c r="CI34" i="453" s="1"/>
  <c r="AE41" i="452" s="1"/>
  <c r="Z41" i="452"/>
  <c r="CH27" i="453"/>
  <c r="CI27" i="453" s="1"/>
  <c r="AE34" i="452" s="1"/>
  <c r="Z34" i="452"/>
  <c r="CH17" i="453"/>
  <c r="CI17" i="453" s="1"/>
  <c r="AE24" i="452" s="1"/>
  <c r="Z24" i="452"/>
  <c r="CH25" i="453"/>
  <c r="CI25" i="453" s="1"/>
  <c r="AE32" i="452" s="1"/>
  <c r="Z32" i="452"/>
  <c r="CH38" i="453"/>
  <c r="CI38" i="453" s="1"/>
  <c r="AE45" i="452" s="1"/>
  <c r="Z45" i="452"/>
  <c r="CH36" i="453"/>
  <c r="CI36" i="453" s="1"/>
  <c r="AE43" i="452" s="1"/>
  <c r="Z43" i="452"/>
  <c r="CH19" i="453"/>
  <c r="CI19" i="453" s="1"/>
  <c r="AE26" i="452" s="1"/>
  <c r="Z26" i="452"/>
  <c r="CH29" i="453"/>
  <c r="CI29" i="453" s="1"/>
  <c r="AE36" i="452" s="1"/>
  <c r="Z36" i="452"/>
  <c r="CH24" i="453"/>
  <c r="CI24" i="453" s="1"/>
  <c r="AE31" i="452" s="1"/>
  <c r="Z31" i="452"/>
  <c r="CH28" i="453"/>
  <c r="CI28" i="453" s="1"/>
  <c r="AE35" i="452" s="1"/>
  <c r="Z35" i="452"/>
  <c r="Y34" i="435"/>
  <c r="AD24" i="435"/>
  <c r="AD37" i="435"/>
  <c r="AB34" i="435"/>
  <c r="CH12" i="453"/>
  <c r="CI12" i="453" s="1"/>
  <c r="AE19" i="452" s="1"/>
  <c r="CH11" i="453"/>
  <c r="CI11" i="453" s="1"/>
  <c r="AE18" i="452" s="1"/>
  <c r="BH18" i="236"/>
  <c r="AJ12" i="451" s="1"/>
  <c r="CH16" i="453"/>
  <c r="CI16" i="453" s="1"/>
  <c r="AE23" i="452" s="1"/>
  <c r="CQ21" i="236"/>
  <c r="T37" i="455" s="1"/>
  <c r="CH14" i="453"/>
  <c r="CI14" i="453" s="1"/>
  <c r="AE21" i="452" s="1"/>
  <c r="BB18" i="236"/>
  <c r="AD12" i="451" s="1"/>
  <c r="CO21" i="236"/>
  <c r="R37" i="455" s="1"/>
  <c r="BD18" i="236"/>
  <c r="AF12" i="451" s="1"/>
  <c r="BY18" i="236"/>
  <c r="BA12" i="451" s="1"/>
  <c r="BV18" i="236"/>
  <c r="AX12" i="451" s="1"/>
  <c r="BC18" i="236"/>
  <c r="AE12" i="451" s="1"/>
  <c r="CE21" i="236"/>
  <c r="N37" i="436" s="1"/>
  <c r="CH21" i="236"/>
  <c r="K37" i="455" s="1"/>
  <c r="BM18" i="236"/>
  <c r="AO12" i="451" s="1"/>
  <c r="BL18" i="236"/>
  <c r="AN12" i="451" s="1"/>
  <c r="BC16" i="453"/>
  <c r="BF18" i="236"/>
  <c r="AH12" i="451" s="1"/>
  <c r="BQ13" i="236"/>
  <c r="BN18" i="236"/>
  <c r="AP12" i="451" s="1"/>
  <c r="BT18" i="236"/>
  <c r="AV12" i="451" s="1"/>
  <c r="AZ18" i="236"/>
  <c r="AX38" i="453"/>
  <c r="AY10" i="453" s="1"/>
  <c r="CP21" i="236"/>
  <c r="S37" i="455" s="1"/>
  <c r="CH13" i="453"/>
  <c r="CI13" i="453" s="1"/>
  <c r="AE20" i="452" s="1"/>
  <c r="BI18" i="236"/>
  <c r="AK12" i="451" s="1"/>
  <c r="CF21" i="236"/>
  <c r="I37" i="455" s="1"/>
  <c r="BJ18" i="236"/>
  <c r="AL12" i="451" s="1"/>
  <c r="BO18" i="236"/>
  <c r="AQ12" i="451" s="1"/>
  <c r="BC14" i="453"/>
  <c r="BC15" i="453"/>
  <c r="BX18" i="236"/>
  <c r="AZ12" i="451" s="1"/>
  <c r="CB18" i="236"/>
  <c r="BD12" i="451" s="1"/>
  <c r="BR18" i="236"/>
  <c r="AT12" i="451" s="1"/>
  <c r="CJ21" i="236"/>
  <c r="M37" i="455" s="1"/>
  <c r="BC9" i="453"/>
  <c r="CH15" i="453"/>
  <c r="CI15" i="453" s="1"/>
  <c r="AE22" i="452" s="1"/>
  <c r="CH9" i="453"/>
  <c r="CI9" i="453" s="1"/>
  <c r="AE16" i="452" s="1"/>
  <c r="Z16" i="452"/>
  <c r="BA18" i="236"/>
  <c r="AC12" i="451" s="1"/>
  <c r="CA18" i="236"/>
  <c r="BC12" i="451" s="1"/>
  <c r="BU18" i="236"/>
  <c r="AW12" i="451" s="1"/>
  <c r="CD21" i="236"/>
  <c r="G37" i="455" s="1"/>
  <c r="CG21" i="236"/>
  <c r="J37" i="455" s="1"/>
  <c r="BW18" i="236"/>
  <c r="AY12" i="451" s="1"/>
  <c r="Z17" i="452"/>
  <c r="CH10" i="453"/>
  <c r="CI10" i="453" s="1"/>
  <c r="AE17" i="452" s="1"/>
  <c r="BZ13" i="236"/>
  <c r="BG18" i="236"/>
  <c r="AI12" i="451" s="1"/>
  <c r="AY13" i="236"/>
  <c r="BK18" i="236"/>
  <c r="AM12" i="451" s="1"/>
  <c r="BE18" i="236"/>
  <c r="AG12" i="451" s="1"/>
  <c r="BP18" i="236"/>
  <c r="AR12" i="451" s="1"/>
  <c r="BS18" i="236"/>
  <c r="AU12" i="451" s="1"/>
  <c r="CK21" i="236"/>
  <c r="N37" i="455" s="1"/>
  <c r="CM21" i="236"/>
  <c r="P37" i="455" s="1"/>
  <c r="CI21" i="236"/>
  <c r="L37" i="455" s="1"/>
  <c r="X23" i="435"/>
  <c r="AL23" i="435" s="1"/>
  <c r="AB31" i="435"/>
  <c r="AB30" i="435"/>
  <c r="Y30" i="435"/>
  <c r="Y31" i="435"/>
  <c r="AD36" i="435"/>
  <c r="S34" i="436" l="1"/>
  <c r="DQ62" i="434"/>
  <c r="DS62" i="434"/>
  <c r="J53" i="434"/>
  <c r="I53" i="434" s="1"/>
  <c r="DP59" i="434" s="1"/>
  <c r="DO59" i="434"/>
  <c r="H29" i="436"/>
  <c r="AB12" i="451"/>
  <c r="K34" i="436"/>
  <c r="K53" i="434"/>
  <c r="AW53" i="434" s="1"/>
  <c r="AV53" i="434" s="1"/>
  <c r="J34" i="436"/>
  <c r="I34" i="436" s="1"/>
  <c r="G12" i="451"/>
  <c r="DC44" i="434"/>
  <c r="DE44" i="434" s="1"/>
  <c r="U36" i="455"/>
  <c r="K34" i="437"/>
  <c r="AH33" i="437" s="1"/>
  <c r="AA27" i="435" s="1"/>
  <c r="N37" i="437"/>
  <c r="AK27" i="437" s="1"/>
  <c r="AD21" i="435" s="1"/>
  <c r="H37" i="455"/>
  <c r="N36" i="437"/>
  <c r="AK35" i="437" s="1"/>
  <c r="H36" i="455"/>
  <c r="Z23" i="420"/>
  <c r="D7" i="458"/>
  <c r="I18" i="457" s="1"/>
  <c r="Q23" i="420"/>
  <c r="H34" i="437"/>
  <c r="CY44" i="434"/>
  <c r="W23" i="420"/>
  <c r="AP23" i="420"/>
  <c r="AB23" i="420"/>
  <c r="AH18" i="420"/>
  <c r="AS11" i="451"/>
  <c r="AD23" i="420"/>
  <c r="AM23" i="420"/>
  <c r="S23" i="420"/>
  <c r="Y23" i="420"/>
  <c r="AJ23" i="420"/>
  <c r="P18" i="420"/>
  <c r="AA11" i="451"/>
  <c r="AL23" i="420"/>
  <c r="AI23" i="420"/>
  <c r="AG23" i="420"/>
  <c r="X23" i="420"/>
  <c r="AN23" i="420"/>
  <c r="AR23" i="420"/>
  <c r="U23" i="420"/>
  <c r="AS23" i="420"/>
  <c r="AF23" i="420"/>
  <c r="AK23" i="420"/>
  <c r="V23" i="420"/>
  <c r="AQ18" i="420"/>
  <c r="BB11" i="451"/>
  <c r="R23" i="420"/>
  <c r="AO23" i="420"/>
  <c r="AA23" i="420"/>
  <c r="AE23" i="420"/>
  <c r="AC23" i="420"/>
  <c r="T23" i="420"/>
  <c r="G8" i="458"/>
  <c r="K19" i="457" s="1"/>
  <c r="I8" i="458"/>
  <c r="E8" i="458" s="1"/>
  <c r="J19" i="457" s="1"/>
  <c r="AS40" i="459"/>
  <c r="AM42" i="459"/>
  <c r="AM41" i="459"/>
  <c r="AI27" i="437"/>
  <c r="AB21" i="435" s="1"/>
  <c r="AH27" i="437"/>
  <c r="AA21" i="435" s="1"/>
  <c r="AF27" i="437"/>
  <c r="Y21" i="435" s="1"/>
  <c r="AE27" i="437"/>
  <c r="X21" i="435" s="1"/>
  <c r="K10" i="455"/>
  <c r="X16" i="454" s="1"/>
  <c r="T10" i="455"/>
  <c r="AI16" i="454" s="1"/>
  <c r="L10" i="455"/>
  <c r="Y16" i="454" s="1"/>
  <c r="J10" i="455"/>
  <c r="W16" i="454" s="1"/>
  <c r="I10" i="455"/>
  <c r="V16" i="454" s="1"/>
  <c r="H10" i="455"/>
  <c r="T16" i="454" s="1"/>
  <c r="Q10" i="455"/>
  <c r="AF16" i="454" s="1"/>
  <c r="P10" i="455"/>
  <c r="AD16" i="454" s="1"/>
  <c r="G10" i="455"/>
  <c r="R16" i="454" s="1"/>
  <c r="M10" i="455"/>
  <c r="Z16" i="454" s="1"/>
  <c r="R10" i="455"/>
  <c r="AG16" i="454" s="1"/>
  <c r="N10" i="455"/>
  <c r="AB16" i="454" s="1"/>
  <c r="S10" i="455"/>
  <c r="AH16" i="454" s="1"/>
  <c r="O10" i="455"/>
  <c r="AC16" i="454" s="1"/>
  <c r="CN18" i="236"/>
  <c r="Q34" i="455" s="1"/>
  <c r="CL18" i="236"/>
  <c r="O34" i="455" s="1"/>
  <c r="CQ18" i="236"/>
  <c r="T34" i="455" s="1"/>
  <c r="AY16" i="453"/>
  <c r="AY19" i="453"/>
  <c r="AY24" i="453"/>
  <c r="AY26" i="453"/>
  <c r="AY33" i="453"/>
  <c r="AY30" i="453"/>
  <c r="AY32" i="453"/>
  <c r="AY29" i="453"/>
  <c r="AY28" i="453"/>
  <c r="AY18" i="453"/>
  <c r="AY21" i="453"/>
  <c r="AY20" i="453"/>
  <c r="AY27" i="453"/>
  <c r="AY17" i="453"/>
  <c r="AY31" i="453"/>
  <c r="AY22" i="453"/>
  <c r="AY25" i="453"/>
  <c r="AY36" i="453"/>
  <c r="AY37" i="453"/>
  <c r="AY34" i="453"/>
  <c r="AY23" i="453"/>
  <c r="AY35" i="453"/>
  <c r="CP18" i="236"/>
  <c r="S34" i="455" s="1"/>
  <c r="AD34" i="435"/>
  <c r="AY13" i="453"/>
  <c r="AY12" i="453"/>
  <c r="AY14" i="453"/>
  <c r="BH13" i="236"/>
  <c r="CG18" i="236"/>
  <c r="J34" i="455" s="1"/>
  <c r="BS13" i="236"/>
  <c r="BP13" i="236"/>
  <c r="CO18" i="236"/>
  <c r="R34" i="455" s="1"/>
  <c r="AZ13" i="236"/>
  <c r="K29" i="436" s="1"/>
  <c r="BN13" i="236"/>
  <c r="BL13" i="236"/>
  <c r="CD18" i="236"/>
  <c r="G34" i="455" s="1"/>
  <c r="BY13" i="236"/>
  <c r="BO13" i="236"/>
  <c r="AY11" i="453"/>
  <c r="AY38" i="453"/>
  <c r="CJ18" i="236"/>
  <c r="M34" i="455" s="1"/>
  <c r="CH18" i="236"/>
  <c r="K34" i="455" s="1"/>
  <c r="BM13" i="236"/>
  <c r="BC13" i="236"/>
  <c r="BV13" i="236"/>
  <c r="BB13" i="236"/>
  <c r="CA13" i="236"/>
  <c r="BJ13" i="236"/>
  <c r="BU13" i="236"/>
  <c r="BA13" i="236"/>
  <c r="BX13" i="236"/>
  <c r="BF13" i="236"/>
  <c r="AY8" i="453"/>
  <c r="CK18" i="236"/>
  <c r="N34" i="455" s="1"/>
  <c r="CE18" i="236"/>
  <c r="N34" i="436" s="1"/>
  <c r="BD13" i="236"/>
  <c r="CB13" i="236"/>
  <c r="BE13" i="236"/>
  <c r="BK13" i="236"/>
  <c r="BG13" i="236"/>
  <c r="BW13" i="236"/>
  <c r="BR13" i="236"/>
  <c r="BI13" i="236"/>
  <c r="BT13" i="236"/>
  <c r="CF18" i="236"/>
  <c r="I34" i="455" s="1"/>
  <c r="CI18" i="236"/>
  <c r="L34" i="455" s="1"/>
  <c r="CM18" i="236"/>
  <c r="P34" i="455" s="1"/>
  <c r="AY15" i="453"/>
  <c r="AY9" i="453"/>
  <c r="AK23" i="435"/>
  <c r="AD31" i="435"/>
  <c r="AD33" i="435"/>
  <c r="AA28" i="435"/>
  <c r="DO43" i="434"/>
  <c r="DD43" i="434"/>
  <c r="AD35" i="435"/>
  <c r="M34" i="436" l="1"/>
  <c r="L34" i="436" s="1"/>
  <c r="DS59" i="434"/>
  <c r="DQ59" i="434"/>
  <c r="S29" i="436"/>
  <c r="M29" i="436"/>
  <c r="L29" i="436" s="1"/>
  <c r="J29" i="436"/>
  <c r="I29" i="436" s="1"/>
  <c r="M34" i="437"/>
  <c r="L34" i="437" s="1"/>
  <c r="AI33" i="437" s="1"/>
  <c r="AB27" i="435" s="1"/>
  <c r="AY11" i="451"/>
  <c r="BD11" i="451"/>
  <c r="AW11" i="451"/>
  <c r="AX11" i="451"/>
  <c r="BA11" i="451"/>
  <c r="AH11" i="451"/>
  <c r="AL11" i="451"/>
  <c r="AV11" i="451"/>
  <c r="AK11" i="451"/>
  <c r="AZ11" i="451"/>
  <c r="BC11" i="451"/>
  <c r="AO11" i="451"/>
  <c r="AN11" i="451"/>
  <c r="AT11" i="451"/>
  <c r="AG11" i="451"/>
  <c r="AD11" i="451"/>
  <c r="AP11" i="451"/>
  <c r="K48" i="434"/>
  <c r="AW48" i="434" s="1"/>
  <c r="AV48" i="434" s="1"/>
  <c r="U34" i="455"/>
  <c r="H34" i="455"/>
  <c r="DB44" i="434"/>
  <c r="DA44" i="434"/>
  <c r="I7" i="458"/>
  <c r="E7" i="458" s="1"/>
  <c r="J18" i="457" s="1"/>
  <c r="J34" i="437"/>
  <c r="I34" i="437" s="1"/>
  <c r="AF33" i="437" s="1"/>
  <c r="Y27" i="435" s="1"/>
  <c r="AE33" i="437"/>
  <c r="X27" i="435" s="1"/>
  <c r="AB18" i="420"/>
  <c r="AM11" i="451"/>
  <c r="AG18" i="420"/>
  <c r="AR11" i="451"/>
  <c r="R18" i="420"/>
  <c r="AC11" i="451"/>
  <c r="AF18" i="420"/>
  <c r="AQ11" i="451"/>
  <c r="AJ18" i="420"/>
  <c r="AU11" i="451"/>
  <c r="D6" i="458"/>
  <c r="I6" i="458" s="1"/>
  <c r="E6" i="458" s="1"/>
  <c r="J17" i="457" s="1"/>
  <c r="H48" i="434"/>
  <c r="DO54" i="434" s="1"/>
  <c r="AB11" i="451"/>
  <c r="X18" i="420"/>
  <c r="AI11" i="451"/>
  <c r="U18" i="420"/>
  <c r="AF11" i="451"/>
  <c r="T18" i="420"/>
  <c r="AE11" i="451"/>
  <c r="Y18" i="420"/>
  <c r="AJ11" i="451"/>
  <c r="G11" i="451"/>
  <c r="G7" i="458"/>
  <c r="K18" i="457" s="1"/>
  <c r="N34" i="437"/>
  <c r="AK33" i="437" s="1"/>
  <c r="AK18" i="420"/>
  <c r="AS18" i="420"/>
  <c r="AL18" i="420"/>
  <c r="AM18" i="420"/>
  <c r="AD18" i="420"/>
  <c r="Z18" i="420"/>
  <c r="W18" i="420"/>
  <c r="AA18" i="420"/>
  <c r="AC18" i="420"/>
  <c r="AI18" i="420"/>
  <c r="V18" i="420"/>
  <c r="AO18" i="420"/>
  <c r="AR18" i="420"/>
  <c r="AE18" i="420"/>
  <c r="AN18" i="420"/>
  <c r="S18" i="420"/>
  <c r="AP18" i="420"/>
  <c r="K29" i="437"/>
  <c r="M29" i="437" s="1"/>
  <c r="L29" i="437" s="1"/>
  <c r="AI28" i="437" s="1"/>
  <c r="Q18" i="420"/>
  <c r="AG41" i="459"/>
  <c r="AG42" i="459"/>
  <c r="AM40" i="459"/>
  <c r="AO16" i="454"/>
  <c r="AN16" i="454"/>
  <c r="CP13" i="236"/>
  <c r="CL13" i="236"/>
  <c r="CN13" i="236"/>
  <c r="CQ13" i="236"/>
  <c r="H29" i="437"/>
  <c r="AE28" i="437" s="1"/>
  <c r="AZ17" i="453"/>
  <c r="AZ19" i="453"/>
  <c r="AZ18" i="453"/>
  <c r="AZ23" i="453"/>
  <c r="AZ20" i="453"/>
  <c r="AZ21" i="453"/>
  <c r="AZ25" i="453"/>
  <c r="AZ28" i="453"/>
  <c r="AZ24" i="453"/>
  <c r="AZ26" i="453"/>
  <c r="AZ27" i="453"/>
  <c r="AZ33" i="453"/>
  <c r="AZ29" i="453"/>
  <c r="AZ31" i="453"/>
  <c r="AZ32" i="453"/>
  <c r="AZ34" i="453"/>
  <c r="AZ30" i="453"/>
  <c r="AZ36" i="453"/>
  <c r="AZ37" i="453"/>
  <c r="AZ35" i="453"/>
  <c r="AZ22" i="453"/>
  <c r="Y28" i="435"/>
  <c r="Y25" i="435"/>
  <c r="AB28" i="435"/>
  <c r="AB25" i="435"/>
  <c r="CF13" i="236"/>
  <c r="CE13" i="236"/>
  <c r="N29" i="436" s="1"/>
  <c r="AZ11" i="453"/>
  <c r="AZ16" i="453"/>
  <c r="AZ9" i="453"/>
  <c r="AZ8" i="453"/>
  <c r="AZ38" i="453"/>
  <c r="AZ13" i="453"/>
  <c r="AZ15" i="453"/>
  <c r="AZ10" i="453"/>
  <c r="AZ12" i="453"/>
  <c r="AZ14" i="453"/>
  <c r="CG13" i="236"/>
  <c r="CD13" i="236"/>
  <c r="CM13" i="236"/>
  <c r="CO13" i="236"/>
  <c r="CJ13" i="236"/>
  <c r="CK13" i="236"/>
  <c r="CI13" i="236"/>
  <c r="CH13" i="236"/>
  <c r="BC13" i="453"/>
  <c r="AD32" i="435"/>
  <c r="AI24" i="436"/>
  <c r="AB23" i="435"/>
  <c r="X28" i="435"/>
  <c r="AK21" i="435"/>
  <c r="AL21" i="435"/>
  <c r="DP43" i="434"/>
  <c r="X26" i="435"/>
  <c r="DQ43" i="434"/>
  <c r="DS43" i="434"/>
  <c r="AA26" i="435"/>
  <c r="DQ54" i="434" l="1"/>
  <c r="DS54" i="434"/>
  <c r="CZ44" i="434"/>
  <c r="AH28" i="437"/>
  <c r="AA22" i="435" s="1"/>
  <c r="AL27" i="435"/>
  <c r="AK27" i="435"/>
  <c r="I17" i="457"/>
  <c r="J48" i="434"/>
  <c r="I48" i="434" s="1"/>
  <c r="DP54" i="434" s="1"/>
  <c r="G6" i="458"/>
  <c r="K17" i="457" s="1"/>
  <c r="AG40" i="459"/>
  <c r="M29" i="455"/>
  <c r="Q29" i="455"/>
  <c r="L29" i="455"/>
  <c r="U29" i="455" s="1"/>
  <c r="O29" i="455"/>
  <c r="N29" i="455"/>
  <c r="P29" i="455"/>
  <c r="J29" i="455"/>
  <c r="S29" i="455"/>
  <c r="K29" i="455"/>
  <c r="I29" i="455"/>
  <c r="R29" i="455"/>
  <c r="G29" i="455"/>
  <c r="H29" i="455"/>
  <c r="T29" i="455"/>
  <c r="X19" i="454"/>
  <c r="Y19" i="454"/>
  <c r="AB19" i="454"/>
  <c r="Z19" i="454"/>
  <c r="AG19" i="454"/>
  <c r="AD19" i="454"/>
  <c r="R19" i="454"/>
  <c r="W19" i="454"/>
  <c r="T19" i="454"/>
  <c r="V19" i="454"/>
  <c r="AI19" i="454"/>
  <c r="AF19" i="454"/>
  <c r="AC19" i="454"/>
  <c r="AH19" i="454"/>
  <c r="N29" i="437"/>
  <c r="AK28" i="437" s="1"/>
  <c r="J29" i="437"/>
  <c r="I29" i="437" s="1"/>
  <c r="AF28" i="437" s="1"/>
  <c r="AE25" i="436"/>
  <c r="AD25" i="436"/>
  <c r="AD6" i="436" s="1"/>
  <c r="AG25" i="436"/>
  <c r="AF25" i="436"/>
  <c r="AE6" i="436" s="1"/>
  <c r="BJ35" i="453"/>
  <c r="U42" i="452" s="1"/>
  <c r="BI35" i="453"/>
  <c r="T42" i="452" s="1"/>
  <c r="BG35" i="453"/>
  <c r="P42" i="452" s="1"/>
  <c r="BJ34" i="453"/>
  <c r="U41" i="452" s="1"/>
  <c r="BI34" i="453"/>
  <c r="T41" i="452" s="1"/>
  <c r="BG34" i="453"/>
  <c r="P41" i="452" s="1"/>
  <c r="BJ33" i="453"/>
  <c r="U40" i="452" s="1"/>
  <c r="BG33" i="453"/>
  <c r="P40" i="452" s="1"/>
  <c r="BI33" i="453"/>
  <c r="T40" i="452" s="1"/>
  <c r="BI28" i="453"/>
  <c r="T35" i="452" s="1"/>
  <c r="BJ28" i="453"/>
  <c r="U35" i="452" s="1"/>
  <c r="BG28" i="453"/>
  <c r="P35" i="452" s="1"/>
  <c r="BI23" i="453"/>
  <c r="T30" i="452" s="1"/>
  <c r="BJ23" i="453"/>
  <c r="U30" i="452" s="1"/>
  <c r="BG23" i="453"/>
  <c r="P30" i="452" s="1"/>
  <c r="BG37" i="453"/>
  <c r="P44" i="452" s="1"/>
  <c r="BI37" i="453"/>
  <c r="T44" i="452" s="1"/>
  <c r="BJ37" i="453"/>
  <c r="U44" i="452" s="1"/>
  <c r="BJ32" i="453"/>
  <c r="U39" i="452" s="1"/>
  <c r="BG32" i="453"/>
  <c r="P39" i="452" s="1"/>
  <c r="BI32" i="453"/>
  <c r="T39" i="452" s="1"/>
  <c r="BI27" i="453"/>
  <c r="T34" i="452" s="1"/>
  <c r="BJ27" i="453"/>
  <c r="U34" i="452" s="1"/>
  <c r="BG27" i="453"/>
  <c r="P34" i="452" s="1"/>
  <c r="BG25" i="453"/>
  <c r="P32" i="452" s="1"/>
  <c r="BJ25" i="453"/>
  <c r="U32" i="452" s="1"/>
  <c r="BI25" i="453"/>
  <c r="T32" i="452" s="1"/>
  <c r="BJ18" i="453"/>
  <c r="U25" i="452" s="1"/>
  <c r="BG18" i="453"/>
  <c r="P25" i="452" s="1"/>
  <c r="BI18" i="453"/>
  <c r="T25" i="452" s="1"/>
  <c r="BJ36" i="453"/>
  <c r="U43" i="452" s="1"/>
  <c r="BG36" i="453"/>
  <c r="P43" i="452" s="1"/>
  <c r="BI36" i="453"/>
  <c r="T43" i="452" s="1"/>
  <c r="BJ31" i="453"/>
  <c r="U38" i="452" s="1"/>
  <c r="BG31" i="453"/>
  <c r="P38" i="452" s="1"/>
  <c r="BI31" i="453"/>
  <c r="T38" i="452" s="1"/>
  <c r="BJ26" i="453"/>
  <c r="U33" i="452" s="1"/>
  <c r="BI26" i="453"/>
  <c r="T33" i="452" s="1"/>
  <c r="BG26" i="453"/>
  <c r="P33" i="452" s="1"/>
  <c r="BG21" i="453"/>
  <c r="P28" i="452" s="1"/>
  <c r="BI21" i="453"/>
  <c r="T28" i="452" s="1"/>
  <c r="BJ21" i="453"/>
  <c r="U28" i="452" s="1"/>
  <c r="BI19" i="453"/>
  <c r="T26" i="452" s="1"/>
  <c r="BJ19" i="453"/>
  <c r="U26" i="452" s="1"/>
  <c r="BG19" i="453"/>
  <c r="P26" i="452" s="1"/>
  <c r="BJ22" i="453"/>
  <c r="U29" i="452" s="1"/>
  <c r="BG22" i="453"/>
  <c r="P29" i="452" s="1"/>
  <c r="BI22" i="453"/>
  <c r="T29" i="452" s="1"/>
  <c r="BJ30" i="453"/>
  <c r="U37" i="452" s="1"/>
  <c r="BG30" i="453"/>
  <c r="P37" i="452" s="1"/>
  <c r="BI30" i="453"/>
  <c r="T37" i="452" s="1"/>
  <c r="BJ29" i="453"/>
  <c r="U36" i="452" s="1"/>
  <c r="BG29" i="453"/>
  <c r="P36" i="452" s="1"/>
  <c r="BI29" i="453"/>
  <c r="T36" i="452" s="1"/>
  <c r="BJ24" i="453"/>
  <c r="U31" i="452" s="1"/>
  <c r="BG24" i="453"/>
  <c r="P31" i="452" s="1"/>
  <c r="BI24" i="453"/>
  <c r="T31" i="452" s="1"/>
  <c r="BJ20" i="453"/>
  <c r="U27" i="452" s="1"/>
  <c r="BI20" i="453"/>
  <c r="T27" i="452" s="1"/>
  <c r="BG20" i="453"/>
  <c r="P27" i="452" s="1"/>
  <c r="BI17" i="453"/>
  <c r="T24" i="452" s="1"/>
  <c r="BJ17" i="453"/>
  <c r="U24" i="452" s="1"/>
  <c r="BG17" i="453"/>
  <c r="P24" i="452" s="1"/>
  <c r="Y23" i="435"/>
  <c r="BJ12" i="453"/>
  <c r="U19" i="452" s="1"/>
  <c r="BI12" i="453"/>
  <c r="T19" i="452" s="1"/>
  <c r="BG12" i="453"/>
  <c r="P19" i="452" s="1"/>
  <c r="BI14" i="453"/>
  <c r="T21" i="452" s="1"/>
  <c r="BJ14" i="453"/>
  <c r="U21" i="452" s="1"/>
  <c r="BG14" i="453"/>
  <c r="P21" i="452" s="1"/>
  <c r="BI8" i="453"/>
  <c r="BG8" i="453"/>
  <c r="BJ8" i="453"/>
  <c r="U15" i="452" s="1"/>
  <c r="BI16" i="453"/>
  <c r="T23" i="452" s="1"/>
  <c r="BJ16" i="453"/>
  <c r="U23" i="452" s="1"/>
  <c r="BG16" i="453"/>
  <c r="P23" i="452" s="1"/>
  <c r="BI15" i="453"/>
  <c r="T22" i="452" s="1"/>
  <c r="BG15" i="453"/>
  <c r="P22" i="452" s="1"/>
  <c r="BJ15" i="453"/>
  <c r="U22" i="452" s="1"/>
  <c r="BJ10" i="453"/>
  <c r="U17" i="452" s="1"/>
  <c r="BG10" i="453"/>
  <c r="BI10" i="453"/>
  <c r="BJ13" i="453"/>
  <c r="U20" i="452" s="1"/>
  <c r="BI13" i="453"/>
  <c r="T20" i="452" s="1"/>
  <c r="BG13" i="453"/>
  <c r="P20" i="452" s="1"/>
  <c r="BG11" i="453"/>
  <c r="P18" i="452" s="1"/>
  <c r="BI11" i="453"/>
  <c r="T18" i="452" s="1"/>
  <c r="BJ11" i="453"/>
  <c r="U18" i="452" s="1"/>
  <c r="BJ38" i="453"/>
  <c r="U45" i="452" s="1"/>
  <c r="BG38" i="453"/>
  <c r="P45" i="452" s="1"/>
  <c r="BI38" i="453"/>
  <c r="T45" i="452" s="1"/>
  <c r="BJ9" i="453"/>
  <c r="U16" i="452" s="1"/>
  <c r="BI9" i="453"/>
  <c r="BG9" i="453"/>
  <c r="AD29" i="435"/>
  <c r="AI26" i="437"/>
  <c r="AH26" i="437"/>
  <c r="AA20" i="435" s="1"/>
  <c r="AE26" i="437"/>
  <c r="X20" i="435" s="1"/>
  <c r="AF26" i="437"/>
  <c r="G18" i="433"/>
  <c r="AW11" i="434"/>
  <c r="AL28" i="435"/>
  <c r="AK28" i="435"/>
  <c r="AL26" i="435"/>
  <c r="AK26" i="435"/>
  <c r="X22" i="435"/>
  <c r="CY43" i="434"/>
  <c r="AO19" i="454" l="1"/>
  <c r="AN19" i="454"/>
  <c r="AG24" i="436"/>
  <c r="AF24" i="436"/>
  <c r="AE5" i="436" s="1"/>
  <c r="AE24" i="436"/>
  <c r="AD24" i="436"/>
  <c r="AD5" i="436" s="1"/>
  <c r="Q22" i="452"/>
  <c r="Q36" i="452"/>
  <c r="Q26" i="452"/>
  <c r="Q25" i="452"/>
  <c r="Q31" i="452"/>
  <c r="Q43" i="452"/>
  <c r="Q34" i="452"/>
  <c r="Q39" i="452"/>
  <c r="Q18" i="452"/>
  <c r="Q41" i="452"/>
  <c r="Q23" i="452"/>
  <c r="Q20" i="452"/>
  <c r="Q32" i="452"/>
  <c r="Q27" i="452"/>
  <c r="Q28" i="452"/>
  <c r="Q44" i="452"/>
  <c r="Q35" i="452"/>
  <c r="Q40" i="452"/>
  <c r="Q45" i="452"/>
  <c r="Q21" i="452"/>
  <c r="Q19" i="452"/>
  <c r="Q24" i="452"/>
  <c r="Q29" i="452"/>
  <c r="Q33" i="452"/>
  <c r="Q38" i="452"/>
  <c r="Q30" i="452"/>
  <c r="Q42" i="452"/>
  <c r="Q37" i="452"/>
  <c r="BK24" i="453"/>
  <c r="BO24" i="453" s="1"/>
  <c r="BK29" i="453"/>
  <c r="BO29" i="453" s="1"/>
  <c r="BL29" i="453"/>
  <c r="BP29" i="453" s="1"/>
  <c r="BL30" i="453"/>
  <c r="BP30" i="453" s="1"/>
  <c r="BK30" i="453"/>
  <c r="BO30" i="453" s="1"/>
  <c r="BK22" i="453"/>
  <c r="BO22" i="453" s="1"/>
  <c r="BL36" i="453"/>
  <c r="BP36" i="453" s="1"/>
  <c r="BK36" i="453"/>
  <c r="BO36" i="453" s="1"/>
  <c r="BK18" i="453"/>
  <c r="BO18" i="453" s="1"/>
  <c r="BL18" i="453"/>
  <c r="BP18" i="453" s="1"/>
  <c r="BK25" i="453"/>
  <c r="BO25" i="453" s="1"/>
  <c r="BK20" i="453"/>
  <c r="BO20" i="453" s="1"/>
  <c r="BK21" i="453"/>
  <c r="BO21" i="453" s="1"/>
  <c r="BK31" i="453"/>
  <c r="BO31" i="453" s="1"/>
  <c r="BL32" i="453"/>
  <c r="BP32" i="453" s="1"/>
  <c r="BK32" i="453"/>
  <c r="BO32" i="453" s="1"/>
  <c r="BL37" i="453"/>
  <c r="BP37" i="453" s="1"/>
  <c r="BK37" i="453"/>
  <c r="BO37" i="453" s="1"/>
  <c r="BK33" i="453"/>
  <c r="BO33" i="453" s="1"/>
  <c r="BK35" i="453"/>
  <c r="BK26" i="453"/>
  <c r="BO26" i="453" s="1"/>
  <c r="BK27" i="453"/>
  <c r="BO27" i="453" s="1"/>
  <c r="BK34" i="453"/>
  <c r="BK17" i="453"/>
  <c r="BO17" i="453" s="1"/>
  <c r="BK19" i="453"/>
  <c r="BL23" i="453"/>
  <c r="BP23" i="453" s="1"/>
  <c r="BK23" i="453"/>
  <c r="BO23" i="453" s="1"/>
  <c r="BL28" i="453"/>
  <c r="BP28" i="453" s="1"/>
  <c r="BK28" i="453"/>
  <c r="BO28" i="453" s="1"/>
  <c r="AD28" i="435"/>
  <c r="AD25" i="435"/>
  <c r="AD30" i="435"/>
  <c r="AD27" i="435"/>
  <c r="P16" i="452"/>
  <c r="Q16" i="452" s="1"/>
  <c r="BL38" i="453"/>
  <c r="BP38" i="453" s="1"/>
  <c r="BK38" i="453"/>
  <c r="BO38" i="453" s="1"/>
  <c r="BK11" i="453"/>
  <c r="BO11" i="453" s="1"/>
  <c r="BK13" i="453"/>
  <c r="BO13" i="453" s="1"/>
  <c r="BL13" i="453"/>
  <c r="BP13" i="453" s="1"/>
  <c r="P17" i="452"/>
  <c r="Q17" i="452" s="1"/>
  <c r="P15" i="452"/>
  <c r="Q15" i="452" s="1"/>
  <c r="BK9" i="453"/>
  <c r="BO9" i="453" s="1"/>
  <c r="T16" i="452"/>
  <c r="BK15" i="453"/>
  <c r="BK16" i="453"/>
  <c r="BK8" i="453"/>
  <c r="T15" i="452"/>
  <c r="BK14" i="453"/>
  <c r="BO14" i="453" s="1"/>
  <c r="BK12" i="453"/>
  <c r="T17" i="452"/>
  <c r="BK10" i="453"/>
  <c r="U54" i="452"/>
  <c r="BC8" i="453"/>
  <c r="BL25" i="453" s="1"/>
  <c r="BP25" i="453" s="1"/>
  <c r="AD23" i="435"/>
  <c r="AH25" i="436"/>
  <c r="AF6" i="436" s="1"/>
  <c r="AL26" i="437"/>
  <c r="H18" i="433"/>
  <c r="DC43" i="434"/>
  <c r="DE43" i="434" s="1"/>
  <c r="AW28" i="434"/>
  <c r="F18" i="433"/>
  <c r="DB43" i="434"/>
  <c r="AW10" i="434" s="1"/>
  <c r="G17" i="433"/>
  <c r="DA43" i="434"/>
  <c r="CD11" i="434"/>
  <c r="CH11" i="434"/>
  <c r="BB11" i="434"/>
  <c r="BQ11" i="434"/>
  <c r="BX11" i="434"/>
  <c r="CI11" i="434"/>
  <c r="BT11" i="434"/>
  <c r="CF11" i="434"/>
  <c r="BV11" i="434"/>
  <c r="AY11" i="434"/>
  <c r="BE11" i="434"/>
  <c r="BG11" i="434"/>
  <c r="BK11" i="434"/>
  <c r="BJ11" i="434"/>
  <c r="BY11" i="434"/>
  <c r="BA11" i="434"/>
  <c r="BO11" i="434"/>
  <c r="BM11" i="434"/>
  <c r="CE11" i="434"/>
  <c r="BU11" i="434"/>
  <c r="CJ11" i="434"/>
  <c r="BW11" i="434"/>
  <c r="BD11" i="434"/>
  <c r="BR11" i="434"/>
  <c r="CG11" i="434"/>
  <c r="BS11" i="434"/>
  <c r="CC11" i="434"/>
  <c r="BL11" i="434"/>
  <c r="CK11" i="434"/>
  <c r="BI11" i="434"/>
  <c r="BH11" i="434"/>
  <c r="BC11" i="434"/>
  <c r="CB11" i="434"/>
  <c r="BZ11" i="434"/>
  <c r="AZ11" i="434"/>
  <c r="BF11" i="434"/>
  <c r="CA11" i="434"/>
  <c r="BP11" i="434"/>
  <c r="BN11" i="434"/>
  <c r="AK22" i="435"/>
  <c r="AL22" i="435"/>
  <c r="AL20" i="435"/>
  <c r="AK20" i="435"/>
  <c r="Y20" i="435"/>
  <c r="Y26" i="435"/>
  <c r="AB20" i="435"/>
  <c r="AB26" i="435"/>
  <c r="AH25" i="437"/>
  <c r="AA19" i="435" s="1"/>
  <c r="AE25" i="437"/>
  <c r="X19" i="435" s="1"/>
  <c r="AN24" i="437"/>
  <c r="AG18" i="435" s="1"/>
  <c r="AO24" i="437"/>
  <c r="AH18" i="435" s="1"/>
  <c r="Q23" i="436"/>
  <c r="BL9" i="453" l="1"/>
  <c r="BP9" i="453" s="1"/>
  <c r="BL14" i="453"/>
  <c r="BP14" i="453" s="1"/>
  <c r="BL12" i="453"/>
  <c r="BP12" i="453" s="1"/>
  <c r="BL10" i="453"/>
  <c r="BP10" i="453" s="1"/>
  <c r="BL19" i="453"/>
  <c r="BP19" i="453" s="1"/>
  <c r="BL22" i="453"/>
  <c r="BP22" i="453" s="1"/>
  <c r="BL26" i="453"/>
  <c r="BP26" i="453" s="1"/>
  <c r="BL24" i="453"/>
  <c r="BP24" i="453" s="1"/>
  <c r="BL20" i="453"/>
  <c r="BP20" i="453" s="1"/>
  <c r="BL27" i="453"/>
  <c r="BP27" i="453" s="1"/>
  <c r="BL17" i="453"/>
  <c r="BP17" i="453" s="1"/>
  <c r="BL16" i="453"/>
  <c r="BP16" i="453" s="1"/>
  <c r="BL35" i="453"/>
  <c r="BP35" i="453" s="1"/>
  <c r="BL34" i="453"/>
  <c r="BP34" i="453" s="1"/>
  <c r="BL31" i="453"/>
  <c r="BP31" i="453" s="1"/>
  <c r="BL11" i="453"/>
  <c r="BP11" i="453" s="1"/>
  <c r="BL21" i="453"/>
  <c r="BP21" i="453" s="1"/>
  <c r="BL8" i="453"/>
  <c r="BP8" i="453" s="1"/>
  <c r="BA23" i="453"/>
  <c r="BB23" i="453"/>
  <c r="BA27" i="453"/>
  <c r="BB27" i="453"/>
  <c r="BA26" i="453"/>
  <c r="BB26" i="453"/>
  <c r="BA33" i="453"/>
  <c r="BB33" i="453"/>
  <c r="BA25" i="453"/>
  <c r="BB25" i="453"/>
  <c r="BA36" i="453"/>
  <c r="BB36" i="453"/>
  <c r="BA29" i="453"/>
  <c r="BB29" i="453"/>
  <c r="BA32" i="453"/>
  <c r="BB32" i="453"/>
  <c r="BA28" i="453"/>
  <c r="BB28" i="453"/>
  <c r="BA19" i="453"/>
  <c r="BB19" i="453"/>
  <c r="BL33" i="453"/>
  <c r="BP33" i="453" s="1"/>
  <c r="BA18" i="453"/>
  <c r="BB18" i="453"/>
  <c r="BA31" i="453"/>
  <c r="BB31" i="453"/>
  <c r="BA24" i="453"/>
  <c r="BB24" i="453"/>
  <c r="BA17" i="453"/>
  <c r="BB17" i="453"/>
  <c r="BA34" i="453"/>
  <c r="BB34" i="453"/>
  <c r="BA35" i="453"/>
  <c r="BB35" i="453"/>
  <c r="BO34" i="453"/>
  <c r="BA37" i="453"/>
  <c r="BB37" i="453"/>
  <c r="BA21" i="453"/>
  <c r="BB21" i="453"/>
  <c r="BA20" i="453"/>
  <c r="BB20" i="453"/>
  <c r="BO35" i="453"/>
  <c r="BO19" i="453"/>
  <c r="BA22" i="453"/>
  <c r="BB22" i="453"/>
  <c r="BA30" i="453"/>
  <c r="BB30" i="453"/>
  <c r="BL15" i="453"/>
  <c r="BP15" i="453" s="1"/>
  <c r="BA12" i="453"/>
  <c r="BB12" i="453"/>
  <c r="BA16" i="453"/>
  <c r="BB16" i="453"/>
  <c r="BA11" i="453"/>
  <c r="BB11" i="453"/>
  <c r="BA8" i="453"/>
  <c r="BB8" i="453"/>
  <c r="BA38" i="453"/>
  <c r="BB38" i="453"/>
  <c r="BO16" i="453"/>
  <c r="BA10" i="453"/>
  <c r="BB10" i="453"/>
  <c r="BO12" i="453"/>
  <c r="BA14" i="453"/>
  <c r="BB14" i="453"/>
  <c r="BA15" i="453"/>
  <c r="BB15" i="453"/>
  <c r="BO8" i="453"/>
  <c r="BO15" i="453"/>
  <c r="BO10" i="453"/>
  <c r="BA13" i="453"/>
  <c r="BB13" i="453"/>
  <c r="BA9" i="453"/>
  <c r="BB9" i="453"/>
  <c r="BC38" i="453"/>
  <c r="BD10" i="453" s="1"/>
  <c r="BF10" i="453" s="1"/>
  <c r="AK26" i="437"/>
  <c r="AD20" i="435" s="1"/>
  <c r="AD26" i="435"/>
  <c r="AH24" i="436"/>
  <c r="AF5" i="436" s="1"/>
  <c r="AL25" i="437"/>
  <c r="AW27" i="434"/>
  <c r="F17" i="433"/>
  <c r="BD28" i="434"/>
  <c r="BB28" i="434"/>
  <c r="BX28" i="434"/>
  <c r="CK28" i="434"/>
  <c r="BZ28" i="434"/>
  <c r="BS28" i="434"/>
  <c r="BI28" i="434"/>
  <c r="BM28" i="434"/>
  <c r="CM28" i="434"/>
  <c r="CG28" i="434"/>
  <c r="BV28" i="434"/>
  <c r="AZ28" i="434"/>
  <c r="BN28" i="434"/>
  <c r="BQ28" i="434"/>
  <c r="BL28" i="434"/>
  <c r="BA28" i="434"/>
  <c r="BG28" i="434"/>
  <c r="BO28" i="434"/>
  <c r="CL28" i="434"/>
  <c r="CI28" i="434"/>
  <c r="CF28" i="434"/>
  <c r="CD28" i="434"/>
  <c r="BK28" i="434"/>
  <c r="BP28" i="434"/>
  <c r="CJ28" i="434"/>
  <c r="BY28" i="434"/>
  <c r="CB28" i="434"/>
  <c r="BU28" i="434"/>
  <c r="BJ28" i="434"/>
  <c r="BE28" i="434"/>
  <c r="BT28" i="434"/>
  <c r="BR28" i="434"/>
  <c r="CA28" i="434"/>
  <c r="BW28" i="434"/>
  <c r="BC28" i="434"/>
  <c r="CC28" i="434"/>
  <c r="CH28" i="434"/>
  <c r="CE28" i="434"/>
  <c r="BH28" i="434"/>
  <c r="AY28" i="434"/>
  <c r="BF28" i="434"/>
  <c r="CD10" i="434"/>
  <c r="BE10" i="434"/>
  <c r="AY10" i="434"/>
  <c r="CG10" i="434"/>
  <c r="BD10" i="434"/>
  <c r="BV10" i="434"/>
  <c r="CF10" i="434"/>
  <c r="BL10" i="434"/>
  <c r="BY10" i="434"/>
  <c r="BK10" i="434"/>
  <c r="BN10" i="434"/>
  <c r="BP10" i="434"/>
  <c r="BS10" i="434"/>
  <c r="BQ10" i="434"/>
  <c r="BW10" i="434"/>
  <c r="BF10" i="434"/>
  <c r="AZ10" i="434"/>
  <c r="CH10" i="434"/>
  <c r="BI10" i="434"/>
  <c r="BG10" i="434"/>
  <c r="CK10" i="434"/>
  <c r="BT10" i="434"/>
  <c r="BZ10" i="434"/>
  <c r="BA10" i="434"/>
  <c r="CB10" i="434"/>
  <c r="CC10" i="434"/>
  <c r="CA10" i="434"/>
  <c r="BR10" i="434"/>
  <c r="BX10" i="434"/>
  <c r="CI10" i="434"/>
  <c r="BU10" i="434"/>
  <c r="CE10" i="434"/>
  <c r="BJ10" i="434"/>
  <c r="BH10" i="434"/>
  <c r="BC10" i="434"/>
  <c r="BM10" i="434"/>
  <c r="BO10" i="434"/>
  <c r="BB10" i="434"/>
  <c r="CJ10" i="434"/>
  <c r="AK19" i="435"/>
  <c r="AL19" i="435"/>
  <c r="AI25" i="437"/>
  <c r="AB19" i="435" s="1"/>
  <c r="AB22" i="435"/>
  <c r="AF25" i="437"/>
  <c r="Y19" i="435" s="1"/>
  <c r="Y22" i="435"/>
  <c r="CZ43" i="434"/>
  <c r="H17" i="433" s="1"/>
  <c r="AN23" i="437"/>
  <c r="AG17" i="435" s="1"/>
  <c r="AK23" i="436"/>
  <c r="AG4" i="436" s="1"/>
  <c r="AG17" i="436"/>
  <c r="Q22" i="436"/>
  <c r="BH23" i="453" l="1"/>
  <c r="BM23" i="453" s="1"/>
  <c r="BN23" i="453" s="1"/>
  <c r="BH34" i="453"/>
  <c r="BH24" i="453"/>
  <c r="BH28" i="453"/>
  <c r="BH36" i="453"/>
  <c r="BH35" i="453"/>
  <c r="BH31" i="453"/>
  <c r="BH18" i="453"/>
  <c r="BH19" i="453"/>
  <c r="BH26" i="453"/>
  <c r="BH30" i="453"/>
  <c r="BH20" i="453"/>
  <c r="BH37" i="453"/>
  <c r="BH17" i="453"/>
  <c r="BD28" i="453"/>
  <c r="BF28" i="453" s="1"/>
  <c r="BD21" i="453"/>
  <c r="BF21" i="453" s="1"/>
  <c r="BD27" i="453"/>
  <c r="BF27" i="453" s="1"/>
  <c r="BD29" i="453"/>
  <c r="BF29" i="453" s="1"/>
  <c r="BD31" i="453"/>
  <c r="BF31" i="453" s="1"/>
  <c r="BD17" i="453"/>
  <c r="BF17" i="453" s="1"/>
  <c r="BH32" i="453"/>
  <c r="BH29" i="453"/>
  <c r="BH25" i="453"/>
  <c r="BD37" i="453"/>
  <c r="BF37" i="453" s="1"/>
  <c r="BD30" i="453"/>
  <c r="BF30" i="453" s="1"/>
  <c r="BD23" i="453"/>
  <c r="BF23" i="453" s="1"/>
  <c r="BD18" i="453"/>
  <c r="BF18" i="453" s="1"/>
  <c r="BD25" i="453"/>
  <c r="BF25" i="453" s="1"/>
  <c r="BH22" i="453"/>
  <c r="BH21" i="453"/>
  <c r="BD19" i="453"/>
  <c r="BF19" i="453" s="1"/>
  <c r="BD20" i="453"/>
  <c r="BF20" i="453" s="1"/>
  <c r="BD32" i="453"/>
  <c r="BF32" i="453" s="1"/>
  <c r="BD22" i="453"/>
  <c r="BF22" i="453" s="1"/>
  <c r="BD34" i="453"/>
  <c r="BF34" i="453" s="1"/>
  <c r="BH33" i="453"/>
  <c r="BH27" i="453"/>
  <c r="BD36" i="453"/>
  <c r="BF36" i="453" s="1"/>
  <c r="BD33" i="453"/>
  <c r="BF33" i="453" s="1"/>
  <c r="BD26" i="453"/>
  <c r="BF26" i="453" s="1"/>
  <c r="BD24" i="453"/>
  <c r="BF24" i="453" s="1"/>
  <c r="BD35" i="453"/>
  <c r="BF35" i="453" s="1"/>
  <c r="BH38" i="453"/>
  <c r="S45" i="452" s="1"/>
  <c r="BH8" i="453"/>
  <c r="S15" i="452" s="1"/>
  <c r="BD15" i="453"/>
  <c r="BF15" i="453" s="1"/>
  <c r="BH12" i="453"/>
  <c r="S19" i="452" s="1"/>
  <c r="BD11" i="453"/>
  <c r="BF11" i="453" s="1"/>
  <c r="BH16" i="453"/>
  <c r="S23" i="452" s="1"/>
  <c r="BH15" i="453"/>
  <c r="BH14" i="453"/>
  <c r="BH10" i="453"/>
  <c r="S17" i="452" s="1"/>
  <c r="BH9" i="453"/>
  <c r="BD16" i="453"/>
  <c r="BF16" i="453" s="1"/>
  <c r="BH13" i="453"/>
  <c r="S20" i="452" s="1"/>
  <c r="BH11" i="453"/>
  <c r="S18" i="452" s="1"/>
  <c r="BD12" i="453"/>
  <c r="BF12" i="453" s="1"/>
  <c r="BD9" i="453"/>
  <c r="BF9" i="453" s="1"/>
  <c r="BD13" i="453"/>
  <c r="BF13" i="453" s="1"/>
  <c r="BD14" i="453"/>
  <c r="BF14" i="453" s="1"/>
  <c r="BD8" i="453"/>
  <c r="BD38" i="453"/>
  <c r="BF38" i="453" s="1"/>
  <c r="AK25" i="437"/>
  <c r="AD19" i="435" s="1"/>
  <c r="AD22" i="435"/>
  <c r="CI27" i="434"/>
  <c r="CC27" i="434"/>
  <c r="BT27" i="434"/>
  <c r="BG27" i="434"/>
  <c r="BF27" i="434"/>
  <c r="BP27" i="434"/>
  <c r="BK27" i="434"/>
  <c r="BV27" i="434"/>
  <c r="BE27" i="434"/>
  <c r="BO27" i="434"/>
  <c r="BJ27" i="434"/>
  <c r="BX27" i="434"/>
  <c r="CB27" i="434"/>
  <c r="CK27" i="434"/>
  <c r="BI27" i="434"/>
  <c r="BW27" i="434"/>
  <c r="BN27" i="434"/>
  <c r="BY27" i="434"/>
  <c r="BD27" i="434"/>
  <c r="CD27" i="434"/>
  <c r="BM27" i="434"/>
  <c r="CE27" i="434"/>
  <c r="CM27" i="434"/>
  <c r="BR27" i="434"/>
  <c r="BA27" i="434"/>
  <c r="CH27" i="434"/>
  <c r="BQ27" i="434"/>
  <c r="BL27" i="434"/>
  <c r="CG27" i="434"/>
  <c r="CJ27" i="434"/>
  <c r="BC27" i="434"/>
  <c r="BU27" i="434"/>
  <c r="CL27" i="434"/>
  <c r="CA27" i="434"/>
  <c r="BZ27" i="434"/>
  <c r="AZ27" i="434"/>
  <c r="BS27" i="434"/>
  <c r="CF27" i="434"/>
  <c r="AY27" i="434"/>
  <c r="BB27" i="434"/>
  <c r="BH27" i="434"/>
  <c r="AN22" i="437"/>
  <c r="AG16" i="435" s="1"/>
  <c r="AK22" i="436"/>
  <c r="AG3" i="436" s="1"/>
  <c r="BM38" i="453" l="1"/>
  <c r="BN38" i="453" s="1"/>
  <c r="S30" i="452"/>
  <c r="BM15" i="453"/>
  <c r="BN15" i="453" s="1"/>
  <c r="S22" i="452"/>
  <c r="BM21" i="453"/>
  <c r="BN21" i="453" s="1"/>
  <c r="S28" i="452"/>
  <c r="BM25" i="453"/>
  <c r="BN25" i="453" s="1"/>
  <c r="S32" i="452"/>
  <c r="BM30" i="453"/>
  <c r="BN30" i="453" s="1"/>
  <c r="S37" i="452"/>
  <c r="BM31" i="453"/>
  <c r="BN31" i="453" s="1"/>
  <c r="S38" i="452"/>
  <c r="BM24" i="453"/>
  <c r="BN24" i="453" s="1"/>
  <c r="S31" i="452"/>
  <c r="BM27" i="453"/>
  <c r="BN27" i="453" s="1"/>
  <c r="S34" i="452"/>
  <c r="BM22" i="453"/>
  <c r="BN22" i="453" s="1"/>
  <c r="S29" i="452"/>
  <c r="BM29" i="453"/>
  <c r="BN29" i="453" s="1"/>
  <c r="S36" i="452"/>
  <c r="BM17" i="453"/>
  <c r="BN17" i="453" s="1"/>
  <c r="S24" i="452"/>
  <c r="BM26" i="453"/>
  <c r="BN26" i="453" s="1"/>
  <c r="S33" i="452"/>
  <c r="BM35" i="453"/>
  <c r="BN35" i="453" s="1"/>
  <c r="S42" i="452"/>
  <c r="BM33" i="453"/>
  <c r="BN33" i="453" s="1"/>
  <c r="S40" i="452"/>
  <c r="BM32" i="453"/>
  <c r="BN32" i="453" s="1"/>
  <c r="S39" i="452"/>
  <c r="BM37" i="453"/>
  <c r="BN37" i="453" s="1"/>
  <c r="S44" i="452"/>
  <c r="BM19" i="453"/>
  <c r="BN19" i="453" s="1"/>
  <c r="S26" i="452"/>
  <c r="BM36" i="453"/>
  <c r="BN36" i="453" s="1"/>
  <c r="S43" i="452"/>
  <c r="BM14" i="453"/>
  <c r="BN14" i="453" s="1"/>
  <c r="S21" i="452"/>
  <c r="BM20" i="453"/>
  <c r="BN20" i="453" s="1"/>
  <c r="S27" i="452"/>
  <c r="BM18" i="453"/>
  <c r="BN18" i="453" s="1"/>
  <c r="S25" i="452"/>
  <c r="BM28" i="453"/>
  <c r="BN28" i="453" s="1"/>
  <c r="S35" i="452"/>
  <c r="BM34" i="453"/>
  <c r="BN34" i="453" s="1"/>
  <c r="S41" i="452"/>
  <c r="BM8" i="453"/>
  <c r="BN8" i="453" s="1"/>
  <c r="BM12" i="453"/>
  <c r="BN12" i="453" s="1"/>
  <c r="BM16" i="453"/>
  <c r="BN16" i="453" s="1"/>
  <c r="BM10" i="453"/>
  <c r="BN10" i="453" s="1"/>
  <c r="S16" i="452"/>
  <c r="BM9" i="453"/>
  <c r="BN9" i="453" s="1"/>
  <c r="BM11" i="453"/>
  <c r="BN11" i="453" s="1"/>
  <c r="BM13" i="453"/>
  <c r="BN13" i="453" s="1"/>
  <c r="BF8" i="453"/>
  <c r="AX40" i="453"/>
  <c r="AL23" i="437"/>
  <c r="CH14" i="434"/>
  <c r="CH31" i="434" s="1"/>
  <c r="CD14" i="434"/>
  <c r="CD31" i="434" s="1"/>
  <c r="BZ14" i="434"/>
  <c r="BZ31" i="434" s="1"/>
  <c r="BV14" i="434"/>
  <c r="BV31" i="434" s="1"/>
  <c r="BR14" i="434"/>
  <c r="BR31" i="434" s="1"/>
  <c r="BN14" i="434"/>
  <c r="BN31" i="434" s="1"/>
  <c r="BJ14" i="434"/>
  <c r="BJ31" i="434" s="1"/>
  <c r="BF14" i="434"/>
  <c r="BF31" i="434" s="1"/>
  <c r="BB14" i="434"/>
  <c r="BB31" i="434" s="1"/>
  <c r="CJ14" i="434"/>
  <c r="CJ31" i="434" s="1"/>
  <c r="CB14" i="434"/>
  <c r="CB31" i="434" s="1"/>
  <c r="BT14" i="434"/>
  <c r="BT31" i="434" s="1"/>
  <c r="BH14" i="434"/>
  <c r="BH31" i="434" s="1"/>
  <c r="AZ14" i="434"/>
  <c r="AZ31" i="434" s="1"/>
  <c r="CK14" i="434"/>
  <c r="CK31" i="434" s="1"/>
  <c r="CG14" i="434"/>
  <c r="CG31" i="434" s="1"/>
  <c r="CC14" i="434"/>
  <c r="CC31" i="434" s="1"/>
  <c r="BY14" i="434"/>
  <c r="BY31" i="434" s="1"/>
  <c r="BU14" i="434"/>
  <c r="BU31" i="434" s="1"/>
  <c r="BQ14" i="434"/>
  <c r="BQ31" i="434" s="1"/>
  <c r="BM14" i="434"/>
  <c r="BM31" i="434" s="1"/>
  <c r="BI14" i="434"/>
  <c r="BI31" i="434" s="1"/>
  <c r="BE14" i="434"/>
  <c r="BE31" i="434" s="1"/>
  <c r="BA14" i="434"/>
  <c r="BA31" i="434" s="1"/>
  <c r="CF14" i="434"/>
  <c r="CF31" i="434" s="1"/>
  <c r="BX14" i="434"/>
  <c r="BX31" i="434" s="1"/>
  <c r="BP14" i="434"/>
  <c r="BP31" i="434" s="1"/>
  <c r="BL14" i="434"/>
  <c r="BL31" i="434" s="1"/>
  <c r="BD14" i="434"/>
  <c r="BD31" i="434" s="1"/>
  <c r="CI14" i="434"/>
  <c r="CI31" i="434" s="1"/>
  <c r="BS14" i="434"/>
  <c r="BS31" i="434" s="1"/>
  <c r="BC14" i="434"/>
  <c r="BC31" i="434" s="1"/>
  <c r="CA14" i="434"/>
  <c r="CA31" i="434" s="1"/>
  <c r="BG14" i="434"/>
  <c r="BG31" i="434" s="1"/>
  <c r="CE14" i="434"/>
  <c r="CE31" i="434" s="1"/>
  <c r="BO14" i="434"/>
  <c r="BO31" i="434" s="1"/>
  <c r="AY14" i="434"/>
  <c r="AY31" i="434" s="1"/>
  <c r="BK14" i="434"/>
  <c r="BK31" i="434" s="1"/>
  <c r="BW14" i="434"/>
  <c r="BW31" i="434" s="1"/>
  <c r="AO23" i="437"/>
  <c r="AH17" i="435" s="1"/>
  <c r="AL22" i="437"/>
  <c r="AI22" i="436"/>
  <c r="N193" i="2"/>
  <c r="AI23" i="436" l="1"/>
  <c r="DD41" i="434"/>
  <c r="AO22" i="437"/>
  <c r="AH16" i="435" s="1"/>
  <c r="P193" i="2"/>
  <c r="O193" i="2"/>
  <c r="L193" i="2" l="1"/>
  <c r="B12" i="447" l="1"/>
  <c r="B11" i="447"/>
  <c r="B9" i="450" l="1"/>
  <c r="J1" i="450"/>
  <c r="H11" i="447"/>
  <c r="K61" i="449"/>
  <c r="K60" i="449"/>
  <c r="K59" i="449"/>
  <c r="K58" i="449"/>
  <c r="K62" i="449"/>
  <c r="B10" i="450" l="1"/>
  <c r="D79" i="449"/>
  <c r="D75" i="449"/>
  <c r="D71" i="449"/>
  <c r="D67" i="449"/>
  <c r="C80" i="449"/>
  <c r="C76" i="449"/>
  <c r="C72" i="449"/>
  <c r="C68" i="449"/>
  <c r="H12" i="447"/>
  <c r="C77" i="449"/>
  <c r="C73" i="449"/>
  <c r="C69" i="449"/>
  <c r="C65" i="449"/>
  <c r="D78" i="449"/>
  <c r="D74" i="449"/>
  <c r="D70" i="449"/>
  <c r="D66" i="449"/>
  <c r="C79" i="449"/>
  <c r="C75" i="449"/>
  <c r="C71" i="449"/>
  <c r="C67" i="449"/>
  <c r="D80" i="449"/>
  <c r="D76" i="449"/>
  <c r="D72" i="449"/>
  <c r="D68" i="449"/>
  <c r="D77" i="449"/>
  <c r="D73" i="449"/>
  <c r="D69" i="449"/>
  <c r="D65" i="449"/>
  <c r="C78" i="449"/>
  <c r="C74" i="449"/>
  <c r="C70" i="449"/>
  <c r="C66" i="449"/>
  <c r="J2" i="450"/>
  <c r="L61" i="449"/>
  <c r="L60" i="449"/>
  <c r="L59" i="449"/>
  <c r="L58" i="449"/>
  <c r="L62" i="449"/>
  <c r="C83" i="449" l="1"/>
  <c r="D83" i="449"/>
  <c r="F68" i="449"/>
  <c r="F67" i="449"/>
  <c r="F66" i="449"/>
  <c r="F65" i="449"/>
  <c r="E71" i="449"/>
  <c r="E70" i="449"/>
  <c r="E69" i="449"/>
  <c r="E72" i="449"/>
  <c r="F80" i="449"/>
  <c r="F79" i="449"/>
  <c r="F78" i="449"/>
  <c r="F77" i="449"/>
  <c r="F76" i="449"/>
  <c r="F75" i="449"/>
  <c r="F74" i="449"/>
  <c r="F73" i="449"/>
  <c r="E79" i="449"/>
  <c r="E78" i="449"/>
  <c r="E77" i="449"/>
  <c r="E80" i="449"/>
  <c r="E67" i="449"/>
  <c r="E66" i="449"/>
  <c r="E65" i="449"/>
  <c r="E68" i="449"/>
  <c r="F72" i="449"/>
  <c r="F71" i="449"/>
  <c r="F70" i="449"/>
  <c r="F69" i="449"/>
  <c r="E75" i="449"/>
  <c r="E74" i="449"/>
  <c r="E73" i="449"/>
  <c r="E76" i="449"/>
  <c r="E83" i="449" l="1"/>
  <c r="F83" i="449"/>
  <c r="R23" i="436" l="1"/>
  <c r="AL23" i="436" s="1"/>
  <c r="DD42" i="434"/>
  <c r="R22" i="436"/>
  <c r="AW11" i="420"/>
  <c r="AL24" i="437"/>
  <c r="AW14" i="420"/>
  <c r="AL22" i="436" l="1"/>
  <c r="AP9" i="235" l="1"/>
  <c r="K9" i="235" s="1"/>
  <c r="AH5" i="234" l="1"/>
  <c r="I9" i="236" s="1"/>
  <c r="L9" i="236" a="1"/>
  <c r="L9" i="236" s="1"/>
  <c r="K9" i="236" a="1"/>
  <c r="K9" i="236" s="1"/>
  <c r="W9" i="236" l="1" a="1"/>
  <c r="W9" i="236" s="1"/>
  <c r="W8" i="236" s="1" a="1"/>
  <c r="W8" i="236" s="1"/>
  <c r="W7" i="236" s="1" a="1"/>
  <c r="W7" i="236" s="1"/>
  <c r="W6" i="236" s="1" a="1"/>
  <c r="W6" i="236" s="1"/>
  <c r="AU9" i="236" a="1"/>
  <c r="AU9" i="236" s="1"/>
  <c r="AU8" i="236" s="1" a="1"/>
  <c r="AU8" i="236" s="1"/>
  <c r="AU7" i="236" s="1" a="1"/>
  <c r="AU7" i="236" s="1"/>
  <c r="AU6" i="236" s="1" a="1"/>
  <c r="AU6" i="236" s="1"/>
  <c r="AD9" i="236" a="1"/>
  <c r="AD9" i="236" s="1"/>
  <c r="AD8" i="236" s="1" a="1"/>
  <c r="AD8" i="236" s="1"/>
  <c r="AD7" i="236" s="1" a="1"/>
  <c r="AD7" i="236" s="1"/>
  <c r="AD6" i="236" s="1" a="1"/>
  <c r="AD6" i="236" s="1"/>
  <c r="AG9" i="236" a="1"/>
  <c r="AG9" i="236" s="1"/>
  <c r="AG8" i="236" s="1" a="1"/>
  <c r="AG8" i="236" s="1"/>
  <c r="AG7" i="236" s="1" a="1"/>
  <c r="AG7" i="236" s="1"/>
  <c r="AG6" i="236" s="1" a="1"/>
  <c r="AG6" i="236" s="1"/>
  <c r="R9" i="236" a="1"/>
  <c r="R9" i="236" s="1"/>
  <c r="R8" i="236" s="1" a="1"/>
  <c r="R8" i="236" s="1"/>
  <c r="R7" i="236" s="1" a="1"/>
  <c r="R7" i="236" s="1"/>
  <c r="M9" i="236"/>
  <c r="AM9" i="236" s="1" a="1"/>
  <c r="AM9" i="236" s="1"/>
  <c r="AM8" i="236" s="1" a="1"/>
  <c r="AM8" i="236" s="1"/>
  <c r="AM7" i="236" s="1" a="1"/>
  <c r="AM7" i="236" s="1"/>
  <c r="AM6" i="236" s="1" a="1"/>
  <c r="AM6" i="236" s="1"/>
  <c r="V9" i="236" l="1" a="1"/>
  <c r="V9" i="236" s="1"/>
  <c r="V8" i="236" s="1" a="1"/>
  <c r="V8" i="236" s="1"/>
  <c r="V7" i="236" s="1" a="1"/>
  <c r="V7" i="236" s="1"/>
  <c r="V6" i="236" s="1" a="1"/>
  <c r="V6" i="236" s="1"/>
  <c r="X9" i="236" a="1"/>
  <c r="X9" i="236" s="1"/>
  <c r="X8" i="236" s="1" a="1"/>
  <c r="X8" i="236" s="1"/>
  <c r="X7" i="236" s="1" a="1"/>
  <c r="X7" i="236" s="1"/>
  <c r="X6" i="236" s="1" a="1"/>
  <c r="X6" i="236" s="1"/>
  <c r="AJ9" i="236" a="1"/>
  <c r="AJ9" i="236" s="1"/>
  <c r="AJ8" i="236" s="1" a="1"/>
  <c r="AJ8" i="236" s="1"/>
  <c r="AJ7" i="236" s="1" a="1"/>
  <c r="AJ7" i="236" s="1"/>
  <c r="AJ6" i="236" s="1" a="1"/>
  <c r="AJ6" i="236" s="1"/>
  <c r="Y9" i="236" a="1"/>
  <c r="Y9" i="236" s="1"/>
  <c r="Y8" i="236" s="1" a="1"/>
  <c r="Y8" i="236" s="1"/>
  <c r="Y7" i="236" s="1" a="1"/>
  <c r="Y7" i="236" s="1"/>
  <c r="Y6" i="236" s="1" a="1"/>
  <c r="Y6" i="236" s="1"/>
  <c r="AH9" i="236" a="1"/>
  <c r="AH9" i="236" s="1"/>
  <c r="AH8" i="236" s="1" a="1"/>
  <c r="AH8" i="236" s="1"/>
  <c r="AH7" i="236" s="1" a="1"/>
  <c r="AH7" i="236" s="1"/>
  <c r="AH6" i="236" s="1" a="1"/>
  <c r="AH6" i="236" s="1"/>
  <c r="AB9" i="236" a="1"/>
  <c r="AB9" i="236" s="1"/>
  <c r="AB8" i="236" s="1" a="1"/>
  <c r="AB8" i="236" s="1"/>
  <c r="AB7" i="236" s="1" a="1"/>
  <c r="AB7" i="236" s="1"/>
  <c r="AB6" i="236" s="1" a="1"/>
  <c r="AB6" i="236" s="1"/>
  <c r="AC9" i="236" a="1"/>
  <c r="AC9" i="236" s="1"/>
  <c r="AC8" i="236" s="1" a="1"/>
  <c r="AC8" i="236" s="1"/>
  <c r="AC7" i="236" s="1" a="1"/>
  <c r="AC7" i="236" s="1"/>
  <c r="AC6" i="236" s="1" a="1"/>
  <c r="AC6" i="236" s="1"/>
  <c r="T9" i="236" a="1"/>
  <c r="T9" i="236" s="1"/>
  <c r="T8" i="236" s="1" a="1"/>
  <c r="T8" i="236" s="1"/>
  <c r="T7" i="236" s="1" a="1"/>
  <c r="T7" i="236" s="1"/>
  <c r="T6" i="236" s="1" a="1"/>
  <c r="T6" i="236" s="1"/>
  <c r="AN9" i="236" a="1"/>
  <c r="AN9" i="236" s="1"/>
  <c r="AN8" i="236" s="1" a="1"/>
  <c r="AN8" i="236" s="1"/>
  <c r="AN7" i="236" s="1" a="1"/>
  <c r="AN7" i="236" s="1"/>
  <c r="AN6" i="236" s="1" a="1"/>
  <c r="AN6" i="236" s="1"/>
  <c r="AO9" i="236" a="1"/>
  <c r="AO9" i="236" s="1"/>
  <c r="AO8" i="236" s="1" a="1"/>
  <c r="AO8" i="236" s="1"/>
  <c r="AO7" i="236" s="1" a="1"/>
  <c r="AO7" i="236" s="1"/>
  <c r="AO6" i="236" s="1" a="1"/>
  <c r="AO6" i="236" s="1"/>
  <c r="AE9" i="236" a="1"/>
  <c r="AE9" i="236" s="1"/>
  <c r="AE8" i="236" s="1" a="1"/>
  <c r="AE8" i="236" s="1"/>
  <c r="AE7" i="236" s="1" a="1"/>
  <c r="AE7" i="236" s="1"/>
  <c r="AE6" i="236" s="1" a="1"/>
  <c r="AE6" i="236" s="1"/>
  <c r="AP9" i="236" a="1"/>
  <c r="AP9" i="236" s="1"/>
  <c r="AP8" i="236" s="1" a="1"/>
  <c r="AP8" i="236" s="1"/>
  <c r="AP7" i="236" s="1" a="1"/>
  <c r="AP7" i="236" s="1"/>
  <c r="AP6" i="236" s="1" a="1"/>
  <c r="AP6" i="236" s="1"/>
  <c r="AF9" i="236" a="1"/>
  <c r="AF9" i="236" s="1"/>
  <c r="AF8" i="236" s="1" a="1"/>
  <c r="AF8" i="236" s="1"/>
  <c r="AF7" i="236" s="1" a="1"/>
  <c r="AF7" i="236" s="1"/>
  <c r="AF6" i="236" s="1" a="1"/>
  <c r="AF6" i="236" s="1"/>
  <c r="AI9" i="236" a="1"/>
  <c r="AI9" i="236" s="1"/>
  <c r="AI8" i="236" s="1" a="1"/>
  <c r="AI8" i="236" s="1"/>
  <c r="AI7" i="236" s="1" a="1"/>
  <c r="AI7" i="236" s="1"/>
  <c r="AI6" i="236" s="1" a="1"/>
  <c r="AI6" i="236" s="1"/>
  <c r="U9" i="236" a="1"/>
  <c r="U9" i="236" s="1"/>
  <c r="U8" i="236" s="1" a="1"/>
  <c r="U8" i="236" s="1"/>
  <c r="U7" i="236" s="1" a="1"/>
  <c r="U7" i="236" s="1"/>
  <c r="U6" i="236" s="1" a="1"/>
  <c r="U6" i="236" s="1"/>
  <c r="R6" i="236" a="1"/>
  <c r="R6" i="236" s="1"/>
  <c r="AK9" i="236" a="1"/>
  <c r="AK9" i="236" s="1"/>
  <c r="AK8" i="236" s="1" a="1"/>
  <c r="AK8" i="236" s="1"/>
  <c r="AK7" i="236" s="1" a="1"/>
  <c r="AK7" i="236" s="1"/>
  <c r="AK6" i="236" s="1" a="1"/>
  <c r="AK6" i="236" s="1"/>
  <c r="AL9" i="236" a="1"/>
  <c r="AL9" i="236" s="1"/>
  <c r="AL8" i="236" s="1" a="1"/>
  <c r="AL8" i="236" s="1"/>
  <c r="AL7" i="236" s="1" a="1"/>
  <c r="AL7" i="236" s="1"/>
  <c r="AL6" i="236" s="1" a="1"/>
  <c r="AL6" i="236" s="1"/>
  <c r="Z9" i="236" a="1"/>
  <c r="Z9" i="236" s="1"/>
  <c r="Z8" i="236" s="1" a="1"/>
  <c r="Z8" i="236" s="1"/>
  <c r="Z7" i="236" s="1" a="1"/>
  <c r="Z7" i="236" s="1"/>
  <c r="Z6" i="236" s="1" a="1"/>
  <c r="Z6" i="236" s="1"/>
  <c r="AT9" i="236" a="1"/>
  <c r="AT9" i="236" s="1"/>
  <c r="AT8" i="236" s="1" a="1"/>
  <c r="AT8" i="236" s="1"/>
  <c r="AT7" i="236" s="1" a="1"/>
  <c r="AT7" i="236" s="1"/>
  <c r="AT6" i="236" s="1" a="1"/>
  <c r="AT6" i="236" s="1"/>
  <c r="AS9" i="236" a="1"/>
  <c r="AS9" i="236" s="1"/>
  <c r="AS8" i="236" s="1" a="1"/>
  <c r="AS8" i="236" s="1"/>
  <c r="AS7" i="236" s="1" a="1"/>
  <c r="AS7" i="236" s="1"/>
  <c r="AS6" i="236" s="1" a="1"/>
  <c r="AS6" i="236" s="1"/>
  <c r="S9" i="236" a="1"/>
  <c r="S9" i="236" s="1"/>
  <c r="S8" i="236" s="1" a="1"/>
  <c r="S8" i="236" s="1"/>
  <c r="S7" i="236" s="1" a="1"/>
  <c r="S7" i="236" s="1"/>
  <c r="S6" i="236" s="1" a="1"/>
  <c r="S6" i="236" s="1"/>
  <c r="AQ9" i="236" a="1"/>
  <c r="AQ9" i="236" s="1"/>
  <c r="AQ8" i="236" s="1" a="1"/>
  <c r="AQ8" i="236" s="1"/>
  <c r="BC9" i="236"/>
  <c r="T14" i="420" s="1"/>
  <c r="CE6" i="432"/>
  <c r="CE30" i="432"/>
  <c r="CE9" i="432"/>
  <c r="CE27" i="432"/>
  <c r="CE16" i="432"/>
  <c r="CE28" i="432"/>
  <c r="CE18" i="432"/>
  <c r="CE21" i="432"/>
  <c r="CE32" i="432"/>
  <c r="CE10" i="432"/>
  <c r="CE35" i="432"/>
  <c r="CE34" i="432"/>
  <c r="CE25" i="432"/>
  <c r="CE15" i="432"/>
  <c r="CE11" i="432"/>
  <c r="CE22" i="432"/>
  <c r="CE14" i="432"/>
  <c r="CE13" i="432"/>
  <c r="CE17" i="432"/>
  <c r="CE29" i="432"/>
  <c r="AZ9" i="236"/>
  <c r="Q14" i="420" s="1"/>
  <c r="BJ9" i="236"/>
  <c r="CE26" i="432"/>
  <c r="CE8" i="432"/>
  <c r="CE19" i="432"/>
  <c r="CE12" i="432"/>
  <c r="CE24" i="432"/>
  <c r="CE20" i="432"/>
  <c r="CE23" i="432"/>
  <c r="AY9" i="236"/>
  <c r="BL9" i="236"/>
  <c r="BI9" i="236"/>
  <c r="BF9" i="236"/>
  <c r="BQ9" i="236"/>
  <c r="BN9" i="236"/>
  <c r="BV9" i="236"/>
  <c r="BM9" i="236"/>
  <c r="BT9" i="236"/>
  <c r="CB9" i="236"/>
  <c r="BP9" i="236"/>
  <c r="BB9" i="236"/>
  <c r="BU9" i="236"/>
  <c r="BD9" i="236"/>
  <c r="BW9" i="236"/>
  <c r="BO9" i="236"/>
  <c r="BK9" i="236"/>
  <c r="CA9" i="236"/>
  <c r="BI8" i="236"/>
  <c r="BY9" i="236"/>
  <c r="BS9" i="236"/>
  <c r="BE9" i="236"/>
  <c r="BH9" i="236"/>
  <c r="BA9" i="236"/>
  <c r="BX9" i="236" l="1"/>
  <c r="CE33" i="432"/>
  <c r="BR9" i="236"/>
  <c r="CE7" i="432"/>
  <c r="CH34" i="432" s="1"/>
  <c r="AQ7" i="236" a="1"/>
  <c r="AQ7" i="236" s="1"/>
  <c r="AQ6" i="236" s="1" a="1"/>
  <c r="AQ6" i="236" s="1"/>
  <c r="CE31" i="432"/>
  <c r="CH11" i="432" s="1"/>
  <c r="BG9" i="236"/>
  <c r="BZ9" i="236"/>
  <c r="K25" i="437"/>
  <c r="AY8" i="236"/>
  <c r="BR8" i="236"/>
  <c r="AT10" i="451" s="1"/>
  <c r="BF8" i="236"/>
  <c r="W13" i="420" s="1"/>
  <c r="BC8" i="236"/>
  <c r="AE10" i="451" s="1"/>
  <c r="AO14" i="420"/>
  <c r="AZ8" i="236"/>
  <c r="AN14" i="420"/>
  <c r="AH14" i="420"/>
  <c r="W14" i="420"/>
  <c r="K44" i="434"/>
  <c r="AA14" i="420"/>
  <c r="AK14" i="420"/>
  <c r="AE14" i="420"/>
  <c r="AC14" i="420"/>
  <c r="AJ14" i="420"/>
  <c r="AR14" i="420"/>
  <c r="U14" i="420"/>
  <c r="AG14" i="420"/>
  <c r="AQ14" i="420"/>
  <c r="AI14" i="420"/>
  <c r="H44" i="434"/>
  <c r="DO50" i="434" s="1"/>
  <c r="DS50" i="434" s="1"/>
  <c r="AP14" i="420"/>
  <c r="BL8" i="236"/>
  <c r="AC13" i="420" s="1"/>
  <c r="AB14" i="420"/>
  <c r="AL14" i="420"/>
  <c r="AS14" i="420"/>
  <c r="AM14" i="420"/>
  <c r="BJ8" i="236"/>
  <c r="AL10" i="451" s="1"/>
  <c r="Z14" i="420"/>
  <c r="CH15" i="432"/>
  <c r="P14" i="420"/>
  <c r="K25" i="436"/>
  <c r="CE9" i="236"/>
  <c r="BH8" i="236"/>
  <c r="AY7" i="236"/>
  <c r="AA9" i="451" s="1"/>
  <c r="BE8" i="236"/>
  <c r="BS8" i="236"/>
  <c r="BI7" i="236"/>
  <c r="BF7" i="236"/>
  <c r="CF9" i="236"/>
  <c r="I25" i="455" s="1"/>
  <c r="CO9" i="236"/>
  <c r="R25" i="455" s="1"/>
  <c r="S14" i="420"/>
  <c r="AD14" i="420"/>
  <c r="H25" i="436"/>
  <c r="J25" i="436" s="1"/>
  <c r="I25" i="436" s="1"/>
  <c r="H25" i="437"/>
  <c r="S25" i="436"/>
  <c r="BN8" i="236"/>
  <c r="X14" i="420"/>
  <c r="CJ9" i="236"/>
  <c r="M25" i="455" s="1"/>
  <c r="CI9" i="236"/>
  <c r="L25" i="455" s="1"/>
  <c r="Y14" i="420"/>
  <c r="P13" i="420"/>
  <c r="AA10" i="451"/>
  <c r="CH9" i="236"/>
  <c r="K25" i="455" s="1"/>
  <c r="V14" i="420"/>
  <c r="AK10" i="451"/>
  <c r="Z13" i="420"/>
  <c r="CA8" i="236"/>
  <c r="BO8" i="236"/>
  <c r="BD8" i="236"/>
  <c r="BP8" i="236"/>
  <c r="BT8" i="236"/>
  <c r="BJ7" i="236"/>
  <c r="BV8" i="236"/>
  <c r="CN9" i="236"/>
  <c r="Q25" i="455" s="1"/>
  <c r="BA8" i="236"/>
  <c r="BR7" i="236"/>
  <c r="BG8" i="236"/>
  <c r="BX8" i="236"/>
  <c r="BY8" i="236"/>
  <c r="AZ7" i="236"/>
  <c r="BL7" i="236"/>
  <c r="CK9" i="236"/>
  <c r="N25" i="455" s="1"/>
  <c r="AF14" i="420"/>
  <c r="CQ9" i="236"/>
  <c r="T25" i="455" s="1"/>
  <c r="CM9" i="236"/>
  <c r="P25" i="455" s="1"/>
  <c r="BQ8" i="236"/>
  <c r="CL9" i="236"/>
  <c r="O25" i="455" s="1"/>
  <c r="R14" i="420"/>
  <c r="CP9" i="236"/>
  <c r="S25" i="455" s="1"/>
  <c r="BK8" i="236"/>
  <c r="BW8" i="236"/>
  <c r="BU8" i="236"/>
  <c r="BB8" i="236"/>
  <c r="CB8" i="236"/>
  <c r="BM8" i="236"/>
  <c r="BZ8" i="236"/>
  <c r="BC7" i="236"/>
  <c r="CD9" i="236"/>
  <c r="G25" i="455" s="1"/>
  <c r="CG9" i="236"/>
  <c r="J25" i="455" s="1"/>
  <c r="CH8" i="432" l="1"/>
  <c r="CH17" i="432"/>
  <c r="CH10" i="432"/>
  <c r="CH24" i="432"/>
  <c r="CH31" i="432"/>
  <c r="CH29" i="432"/>
  <c r="CH27" i="432"/>
  <c r="CH18" i="432"/>
  <c r="CH19" i="432"/>
  <c r="CH28" i="432"/>
  <c r="CH14" i="432"/>
  <c r="CH13" i="432"/>
  <c r="CH7" i="432"/>
  <c r="CH12" i="432"/>
  <c r="CH22" i="432"/>
  <c r="CH6" i="432"/>
  <c r="CH23" i="432"/>
  <c r="CH30" i="432"/>
  <c r="CH32" i="432"/>
  <c r="CH35" i="432"/>
  <c r="CH26" i="432"/>
  <c r="M25" i="436"/>
  <c r="L25" i="436" s="1"/>
  <c r="CH25" i="432"/>
  <c r="CH33" i="432"/>
  <c r="CH16" i="432"/>
  <c r="CH21" i="432"/>
  <c r="CH20" i="432"/>
  <c r="CH9" i="432"/>
  <c r="M25" i="437"/>
  <c r="L25" i="437" s="1"/>
  <c r="AW44" i="434"/>
  <c r="AV44" i="434" s="1"/>
  <c r="K24" i="437"/>
  <c r="AH24" i="437" s="1"/>
  <c r="AA18" i="435" s="1"/>
  <c r="K43" i="434"/>
  <c r="AI13" i="420"/>
  <c r="Q13" i="420"/>
  <c r="K24" i="436"/>
  <c r="M24" i="436" s="1"/>
  <c r="L24" i="436" s="1"/>
  <c r="AN10" i="451"/>
  <c r="J44" i="434"/>
  <c r="I44" i="434" s="1"/>
  <c r="DP50" i="434" s="1"/>
  <c r="D5" i="458"/>
  <c r="I16" i="457" s="1"/>
  <c r="AH10" i="451"/>
  <c r="U25" i="455"/>
  <c r="T13" i="420"/>
  <c r="AB10" i="451"/>
  <c r="AA13" i="420"/>
  <c r="DQ50" i="434"/>
  <c r="H25" i="455"/>
  <c r="N25" i="436"/>
  <c r="N25" i="437"/>
  <c r="CN8" i="236"/>
  <c r="Q24" i="455" s="1"/>
  <c r="CG8" i="236"/>
  <c r="J24" i="455" s="1"/>
  <c r="S24" i="436"/>
  <c r="BU7" i="236"/>
  <c r="H9" i="453"/>
  <c r="S1" i="236"/>
  <c r="S2" i="236"/>
  <c r="AZ6" i="236"/>
  <c r="E20" i="450" s="1"/>
  <c r="BX7" i="236"/>
  <c r="H27" i="453"/>
  <c r="AK1" i="236"/>
  <c r="AK2" i="236"/>
  <c r="BR6" i="236"/>
  <c r="E38" i="450" s="1"/>
  <c r="AC19" i="453"/>
  <c r="AH19" i="453"/>
  <c r="AA12" i="420"/>
  <c r="AL9" i="451"/>
  <c r="AG13" i="420"/>
  <c r="AR10" i="451"/>
  <c r="CK8" i="236"/>
  <c r="N24" i="455" s="1"/>
  <c r="AF13" i="420"/>
  <c r="AQ10" i="451"/>
  <c r="CD8" i="236"/>
  <c r="CF8" i="236"/>
  <c r="I24" i="455" s="1"/>
  <c r="J25" i="437"/>
  <c r="I25" i="437" s="1"/>
  <c r="H18" i="453"/>
  <c r="AB1" i="236"/>
  <c r="AB2" i="236"/>
  <c r="BI6" i="236"/>
  <c r="E29" i="450" s="1"/>
  <c r="BE7" i="236"/>
  <c r="BH7" i="236"/>
  <c r="BZ7" i="236"/>
  <c r="BK7" i="236"/>
  <c r="BB10" i="451"/>
  <c r="AQ13" i="420"/>
  <c r="AS13" i="420"/>
  <c r="BD10" i="451"/>
  <c r="AL13" i="420"/>
  <c r="AW10" i="451"/>
  <c r="AB13" i="420"/>
  <c r="AM10" i="451"/>
  <c r="BQ7" i="236"/>
  <c r="AC9" i="453"/>
  <c r="Q12" i="420"/>
  <c r="AB9" i="451"/>
  <c r="AH9" i="453"/>
  <c r="AZ10" i="451"/>
  <c r="AO13" i="420"/>
  <c r="AH27" i="453"/>
  <c r="AT9" i="451"/>
  <c r="AC27" i="453"/>
  <c r="AI12" i="420"/>
  <c r="BV7" i="236"/>
  <c r="BT7" i="236"/>
  <c r="BD7" i="236"/>
  <c r="CA7" i="236"/>
  <c r="CE8" i="236"/>
  <c r="G10" i="451"/>
  <c r="M24" i="437"/>
  <c r="L24" i="437" s="1"/>
  <c r="AW43" i="434"/>
  <c r="AV43" i="434" s="1"/>
  <c r="AC18" i="453"/>
  <c r="AH18" i="453"/>
  <c r="AK9" i="451"/>
  <c r="Z12" i="420"/>
  <c r="CH8" i="236"/>
  <c r="K24" i="455" s="1"/>
  <c r="AG10" i="451"/>
  <c r="V13" i="420"/>
  <c r="AJ10" i="451"/>
  <c r="CI8" i="236"/>
  <c r="L24" i="455" s="1"/>
  <c r="Y13" i="420"/>
  <c r="V1" i="236"/>
  <c r="H12" i="453"/>
  <c r="V2" i="236"/>
  <c r="BC6" i="236"/>
  <c r="E23" i="450" s="1"/>
  <c r="BB7" i="236"/>
  <c r="AH13" i="420"/>
  <c r="AS10" i="451"/>
  <c r="AE1" i="236"/>
  <c r="AE2" i="236"/>
  <c r="H21" i="453"/>
  <c r="BL6" i="236"/>
  <c r="E32" i="450" s="1"/>
  <c r="BG7" i="236"/>
  <c r="BA7" i="236"/>
  <c r="AX10" i="451"/>
  <c r="AM13" i="420"/>
  <c r="AV10" i="451"/>
  <c r="AK13" i="420"/>
  <c r="U13" i="420"/>
  <c r="AF10" i="451"/>
  <c r="AR13" i="420"/>
  <c r="BC10" i="451"/>
  <c r="BN7" i="236"/>
  <c r="H15" i="453"/>
  <c r="Y2" i="236"/>
  <c r="Y1" i="236"/>
  <c r="BF6" i="236"/>
  <c r="E26" i="450" s="1"/>
  <c r="BS7" i="236"/>
  <c r="P12" i="420"/>
  <c r="AH8" i="453"/>
  <c r="AC8" i="453"/>
  <c r="CB7" i="236"/>
  <c r="BM7" i="236"/>
  <c r="BW7" i="236"/>
  <c r="BY7" i="236"/>
  <c r="T12" i="420"/>
  <c r="AC12" i="453"/>
  <c r="AE9" i="451"/>
  <c r="AH12" i="453"/>
  <c r="H43" i="434"/>
  <c r="DO49" i="434" s="1"/>
  <c r="AO10" i="451"/>
  <c r="AD13" i="420"/>
  <c r="H24" i="436"/>
  <c r="H24" i="437"/>
  <c r="AE24" i="437" s="1"/>
  <c r="X18" i="435" s="1"/>
  <c r="CO8" i="236"/>
  <c r="R24" i="455" s="1"/>
  <c r="S13" i="420"/>
  <c r="AD10" i="451"/>
  <c r="AN13" i="420"/>
  <c r="AY10" i="451"/>
  <c r="AC21" i="453"/>
  <c r="AN9" i="451"/>
  <c r="AC12" i="420"/>
  <c r="AH21" i="453"/>
  <c r="BA10" i="451"/>
  <c r="AP13" i="420"/>
  <c r="AI10" i="451"/>
  <c r="X13" i="420"/>
  <c r="CJ8" i="236"/>
  <c r="M24" i="455" s="1"/>
  <c r="CP8" i="236"/>
  <c r="S24" i="455" s="1"/>
  <c r="R13" i="420"/>
  <c r="AC10" i="451"/>
  <c r="CL8" i="236"/>
  <c r="O24" i="455" s="1"/>
  <c r="AC2" i="236"/>
  <c r="AC1" i="236"/>
  <c r="H19" i="453"/>
  <c r="BJ6" i="236"/>
  <c r="E30" i="450" s="1"/>
  <c r="BP7" i="236"/>
  <c r="BO7" i="236"/>
  <c r="CM8" i="236"/>
  <c r="P24" i="455" s="1"/>
  <c r="AE13" i="420"/>
  <c r="AP10" i="451"/>
  <c r="CQ8" i="236"/>
  <c r="T24" i="455" s="1"/>
  <c r="AC15" i="453"/>
  <c r="W12" i="420"/>
  <c r="AH9" i="451"/>
  <c r="AH15" i="453"/>
  <c r="AU10" i="451"/>
  <c r="AJ13" i="420"/>
  <c r="R2" i="236"/>
  <c r="R1" i="236"/>
  <c r="H8" i="453"/>
  <c r="AY6" i="236"/>
  <c r="E19" i="450" s="1"/>
  <c r="AN6" i="451" l="1"/>
  <c r="G19" i="432"/>
  <c r="AK6" i="451"/>
  <c r="G16" i="432"/>
  <c r="AT6" i="451"/>
  <c r="G25" i="432"/>
  <c r="AE6" i="451"/>
  <c r="G10" i="432"/>
  <c r="AH6" i="451"/>
  <c r="G13" i="432"/>
  <c r="AB6" i="451"/>
  <c r="G7" i="432"/>
  <c r="AA6" i="451"/>
  <c r="G6" i="432"/>
  <c r="AL6" i="451"/>
  <c r="G17" i="432"/>
  <c r="K23" i="436"/>
  <c r="AF23" i="436" s="1"/>
  <c r="AE4" i="436" s="1"/>
  <c r="D4" i="458"/>
  <c r="I15" i="457" s="1"/>
  <c r="K23" i="437"/>
  <c r="AH23" i="437" s="1"/>
  <c r="AA17" i="435" s="1"/>
  <c r="K42" i="434"/>
  <c r="AW42" i="434" s="1"/>
  <c r="AV42" i="434" s="1"/>
  <c r="U24" i="455"/>
  <c r="G19" i="459"/>
  <c r="G25" i="459"/>
  <c r="G13" i="459"/>
  <c r="G7" i="459"/>
  <c r="G17" i="459"/>
  <c r="G10" i="459"/>
  <c r="G16" i="459"/>
  <c r="DS49" i="434"/>
  <c r="DQ49" i="434"/>
  <c r="CN7" i="236"/>
  <c r="Q9" i="455" s="1"/>
  <c r="AF15" i="454" s="1"/>
  <c r="G6" i="459"/>
  <c r="N24" i="436"/>
  <c r="AA40" i="459"/>
  <c r="G5" i="458"/>
  <c r="K16" i="457" s="1"/>
  <c r="G24" i="455"/>
  <c r="I5" i="458"/>
  <c r="E5" i="458" s="1"/>
  <c r="J16" i="457" s="1"/>
  <c r="AA41" i="459"/>
  <c r="AA42" i="459"/>
  <c r="AI24" i="437"/>
  <c r="AB18" i="435" s="1"/>
  <c r="CQ7" i="236"/>
  <c r="T9" i="455" s="1"/>
  <c r="AI15" i="454" s="1"/>
  <c r="H24" i="453"/>
  <c r="AH1" i="236"/>
  <c r="AH2" i="236"/>
  <c r="BO6" i="236"/>
  <c r="E35" i="450" s="1"/>
  <c r="M19" i="453"/>
  <c r="AA11" i="420"/>
  <c r="AL8" i="451"/>
  <c r="D30" i="450"/>
  <c r="F30" i="450" s="1"/>
  <c r="AR2" i="236"/>
  <c r="AR1" i="236"/>
  <c r="H34" i="453"/>
  <c r="BY6" i="236"/>
  <c r="E45" i="450" s="1"/>
  <c r="AF2" i="236"/>
  <c r="AF1" i="236"/>
  <c r="H22" i="453"/>
  <c r="BM6" i="236"/>
  <c r="E33" i="450" s="1"/>
  <c r="AC28" i="453"/>
  <c r="AJ12" i="420"/>
  <c r="AU9" i="451"/>
  <c r="AH28" i="453"/>
  <c r="AH10" i="453"/>
  <c r="CL7" i="236"/>
  <c r="AC10" i="453"/>
  <c r="R12" i="420"/>
  <c r="CP7" i="236"/>
  <c r="AC9" i="451"/>
  <c r="AC36" i="453"/>
  <c r="AR12" i="420"/>
  <c r="AH36" i="453"/>
  <c r="BC9" i="451"/>
  <c r="AC29" i="453"/>
  <c r="AH29" i="453"/>
  <c r="AK12" i="420"/>
  <c r="AV9" i="451"/>
  <c r="AD1" i="236"/>
  <c r="H20" i="453"/>
  <c r="AD2" i="236"/>
  <c r="BK6" i="236"/>
  <c r="E31" i="450" s="1"/>
  <c r="H17" i="453"/>
  <c r="AA1" i="236"/>
  <c r="AA2" i="236"/>
  <c r="BH6" i="236"/>
  <c r="E28" i="450" s="1"/>
  <c r="M18" i="453"/>
  <c r="AK8" i="451"/>
  <c r="Z11" i="420"/>
  <c r="D29" i="450"/>
  <c r="F29" i="450" s="1"/>
  <c r="M27" i="453"/>
  <c r="AT8" i="451"/>
  <c r="AI11" i="420"/>
  <c r="D38" i="450"/>
  <c r="F38" i="450" s="1"/>
  <c r="H33" i="453"/>
  <c r="AQ1" i="236"/>
  <c r="AQ2" i="236"/>
  <c r="BX6" i="236"/>
  <c r="E44" i="450" s="1"/>
  <c r="M8" i="453"/>
  <c r="P11" i="420"/>
  <c r="AA8" i="451"/>
  <c r="D19" i="450"/>
  <c r="CK7" i="236"/>
  <c r="AC24" i="453"/>
  <c r="AH24" i="453"/>
  <c r="AF12" i="420"/>
  <c r="AQ9" i="451"/>
  <c r="AH34" i="453"/>
  <c r="AP12" i="420"/>
  <c r="AC34" i="453"/>
  <c r="BA9" i="451"/>
  <c r="AC22" i="453"/>
  <c r="AH22" i="453"/>
  <c r="AO9" i="451"/>
  <c r="H23" i="436"/>
  <c r="AD23" i="436" s="1"/>
  <c r="AD4" i="436" s="1"/>
  <c r="AD12" i="420"/>
  <c r="H42" i="434"/>
  <c r="DO48" i="434" s="1"/>
  <c r="H23" i="437"/>
  <c r="AE23" i="437" s="1"/>
  <c r="X17" i="435" s="1"/>
  <c r="S23" i="436"/>
  <c r="CM7" i="236"/>
  <c r="M15" i="453"/>
  <c r="W11" i="420"/>
  <c r="AH8" i="451"/>
  <c r="D26" i="450"/>
  <c r="F26" i="450" s="1"/>
  <c r="AG1" i="236"/>
  <c r="AG2" i="236"/>
  <c r="H23" i="453"/>
  <c r="BN6" i="236"/>
  <c r="E34" i="450" s="1"/>
  <c r="H16" i="453"/>
  <c r="Z2" i="236"/>
  <c r="Z1" i="236"/>
  <c r="BG6" i="236"/>
  <c r="E27" i="450" s="1"/>
  <c r="H11" i="453"/>
  <c r="U2" i="236"/>
  <c r="U1" i="236"/>
  <c r="BB6" i="236"/>
  <c r="E22" i="450" s="1"/>
  <c r="W1" i="236"/>
  <c r="W2" i="236"/>
  <c r="H13" i="453"/>
  <c r="BD6" i="236"/>
  <c r="E24" i="450" s="1"/>
  <c r="H31" i="453"/>
  <c r="AO2" i="236"/>
  <c r="AO1" i="236"/>
  <c r="BV6" i="236"/>
  <c r="E42" i="450" s="1"/>
  <c r="M23" i="436"/>
  <c r="L23" i="436" s="1"/>
  <c r="AC20" i="453"/>
  <c r="AM9" i="451"/>
  <c r="AB12" i="420"/>
  <c r="AH20" i="453"/>
  <c r="AH17" i="453"/>
  <c r="AJ9" i="451"/>
  <c r="Y12" i="420"/>
  <c r="AC17" i="453"/>
  <c r="CI7" i="236"/>
  <c r="AL18" i="435"/>
  <c r="AK18" i="435"/>
  <c r="AC33" i="453"/>
  <c r="AZ9" i="451"/>
  <c r="AO12" i="420"/>
  <c r="AH33" i="453"/>
  <c r="AI2" i="236"/>
  <c r="AI1" i="236"/>
  <c r="H25" i="453"/>
  <c r="BP6" i="236"/>
  <c r="E36" i="450" s="1"/>
  <c r="H32" i="453"/>
  <c r="AP2" i="236"/>
  <c r="AP1" i="236"/>
  <c r="BW6" i="236"/>
  <c r="E43" i="450" s="1"/>
  <c r="AU2" i="236"/>
  <c r="AU1" i="236"/>
  <c r="H37" i="453"/>
  <c r="CB6" i="236"/>
  <c r="E48" i="450" s="1"/>
  <c r="CD7" i="236"/>
  <c r="G9" i="451"/>
  <c r="AH23" i="453"/>
  <c r="AE12" i="420"/>
  <c r="AC23" i="453"/>
  <c r="AP9" i="451"/>
  <c r="AC16" i="453"/>
  <c r="CJ7" i="236"/>
  <c r="AI9" i="451"/>
  <c r="AH16" i="453"/>
  <c r="X12" i="420"/>
  <c r="CO7" i="236"/>
  <c r="AC11" i="453"/>
  <c r="S12" i="420"/>
  <c r="AD9" i="451"/>
  <c r="AH11" i="453"/>
  <c r="H24" i="455"/>
  <c r="N24" i="437"/>
  <c r="AK24" i="437" s="1"/>
  <c r="AD18" i="435" s="1"/>
  <c r="AC13" i="453"/>
  <c r="U12" i="420"/>
  <c r="AF9" i="451"/>
  <c r="AH13" i="453"/>
  <c r="AH31" i="453"/>
  <c r="AX9" i="451"/>
  <c r="AC31" i="453"/>
  <c r="AM12" i="420"/>
  <c r="AJ2" i="236"/>
  <c r="AJ1" i="236"/>
  <c r="H26" i="453"/>
  <c r="BQ6" i="236"/>
  <c r="E37" i="450" s="1"/>
  <c r="AS2" i="236"/>
  <c r="AS1" i="236"/>
  <c r="H35" i="453"/>
  <c r="BZ6" i="236"/>
  <c r="E46" i="450" s="1"/>
  <c r="X1" i="236"/>
  <c r="X2" i="236"/>
  <c r="H14" i="453"/>
  <c r="BE6" i="236"/>
  <c r="E25" i="450" s="1"/>
  <c r="K22" i="437"/>
  <c r="AH22" i="437" s="1"/>
  <c r="AA16" i="435" s="1"/>
  <c r="K22" i="436"/>
  <c r="AF22" i="436" s="1"/>
  <c r="AE3" i="436" s="1"/>
  <c r="K41" i="434"/>
  <c r="M9" i="453"/>
  <c r="Q11" i="420"/>
  <c r="AB8" i="451"/>
  <c r="D20" i="450"/>
  <c r="F20" i="450" s="1"/>
  <c r="AN1" i="236"/>
  <c r="AN2" i="236"/>
  <c r="H30" i="453"/>
  <c r="BU6" i="236"/>
  <c r="E41" i="450" s="1"/>
  <c r="J24" i="437"/>
  <c r="I24" i="437" s="1"/>
  <c r="J43" i="434"/>
  <c r="I43" i="434" s="1"/>
  <c r="DP49" i="434" s="1"/>
  <c r="AC25" i="453"/>
  <c r="AG12" i="420"/>
  <c r="AH25" i="453"/>
  <c r="AR9" i="451"/>
  <c r="J24" i="436"/>
  <c r="I24" i="436" s="1"/>
  <c r="AH32" i="453"/>
  <c r="AC32" i="453"/>
  <c r="AN12" i="420"/>
  <c r="AY9" i="451"/>
  <c r="AC37" i="453"/>
  <c r="AH37" i="453"/>
  <c r="BD9" i="451"/>
  <c r="AS12" i="420"/>
  <c r="CE7" i="236"/>
  <c r="CG7" i="236"/>
  <c r="AL1" i="236"/>
  <c r="AL2" i="236"/>
  <c r="H28" i="453"/>
  <c r="BS6" i="236"/>
  <c r="E39" i="450" s="1"/>
  <c r="H10" i="453"/>
  <c r="T2" i="236"/>
  <c r="T1" i="236"/>
  <c r="BA6" i="236"/>
  <c r="E21" i="450" s="1"/>
  <c r="M21" i="453"/>
  <c r="AC11" i="420"/>
  <c r="AN8" i="451"/>
  <c r="D32" i="450"/>
  <c r="F32" i="450" s="1"/>
  <c r="M12" i="453"/>
  <c r="AE8" i="451"/>
  <c r="T11" i="420"/>
  <c r="D23" i="450"/>
  <c r="F23" i="450" s="1"/>
  <c r="AT2" i="236"/>
  <c r="AT1" i="236"/>
  <c r="H36" i="453"/>
  <c r="CA6" i="236"/>
  <c r="E47" i="450" s="1"/>
  <c r="AM2" i="236"/>
  <c r="AM1" i="236"/>
  <c r="H29" i="453"/>
  <c r="BT6" i="236"/>
  <c r="E40" i="450" s="1"/>
  <c r="CF7" i="236"/>
  <c r="AH26" i="453"/>
  <c r="AH12" i="420"/>
  <c r="AC26" i="453"/>
  <c r="AS9" i="451"/>
  <c r="AC35" i="453"/>
  <c r="BB9" i="451"/>
  <c r="AQ12" i="420"/>
  <c r="AH35" i="453"/>
  <c r="CH7" i="236"/>
  <c r="AC14" i="453"/>
  <c r="AH14" i="453"/>
  <c r="V12" i="420"/>
  <c r="AG9" i="451"/>
  <c r="AC30" i="453"/>
  <c r="AH30" i="453"/>
  <c r="AW9" i="451"/>
  <c r="AL12" i="420"/>
  <c r="E59" i="449" l="1" a="1"/>
  <c r="E59" i="449" s="1"/>
  <c r="E61" i="449" a="1"/>
  <c r="E61" i="449" s="1"/>
  <c r="E60" i="449" a="1"/>
  <c r="E60" i="449" s="1"/>
  <c r="W45" i="455"/>
  <c r="W74" i="455"/>
  <c r="W80" i="455"/>
  <c r="W73" i="455"/>
  <c r="W70" i="455"/>
  <c r="W85" i="455"/>
  <c r="W76" i="455"/>
  <c r="W52" i="455"/>
  <c r="W51" i="455"/>
  <c r="W89" i="455"/>
  <c r="W87" i="455"/>
  <c r="W49" i="455"/>
  <c r="W86" i="455"/>
  <c r="W60" i="455"/>
  <c r="W47" i="455"/>
  <c r="W46" i="455"/>
  <c r="W88" i="455"/>
  <c r="W82" i="455"/>
  <c r="W65" i="455"/>
  <c r="W81" i="455"/>
  <c r="W75" i="455"/>
  <c r="W84" i="455"/>
  <c r="W48" i="455"/>
  <c r="W62" i="455"/>
  <c r="W64" i="455"/>
  <c r="W53" i="455"/>
  <c r="W83" i="455"/>
  <c r="W44" i="455"/>
  <c r="W63" i="455"/>
  <c r="W90" i="455"/>
  <c r="W59" i="455"/>
  <c r="W69" i="455"/>
  <c r="W50" i="455"/>
  <c r="W61" i="455"/>
  <c r="W57" i="455"/>
  <c r="W91" i="455"/>
  <c r="W72" i="455"/>
  <c r="W67" i="455"/>
  <c r="W66" i="455"/>
  <c r="W77" i="455"/>
  <c r="W68" i="455"/>
  <c r="W56" i="455"/>
  <c r="W79" i="455"/>
  <c r="W54" i="455"/>
  <c r="W55" i="455"/>
  <c r="W71" i="455"/>
  <c r="W25" i="455"/>
  <c r="K30" i="451"/>
  <c r="AW6" i="451"/>
  <c r="G28" i="432"/>
  <c r="K24" i="451"/>
  <c r="K32" i="451"/>
  <c r="BD6" i="451"/>
  <c r="G35" i="432"/>
  <c r="AY6" i="451"/>
  <c r="G30" i="432"/>
  <c r="AR6" i="451"/>
  <c r="G23" i="432"/>
  <c r="AX6" i="451"/>
  <c r="G29" i="432"/>
  <c r="AF6" i="451"/>
  <c r="G11" i="432"/>
  <c r="AE17" i="436"/>
  <c r="AU20" i="436" s="1"/>
  <c r="AD6" i="451"/>
  <c r="G9" i="432"/>
  <c r="AI6" i="451"/>
  <c r="G14" i="432"/>
  <c r="AP6" i="451"/>
  <c r="G21" i="432"/>
  <c r="AO6" i="451"/>
  <c r="G20" i="432"/>
  <c r="BA6" i="451"/>
  <c r="G32" i="432"/>
  <c r="AQ6" i="451"/>
  <c r="G22" i="432"/>
  <c r="K14" i="451"/>
  <c r="K17" i="451"/>
  <c r="K21" i="451"/>
  <c r="K25" i="451"/>
  <c r="K29" i="451"/>
  <c r="K31" i="451"/>
  <c r="K13" i="451"/>
  <c r="K20" i="451"/>
  <c r="K28" i="451"/>
  <c r="K15" i="451"/>
  <c r="K18" i="451"/>
  <c r="K22" i="451"/>
  <c r="K26" i="451"/>
  <c r="AV6" i="451"/>
  <c r="G27" i="432"/>
  <c r="BC6" i="451"/>
  <c r="G34" i="432"/>
  <c r="AC6" i="451"/>
  <c r="G8" i="432"/>
  <c r="AU6" i="451"/>
  <c r="G26" i="432"/>
  <c r="AG6" i="451"/>
  <c r="G12" i="432"/>
  <c r="BB6" i="451"/>
  <c r="G33" i="432"/>
  <c r="AS6" i="451"/>
  <c r="G24" i="432"/>
  <c r="AD17" i="436"/>
  <c r="AT20" i="436" s="1"/>
  <c r="AZ6" i="451"/>
  <c r="G31" i="432"/>
  <c r="AJ6" i="451"/>
  <c r="G15" i="432"/>
  <c r="AM6" i="451"/>
  <c r="G18" i="432"/>
  <c r="K12" i="451"/>
  <c r="K16" i="451"/>
  <c r="K19" i="451"/>
  <c r="K23" i="451"/>
  <c r="K27" i="451"/>
  <c r="K34" i="451"/>
  <c r="K33" i="451"/>
  <c r="D3" i="458"/>
  <c r="I14" i="457" s="1"/>
  <c r="M23" i="437"/>
  <c r="L23" i="437" s="1"/>
  <c r="AI23" i="437" s="1"/>
  <c r="AB17" i="435" s="1"/>
  <c r="K8" i="451"/>
  <c r="DC42" i="434"/>
  <c r="DE42" i="434" s="1"/>
  <c r="W24" i="455"/>
  <c r="W33" i="455"/>
  <c r="W27" i="455"/>
  <c r="W32" i="455"/>
  <c r="W40" i="455"/>
  <c r="W30" i="455"/>
  <c r="W31" i="455"/>
  <c r="W39" i="455"/>
  <c r="W35" i="455"/>
  <c r="W26" i="455"/>
  <c r="W28" i="455"/>
  <c r="W43" i="455"/>
  <c r="W42" i="455"/>
  <c r="W41" i="455"/>
  <c r="W38" i="455"/>
  <c r="W36" i="455"/>
  <c r="W34" i="455"/>
  <c r="W29" i="455"/>
  <c r="G8" i="459"/>
  <c r="G26" i="459"/>
  <c r="G22" i="459"/>
  <c r="G28" i="459"/>
  <c r="G12" i="459"/>
  <c r="G33" i="459"/>
  <c r="G24" i="459"/>
  <c r="G15" i="459"/>
  <c r="G18" i="459"/>
  <c r="G27" i="459"/>
  <c r="G34" i="459"/>
  <c r="G35" i="459"/>
  <c r="G30" i="459"/>
  <c r="G23" i="459"/>
  <c r="G29" i="459"/>
  <c r="G11" i="459"/>
  <c r="G9" i="459"/>
  <c r="G14" i="459"/>
  <c r="G21" i="459"/>
  <c r="G31" i="459"/>
  <c r="G20" i="459"/>
  <c r="G32" i="459"/>
  <c r="K11" i="451"/>
  <c r="DS48" i="434"/>
  <c r="DQ48" i="434"/>
  <c r="CE6" i="236"/>
  <c r="N22" i="437" s="1"/>
  <c r="Q23" i="455"/>
  <c r="N23" i="436"/>
  <c r="AH23" i="436" s="1"/>
  <c r="AF4" i="436" s="1"/>
  <c r="U40" i="459"/>
  <c r="G4" i="458"/>
  <c r="K15" i="457" s="1"/>
  <c r="I4" i="458"/>
  <c r="E4" i="458" s="1"/>
  <c r="J15" i="457" s="1"/>
  <c r="U41" i="459"/>
  <c r="U42" i="459"/>
  <c r="AG23" i="436"/>
  <c r="AF24" i="437"/>
  <c r="Y18" i="435" s="1"/>
  <c r="CQ6" i="236"/>
  <c r="AQ8" i="455" s="1"/>
  <c r="T23" i="455"/>
  <c r="Q1" i="236"/>
  <c r="Q2" i="236"/>
  <c r="CG6" i="236"/>
  <c r="J22" i="455" s="1"/>
  <c r="AL17" i="435"/>
  <c r="AK17" i="435"/>
  <c r="CF6" i="236"/>
  <c r="G9" i="455"/>
  <c r="R15" i="454" s="1"/>
  <c r="G23" i="455"/>
  <c r="L9" i="455"/>
  <c r="Y15" i="454" s="1"/>
  <c r="L23" i="455"/>
  <c r="P9" i="455"/>
  <c r="AD15" i="454" s="1"/>
  <c r="P23" i="455"/>
  <c r="J23" i="437"/>
  <c r="I23" i="437" s="1"/>
  <c r="CM6" i="236"/>
  <c r="G29" i="450"/>
  <c r="W29" i="450" s="1"/>
  <c r="H29" i="450"/>
  <c r="X29" i="450" s="1"/>
  <c r="M24" i="453"/>
  <c r="CK6" i="236"/>
  <c r="AQ8" i="451"/>
  <c r="AF11" i="420"/>
  <c r="D35" i="450"/>
  <c r="F35" i="450" s="1"/>
  <c r="CL6" i="236"/>
  <c r="CP6" i="236"/>
  <c r="M10" i="453"/>
  <c r="R11" i="420"/>
  <c r="AC8" i="451"/>
  <c r="D21" i="450"/>
  <c r="F21" i="450" s="1"/>
  <c r="K9" i="455"/>
  <c r="X15" i="454" s="1"/>
  <c r="K23" i="455"/>
  <c r="G23" i="450"/>
  <c r="W23" i="450" s="1"/>
  <c r="H23" i="450"/>
  <c r="X23" i="450" s="1"/>
  <c r="H9" i="455"/>
  <c r="T15" i="454" s="1"/>
  <c r="N23" i="437"/>
  <c r="AK23" i="437" s="1"/>
  <c r="AD17" i="435" s="1"/>
  <c r="H23" i="455"/>
  <c r="M30" i="453"/>
  <c r="D41" i="450"/>
  <c r="F41" i="450" s="1"/>
  <c r="AL11" i="420"/>
  <c r="AW8" i="451"/>
  <c r="H20" i="450"/>
  <c r="AA20" i="450" s="1"/>
  <c r="G20" i="450"/>
  <c r="Z20" i="450" s="1"/>
  <c r="M22" i="437"/>
  <c r="L22" i="437" s="1"/>
  <c r="AI22" i="437" s="1"/>
  <c r="AB16" i="435" s="1"/>
  <c r="CH6" i="236"/>
  <c r="M14" i="453"/>
  <c r="V11" i="420"/>
  <c r="AG8" i="451"/>
  <c r="D25" i="450"/>
  <c r="F25" i="450" s="1"/>
  <c r="BB8" i="451"/>
  <c r="AQ11" i="420"/>
  <c r="M35" i="453"/>
  <c r="D46" i="450"/>
  <c r="F46" i="450" s="1"/>
  <c r="M26" i="453"/>
  <c r="AH11" i="420"/>
  <c r="AS8" i="451"/>
  <c r="D37" i="450"/>
  <c r="F37" i="450" s="1"/>
  <c r="R9" i="455"/>
  <c r="AG15" i="454" s="1"/>
  <c r="R23" i="455"/>
  <c r="M9" i="455"/>
  <c r="Z15" i="454" s="1"/>
  <c r="M23" i="455"/>
  <c r="M37" i="453"/>
  <c r="AS11" i="420"/>
  <c r="BD8" i="451"/>
  <c r="D48" i="450"/>
  <c r="F48" i="450" s="1"/>
  <c r="AY8" i="451"/>
  <c r="AN11" i="420"/>
  <c r="M32" i="453"/>
  <c r="D43" i="450"/>
  <c r="F43" i="450" s="1"/>
  <c r="M25" i="453"/>
  <c r="AG11" i="420"/>
  <c r="D36" i="450"/>
  <c r="F36" i="450" s="1"/>
  <c r="AR8" i="451"/>
  <c r="M31" i="453"/>
  <c r="AM11" i="420"/>
  <c r="AX8" i="451"/>
  <c r="D42" i="450"/>
  <c r="F42" i="450" s="1"/>
  <c r="M13" i="453"/>
  <c r="U11" i="420"/>
  <c r="D24" i="450"/>
  <c r="F24" i="450" s="1"/>
  <c r="AF8" i="451"/>
  <c r="K10" i="451"/>
  <c r="DO42" i="434"/>
  <c r="CY42" i="434"/>
  <c r="J42" i="434"/>
  <c r="I42" i="434" s="1"/>
  <c r="DP48" i="434" s="1"/>
  <c r="H38" i="453"/>
  <c r="I23" i="453" s="1"/>
  <c r="CI6" i="236"/>
  <c r="M17" i="453"/>
  <c r="AJ8" i="451"/>
  <c r="D28" i="450"/>
  <c r="F28" i="450" s="1"/>
  <c r="Y11" i="420"/>
  <c r="M20" i="453"/>
  <c r="AM8" i="451"/>
  <c r="AB11" i="420"/>
  <c r="D31" i="450"/>
  <c r="F31" i="450" s="1"/>
  <c r="O9" i="455"/>
  <c r="AC15" i="454" s="1"/>
  <c r="O23" i="455"/>
  <c r="AC38" i="453"/>
  <c r="AD38" i="453" s="1"/>
  <c r="BC8" i="451"/>
  <c r="AR11" i="420"/>
  <c r="M36" i="453"/>
  <c r="D47" i="450"/>
  <c r="F47" i="450" s="1"/>
  <c r="M28" i="453"/>
  <c r="AU8" i="451"/>
  <c r="AJ11" i="420"/>
  <c r="D39" i="450"/>
  <c r="F39" i="450" s="1"/>
  <c r="AW41" i="434"/>
  <c r="AV41" i="434" s="1"/>
  <c r="DC41" i="434"/>
  <c r="DE41" i="434" s="1"/>
  <c r="AH38" i="453"/>
  <c r="AI38" i="453" s="1"/>
  <c r="N9" i="455"/>
  <c r="AB15" i="454" s="1"/>
  <c r="N23" i="455"/>
  <c r="F19" i="450"/>
  <c r="S22" i="436"/>
  <c r="CD6" i="236"/>
  <c r="AD8" i="455" s="1"/>
  <c r="S23" i="455"/>
  <c r="S9" i="455"/>
  <c r="AH15" i="454" s="1"/>
  <c r="H22" i="437"/>
  <c r="J22" i="437" s="1"/>
  <c r="I22" i="437" s="1"/>
  <c r="H22" i="436"/>
  <c r="J22" i="436" s="1"/>
  <c r="I22" i="436" s="1"/>
  <c r="M22" i="453"/>
  <c r="H41" i="434"/>
  <c r="DO47" i="434" s="1"/>
  <c r="AD11" i="420"/>
  <c r="AO8" i="451"/>
  <c r="D33" i="450"/>
  <c r="F33" i="450" s="1"/>
  <c r="M34" i="453"/>
  <c r="BA8" i="451"/>
  <c r="AP11" i="420"/>
  <c r="D45" i="450"/>
  <c r="F45" i="450" s="1"/>
  <c r="M29" i="453"/>
  <c r="AK11" i="420"/>
  <c r="AV8" i="451"/>
  <c r="D40" i="450"/>
  <c r="F40" i="450" s="1"/>
  <c r="J23" i="455"/>
  <c r="J9" i="455"/>
  <c r="W15" i="454" s="1"/>
  <c r="I23" i="455"/>
  <c r="I9" i="455"/>
  <c r="V15" i="454" s="1"/>
  <c r="H32" i="450"/>
  <c r="X32" i="450" s="1"/>
  <c r="G32" i="450"/>
  <c r="Z32" i="450" s="1"/>
  <c r="M22" i="436"/>
  <c r="L22" i="436" s="1"/>
  <c r="AG22" i="436" s="1"/>
  <c r="K9" i="451"/>
  <c r="CO6" i="236"/>
  <c r="M11" i="453"/>
  <c r="D22" i="450"/>
  <c r="F22" i="450" s="1"/>
  <c r="AD8" i="451"/>
  <c r="S11" i="420"/>
  <c r="CJ6" i="236"/>
  <c r="M16" i="453"/>
  <c r="AI8" i="451"/>
  <c r="X11" i="420"/>
  <c r="D27" i="450"/>
  <c r="F27" i="450" s="1"/>
  <c r="M23" i="453"/>
  <c r="AE11" i="420"/>
  <c r="AP8" i="451"/>
  <c r="D34" i="450"/>
  <c r="F34" i="450" s="1"/>
  <c r="H26" i="450"/>
  <c r="X26" i="450" s="1"/>
  <c r="G26" i="450"/>
  <c r="W26" i="450" s="1"/>
  <c r="J23" i="436"/>
  <c r="I23" i="436" s="1"/>
  <c r="CN6" i="236"/>
  <c r="M33" i="453"/>
  <c r="AO11" i="420"/>
  <c r="AZ8" i="451"/>
  <c r="D44" i="450"/>
  <c r="F44" i="450" s="1"/>
  <c r="H38" i="450"/>
  <c r="X38" i="450" s="1"/>
  <c r="G38" i="450"/>
  <c r="W38" i="450" s="1"/>
  <c r="G30" i="450"/>
  <c r="W30" i="450" s="1"/>
  <c r="H30" i="450"/>
  <c r="X30" i="450" s="1"/>
  <c r="X45" i="455" l="1"/>
  <c r="AA45" i="455" s="1"/>
  <c r="B51" i="454" s="1"/>
  <c r="X50" i="455"/>
  <c r="AA50" i="455" s="1"/>
  <c r="B56" i="454" s="1"/>
  <c r="X44" i="455"/>
  <c r="AA44" i="455" s="1"/>
  <c r="B50" i="454" s="1"/>
  <c r="X56" i="455"/>
  <c r="AA56" i="455" s="1"/>
  <c r="B62" i="454" s="1"/>
  <c r="X60" i="455"/>
  <c r="AA60" i="455" s="1"/>
  <c r="B66" i="454" s="1"/>
  <c r="X64" i="455"/>
  <c r="AA64" i="455" s="1"/>
  <c r="B70" i="454" s="1"/>
  <c r="X68" i="455"/>
  <c r="AA68" i="455" s="1"/>
  <c r="B74" i="454" s="1"/>
  <c r="X72" i="455"/>
  <c r="AA72" i="455" s="1"/>
  <c r="B78" i="454" s="1"/>
  <c r="X76" i="455"/>
  <c r="AA76" i="455" s="1"/>
  <c r="B82" i="454" s="1"/>
  <c r="X80" i="455"/>
  <c r="AA80" i="455" s="1"/>
  <c r="B86" i="454" s="1"/>
  <c r="X84" i="455"/>
  <c r="AA84" i="455" s="1"/>
  <c r="B90" i="454" s="1"/>
  <c r="X88" i="455"/>
  <c r="AA88" i="455" s="1"/>
  <c r="X54" i="455"/>
  <c r="AA54" i="455" s="1"/>
  <c r="B60" i="454" s="1"/>
  <c r="X47" i="455"/>
  <c r="AA47" i="455" s="1"/>
  <c r="B53" i="454" s="1"/>
  <c r="X51" i="455"/>
  <c r="AA51" i="455" s="1"/>
  <c r="B57" i="454" s="1"/>
  <c r="X46" i="455"/>
  <c r="AA46" i="455" s="1"/>
  <c r="B52" i="454" s="1"/>
  <c r="X57" i="455"/>
  <c r="AA57" i="455" s="1"/>
  <c r="B63" i="454" s="1"/>
  <c r="X61" i="455"/>
  <c r="AA61" i="455" s="1"/>
  <c r="B67" i="454" s="1"/>
  <c r="X65" i="455"/>
  <c r="AA65" i="455" s="1"/>
  <c r="B71" i="454" s="1"/>
  <c r="X69" i="455"/>
  <c r="AA69" i="455" s="1"/>
  <c r="B75" i="454" s="1"/>
  <c r="X73" i="455"/>
  <c r="AA73" i="455" s="1"/>
  <c r="B79" i="454" s="1"/>
  <c r="X77" i="455"/>
  <c r="AA77" i="455" s="1"/>
  <c r="B83" i="454" s="1"/>
  <c r="X81" i="455"/>
  <c r="AA81" i="455" s="1"/>
  <c r="B87" i="454" s="1"/>
  <c r="X85" i="455"/>
  <c r="AA85" i="455" s="1"/>
  <c r="B91" i="454" s="1"/>
  <c r="X89" i="455"/>
  <c r="AA89" i="455" s="1"/>
  <c r="X53" i="455"/>
  <c r="AA53" i="455" s="1"/>
  <c r="B59" i="454" s="1"/>
  <c r="X59" i="455"/>
  <c r="AA59" i="455" s="1"/>
  <c r="B65" i="454" s="1"/>
  <c r="X67" i="455"/>
  <c r="AA67" i="455" s="1"/>
  <c r="B73" i="454" s="1"/>
  <c r="X75" i="455"/>
  <c r="AA75" i="455" s="1"/>
  <c r="B81" i="454" s="1"/>
  <c r="X83" i="455"/>
  <c r="AA83" i="455" s="1"/>
  <c r="B89" i="454" s="1"/>
  <c r="X91" i="455"/>
  <c r="AA91" i="455" s="1"/>
  <c r="X49" i="455"/>
  <c r="AA49" i="455" s="1"/>
  <c r="B55" i="454" s="1"/>
  <c r="X52" i="455"/>
  <c r="AA52" i="455" s="1"/>
  <c r="B58" i="454" s="1"/>
  <c r="X55" i="455"/>
  <c r="AA55" i="455" s="1"/>
  <c r="B61" i="454" s="1"/>
  <c r="X58" i="455"/>
  <c r="AA58" i="455" s="1"/>
  <c r="B64" i="454" s="1"/>
  <c r="X62" i="455"/>
  <c r="AA62" i="455" s="1"/>
  <c r="B68" i="454" s="1"/>
  <c r="X66" i="455"/>
  <c r="AA66" i="455" s="1"/>
  <c r="B72" i="454" s="1"/>
  <c r="X70" i="455"/>
  <c r="AA70" i="455" s="1"/>
  <c r="B76" i="454" s="1"/>
  <c r="X74" i="455"/>
  <c r="AA74" i="455" s="1"/>
  <c r="B80" i="454" s="1"/>
  <c r="X78" i="455"/>
  <c r="AA78" i="455" s="1"/>
  <c r="B84" i="454" s="1"/>
  <c r="X82" i="455"/>
  <c r="AA82" i="455" s="1"/>
  <c r="B88" i="454" s="1"/>
  <c r="X86" i="455"/>
  <c r="AA86" i="455" s="1"/>
  <c r="B92" i="454" s="1"/>
  <c r="X90" i="455"/>
  <c r="AA90" i="455" s="1"/>
  <c r="X48" i="455"/>
  <c r="AA48" i="455" s="1"/>
  <c r="B54" i="454" s="1"/>
  <c r="X63" i="455"/>
  <c r="AA63" i="455" s="1"/>
  <c r="B69" i="454" s="1"/>
  <c r="X71" i="455"/>
  <c r="AA71" i="455" s="1"/>
  <c r="B77" i="454" s="1"/>
  <c r="X79" i="455"/>
  <c r="AA79" i="455" s="1"/>
  <c r="B85" i="454" s="1"/>
  <c r="X87" i="455"/>
  <c r="AA87" i="455" s="1"/>
  <c r="AT29" i="436"/>
  <c r="AT30" i="436"/>
  <c r="AT31" i="436"/>
  <c r="AT32" i="436"/>
  <c r="AT33" i="436"/>
  <c r="AT34" i="436"/>
  <c r="AT35" i="436"/>
  <c r="AT36" i="436"/>
  <c r="AT37" i="436"/>
  <c r="AT38" i="436"/>
  <c r="AT39" i="436"/>
  <c r="AT40" i="436"/>
  <c r="AT41" i="436"/>
  <c r="AT42" i="436"/>
  <c r="AT43" i="436"/>
  <c r="AT44" i="436"/>
  <c r="AT45" i="436"/>
  <c r="AT46" i="436"/>
  <c r="AT47" i="436"/>
  <c r="AT48" i="436"/>
  <c r="AT49" i="436"/>
  <c r="AT50" i="436"/>
  <c r="AT51" i="436"/>
  <c r="AT52" i="436"/>
  <c r="AT53" i="436"/>
  <c r="AT54" i="436"/>
  <c r="AT55" i="436"/>
  <c r="AT56" i="436"/>
  <c r="AT57" i="436"/>
  <c r="AT58" i="436"/>
  <c r="AT59" i="436"/>
  <c r="AT60" i="436"/>
  <c r="AT61" i="436"/>
  <c r="AT62" i="436"/>
  <c r="AT63" i="436"/>
  <c r="AT64" i="436"/>
  <c r="AT65" i="436"/>
  <c r="AT66" i="436"/>
  <c r="AT67" i="436"/>
  <c r="AT68" i="436"/>
  <c r="AT69" i="436"/>
  <c r="AT70" i="436"/>
  <c r="AT71" i="436"/>
  <c r="AT72" i="436"/>
  <c r="AT73" i="436"/>
  <c r="AT74" i="436"/>
  <c r="AT75" i="436"/>
  <c r="AT76" i="436"/>
  <c r="AT77" i="436"/>
  <c r="AT78" i="436"/>
  <c r="AT79" i="436"/>
  <c r="AT80" i="436"/>
  <c r="AT81" i="436"/>
  <c r="AT82" i="436"/>
  <c r="AT83" i="436"/>
  <c r="AT84" i="436"/>
  <c r="AT85" i="436"/>
  <c r="AT86" i="436"/>
  <c r="AT87" i="436"/>
  <c r="AT88" i="436"/>
  <c r="AT89" i="436"/>
  <c r="AT90" i="436"/>
  <c r="AT91" i="436"/>
  <c r="AU29" i="436"/>
  <c r="AU30" i="436"/>
  <c r="AU31" i="436"/>
  <c r="AU32" i="436"/>
  <c r="AU33" i="436"/>
  <c r="AU34" i="436"/>
  <c r="AU35" i="436"/>
  <c r="AU36" i="436"/>
  <c r="AU37" i="436"/>
  <c r="AU38" i="436"/>
  <c r="AU39" i="436"/>
  <c r="AU40" i="436"/>
  <c r="AU41" i="436"/>
  <c r="AU42" i="436"/>
  <c r="AU43" i="436"/>
  <c r="AU44" i="436"/>
  <c r="AU45" i="436"/>
  <c r="AU46" i="436"/>
  <c r="AU47" i="436"/>
  <c r="AU48" i="436"/>
  <c r="AU49" i="436"/>
  <c r="AU50" i="436"/>
  <c r="AU51" i="436"/>
  <c r="AU52" i="436"/>
  <c r="AU53" i="436"/>
  <c r="AU54" i="436"/>
  <c r="AU55" i="436"/>
  <c r="AU56" i="436"/>
  <c r="AU57" i="436"/>
  <c r="AU58" i="436"/>
  <c r="AU59" i="436"/>
  <c r="AU60" i="436"/>
  <c r="AU61" i="436"/>
  <c r="AU62" i="436"/>
  <c r="AU63" i="436"/>
  <c r="AU64" i="436"/>
  <c r="AU65" i="436"/>
  <c r="AU66" i="436"/>
  <c r="AU67" i="436"/>
  <c r="AU68" i="436"/>
  <c r="AU69" i="436"/>
  <c r="AU70" i="436"/>
  <c r="AU71" i="436"/>
  <c r="AU72" i="436"/>
  <c r="AU73" i="436"/>
  <c r="AU74" i="436"/>
  <c r="AU75" i="436"/>
  <c r="AU76" i="436"/>
  <c r="AU77" i="436"/>
  <c r="AU78" i="436"/>
  <c r="AU79" i="436"/>
  <c r="AU80" i="436"/>
  <c r="AU81" i="436"/>
  <c r="AU82" i="436"/>
  <c r="AU83" i="436"/>
  <c r="AU84" i="436"/>
  <c r="AU85" i="436"/>
  <c r="AU86" i="436"/>
  <c r="AU87" i="436"/>
  <c r="AU88" i="436"/>
  <c r="AU89" i="436"/>
  <c r="AU90" i="436"/>
  <c r="AU91" i="436"/>
  <c r="AT22" i="436"/>
  <c r="AU26" i="436"/>
  <c r="AT25" i="436"/>
  <c r="AA26" i="450"/>
  <c r="AT23" i="436"/>
  <c r="AU27" i="436"/>
  <c r="AU28" i="436"/>
  <c r="Z38" i="450"/>
  <c r="AT24" i="436"/>
  <c r="AU25" i="436"/>
  <c r="AU24" i="436"/>
  <c r="AT27" i="436"/>
  <c r="AT26" i="436"/>
  <c r="AU22" i="436"/>
  <c r="AU23" i="436"/>
  <c r="Z26" i="450"/>
  <c r="AA29" i="450"/>
  <c r="AT28" i="436"/>
  <c r="Z21" i="451"/>
  <c r="J21" i="451" s="1"/>
  <c r="Z12" i="451"/>
  <c r="J12" i="451" s="1"/>
  <c r="H7" i="432"/>
  <c r="Z30" i="451"/>
  <c r="J30" i="451" s="1"/>
  <c r="Z13" i="451"/>
  <c r="J13" i="451" s="1"/>
  <c r="Z18" i="451"/>
  <c r="J18" i="451" s="1"/>
  <c r="Z25" i="451"/>
  <c r="J25" i="451" s="1"/>
  <c r="Z29" i="451"/>
  <c r="J29" i="451" s="1"/>
  <c r="Z34" i="451"/>
  <c r="J34" i="451" s="1"/>
  <c r="Z14" i="451"/>
  <c r="J14" i="451" s="1"/>
  <c r="Z17" i="451"/>
  <c r="J17" i="451" s="1"/>
  <c r="Z23" i="451"/>
  <c r="J23" i="451" s="1"/>
  <c r="Z26" i="451"/>
  <c r="J26" i="451" s="1"/>
  <c r="Z32" i="451"/>
  <c r="J32" i="451" s="1"/>
  <c r="Z33" i="451"/>
  <c r="J33" i="451" s="1"/>
  <c r="H6" i="432"/>
  <c r="Z15" i="451"/>
  <c r="J15" i="451" s="1"/>
  <c r="Z19" i="451"/>
  <c r="J19" i="451" s="1"/>
  <c r="Z22" i="451"/>
  <c r="J22" i="451" s="1"/>
  <c r="Z27" i="451"/>
  <c r="J27" i="451" s="1"/>
  <c r="Z31" i="451"/>
  <c r="J31" i="451" s="1"/>
  <c r="Z16" i="451"/>
  <c r="J16" i="451" s="1"/>
  <c r="Z20" i="451"/>
  <c r="J20" i="451" s="1"/>
  <c r="Z24" i="451"/>
  <c r="J24" i="451" s="1"/>
  <c r="Z28" i="451"/>
  <c r="J28" i="451" s="1"/>
  <c r="H32" i="459"/>
  <c r="H11" i="459"/>
  <c r="H6" i="459"/>
  <c r="H33" i="459"/>
  <c r="H34" i="459"/>
  <c r="H24" i="459"/>
  <c r="H9" i="459"/>
  <c r="H16" i="459"/>
  <c r="H17" i="459"/>
  <c r="H7" i="459"/>
  <c r="H22" i="459"/>
  <c r="H25" i="459"/>
  <c r="H19" i="459"/>
  <c r="H23" i="459"/>
  <c r="H31" i="459"/>
  <c r="H14" i="459"/>
  <c r="H8" i="459"/>
  <c r="H35" i="459"/>
  <c r="H27" i="459"/>
  <c r="H15" i="459"/>
  <c r="H28" i="459"/>
  <c r="H26" i="459"/>
  <c r="H21" i="459"/>
  <c r="H29" i="459"/>
  <c r="H18" i="459"/>
  <c r="H13" i="459"/>
  <c r="H30" i="459"/>
  <c r="H20" i="459"/>
  <c r="H12" i="459"/>
  <c r="H10" i="459"/>
  <c r="Z8" i="451"/>
  <c r="J8" i="451" s="1"/>
  <c r="H20" i="432"/>
  <c r="X22" i="455"/>
  <c r="AA22" i="455" s="1"/>
  <c r="X39" i="455"/>
  <c r="AA39" i="455" s="1"/>
  <c r="B45" i="454" s="1"/>
  <c r="X36" i="455"/>
  <c r="AA36" i="455" s="1"/>
  <c r="B42" i="454" s="1"/>
  <c r="X37" i="455"/>
  <c r="AA37" i="455" s="1"/>
  <c r="B43" i="454" s="1"/>
  <c r="X28" i="455"/>
  <c r="AA28" i="455" s="1"/>
  <c r="B34" i="454" s="1"/>
  <c r="X43" i="455"/>
  <c r="AA43" i="455" s="1"/>
  <c r="B49" i="454" s="1"/>
  <c r="X40" i="455"/>
  <c r="AA40" i="455" s="1"/>
  <c r="B46" i="454" s="1"/>
  <c r="X41" i="455"/>
  <c r="AA41" i="455" s="1"/>
  <c r="B47" i="454" s="1"/>
  <c r="X29" i="455"/>
  <c r="AA29" i="455" s="1"/>
  <c r="B35" i="454" s="1"/>
  <c r="X30" i="455"/>
  <c r="AA30" i="455" s="1"/>
  <c r="B36" i="454" s="1"/>
  <c r="X33" i="455"/>
  <c r="AA33" i="455" s="1"/>
  <c r="B39" i="454" s="1"/>
  <c r="X38" i="455"/>
  <c r="AA38" i="455" s="1"/>
  <c r="B44" i="454" s="1"/>
  <c r="X42" i="455"/>
  <c r="AA42" i="455" s="1"/>
  <c r="B48" i="454" s="1"/>
  <c r="X34" i="455"/>
  <c r="AA34" i="455" s="1"/>
  <c r="B40" i="454" s="1"/>
  <c r="X25" i="455"/>
  <c r="AA25" i="455" s="1"/>
  <c r="X24" i="455"/>
  <c r="AA24" i="455" s="1"/>
  <c r="X31" i="455"/>
  <c r="AA31" i="455" s="1"/>
  <c r="B37" i="454" s="1"/>
  <c r="X23" i="455"/>
  <c r="AA23" i="455" s="1"/>
  <c r="X35" i="455"/>
  <c r="AA35" i="455" s="1"/>
  <c r="B41" i="454" s="1"/>
  <c r="X32" i="455"/>
  <c r="AA32" i="455" s="1"/>
  <c r="B38" i="454" s="1"/>
  <c r="X27" i="455"/>
  <c r="AA27" i="455" s="1"/>
  <c r="B33" i="454" s="1"/>
  <c r="X26" i="455"/>
  <c r="AA26" i="455" s="1"/>
  <c r="H16" i="432"/>
  <c r="H32" i="432"/>
  <c r="H31" i="432"/>
  <c r="R39" i="432"/>
  <c r="H14" i="432"/>
  <c r="H11" i="432"/>
  <c r="H23" i="432"/>
  <c r="H35" i="432"/>
  <c r="H27" i="432"/>
  <c r="H17" i="432"/>
  <c r="H15" i="432"/>
  <c r="H33" i="432"/>
  <c r="H28" i="432"/>
  <c r="H26" i="432"/>
  <c r="H25" i="432"/>
  <c r="H21" i="432"/>
  <c r="H9" i="432"/>
  <c r="H29" i="432"/>
  <c r="H30" i="432"/>
  <c r="H34" i="432"/>
  <c r="H19" i="432"/>
  <c r="H18" i="432"/>
  <c r="H24" i="432"/>
  <c r="H12" i="432"/>
  <c r="H22" i="432"/>
  <c r="H8" i="432"/>
  <c r="H10" i="432"/>
  <c r="H13" i="432"/>
  <c r="Z11" i="451"/>
  <c r="J11" i="451" s="1"/>
  <c r="DS47" i="434"/>
  <c r="DQ47" i="434"/>
  <c r="AD22" i="436"/>
  <c r="AD3" i="436" s="1"/>
  <c r="Z30" i="450"/>
  <c r="AA23" i="450"/>
  <c r="Z23" i="450"/>
  <c r="AA38" i="450"/>
  <c r="Z29" i="450"/>
  <c r="AA30" i="450"/>
  <c r="AA32" i="450"/>
  <c r="X20" i="450"/>
  <c r="AD22" i="453"/>
  <c r="AD15" i="453"/>
  <c r="AD29" i="453"/>
  <c r="AD27" i="453"/>
  <c r="AJ1" i="436"/>
  <c r="AD18" i="436" s="1"/>
  <c r="O41" i="459"/>
  <c r="I3" i="458"/>
  <c r="E3" i="458" s="1"/>
  <c r="J14" i="457" s="1"/>
  <c r="O42" i="459"/>
  <c r="G3" i="458"/>
  <c r="K14" i="457" s="1"/>
  <c r="O40" i="459"/>
  <c r="AE22" i="437"/>
  <c r="X16" i="435" s="1"/>
  <c r="AK16" i="435" s="1"/>
  <c r="AD13" i="453"/>
  <c r="AD26" i="453"/>
  <c r="AI14" i="453"/>
  <c r="AE22" i="436"/>
  <c r="AD21" i="453"/>
  <c r="AF17" i="436"/>
  <c r="AV20" i="436" s="1"/>
  <c r="N22" i="436"/>
  <c r="AH22" i="436" s="1"/>
  <c r="AF3" i="436" s="1"/>
  <c r="T22" i="455"/>
  <c r="AF22" i="437"/>
  <c r="Y16" i="435" s="1"/>
  <c r="AE23" i="436"/>
  <c r="AF23" i="437"/>
  <c r="Y17" i="435" s="1"/>
  <c r="I33" i="453"/>
  <c r="I14" i="453"/>
  <c r="I15" i="453"/>
  <c r="I25" i="453"/>
  <c r="I16" i="453"/>
  <c r="T8" i="455"/>
  <c r="AI14" i="454" s="1"/>
  <c r="AD28" i="453"/>
  <c r="AD19" i="453"/>
  <c r="AD18" i="453"/>
  <c r="AK38" i="453"/>
  <c r="AD36" i="453"/>
  <c r="AI35" i="453"/>
  <c r="AI9" i="453"/>
  <c r="AI16" i="453"/>
  <c r="AI12" i="453"/>
  <c r="AI34" i="453"/>
  <c r="AI8" i="453"/>
  <c r="AI13" i="453"/>
  <c r="AK13" i="453" s="1"/>
  <c r="AD16" i="453"/>
  <c r="AI10" i="453"/>
  <c r="AI31" i="453"/>
  <c r="AI26" i="453"/>
  <c r="J8" i="455"/>
  <c r="W14" i="454" s="1"/>
  <c r="AI30" i="453"/>
  <c r="AI29" i="453"/>
  <c r="AD8" i="453"/>
  <c r="AD23" i="453"/>
  <c r="AI37" i="453"/>
  <c r="D60" i="449" a="1"/>
  <c r="D60" i="449" s="1"/>
  <c r="AI19" i="453"/>
  <c r="AI22" i="453"/>
  <c r="AI20" i="453"/>
  <c r="AI36" i="453"/>
  <c r="AG8" i="455"/>
  <c r="AD30" i="453"/>
  <c r="AD20" i="453"/>
  <c r="H37" i="450"/>
  <c r="X37" i="450" s="1"/>
  <c r="G37" i="450"/>
  <c r="Z37" i="450" s="1"/>
  <c r="I8" i="453"/>
  <c r="I32" i="453"/>
  <c r="I34" i="453"/>
  <c r="M38" i="453"/>
  <c r="N12" i="453" s="1"/>
  <c r="H34" i="450"/>
  <c r="X34" i="450" s="1"/>
  <c r="G34" i="450"/>
  <c r="Z34" i="450" s="1"/>
  <c r="H45" i="450"/>
  <c r="X45" i="450" s="1"/>
  <c r="G45" i="450"/>
  <c r="Z45" i="450" s="1"/>
  <c r="G22" i="455"/>
  <c r="G8" i="455"/>
  <c r="R14" i="454" s="1"/>
  <c r="D59" i="449" a="1"/>
  <c r="D59" i="449" s="1"/>
  <c r="I11" i="453"/>
  <c r="I37" i="453"/>
  <c r="G28" i="450"/>
  <c r="W28" i="450" s="1"/>
  <c r="H28" i="450"/>
  <c r="X28" i="450" s="1"/>
  <c r="L8" i="455"/>
  <c r="Y14" i="454" s="1"/>
  <c r="L22" i="455"/>
  <c r="AI8" i="455"/>
  <c r="AD24" i="453"/>
  <c r="CZ42" i="434"/>
  <c r="H16" i="433" s="1"/>
  <c r="DP42" i="434"/>
  <c r="AD17" i="453"/>
  <c r="H43" i="450"/>
  <c r="X43" i="450" s="1"/>
  <c r="G43" i="450"/>
  <c r="Z43" i="450" s="1"/>
  <c r="G46" i="450"/>
  <c r="Z46" i="450" s="1"/>
  <c r="H46" i="450"/>
  <c r="X46" i="450" s="1"/>
  <c r="AD35" i="453"/>
  <c r="AD12" i="453"/>
  <c r="AD14" i="453"/>
  <c r="AI28" i="453"/>
  <c r="I17" i="453"/>
  <c r="P22" i="455"/>
  <c r="P8" i="455"/>
  <c r="AD14" i="454" s="1"/>
  <c r="AM8" i="455"/>
  <c r="AI24" i="453"/>
  <c r="AI17" i="453"/>
  <c r="AD11" i="453"/>
  <c r="AI27" i="453"/>
  <c r="I12" i="453"/>
  <c r="H47" i="450"/>
  <c r="X47" i="450" s="1"/>
  <c r="G47" i="450"/>
  <c r="Z47" i="450" s="1"/>
  <c r="W20" i="450"/>
  <c r="O8" i="455"/>
  <c r="AC14" i="454" s="1"/>
  <c r="O22" i="455"/>
  <c r="AL8" i="455"/>
  <c r="I24" i="453"/>
  <c r="I22" i="453"/>
  <c r="I20" i="453"/>
  <c r="G44" i="450"/>
  <c r="W44" i="450" s="1"/>
  <c r="H44" i="450"/>
  <c r="X44" i="450" s="1"/>
  <c r="H27" i="450"/>
  <c r="X27" i="450" s="1"/>
  <c r="G27" i="450"/>
  <c r="Z27" i="450" s="1"/>
  <c r="G22" i="450"/>
  <c r="W22" i="450" s="1"/>
  <c r="H22" i="450"/>
  <c r="X22" i="450" s="1"/>
  <c r="H33" i="450"/>
  <c r="X33" i="450" s="1"/>
  <c r="G33" i="450"/>
  <c r="Z33" i="450" s="1"/>
  <c r="CY41" i="434"/>
  <c r="J41" i="434"/>
  <c r="I41" i="434" s="1"/>
  <c r="DP47" i="434" s="1"/>
  <c r="DO41" i="434"/>
  <c r="D61" i="449" a="1"/>
  <c r="D61" i="449" s="1"/>
  <c r="I13" i="453"/>
  <c r="AI23" i="453"/>
  <c r="I26" i="453"/>
  <c r="AI25" i="453"/>
  <c r="AD9" i="453"/>
  <c r="AI15" i="453"/>
  <c r="Z9" i="451"/>
  <c r="J9" i="451" s="1"/>
  <c r="Z10" i="451"/>
  <c r="J10" i="451" s="1"/>
  <c r="I19" i="453"/>
  <c r="G16" i="433"/>
  <c r="DA42" i="434"/>
  <c r="DB42" i="434"/>
  <c r="AW9" i="434" s="1"/>
  <c r="AD33" i="453"/>
  <c r="H36" i="450"/>
  <c r="X36" i="450" s="1"/>
  <c r="AA36" i="450"/>
  <c r="G36" i="450"/>
  <c r="Z36" i="450" s="1"/>
  <c r="H48" i="450"/>
  <c r="X48" i="450" s="1"/>
  <c r="G48" i="450"/>
  <c r="W48" i="450" s="1"/>
  <c r="G25" i="450"/>
  <c r="W25" i="450" s="1"/>
  <c r="H25" i="450"/>
  <c r="X25" i="450" s="1"/>
  <c r="Z25" i="450"/>
  <c r="AI32" i="453"/>
  <c r="I36" i="453"/>
  <c r="H21" i="450"/>
  <c r="X21" i="450" s="1"/>
  <c r="G21" i="450"/>
  <c r="W21" i="450" s="1"/>
  <c r="H35" i="450"/>
  <c r="X35" i="450" s="1"/>
  <c r="G35" i="450"/>
  <c r="W35" i="450" s="1"/>
  <c r="N8" i="455"/>
  <c r="AB14" i="454" s="1"/>
  <c r="AK8" i="455"/>
  <c r="N22" i="455"/>
  <c r="AD10" i="453"/>
  <c r="AD31" i="453"/>
  <c r="AD25" i="453"/>
  <c r="AI21" i="453"/>
  <c r="I38" i="453"/>
  <c r="I18" i="453"/>
  <c r="I27" i="453"/>
  <c r="AA41" i="450"/>
  <c r="H41" i="450"/>
  <c r="X41" i="450" s="1"/>
  <c r="G41" i="450"/>
  <c r="Z41" i="450" s="1"/>
  <c r="I28" i="453"/>
  <c r="R22" i="455"/>
  <c r="AO8" i="455"/>
  <c r="R8" i="455"/>
  <c r="AG14" i="454" s="1"/>
  <c r="Q8" i="455"/>
  <c r="AF14" i="454" s="1"/>
  <c r="AN8" i="455"/>
  <c r="Q22" i="455"/>
  <c r="M22" i="455"/>
  <c r="AJ8" i="455"/>
  <c r="M8" i="455"/>
  <c r="Z14" i="454" s="1"/>
  <c r="I10" i="453"/>
  <c r="W32" i="450"/>
  <c r="I30" i="453"/>
  <c r="G40" i="450"/>
  <c r="W40" i="450" s="1"/>
  <c r="H40" i="450"/>
  <c r="X40" i="450" s="1"/>
  <c r="H19" i="450"/>
  <c r="X19" i="450" s="1"/>
  <c r="G19" i="450"/>
  <c r="W19" i="450" s="1"/>
  <c r="AI33" i="453"/>
  <c r="I35" i="453"/>
  <c r="H39" i="450"/>
  <c r="X39" i="450" s="1"/>
  <c r="G39" i="450"/>
  <c r="W39" i="450" s="1"/>
  <c r="G31" i="450"/>
  <c r="W31" i="450" s="1"/>
  <c r="H31" i="450"/>
  <c r="X31" i="450" s="1"/>
  <c r="H22" i="455"/>
  <c r="AK22" i="437"/>
  <c r="AD16" i="435" s="1"/>
  <c r="H8" i="455"/>
  <c r="T14" i="454" s="1"/>
  <c r="AE8" i="455"/>
  <c r="AD34" i="453"/>
  <c r="DS42" i="434"/>
  <c r="DQ42" i="434"/>
  <c r="G24" i="450"/>
  <c r="W24" i="450" s="1"/>
  <c r="H24" i="450"/>
  <c r="X24" i="450" s="1"/>
  <c r="G42" i="450"/>
  <c r="W42" i="450" s="1"/>
  <c r="H42" i="450"/>
  <c r="X42" i="450" s="1"/>
  <c r="I9" i="453"/>
  <c r="AI11" i="453"/>
  <c r="AH8" i="455"/>
  <c r="K22" i="455"/>
  <c r="K8" i="455"/>
  <c r="X14" i="454" s="1"/>
  <c r="AD37" i="453"/>
  <c r="I29" i="453"/>
  <c r="S22" i="455"/>
  <c r="AP8" i="455"/>
  <c r="S8" i="455"/>
  <c r="AH14" i="454" s="1"/>
  <c r="I21" i="453"/>
  <c r="I31" i="453"/>
  <c r="AN15" i="454"/>
  <c r="AO15" i="454"/>
  <c r="I22" i="455"/>
  <c r="AF8" i="455"/>
  <c r="I8" i="455"/>
  <c r="V14" i="454" s="1"/>
  <c r="AD32" i="453"/>
  <c r="AI18" i="453"/>
  <c r="AE87" i="455" l="1"/>
  <c r="AI87" i="455"/>
  <c r="AM87" i="455"/>
  <c r="AQ87" i="455"/>
  <c r="AF87" i="455"/>
  <c r="AJ87" i="455"/>
  <c r="AN87" i="455"/>
  <c r="Z87" i="455"/>
  <c r="AB87" i="455" s="1"/>
  <c r="C93" i="454" s="1"/>
  <c r="AD87" i="455"/>
  <c r="AH87" i="455"/>
  <c r="AL87" i="455"/>
  <c r="AP87" i="455"/>
  <c r="AC87" i="455"/>
  <c r="AG87" i="455"/>
  <c r="AK87" i="455"/>
  <c r="AO87" i="455"/>
  <c r="Z48" i="455"/>
  <c r="AD48" i="455"/>
  <c r="R54" i="454" s="1"/>
  <c r="AH48" i="455"/>
  <c r="X54" i="454" s="1"/>
  <c r="AL48" i="455"/>
  <c r="AC54" i="454" s="1"/>
  <c r="AP48" i="455"/>
  <c r="AH54" i="454" s="1"/>
  <c r="AE48" i="455"/>
  <c r="T54" i="454" s="1"/>
  <c r="AI48" i="455"/>
  <c r="Y54" i="454" s="1"/>
  <c r="AM48" i="455"/>
  <c r="AD54" i="454" s="1"/>
  <c r="AQ48" i="455"/>
  <c r="AI54" i="454" s="1"/>
  <c r="AB48" i="455"/>
  <c r="C54" i="454" s="1"/>
  <c r="AF48" i="455"/>
  <c r="V54" i="454" s="1"/>
  <c r="AJ48" i="455"/>
  <c r="Z54" i="454" s="1"/>
  <c r="AN48" i="455"/>
  <c r="AF54" i="454" s="1"/>
  <c r="AO48" i="455"/>
  <c r="AG54" i="454" s="1"/>
  <c r="AC48" i="455"/>
  <c r="E54" i="454" s="1"/>
  <c r="AG48" i="455"/>
  <c r="W54" i="454" s="1"/>
  <c r="AK48" i="455"/>
  <c r="AB54" i="454" s="1"/>
  <c r="AF78" i="455"/>
  <c r="V84" i="454" s="1"/>
  <c r="AJ78" i="455"/>
  <c r="Z84" i="454" s="1"/>
  <c r="AN78" i="455"/>
  <c r="AF84" i="454" s="1"/>
  <c r="AG78" i="455"/>
  <c r="W84" i="454" s="1"/>
  <c r="AL78" i="455"/>
  <c r="AC84" i="454" s="1"/>
  <c r="AQ78" i="455"/>
  <c r="AI84" i="454" s="1"/>
  <c r="AC78" i="455"/>
  <c r="E84" i="454" s="1"/>
  <c r="AH78" i="455"/>
  <c r="X84" i="454" s="1"/>
  <c r="AM78" i="455"/>
  <c r="AD84" i="454" s="1"/>
  <c r="AD78" i="455"/>
  <c r="R84" i="454" s="1"/>
  <c r="AI78" i="455"/>
  <c r="Y84" i="454" s="1"/>
  <c r="AO78" i="455"/>
  <c r="AG84" i="454" s="1"/>
  <c r="AP78" i="455"/>
  <c r="AH84" i="454" s="1"/>
  <c r="Z78" i="455"/>
  <c r="AB78" i="455" s="1"/>
  <c r="C84" i="454" s="1"/>
  <c r="AE78" i="455"/>
  <c r="T84" i="454" s="1"/>
  <c r="AK78" i="455"/>
  <c r="AB84" i="454" s="1"/>
  <c r="AC62" i="455"/>
  <c r="E68" i="454" s="1"/>
  <c r="AG62" i="455"/>
  <c r="W68" i="454" s="1"/>
  <c r="AK62" i="455"/>
  <c r="AB68" i="454" s="1"/>
  <c r="AO62" i="455"/>
  <c r="AG68" i="454" s="1"/>
  <c r="Z62" i="455"/>
  <c r="AB62" i="455" s="1"/>
  <c r="C68" i="454" s="1"/>
  <c r="AE62" i="455"/>
  <c r="T68" i="454" s="1"/>
  <c r="AJ62" i="455"/>
  <c r="Z68" i="454" s="1"/>
  <c r="AP62" i="455"/>
  <c r="AH68" i="454" s="1"/>
  <c r="AD62" i="455"/>
  <c r="R68" i="454" s="1"/>
  <c r="AL62" i="455"/>
  <c r="AC68" i="454" s="1"/>
  <c r="AF62" i="455"/>
  <c r="V68" i="454" s="1"/>
  <c r="AM62" i="455"/>
  <c r="AD68" i="454" s="1"/>
  <c r="AN62" i="455"/>
  <c r="AF68" i="454" s="1"/>
  <c r="AQ62" i="455"/>
  <c r="AI68" i="454" s="1"/>
  <c r="AH62" i="455"/>
  <c r="X68" i="454" s="1"/>
  <c r="AI62" i="455"/>
  <c r="Y68" i="454" s="1"/>
  <c r="AF49" i="455"/>
  <c r="V55" i="454" s="1"/>
  <c r="AJ49" i="455"/>
  <c r="Z55" i="454" s="1"/>
  <c r="AN49" i="455"/>
  <c r="AF55" i="454" s="1"/>
  <c r="AC49" i="455"/>
  <c r="E55" i="454" s="1"/>
  <c r="AG49" i="455"/>
  <c r="W55" i="454" s="1"/>
  <c r="AK49" i="455"/>
  <c r="AB55" i="454" s="1"/>
  <c r="AO49" i="455"/>
  <c r="AG55" i="454" s="1"/>
  <c r="Z49" i="455"/>
  <c r="AB49" i="455" s="1"/>
  <c r="C55" i="454" s="1"/>
  <c r="AD49" i="455"/>
  <c r="R55" i="454" s="1"/>
  <c r="AH49" i="455"/>
  <c r="X55" i="454" s="1"/>
  <c r="AL49" i="455"/>
  <c r="AC55" i="454" s="1"/>
  <c r="AP49" i="455"/>
  <c r="AH55" i="454" s="1"/>
  <c r="AE49" i="455"/>
  <c r="T55" i="454" s="1"/>
  <c r="AI49" i="455"/>
  <c r="Y55" i="454" s="1"/>
  <c r="AM49" i="455"/>
  <c r="AD55" i="454" s="1"/>
  <c r="AQ49" i="455"/>
  <c r="AI55" i="454" s="1"/>
  <c r="AC67" i="455"/>
  <c r="E73" i="454" s="1"/>
  <c r="AG67" i="455"/>
  <c r="W73" i="454" s="1"/>
  <c r="AK67" i="455"/>
  <c r="AB73" i="454" s="1"/>
  <c r="AO67" i="455"/>
  <c r="AG73" i="454" s="1"/>
  <c r="Z67" i="455"/>
  <c r="AB67" i="455" s="1"/>
  <c r="C73" i="454" s="1"/>
  <c r="AD67" i="455"/>
  <c r="R73" i="454" s="1"/>
  <c r="AH67" i="455"/>
  <c r="X73" i="454" s="1"/>
  <c r="AL67" i="455"/>
  <c r="AC73" i="454" s="1"/>
  <c r="AP67" i="455"/>
  <c r="AH73" i="454" s="1"/>
  <c r="AJ67" i="455"/>
  <c r="Z73" i="454" s="1"/>
  <c r="AE67" i="455"/>
  <c r="T73" i="454" s="1"/>
  <c r="AM67" i="455"/>
  <c r="AD73" i="454" s="1"/>
  <c r="AF67" i="455"/>
  <c r="V73" i="454" s="1"/>
  <c r="AN67" i="455"/>
  <c r="AF73" i="454" s="1"/>
  <c r="AI67" i="455"/>
  <c r="Y73" i="454" s="1"/>
  <c r="AQ67" i="455"/>
  <c r="AI73" i="454" s="1"/>
  <c r="AC85" i="455"/>
  <c r="E91" i="454" s="1"/>
  <c r="AG85" i="455"/>
  <c r="W91" i="454" s="1"/>
  <c r="AK85" i="455"/>
  <c r="AB91" i="454" s="1"/>
  <c r="AO85" i="455"/>
  <c r="AG91" i="454" s="1"/>
  <c r="AD85" i="455"/>
  <c r="R91" i="454" s="1"/>
  <c r="AI85" i="455"/>
  <c r="Y91" i="454" s="1"/>
  <c r="AN85" i="455"/>
  <c r="AF91" i="454" s="1"/>
  <c r="Z85" i="455"/>
  <c r="AE85" i="455"/>
  <c r="T91" i="454" s="1"/>
  <c r="AJ85" i="455"/>
  <c r="Z91" i="454" s="1"/>
  <c r="AP85" i="455"/>
  <c r="AH91" i="454" s="1"/>
  <c r="AH85" i="455"/>
  <c r="X91" i="454" s="1"/>
  <c r="AF85" i="455"/>
  <c r="V91" i="454" s="1"/>
  <c r="AL85" i="455"/>
  <c r="AC91" i="454" s="1"/>
  <c r="AQ85" i="455"/>
  <c r="AI91" i="454" s="1"/>
  <c r="AB85" i="455"/>
  <c r="C91" i="454" s="1"/>
  <c r="AM85" i="455"/>
  <c r="AD91" i="454" s="1"/>
  <c r="AC69" i="455"/>
  <c r="E75" i="454" s="1"/>
  <c r="AG69" i="455"/>
  <c r="W75" i="454" s="1"/>
  <c r="AK69" i="455"/>
  <c r="AB75" i="454" s="1"/>
  <c r="AO69" i="455"/>
  <c r="AG75" i="454" s="1"/>
  <c r="Z69" i="455"/>
  <c r="AB69" i="455" s="1"/>
  <c r="C75" i="454" s="1"/>
  <c r="AD69" i="455"/>
  <c r="R75" i="454" s="1"/>
  <c r="AH69" i="455"/>
  <c r="X75" i="454" s="1"/>
  <c r="AL69" i="455"/>
  <c r="AC75" i="454" s="1"/>
  <c r="AP69" i="455"/>
  <c r="AH75" i="454" s="1"/>
  <c r="AI69" i="455"/>
  <c r="Y75" i="454" s="1"/>
  <c r="AQ69" i="455"/>
  <c r="AI75" i="454" s="1"/>
  <c r="AJ69" i="455"/>
  <c r="Z75" i="454" s="1"/>
  <c r="AE69" i="455"/>
  <c r="T75" i="454" s="1"/>
  <c r="AM69" i="455"/>
  <c r="AD75" i="454" s="1"/>
  <c r="AF69" i="455"/>
  <c r="V75" i="454" s="1"/>
  <c r="AN69" i="455"/>
  <c r="AF75" i="454" s="1"/>
  <c r="Z46" i="455"/>
  <c r="AD46" i="455"/>
  <c r="R52" i="454" s="1"/>
  <c r="AH46" i="455"/>
  <c r="X52" i="454" s="1"/>
  <c r="AL46" i="455"/>
  <c r="AC52" i="454" s="1"/>
  <c r="AP46" i="455"/>
  <c r="AH52" i="454" s="1"/>
  <c r="AE46" i="455"/>
  <c r="T52" i="454" s="1"/>
  <c r="AI46" i="455"/>
  <c r="Y52" i="454" s="1"/>
  <c r="AM46" i="455"/>
  <c r="AD52" i="454" s="1"/>
  <c r="AQ46" i="455"/>
  <c r="AI52" i="454" s="1"/>
  <c r="AB46" i="455"/>
  <c r="C52" i="454" s="1"/>
  <c r="AF46" i="455"/>
  <c r="V52" i="454" s="1"/>
  <c r="AJ46" i="455"/>
  <c r="Z52" i="454" s="1"/>
  <c r="AN46" i="455"/>
  <c r="AF52" i="454" s="1"/>
  <c r="AC46" i="455"/>
  <c r="E52" i="454" s="1"/>
  <c r="AG46" i="455"/>
  <c r="W52" i="454" s="1"/>
  <c r="AK46" i="455"/>
  <c r="AB52" i="454" s="1"/>
  <c r="AO46" i="455"/>
  <c r="AG52" i="454" s="1"/>
  <c r="AC88" i="455"/>
  <c r="AG88" i="455"/>
  <c r="AK88" i="455"/>
  <c r="AO88" i="455"/>
  <c r="Z88" i="455"/>
  <c r="AB88" i="455" s="1"/>
  <c r="C94" i="454" s="1"/>
  <c r="AD88" i="455"/>
  <c r="AH88" i="455"/>
  <c r="AL88" i="455"/>
  <c r="AP88" i="455"/>
  <c r="AF88" i="455"/>
  <c r="AJ88" i="455"/>
  <c r="AN88" i="455"/>
  <c r="AE88" i="455"/>
  <c r="AI88" i="455"/>
  <c r="AM88" i="455"/>
  <c r="AQ88" i="455"/>
  <c r="AE72" i="455"/>
  <c r="T78" i="454" s="1"/>
  <c r="AI72" i="455"/>
  <c r="Y78" i="454" s="1"/>
  <c r="AM72" i="455"/>
  <c r="AD78" i="454" s="1"/>
  <c r="AQ72" i="455"/>
  <c r="AI78" i="454" s="1"/>
  <c r="AF72" i="455"/>
  <c r="V78" i="454" s="1"/>
  <c r="AJ72" i="455"/>
  <c r="Z78" i="454" s="1"/>
  <c r="AN72" i="455"/>
  <c r="AF78" i="454" s="1"/>
  <c r="Z72" i="455"/>
  <c r="AB72" i="455" s="1"/>
  <c r="C78" i="454" s="1"/>
  <c r="AH72" i="455"/>
  <c r="X78" i="454" s="1"/>
  <c r="AP72" i="455"/>
  <c r="AH78" i="454" s="1"/>
  <c r="AC72" i="455"/>
  <c r="E78" i="454" s="1"/>
  <c r="AK72" i="455"/>
  <c r="AB78" i="454" s="1"/>
  <c r="AD72" i="455"/>
  <c r="R78" i="454" s="1"/>
  <c r="AL72" i="455"/>
  <c r="AC78" i="454" s="1"/>
  <c r="AO72" i="455"/>
  <c r="AG78" i="454" s="1"/>
  <c r="AG72" i="455"/>
  <c r="W78" i="454" s="1"/>
  <c r="AC56" i="455"/>
  <c r="E62" i="454" s="1"/>
  <c r="AG56" i="455"/>
  <c r="W62" i="454" s="1"/>
  <c r="AK56" i="455"/>
  <c r="AB62" i="454" s="1"/>
  <c r="AO56" i="455"/>
  <c r="AG62" i="454" s="1"/>
  <c r="Z56" i="455"/>
  <c r="AD56" i="455"/>
  <c r="R62" i="454" s="1"/>
  <c r="AH56" i="455"/>
  <c r="X62" i="454" s="1"/>
  <c r="AL56" i="455"/>
  <c r="AC62" i="454" s="1"/>
  <c r="AP56" i="455"/>
  <c r="AH62" i="454" s="1"/>
  <c r="AE56" i="455"/>
  <c r="T62" i="454" s="1"/>
  <c r="AI56" i="455"/>
  <c r="Y62" i="454" s="1"/>
  <c r="AM56" i="455"/>
  <c r="AD62" i="454" s="1"/>
  <c r="AQ56" i="455"/>
  <c r="AI62" i="454" s="1"/>
  <c r="AN56" i="455"/>
  <c r="AF62" i="454" s="1"/>
  <c r="AF56" i="455"/>
  <c r="V62" i="454" s="1"/>
  <c r="AJ56" i="455"/>
  <c r="Z62" i="454" s="1"/>
  <c r="AB56" i="455"/>
  <c r="C62" i="454" s="1"/>
  <c r="AC79" i="455"/>
  <c r="E85" i="454" s="1"/>
  <c r="AG79" i="455"/>
  <c r="W85" i="454" s="1"/>
  <c r="AK79" i="455"/>
  <c r="AB85" i="454" s="1"/>
  <c r="AO79" i="455"/>
  <c r="AG85" i="454" s="1"/>
  <c r="Z79" i="455"/>
  <c r="AD79" i="455"/>
  <c r="R85" i="454" s="1"/>
  <c r="AH79" i="455"/>
  <c r="X85" i="454" s="1"/>
  <c r="AL79" i="455"/>
  <c r="AC85" i="454" s="1"/>
  <c r="AP79" i="455"/>
  <c r="AH85" i="454" s="1"/>
  <c r="AI79" i="455"/>
  <c r="Y85" i="454" s="1"/>
  <c r="AQ79" i="455"/>
  <c r="AI85" i="454" s="1"/>
  <c r="AB79" i="455"/>
  <c r="C85" i="454" s="1"/>
  <c r="AJ79" i="455"/>
  <c r="Z85" i="454" s="1"/>
  <c r="AF79" i="455"/>
  <c r="V85" i="454" s="1"/>
  <c r="AN79" i="455"/>
  <c r="AF85" i="454" s="1"/>
  <c r="AE79" i="455"/>
  <c r="T85" i="454" s="1"/>
  <c r="AM79" i="455"/>
  <c r="AD85" i="454" s="1"/>
  <c r="AC90" i="455"/>
  <c r="AG90" i="455"/>
  <c r="AK90" i="455"/>
  <c r="AO90" i="455"/>
  <c r="Z90" i="455"/>
  <c r="AD90" i="455"/>
  <c r="AH90" i="455"/>
  <c r="AL90" i="455"/>
  <c r="AP90" i="455"/>
  <c r="AE90" i="455"/>
  <c r="AI90" i="455"/>
  <c r="AM90" i="455"/>
  <c r="AQ90" i="455"/>
  <c r="AJ90" i="455"/>
  <c r="AF90" i="455"/>
  <c r="AN90" i="455"/>
  <c r="AB90" i="455"/>
  <c r="AF74" i="455"/>
  <c r="V80" i="454" s="1"/>
  <c r="AJ74" i="455"/>
  <c r="Z80" i="454" s="1"/>
  <c r="AN74" i="455"/>
  <c r="AF80" i="454" s="1"/>
  <c r="Z74" i="455"/>
  <c r="AB74" i="455" s="1"/>
  <c r="C80" i="454" s="1"/>
  <c r="AE74" i="455"/>
  <c r="T80" i="454" s="1"/>
  <c r="AK74" i="455"/>
  <c r="AB80" i="454" s="1"/>
  <c r="AP74" i="455"/>
  <c r="AH80" i="454" s="1"/>
  <c r="AG74" i="455"/>
  <c r="W80" i="454" s="1"/>
  <c r="AL74" i="455"/>
  <c r="AC80" i="454" s="1"/>
  <c r="AQ74" i="455"/>
  <c r="AI80" i="454" s="1"/>
  <c r="AC74" i="455"/>
  <c r="E80" i="454" s="1"/>
  <c r="AH74" i="455"/>
  <c r="X80" i="454" s="1"/>
  <c r="AM74" i="455"/>
  <c r="AD80" i="454" s="1"/>
  <c r="AD74" i="455"/>
  <c r="R80" i="454" s="1"/>
  <c r="AI74" i="455"/>
  <c r="Y80" i="454" s="1"/>
  <c r="AO74" i="455"/>
  <c r="AG80" i="454" s="1"/>
  <c r="AC58" i="455"/>
  <c r="E64" i="454" s="1"/>
  <c r="AG58" i="455"/>
  <c r="W64" i="454" s="1"/>
  <c r="AK58" i="455"/>
  <c r="AB64" i="454" s="1"/>
  <c r="AO58" i="455"/>
  <c r="AG64" i="454" s="1"/>
  <c r="Z58" i="455"/>
  <c r="AD58" i="455"/>
  <c r="R64" i="454" s="1"/>
  <c r="AH58" i="455"/>
  <c r="X64" i="454" s="1"/>
  <c r="AL58" i="455"/>
  <c r="AC64" i="454" s="1"/>
  <c r="AP58" i="455"/>
  <c r="AH64" i="454" s="1"/>
  <c r="AI58" i="455"/>
  <c r="Y64" i="454" s="1"/>
  <c r="AQ58" i="455"/>
  <c r="AI64" i="454" s="1"/>
  <c r="AE58" i="455"/>
  <c r="T64" i="454" s="1"/>
  <c r="AM58" i="455"/>
  <c r="AD64" i="454" s="1"/>
  <c r="AF58" i="455"/>
  <c r="V64" i="454" s="1"/>
  <c r="AJ58" i="455"/>
  <c r="Z64" i="454" s="1"/>
  <c r="AN58" i="455"/>
  <c r="AF64" i="454" s="1"/>
  <c r="AB58" i="455"/>
  <c r="C64" i="454" s="1"/>
  <c r="AE91" i="455"/>
  <c r="AI91" i="455"/>
  <c r="AM91" i="455"/>
  <c r="AQ91" i="455"/>
  <c r="AF91" i="455"/>
  <c r="AJ91" i="455"/>
  <c r="AN91" i="455"/>
  <c r="AC91" i="455"/>
  <c r="AG91" i="455"/>
  <c r="AK91" i="455"/>
  <c r="AO91" i="455"/>
  <c r="AH91" i="455"/>
  <c r="AL91" i="455"/>
  <c r="Z91" i="455"/>
  <c r="AB91" i="455" s="1"/>
  <c r="C97" i="454" s="1"/>
  <c r="AP91" i="455"/>
  <c r="AD91" i="455"/>
  <c r="AE59" i="455"/>
  <c r="T65" i="454" s="1"/>
  <c r="AI59" i="455"/>
  <c r="Y65" i="454" s="1"/>
  <c r="AM59" i="455"/>
  <c r="AD65" i="454" s="1"/>
  <c r="AQ59" i="455"/>
  <c r="AI65" i="454" s="1"/>
  <c r="AG59" i="455"/>
  <c r="W65" i="454" s="1"/>
  <c r="AL59" i="455"/>
  <c r="AC65" i="454" s="1"/>
  <c r="AD59" i="455"/>
  <c r="R65" i="454" s="1"/>
  <c r="AJ59" i="455"/>
  <c r="Z65" i="454" s="1"/>
  <c r="AO59" i="455"/>
  <c r="AG65" i="454" s="1"/>
  <c r="AF59" i="455"/>
  <c r="V65" i="454" s="1"/>
  <c r="AP59" i="455"/>
  <c r="AH65" i="454" s="1"/>
  <c r="AH59" i="455"/>
  <c r="X65" i="454" s="1"/>
  <c r="Z59" i="455"/>
  <c r="AB59" i="455" s="1"/>
  <c r="C65" i="454" s="1"/>
  <c r="AC59" i="455"/>
  <c r="E65" i="454" s="1"/>
  <c r="AK59" i="455"/>
  <c r="AB65" i="454" s="1"/>
  <c r="AN59" i="455"/>
  <c r="AF65" i="454" s="1"/>
  <c r="AC81" i="455"/>
  <c r="E87" i="454" s="1"/>
  <c r="AG81" i="455"/>
  <c r="W87" i="454" s="1"/>
  <c r="AK81" i="455"/>
  <c r="AB87" i="454" s="1"/>
  <c r="AO81" i="455"/>
  <c r="AG87" i="454" s="1"/>
  <c r="Z81" i="455"/>
  <c r="AB81" i="455" s="1"/>
  <c r="C87" i="454" s="1"/>
  <c r="AD81" i="455"/>
  <c r="R87" i="454" s="1"/>
  <c r="AH81" i="455"/>
  <c r="X87" i="454" s="1"/>
  <c r="AL81" i="455"/>
  <c r="AC87" i="454" s="1"/>
  <c r="AP81" i="455"/>
  <c r="AH87" i="454" s="1"/>
  <c r="AF81" i="455"/>
  <c r="V87" i="454" s="1"/>
  <c r="AN81" i="455"/>
  <c r="AF87" i="454" s="1"/>
  <c r="AI81" i="455"/>
  <c r="Y87" i="454" s="1"/>
  <c r="AQ81" i="455"/>
  <c r="AI87" i="454" s="1"/>
  <c r="AE81" i="455"/>
  <c r="T87" i="454" s="1"/>
  <c r="AM81" i="455"/>
  <c r="AD87" i="454" s="1"/>
  <c r="AJ81" i="455"/>
  <c r="Z87" i="454" s="1"/>
  <c r="Z65" i="455"/>
  <c r="AD65" i="455"/>
  <c r="R71" i="454" s="1"/>
  <c r="AH65" i="455"/>
  <c r="X71" i="454" s="1"/>
  <c r="AL65" i="455"/>
  <c r="AC71" i="454" s="1"/>
  <c r="AP65" i="455"/>
  <c r="AH71" i="454" s="1"/>
  <c r="AF65" i="455"/>
  <c r="V71" i="454" s="1"/>
  <c r="AK65" i="455"/>
  <c r="AB71" i="454" s="1"/>
  <c r="AQ65" i="455"/>
  <c r="AI71" i="454" s="1"/>
  <c r="AB65" i="455"/>
  <c r="C71" i="454" s="1"/>
  <c r="AG65" i="455"/>
  <c r="W71" i="454" s="1"/>
  <c r="AM65" i="455"/>
  <c r="AD71" i="454" s="1"/>
  <c r="AI65" i="455"/>
  <c r="Y71" i="454" s="1"/>
  <c r="AJ65" i="455"/>
  <c r="Z71" i="454" s="1"/>
  <c r="AC65" i="455"/>
  <c r="E71" i="454" s="1"/>
  <c r="AN65" i="455"/>
  <c r="AF71" i="454" s="1"/>
  <c r="AE65" i="455"/>
  <c r="T71" i="454" s="1"/>
  <c r="AO65" i="455"/>
  <c r="AG71" i="454" s="1"/>
  <c r="AF51" i="455"/>
  <c r="V57" i="454" s="1"/>
  <c r="AJ51" i="455"/>
  <c r="Z57" i="454" s="1"/>
  <c r="AN51" i="455"/>
  <c r="AF57" i="454" s="1"/>
  <c r="Z51" i="455"/>
  <c r="AB51" i="455" s="1"/>
  <c r="C57" i="454" s="1"/>
  <c r="AD51" i="455"/>
  <c r="R57" i="454" s="1"/>
  <c r="AH51" i="455"/>
  <c r="X57" i="454" s="1"/>
  <c r="AL51" i="455"/>
  <c r="AC57" i="454" s="1"/>
  <c r="AP51" i="455"/>
  <c r="AH57" i="454" s="1"/>
  <c r="AC51" i="455"/>
  <c r="E57" i="454" s="1"/>
  <c r="AK51" i="455"/>
  <c r="AB57" i="454" s="1"/>
  <c r="AE51" i="455"/>
  <c r="T57" i="454" s="1"/>
  <c r="AM51" i="455"/>
  <c r="AD57" i="454" s="1"/>
  <c r="AG51" i="455"/>
  <c r="W57" i="454" s="1"/>
  <c r="AO51" i="455"/>
  <c r="AG57" i="454" s="1"/>
  <c r="AI51" i="455"/>
  <c r="Y57" i="454" s="1"/>
  <c r="AQ51" i="455"/>
  <c r="AI57" i="454" s="1"/>
  <c r="AE84" i="455"/>
  <c r="T90" i="454" s="1"/>
  <c r="AI84" i="455"/>
  <c r="Y90" i="454" s="1"/>
  <c r="AM84" i="455"/>
  <c r="AD90" i="454" s="1"/>
  <c r="AQ84" i="455"/>
  <c r="AI90" i="454" s="1"/>
  <c r="AC84" i="455"/>
  <c r="E90" i="454" s="1"/>
  <c r="AH84" i="455"/>
  <c r="X90" i="454" s="1"/>
  <c r="AN84" i="455"/>
  <c r="AF90" i="454" s="1"/>
  <c r="AD84" i="455"/>
  <c r="R90" i="454" s="1"/>
  <c r="AJ84" i="455"/>
  <c r="Z90" i="454" s="1"/>
  <c r="AO84" i="455"/>
  <c r="AG90" i="454" s="1"/>
  <c r="AG84" i="455"/>
  <c r="W90" i="454" s="1"/>
  <c r="AL84" i="455"/>
  <c r="AC90" i="454" s="1"/>
  <c r="Z84" i="455"/>
  <c r="AB84" i="455" s="1"/>
  <c r="C90" i="454" s="1"/>
  <c r="AF84" i="455"/>
  <c r="V90" i="454" s="1"/>
  <c r="AK84" i="455"/>
  <c r="AB90" i="454" s="1"/>
  <c r="AP84" i="455"/>
  <c r="AH90" i="454" s="1"/>
  <c r="AE68" i="455"/>
  <c r="T74" i="454" s="1"/>
  <c r="AI68" i="455"/>
  <c r="Y74" i="454" s="1"/>
  <c r="AM68" i="455"/>
  <c r="AD74" i="454" s="1"/>
  <c r="AQ68" i="455"/>
  <c r="AI74" i="454" s="1"/>
  <c r="AF68" i="455"/>
  <c r="V74" i="454" s="1"/>
  <c r="AJ68" i="455"/>
  <c r="Z74" i="454" s="1"/>
  <c r="AN68" i="455"/>
  <c r="AF74" i="454" s="1"/>
  <c r="AD68" i="455"/>
  <c r="R74" i="454" s="1"/>
  <c r="AL68" i="455"/>
  <c r="AC74" i="454" s="1"/>
  <c r="AG68" i="455"/>
  <c r="W74" i="454" s="1"/>
  <c r="AO68" i="455"/>
  <c r="AG74" i="454" s="1"/>
  <c r="Z68" i="455"/>
  <c r="AB68" i="455" s="1"/>
  <c r="C74" i="454" s="1"/>
  <c r="AH68" i="455"/>
  <c r="X74" i="454" s="1"/>
  <c r="AP68" i="455"/>
  <c r="AH74" i="454" s="1"/>
  <c r="AC68" i="455"/>
  <c r="E74" i="454" s="1"/>
  <c r="AK68" i="455"/>
  <c r="AB74" i="454" s="1"/>
  <c r="Z44" i="455"/>
  <c r="AB44" i="455" s="1"/>
  <c r="C50" i="454" s="1"/>
  <c r="AD44" i="455"/>
  <c r="R50" i="454" s="1"/>
  <c r="AH44" i="455"/>
  <c r="X50" i="454" s="1"/>
  <c r="AL44" i="455"/>
  <c r="AC50" i="454" s="1"/>
  <c r="AP44" i="455"/>
  <c r="AH50" i="454" s="1"/>
  <c r="AE44" i="455"/>
  <c r="T50" i="454" s="1"/>
  <c r="AI44" i="455"/>
  <c r="Y50" i="454" s="1"/>
  <c r="AM44" i="455"/>
  <c r="AD50" i="454" s="1"/>
  <c r="AQ44" i="455"/>
  <c r="AI50" i="454" s="1"/>
  <c r="AF44" i="455"/>
  <c r="V50" i="454" s="1"/>
  <c r="AJ44" i="455"/>
  <c r="Z50" i="454" s="1"/>
  <c r="AN44" i="455"/>
  <c r="AF50" i="454" s="1"/>
  <c r="AC44" i="455"/>
  <c r="E50" i="454" s="1"/>
  <c r="AG44" i="455"/>
  <c r="W50" i="454" s="1"/>
  <c r="AK44" i="455"/>
  <c r="AB50" i="454" s="1"/>
  <c r="AO44" i="455"/>
  <c r="AG50" i="454" s="1"/>
  <c r="AC71" i="455"/>
  <c r="E77" i="454" s="1"/>
  <c r="AG71" i="455"/>
  <c r="W77" i="454" s="1"/>
  <c r="AK71" i="455"/>
  <c r="AB77" i="454" s="1"/>
  <c r="AO71" i="455"/>
  <c r="AG77" i="454" s="1"/>
  <c r="Z71" i="455"/>
  <c r="AB71" i="455" s="1"/>
  <c r="C77" i="454" s="1"/>
  <c r="AD71" i="455"/>
  <c r="R77" i="454" s="1"/>
  <c r="AH71" i="455"/>
  <c r="X77" i="454" s="1"/>
  <c r="AL71" i="455"/>
  <c r="AC77" i="454" s="1"/>
  <c r="AP71" i="455"/>
  <c r="AH77" i="454" s="1"/>
  <c r="AF71" i="455"/>
  <c r="V77" i="454" s="1"/>
  <c r="AN71" i="455"/>
  <c r="AF77" i="454" s="1"/>
  <c r="AI71" i="455"/>
  <c r="Y77" i="454" s="1"/>
  <c r="AQ71" i="455"/>
  <c r="AI77" i="454" s="1"/>
  <c r="AJ71" i="455"/>
  <c r="Z77" i="454" s="1"/>
  <c r="AE71" i="455"/>
  <c r="T77" i="454" s="1"/>
  <c r="AM71" i="455"/>
  <c r="AD77" i="454" s="1"/>
  <c r="AC86" i="455"/>
  <c r="E92" i="454" s="1"/>
  <c r="AG86" i="455"/>
  <c r="W92" i="454" s="1"/>
  <c r="AK86" i="455"/>
  <c r="AB92" i="454" s="1"/>
  <c r="AO86" i="455"/>
  <c r="AG92" i="454" s="1"/>
  <c r="Z86" i="455"/>
  <c r="AD86" i="455"/>
  <c r="R92" i="454" s="1"/>
  <c r="AH86" i="455"/>
  <c r="X92" i="454" s="1"/>
  <c r="AL86" i="455"/>
  <c r="AC92" i="454" s="1"/>
  <c r="AP86" i="455"/>
  <c r="AH92" i="454" s="1"/>
  <c r="AB86" i="455"/>
  <c r="C92" i="454" s="1"/>
  <c r="AF86" i="455"/>
  <c r="V92" i="454" s="1"/>
  <c r="AJ86" i="455"/>
  <c r="Z92" i="454" s="1"/>
  <c r="AE86" i="455"/>
  <c r="T92" i="454" s="1"/>
  <c r="AI86" i="455"/>
  <c r="Y92" i="454" s="1"/>
  <c r="AM86" i="455"/>
  <c r="AD92" i="454" s="1"/>
  <c r="AQ86" i="455"/>
  <c r="AI92" i="454" s="1"/>
  <c r="AN86" i="455"/>
  <c r="AF92" i="454" s="1"/>
  <c r="AE70" i="455"/>
  <c r="T76" i="454" s="1"/>
  <c r="AI70" i="455"/>
  <c r="Y76" i="454" s="1"/>
  <c r="AM70" i="455"/>
  <c r="AD76" i="454" s="1"/>
  <c r="AQ70" i="455"/>
  <c r="AI76" i="454" s="1"/>
  <c r="AF70" i="455"/>
  <c r="V76" i="454" s="1"/>
  <c r="AJ70" i="455"/>
  <c r="Z76" i="454" s="1"/>
  <c r="AN70" i="455"/>
  <c r="AF76" i="454" s="1"/>
  <c r="AC70" i="455"/>
  <c r="E76" i="454" s="1"/>
  <c r="AK70" i="455"/>
  <c r="AB76" i="454" s="1"/>
  <c r="AD70" i="455"/>
  <c r="R76" i="454" s="1"/>
  <c r="AL70" i="455"/>
  <c r="AC76" i="454" s="1"/>
  <c r="AG70" i="455"/>
  <c r="W76" i="454" s="1"/>
  <c r="AO70" i="455"/>
  <c r="AG76" i="454" s="1"/>
  <c r="Z70" i="455"/>
  <c r="AB70" i="455" s="1"/>
  <c r="C76" i="454" s="1"/>
  <c r="AP70" i="455"/>
  <c r="AH76" i="454" s="1"/>
  <c r="AH70" i="455"/>
  <c r="X76" i="454" s="1"/>
  <c r="AE55" i="455"/>
  <c r="T61" i="454" s="1"/>
  <c r="AI55" i="455"/>
  <c r="Y61" i="454" s="1"/>
  <c r="AM55" i="455"/>
  <c r="AD61" i="454" s="1"/>
  <c r="AQ55" i="455"/>
  <c r="AI61" i="454" s="1"/>
  <c r="AF55" i="455"/>
  <c r="V61" i="454" s="1"/>
  <c r="AJ55" i="455"/>
  <c r="Z61" i="454" s="1"/>
  <c r="AN55" i="455"/>
  <c r="AF61" i="454" s="1"/>
  <c r="AC55" i="455"/>
  <c r="E61" i="454" s="1"/>
  <c r="AG55" i="455"/>
  <c r="W61" i="454" s="1"/>
  <c r="AK55" i="455"/>
  <c r="AB61" i="454" s="1"/>
  <c r="AO55" i="455"/>
  <c r="AG61" i="454" s="1"/>
  <c r="Z55" i="455"/>
  <c r="AB55" i="455" s="1"/>
  <c r="C61" i="454" s="1"/>
  <c r="AP55" i="455"/>
  <c r="AH61" i="454" s="1"/>
  <c r="AH55" i="455"/>
  <c r="X61" i="454" s="1"/>
  <c r="AL55" i="455"/>
  <c r="AC61" i="454" s="1"/>
  <c r="AD55" i="455"/>
  <c r="R61" i="454" s="1"/>
  <c r="AC83" i="455"/>
  <c r="E89" i="454" s="1"/>
  <c r="AG83" i="455"/>
  <c r="W89" i="454" s="1"/>
  <c r="AK83" i="455"/>
  <c r="AB89" i="454" s="1"/>
  <c r="AO83" i="455"/>
  <c r="AG89" i="454" s="1"/>
  <c r="Z83" i="455"/>
  <c r="AB83" i="455" s="1"/>
  <c r="C89" i="454" s="1"/>
  <c r="AD83" i="455"/>
  <c r="R89" i="454" s="1"/>
  <c r="AH83" i="455"/>
  <c r="X89" i="454" s="1"/>
  <c r="AL83" i="455"/>
  <c r="AC89" i="454" s="1"/>
  <c r="AP83" i="455"/>
  <c r="AH89" i="454" s="1"/>
  <c r="AE83" i="455"/>
  <c r="T89" i="454" s="1"/>
  <c r="AM83" i="455"/>
  <c r="AD89" i="454" s="1"/>
  <c r="AF83" i="455"/>
  <c r="V89" i="454" s="1"/>
  <c r="AN83" i="455"/>
  <c r="AF89" i="454" s="1"/>
  <c r="AI83" i="455"/>
  <c r="Y89" i="454" s="1"/>
  <c r="AQ83" i="455"/>
  <c r="AI89" i="454" s="1"/>
  <c r="AJ83" i="455"/>
  <c r="Z89" i="454" s="1"/>
  <c r="AE53" i="455"/>
  <c r="T59" i="454" s="1"/>
  <c r="AI53" i="455"/>
  <c r="Y59" i="454" s="1"/>
  <c r="AM53" i="455"/>
  <c r="AD59" i="454" s="1"/>
  <c r="AQ53" i="455"/>
  <c r="AI59" i="454" s="1"/>
  <c r="AF53" i="455"/>
  <c r="V59" i="454" s="1"/>
  <c r="AJ53" i="455"/>
  <c r="Z59" i="454" s="1"/>
  <c r="AN53" i="455"/>
  <c r="AF59" i="454" s="1"/>
  <c r="AC53" i="455"/>
  <c r="E59" i="454" s="1"/>
  <c r="AG53" i="455"/>
  <c r="W59" i="454" s="1"/>
  <c r="AK53" i="455"/>
  <c r="AB59" i="454" s="1"/>
  <c r="AO53" i="455"/>
  <c r="AG59" i="454" s="1"/>
  <c r="AL53" i="455"/>
  <c r="AC59" i="454" s="1"/>
  <c r="AD53" i="455"/>
  <c r="R59" i="454" s="1"/>
  <c r="Z53" i="455"/>
  <c r="AB53" i="455" s="1"/>
  <c r="C59" i="454" s="1"/>
  <c r="AH53" i="455"/>
  <c r="X59" i="454" s="1"/>
  <c r="AP53" i="455"/>
  <c r="AH59" i="454" s="1"/>
  <c r="Z77" i="455"/>
  <c r="AB77" i="455" s="1"/>
  <c r="C83" i="454" s="1"/>
  <c r="AD77" i="455"/>
  <c r="R83" i="454" s="1"/>
  <c r="AH77" i="455"/>
  <c r="X83" i="454" s="1"/>
  <c r="AL77" i="455"/>
  <c r="AC83" i="454" s="1"/>
  <c r="AP77" i="455"/>
  <c r="AH83" i="454" s="1"/>
  <c r="AC77" i="455"/>
  <c r="E83" i="454" s="1"/>
  <c r="AI77" i="455"/>
  <c r="Y83" i="454" s="1"/>
  <c r="AN77" i="455"/>
  <c r="AF83" i="454" s="1"/>
  <c r="AE77" i="455"/>
  <c r="T83" i="454" s="1"/>
  <c r="AJ77" i="455"/>
  <c r="Z83" i="454" s="1"/>
  <c r="AO77" i="455"/>
  <c r="AG83" i="454" s="1"/>
  <c r="AF77" i="455"/>
  <c r="V83" i="454" s="1"/>
  <c r="AK77" i="455"/>
  <c r="AB83" i="454" s="1"/>
  <c r="AQ77" i="455"/>
  <c r="AI83" i="454" s="1"/>
  <c r="AM77" i="455"/>
  <c r="AD83" i="454" s="1"/>
  <c r="AG77" i="455"/>
  <c r="W83" i="454" s="1"/>
  <c r="AE61" i="455"/>
  <c r="T67" i="454" s="1"/>
  <c r="AI61" i="455"/>
  <c r="Y67" i="454" s="1"/>
  <c r="AM61" i="455"/>
  <c r="AD67" i="454" s="1"/>
  <c r="AQ61" i="455"/>
  <c r="AI67" i="454" s="1"/>
  <c r="AD61" i="455"/>
  <c r="R67" i="454" s="1"/>
  <c r="AJ61" i="455"/>
  <c r="Z67" i="454" s="1"/>
  <c r="AO61" i="455"/>
  <c r="AG67" i="454" s="1"/>
  <c r="AF61" i="455"/>
  <c r="V67" i="454" s="1"/>
  <c r="AL61" i="455"/>
  <c r="AC67" i="454" s="1"/>
  <c r="Z61" i="455"/>
  <c r="AG61" i="455"/>
  <c r="W67" i="454" s="1"/>
  <c r="AN61" i="455"/>
  <c r="AF67" i="454" s="1"/>
  <c r="AK61" i="455"/>
  <c r="AB67" i="454" s="1"/>
  <c r="AB61" i="455"/>
  <c r="C67" i="454" s="1"/>
  <c r="AP61" i="455"/>
  <c r="AH67" i="454" s="1"/>
  <c r="AC61" i="455"/>
  <c r="E67" i="454" s="1"/>
  <c r="AH61" i="455"/>
  <c r="X67" i="454" s="1"/>
  <c r="AF47" i="455"/>
  <c r="V53" i="454" s="1"/>
  <c r="AJ47" i="455"/>
  <c r="Z53" i="454" s="1"/>
  <c r="AN47" i="455"/>
  <c r="AF53" i="454" s="1"/>
  <c r="AC47" i="455"/>
  <c r="E53" i="454" s="1"/>
  <c r="AG47" i="455"/>
  <c r="W53" i="454" s="1"/>
  <c r="AK47" i="455"/>
  <c r="AB53" i="454" s="1"/>
  <c r="AO47" i="455"/>
  <c r="AG53" i="454" s="1"/>
  <c r="Z47" i="455"/>
  <c r="AB47" i="455" s="1"/>
  <c r="C53" i="454" s="1"/>
  <c r="AD47" i="455"/>
  <c r="R53" i="454" s="1"/>
  <c r="AH47" i="455"/>
  <c r="X53" i="454" s="1"/>
  <c r="AL47" i="455"/>
  <c r="AC53" i="454" s="1"/>
  <c r="AP47" i="455"/>
  <c r="AH53" i="454" s="1"/>
  <c r="AI47" i="455"/>
  <c r="Y53" i="454" s="1"/>
  <c r="AM47" i="455"/>
  <c r="AD53" i="454" s="1"/>
  <c r="AQ47" i="455"/>
  <c r="AI53" i="454" s="1"/>
  <c r="AE47" i="455"/>
  <c r="T53" i="454" s="1"/>
  <c r="AE80" i="455"/>
  <c r="T86" i="454" s="1"/>
  <c r="AI80" i="455"/>
  <c r="Y86" i="454" s="1"/>
  <c r="AM80" i="455"/>
  <c r="AD86" i="454" s="1"/>
  <c r="AQ80" i="455"/>
  <c r="AI86" i="454" s="1"/>
  <c r="AF80" i="455"/>
  <c r="V86" i="454" s="1"/>
  <c r="AJ80" i="455"/>
  <c r="Z86" i="454" s="1"/>
  <c r="AN80" i="455"/>
  <c r="AF86" i="454" s="1"/>
  <c r="AC80" i="455"/>
  <c r="E86" i="454" s="1"/>
  <c r="AK80" i="455"/>
  <c r="AB86" i="454" s="1"/>
  <c r="AD80" i="455"/>
  <c r="R86" i="454" s="1"/>
  <c r="AL80" i="455"/>
  <c r="AC86" i="454" s="1"/>
  <c r="Z80" i="455"/>
  <c r="AB80" i="455" s="1"/>
  <c r="C86" i="454" s="1"/>
  <c r="AH80" i="455"/>
  <c r="X86" i="454" s="1"/>
  <c r="AG80" i="455"/>
  <c r="W86" i="454" s="1"/>
  <c r="AO80" i="455"/>
  <c r="AG86" i="454" s="1"/>
  <c r="AP80" i="455"/>
  <c r="AH86" i="454" s="1"/>
  <c r="AC64" i="455"/>
  <c r="E70" i="454" s="1"/>
  <c r="AG64" i="455"/>
  <c r="W70" i="454" s="1"/>
  <c r="AK64" i="455"/>
  <c r="AB70" i="454" s="1"/>
  <c r="AO64" i="455"/>
  <c r="AG70" i="454" s="1"/>
  <c r="Z64" i="455"/>
  <c r="AB64" i="455" s="1"/>
  <c r="C70" i="454" s="1"/>
  <c r="AE64" i="455"/>
  <c r="T70" i="454" s="1"/>
  <c r="AJ64" i="455"/>
  <c r="Z70" i="454" s="1"/>
  <c r="AP64" i="455"/>
  <c r="AH70" i="454" s="1"/>
  <c r="AH64" i="455"/>
  <c r="X70" i="454" s="1"/>
  <c r="AN64" i="455"/>
  <c r="AF70" i="454" s="1"/>
  <c r="AI64" i="455"/>
  <c r="Y70" i="454" s="1"/>
  <c r="AQ64" i="455"/>
  <c r="AI70" i="454" s="1"/>
  <c r="AM64" i="455"/>
  <c r="AD70" i="454" s="1"/>
  <c r="AD64" i="455"/>
  <c r="R70" i="454" s="1"/>
  <c r="AF64" i="455"/>
  <c r="V70" i="454" s="1"/>
  <c r="AL64" i="455"/>
  <c r="AC70" i="454" s="1"/>
  <c r="Z50" i="455"/>
  <c r="AB50" i="455" s="1"/>
  <c r="C56" i="454" s="1"/>
  <c r="AD50" i="455"/>
  <c r="R56" i="454" s="1"/>
  <c r="AH50" i="455"/>
  <c r="X56" i="454" s="1"/>
  <c r="AL50" i="455"/>
  <c r="AC56" i="454" s="1"/>
  <c r="AP50" i="455"/>
  <c r="AH56" i="454" s="1"/>
  <c r="AF50" i="455"/>
  <c r="V56" i="454" s="1"/>
  <c r="AJ50" i="455"/>
  <c r="Z56" i="454" s="1"/>
  <c r="AN50" i="455"/>
  <c r="AF56" i="454" s="1"/>
  <c r="AC50" i="455"/>
  <c r="E56" i="454" s="1"/>
  <c r="AK50" i="455"/>
  <c r="AB56" i="454" s="1"/>
  <c r="AE50" i="455"/>
  <c r="T56" i="454" s="1"/>
  <c r="AM50" i="455"/>
  <c r="AD56" i="454" s="1"/>
  <c r="AG50" i="455"/>
  <c r="W56" i="454" s="1"/>
  <c r="AO50" i="455"/>
  <c r="AG56" i="454" s="1"/>
  <c r="AI50" i="455"/>
  <c r="Y56" i="454" s="1"/>
  <c r="AQ50" i="455"/>
  <c r="AI56" i="454" s="1"/>
  <c r="AE63" i="455"/>
  <c r="T69" i="454" s="1"/>
  <c r="AI63" i="455"/>
  <c r="Y69" i="454" s="1"/>
  <c r="AM63" i="455"/>
  <c r="AD69" i="454" s="1"/>
  <c r="AQ63" i="455"/>
  <c r="AI69" i="454" s="1"/>
  <c r="AD63" i="455"/>
  <c r="R69" i="454" s="1"/>
  <c r="AJ63" i="455"/>
  <c r="Z69" i="454" s="1"/>
  <c r="AO63" i="455"/>
  <c r="AG69" i="454" s="1"/>
  <c r="AH63" i="455"/>
  <c r="X69" i="454" s="1"/>
  <c r="AP63" i="455"/>
  <c r="AH69" i="454" s="1"/>
  <c r="AC63" i="455"/>
  <c r="E69" i="454" s="1"/>
  <c r="AK63" i="455"/>
  <c r="AB69" i="454" s="1"/>
  <c r="AF63" i="455"/>
  <c r="V69" i="454" s="1"/>
  <c r="AG63" i="455"/>
  <c r="W69" i="454" s="1"/>
  <c r="AL63" i="455"/>
  <c r="AC69" i="454" s="1"/>
  <c r="AN63" i="455"/>
  <c r="AF69" i="454" s="1"/>
  <c r="Z63" i="455"/>
  <c r="AB63" i="455" s="1"/>
  <c r="C69" i="454" s="1"/>
  <c r="AE82" i="455"/>
  <c r="T88" i="454" s="1"/>
  <c r="AI82" i="455"/>
  <c r="Y88" i="454" s="1"/>
  <c r="AM82" i="455"/>
  <c r="AD88" i="454" s="1"/>
  <c r="AQ82" i="455"/>
  <c r="AI88" i="454" s="1"/>
  <c r="AF82" i="455"/>
  <c r="V88" i="454" s="1"/>
  <c r="AJ82" i="455"/>
  <c r="Z88" i="454" s="1"/>
  <c r="AN82" i="455"/>
  <c r="AF88" i="454" s="1"/>
  <c r="Z82" i="455"/>
  <c r="AB82" i="455" s="1"/>
  <c r="C88" i="454" s="1"/>
  <c r="AH82" i="455"/>
  <c r="X88" i="454" s="1"/>
  <c r="AP82" i="455"/>
  <c r="AH88" i="454" s="1"/>
  <c r="AC82" i="455"/>
  <c r="E88" i="454" s="1"/>
  <c r="AK82" i="455"/>
  <c r="AB88" i="454" s="1"/>
  <c r="AG82" i="455"/>
  <c r="W88" i="454" s="1"/>
  <c r="AD82" i="455"/>
  <c r="R88" i="454" s="1"/>
  <c r="AL82" i="455"/>
  <c r="AC88" i="454" s="1"/>
  <c r="AO82" i="455"/>
  <c r="AG88" i="454" s="1"/>
  <c r="AF66" i="455"/>
  <c r="V72" i="454" s="1"/>
  <c r="AJ66" i="455"/>
  <c r="Z72" i="454" s="1"/>
  <c r="AN66" i="455"/>
  <c r="AF72" i="454" s="1"/>
  <c r="Z66" i="455"/>
  <c r="AB66" i="455" s="1"/>
  <c r="C72" i="454" s="1"/>
  <c r="AE66" i="455"/>
  <c r="T72" i="454" s="1"/>
  <c r="AK66" i="455"/>
  <c r="AB72" i="454" s="1"/>
  <c r="AP66" i="455"/>
  <c r="AH72" i="454" s="1"/>
  <c r="AG66" i="455"/>
  <c r="W72" i="454" s="1"/>
  <c r="AL66" i="455"/>
  <c r="AC72" i="454" s="1"/>
  <c r="AQ66" i="455"/>
  <c r="AI72" i="454" s="1"/>
  <c r="AC66" i="455"/>
  <c r="E72" i="454" s="1"/>
  <c r="AM66" i="455"/>
  <c r="AD72" i="454" s="1"/>
  <c r="AD66" i="455"/>
  <c r="R72" i="454" s="1"/>
  <c r="AO66" i="455"/>
  <c r="AG72" i="454" s="1"/>
  <c r="AH66" i="455"/>
  <c r="X72" i="454" s="1"/>
  <c r="AI66" i="455"/>
  <c r="Y72" i="454" s="1"/>
  <c r="Z52" i="455"/>
  <c r="AB52" i="455" s="1"/>
  <c r="C58" i="454" s="1"/>
  <c r="AD52" i="455"/>
  <c r="R58" i="454" s="1"/>
  <c r="AH52" i="455"/>
  <c r="X58" i="454" s="1"/>
  <c r="AL52" i="455"/>
  <c r="AC58" i="454" s="1"/>
  <c r="AP52" i="455"/>
  <c r="AH58" i="454" s="1"/>
  <c r="AF52" i="455"/>
  <c r="V58" i="454" s="1"/>
  <c r="AJ52" i="455"/>
  <c r="Z58" i="454" s="1"/>
  <c r="AN52" i="455"/>
  <c r="AF58" i="454" s="1"/>
  <c r="AC52" i="455"/>
  <c r="E58" i="454" s="1"/>
  <c r="AK52" i="455"/>
  <c r="AB58" i="454" s="1"/>
  <c r="AE52" i="455"/>
  <c r="T58" i="454" s="1"/>
  <c r="AM52" i="455"/>
  <c r="AD58" i="454" s="1"/>
  <c r="AG52" i="455"/>
  <c r="W58" i="454" s="1"/>
  <c r="AO52" i="455"/>
  <c r="AG58" i="454" s="1"/>
  <c r="AI52" i="455"/>
  <c r="Y58" i="454" s="1"/>
  <c r="AQ52" i="455"/>
  <c r="AI58" i="454" s="1"/>
  <c r="Z75" i="455"/>
  <c r="AB75" i="455" s="1"/>
  <c r="C81" i="454" s="1"/>
  <c r="AD75" i="455"/>
  <c r="R81" i="454" s="1"/>
  <c r="AH75" i="455"/>
  <c r="X81" i="454" s="1"/>
  <c r="AL75" i="455"/>
  <c r="AC81" i="454" s="1"/>
  <c r="AP75" i="455"/>
  <c r="AH81" i="454" s="1"/>
  <c r="AE75" i="455"/>
  <c r="T81" i="454" s="1"/>
  <c r="AJ75" i="455"/>
  <c r="Z81" i="454" s="1"/>
  <c r="AO75" i="455"/>
  <c r="AG81" i="454" s="1"/>
  <c r="AF75" i="455"/>
  <c r="V81" i="454" s="1"/>
  <c r="AK75" i="455"/>
  <c r="AB81" i="454" s="1"/>
  <c r="AQ75" i="455"/>
  <c r="AI81" i="454" s="1"/>
  <c r="AG75" i="455"/>
  <c r="W81" i="454" s="1"/>
  <c r="AM75" i="455"/>
  <c r="AD81" i="454" s="1"/>
  <c r="AI75" i="455"/>
  <c r="Y81" i="454" s="1"/>
  <c r="AN75" i="455"/>
  <c r="AF81" i="454" s="1"/>
  <c r="AC75" i="455"/>
  <c r="E81" i="454" s="1"/>
  <c r="AE89" i="455"/>
  <c r="AI89" i="455"/>
  <c r="AM89" i="455"/>
  <c r="AQ89" i="455"/>
  <c r="AF89" i="455"/>
  <c r="AJ89" i="455"/>
  <c r="AN89" i="455"/>
  <c r="AL89" i="455"/>
  <c r="AC89" i="455"/>
  <c r="E95" i="454" s="1"/>
  <c r="AG89" i="455"/>
  <c r="AK89" i="455"/>
  <c r="AO89" i="455"/>
  <c r="Z89" i="455"/>
  <c r="AB89" i="455" s="1"/>
  <c r="C95" i="454" s="1"/>
  <c r="AD89" i="455"/>
  <c r="AH89" i="455"/>
  <c r="AP89" i="455"/>
  <c r="Z73" i="455"/>
  <c r="AD73" i="455"/>
  <c r="R79" i="454" s="1"/>
  <c r="AH73" i="455"/>
  <c r="X79" i="454" s="1"/>
  <c r="AL73" i="455"/>
  <c r="AC79" i="454" s="1"/>
  <c r="AP73" i="455"/>
  <c r="AH79" i="454" s="1"/>
  <c r="AF73" i="455"/>
  <c r="V79" i="454" s="1"/>
  <c r="AK73" i="455"/>
  <c r="AB79" i="454" s="1"/>
  <c r="AQ73" i="455"/>
  <c r="AI79" i="454" s="1"/>
  <c r="AB73" i="455"/>
  <c r="C79" i="454" s="1"/>
  <c r="AG73" i="455"/>
  <c r="W79" i="454" s="1"/>
  <c r="AM73" i="455"/>
  <c r="AD79" i="454" s="1"/>
  <c r="AC73" i="455"/>
  <c r="E79" i="454" s="1"/>
  <c r="AI73" i="455"/>
  <c r="Y79" i="454" s="1"/>
  <c r="AN73" i="455"/>
  <c r="AF79" i="454" s="1"/>
  <c r="AE73" i="455"/>
  <c r="T79" i="454" s="1"/>
  <c r="AJ73" i="455"/>
  <c r="Z79" i="454" s="1"/>
  <c r="AO73" i="455"/>
  <c r="AG79" i="454" s="1"/>
  <c r="AE57" i="455"/>
  <c r="T63" i="454" s="1"/>
  <c r="AI57" i="455"/>
  <c r="Y63" i="454" s="1"/>
  <c r="AM57" i="455"/>
  <c r="AD63" i="454" s="1"/>
  <c r="AQ57" i="455"/>
  <c r="AI63" i="454" s="1"/>
  <c r="AF57" i="455"/>
  <c r="V63" i="454" s="1"/>
  <c r="AJ57" i="455"/>
  <c r="Z63" i="454" s="1"/>
  <c r="AN57" i="455"/>
  <c r="AF63" i="454" s="1"/>
  <c r="AC57" i="455"/>
  <c r="E63" i="454" s="1"/>
  <c r="AG57" i="455"/>
  <c r="W63" i="454" s="1"/>
  <c r="AK57" i="455"/>
  <c r="AB63" i="454" s="1"/>
  <c r="AO57" i="455"/>
  <c r="AG63" i="454" s="1"/>
  <c r="AH57" i="455"/>
  <c r="X63" i="454" s="1"/>
  <c r="Z57" i="455"/>
  <c r="AB57" i="455" s="1"/>
  <c r="C63" i="454" s="1"/>
  <c r="AP57" i="455"/>
  <c r="AH63" i="454" s="1"/>
  <c r="AL57" i="455"/>
  <c r="AC63" i="454" s="1"/>
  <c r="AD57" i="455"/>
  <c r="R63" i="454" s="1"/>
  <c r="AC54" i="455"/>
  <c r="E60" i="454" s="1"/>
  <c r="AG54" i="455"/>
  <c r="W60" i="454" s="1"/>
  <c r="AK54" i="455"/>
  <c r="AB60" i="454" s="1"/>
  <c r="AO54" i="455"/>
  <c r="AG60" i="454" s="1"/>
  <c r="Z54" i="455"/>
  <c r="AD54" i="455"/>
  <c r="R60" i="454" s="1"/>
  <c r="AH54" i="455"/>
  <c r="X60" i="454" s="1"/>
  <c r="AL54" i="455"/>
  <c r="AC60" i="454" s="1"/>
  <c r="AP54" i="455"/>
  <c r="AH60" i="454" s="1"/>
  <c r="AE54" i="455"/>
  <c r="T60" i="454" s="1"/>
  <c r="AI54" i="455"/>
  <c r="Y60" i="454" s="1"/>
  <c r="AM54" i="455"/>
  <c r="AD60" i="454" s="1"/>
  <c r="AQ54" i="455"/>
  <c r="AI60" i="454" s="1"/>
  <c r="AF54" i="455"/>
  <c r="V60" i="454" s="1"/>
  <c r="AN54" i="455"/>
  <c r="AF60" i="454" s="1"/>
  <c r="AJ54" i="455"/>
  <c r="Z60" i="454" s="1"/>
  <c r="AB54" i="455"/>
  <c r="C60" i="454" s="1"/>
  <c r="AF76" i="455"/>
  <c r="V82" i="454" s="1"/>
  <c r="AJ76" i="455"/>
  <c r="Z82" i="454" s="1"/>
  <c r="AN76" i="455"/>
  <c r="AF82" i="454" s="1"/>
  <c r="AD76" i="455"/>
  <c r="R82" i="454" s="1"/>
  <c r="AI76" i="455"/>
  <c r="Y82" i="454" s="1"/>
  <c r="AO76" i="455"/>
  <c r="AG82" i="454" s="1"/>
  <c r="Z76" i="455"/>
  <c r="AB76" i="455" s="1"/>
  <c r="C82" i="454" s="1"/>
  <c r="AE76" i="455"/>
  <c r="T82" i="454" s="1"/>
  <c r="AK76" i="455"/>
  <c r="AB82" i="454" s="1"/>
  <c r="AP76" i="455"/>
  <c r="AH82" i="454" s="1"/>
  <c r="AG76" i="455"/>
  <c r="W82" i="454" s="1"/>
  <c r="AL76" i="455"/>
  <c r="AC82" i="454" s="1"/>
  <c r="AQ76" i="455"/>
  <c r="AI82" i="454" s="1"/>
  <c r="AM76" i="455"/>
  <c r="AD82" i="454" s="1"/>
  <c r="AC76" i="455"/>
  <c r="E82" i="454" s="1"/>
  <c r="AH76" i="455"/>
  <c r="X82" i="454" s="1"/>
  <c r="AC60" i="455"/>
  <c r="E66" i="454" s="1"/>
  <c r="AG60" i="455"/>
  <c r="W66" i="454" s="1"/>
  <c r="AK60" i="455"/>
  <c r="AB66" i="454" s="1"/>
  <c r="AO60" i="455"/>
  <c r="AG66" i="454" s="1"/>
  <c r="Z60" i="455"/>
  <c r="AB60" i="455" s="1"/>
  <c r="C66" i="454" s="1"/>
  <c r="AE60" i="455"/>
  <c r="T66" i="454" s="1"/>
  <c r="AJ60" i="455"/>
  <c r="Z66" i="454" s="1"/>
  <c r="AP60" i="455"/>
  <c r="AH66" i="454" s="1"/>
  <c r="AH60" i="455"/>
  <c r="X66" i="454" s="1"/>
  <c r="AN60" i="455"/>
  <c r="AF66" i="454" s="1"/>
  <c r="AI60" i="455"/>
  <c r="Y66" i="454" s="1"/>
  <c r="AQ60" i="455"/>
  <c r="AI66" i="454" s="1"/>
  <c r="AF60" i="455"/>
  <c r="V66" i="454" s="1"/>
  <c r="AL60" i="455"/>
  <c r="AC66" i="454" s="1"/>
  <c r="AM60" i="455"/>
  <c r="AD66" i="454" s="1"/>
  <c r="AD60" i="455"/>
  <c r="R66" i="454" s="1"/>
  <c r="AF45" i="455"/>
  <c r="V51" i="454" s="1"/>
  <c r="AJ45" i="455"/>
  <c r="Z51" i="454" s="1"/>
  <c r="AN45" i="455"/>
  <c r="AF51" i="454" s="1"/>
  <c r="AC45" i="455"/>
  <c r="E51" i="454" s="1"/>
  <c r="AG45" i="455"/>
  <c r="W51" i="454" s="1"/>
  <c r="AK45" i="455"/>
  <c r="AB51" i="454" s="1"/>
  <c r="AO45" i="455"/>
  <c r="AG51" i="454" s="1"/>
  <c r="Z45" i="455"/>
  <c r="AB45" i="455" s="1"/>
  <c r="C51" i="454" s="1"/>
  <c r="AD45" i="455"/>
  <c r="R51" i="454" s="1"/>
  <c r="AH45" i="455"/>
  <c r="X51" i="454" s="1"/>
  <c r="AL45" i="455"/>
  <c r="AC51" i="454" s="1"/>
  <c r="AP45" i="455"/>
  <c r="AH51" i="454" s="1"/>
  <c r="AM45" i="455"/>
  <c r="AD51" i="454" s="1"/>
  <c r="AQ45" i="455"/>
  <c r="AI51" i="454" s="1"/>
  <c r="AE45" i="455"/>
  <c r="T51" i="454" s="1"/>
  <c r="AI45" i="455"/>
  <c r="Y51" i="454" s="1"/>
  <c r="AV29" i="436"/>
  <c r="AV30" i="436"/>
  <c r="AV31" i="436"/>
  <c r="AV32" i="436"/>
  <c r="AV33" i="436"/>
  <c r="AV34" i="436"/>
  <c r="AV35" i="436"/>
  <c r="AV36" i="436"/>
  <c r="AV37" i="436"/>
  <c r="AV38" i="436"/>
  <c r="AV39" i="436"/>
  <c r="AV40" i="436"/>
  <c r="AV41" i="436"/>
  <c r="AV42" i="436"/>
  <c r="AV43" i="436"/>
  <c r="AV44" i="436"/>
  <c r="AV45" i="436"/>
  <c r="AV46" i="436"/>
  <c r="AV47" i="436"/>
  <c r="AV48" i="436"/>
  <c r="AV49" i="436"/>
  <c r="AV50" i="436"/>
  <c r="AV51" i="436"/>
  <c r="AV52" i="436"/>
  <c r="AV53" i="436"/>
  <c r="AV54" i="436"/>
  <c r="AV55" i="436"/>
  <c r="AV56" i="436"/>
  <c r="AV57" i="436"/>
  <c r="AV58" i="436"/>
  <c r="AV59" i="436"/>
  <c r="AV60" i="436"/>
  <c r="AV61" i="436"/>
  <c r="AV62" i="436"/>
  <c r="AV63" i="436"/>
  <c r="AV64" i="436"/>
  <c r="AV65" i="436"/>
  <c r="AV66" i="436"/>
  <c r="AV67" i="436"/>
  <c r="AV68" i="436"/>
  <c r="AV69" i="436"/>
  <c r="AV70" i="436"/>
  <c r="AV71" i="436"/>
  <c r="AV72" i="436"/>
  <c r="AV73" i="436"/>
  <c r="AV74" i="436"/>
  <c r="AV75" i="436"/>
  <c r="AV76" i="436"/>
  <c r="AV77" i="436"/>
  <c r="AV78" i="436"/>
  <c r="AV79" i="436"/>
  <c r="AV80" i="436"/>
  <c r="AV81" i="436"/>
  <c r="AV82" i="436"/>
  <c r="AV83" i="436"/>
  <c r="AV84" i="436"/>
  <c r="AV85" i="436"/>
  <c r="AV86" i="436"/>
  <c r="AV87" i="436"/>
  <c r="AV88" i="436"/>
  <c r="AV89" i="436"/>
  <c r="AV90" i="436"/>
  <c r="AV91" i="436"/>
  <c r="AA27" i="450"/>
  <c r="Z22" i="450"/>
  <c r="AA47" i="450"/>
  <c r="AA33" i="450"/>
  <c r="AA24" i="450"/>
  <c r="Z39" i="450"/>
  <c r="AA46" i="450"/>
  <c r="L32" i="451"/>
  <c r="L33" i="451"/>
  <c r="L34" i="451"/>
  <c r="R33" i="451"/>
  <c r="R31" i="451"/>
  <c r="R30" i="451"/>
  <c r="L29" i="451"/>
  <c r="L28" i="451"/>
  <c r="L27" i="451"/>
  <c r="L26" i="451"/>
  <c r="L25" i="451"/>
  <c r="R24" i="451"/>
  <c r="L23" i="451"/>
  <c r="L22" i="451"/>
  <c r="L21" i="451"/>
  <c r="L20" i="451"/>
  <c r="L19" i="451"/>
  <c r="L18" i="451"/>
  <c r="L17" i="451"/>
  <c r="L16" i="451"/>
  <c r="L15" i="451"/>
  <c r="L14" i="451"/>
  <c r="L13" i="451"/>
  <c r="L12" i="451"/>
  <c r="L30" i="451"/>
  <c r="R22" i="451"/>
  <c r="R34" i="451"/>
  <c r="R16" i="451"/>
  <c r="R18" i="451"/>
  <c r="R28" i="451"/>
  <c r="R20" i="451"/>
  <c r="R13" i="451"/>
  <c r="L31" i="451"/>
  <c r="R19" i="451"/>
  <c r="R14" i="451"/>
  <c r="R25" i="451"/>
  <c r="R17" i="451"/>
  <c r="R32" i="451"/>
  <c r="L24" i="451"/>
  <c r="R23" i="451"/>
  <c r="R21" i="451"/>
  <c r="R12" i="451"/>
  <c r="R15" i="451"/>
  <c r="R26" i="451"/>
  <c r="R27" i="451"/>
  <c r="R29" i="451"/>
  <c r="R8" i="451"/>
  <c r="I6" i="459"/>
  <c r="EK6" i="459" s="1"/>
  <c r="EL6" i="459" s="1"/>
  <c r="I27" i="459"/>
  <c r="EK27" i="459" s="1"/>
  <c r="EL27" i="459" s="1"/>
  <c r="I9" i="459"/>
  <c r="EK9" i="459" s="1"/>
  <c r="EL9" i="459" s="1"/>
  <c r="I29" i="459"/>
  <c r="DS29" i="459" s="1"/>
  <c r="I10" i="459"/>
  <c r="DM10" i="459" s="1"/>
  <c r="I16" i="459"/>
  <c r="DM16" i="459" s="1"/>
  <c r="I17" i="459"/>
  <c r="EK17" i="459" s="1"/>
  <c r="EL17" i="459" s="1"/>
  <c r="I20" i="459"/>
  <c r="DM20" i="459" s="1"/>
  <c r="I13" i="459"/>
  <c r="DM13" i="459" s="1"/>
  <c r="I8" i="459"/>
  <c r="EK8" i="459" s="1"/>
  <c r="EL8" i="459" s="1"/>
  <c r="I14" i="459"/>
  <c r="DG14" i="459" s="1"/>
  <c r="I34" i="459"/>
  <c r="DS34" i="459" s="1"/>
  <c r="I21" i="459"/>
  <c r="DM21" i="459" s="1"/>
  <c r="I35" i="459"/>
  <c r="DS35" i="459" s="1"/>
  <c r="I26" i="459"/>
  <c r="EE26" i="459" s="1"/>
  <c r="I31" i="459"/>
  <c r="DG31" i="459" s="1"/>
  <c r="I28" i="459"/>
  <c r="DY28" i="459" s="1"/>
  <c r="I19" i="459"/>
  <c r="EE19" i="459" s="1"/>
  <c r="I30" i="459"/>
  <c r="DM30" i="459" s="1"/>
  <c r="I12" i="459"/>
  <c r="DG12" i="459" s="1"/>
  <c r="I23" i="459"/>
  <c r="DM23" i="459" s="1"/>
  <c r="I22" i="459"/>
  <c r="DS22" i="459" s="1"/>
  <c r="I15" i="459"/>
  <c r="DS15" i="459" s="1"/>
  <c r="I24" i="459"/>
  <c r="DM24" i="459" s="1"/>
  <c r="I18" i="459"/>
  <c r="DM18" i="459" s="1"/>
  <c r="I7" i="459"/>
  <c r="DG7" i="459" s="1"/>
  <c r="I33" i="459"/>
  <c r="DM33" i="459" s="1"/>
  <c r="I25" i="459"/>
  <c r="EK25" i="459" s="1"/>
  <c r="EL25" i="459" s="1"/>
  <c r="I32" i="459"/>
  <c r="DY32" i="459" s="1"/>
  <c r="I11" i="459"/>
  <c r="DS11" i="459" s="1"/>
  <c r="L8" i="451"/>
  <c r="B32" i="454"/>
  <c r="AC26" i="455"/>
  <c r="E32" i="454" s="1"/>
  <c r="Z26" i="455"/>
  <c r="AB26" i="455" s="1"/>
  <c r="C32" i="454" s="1"/>
  <c r="AF26" i="455"/>
  <c r="V32" i="454" s="1"/>
  <c r="AO26" i="455"/>
  <c r="AG32" i="454" s="1"/>
  <c r="AH26" i="455"/>
  <c r="X32" i="454" s="1"/>
  <c r="AN26" i="455"/>
  <c r="AF32" i="454" s="1"/>
  <c r="AP26" i="455"/>
  <c r="AH32" i="454" s="1"/>
  <c r="AK26" i="455"/>
  <c r="AB32" i="454" s="1"/>
  <c r="AJ26" i="455"/>
  <c r="Z32" i="454" s="1"/>
  <c r="AD26" i="455"/>
  <c r="R32" i="454" s="1"/>
  <c r="AQ26" i="455"/>
  <c r="AI32" i="454" s="1"/>
  <c r="AM26" i="455"/>
  <c r="AD32" i="454" s="1"/>
  <c r="AI26" i="455"/>
  <c r="Y32" i="454" s="1"/>
  <c r="AL26" i="455"/>
  <c r="AC32" i="454" s="1"/>
  <c r="AG26" i="455"/>
  <c r="W32" i="454" s="1"/>
  <c r="AE26" i="455"/>
  <c r="T32" i="454" s="1"/>
  <c r="Z23" i="455"/>
  <c r="AB23" i="455" s="1"/>
  <c r="C29" i="454" s="1"/>
  <c r="B29" i="454"/>
  <c r="AC23" i="455"/>
  <c r="E29" i="454" s="1"/>
  <c r="AD23" i="455"/>
  <c r="R29" i="454" s="1"/>
  <c r="AI23" i="455"/>
  <c r="Y29" i="454" s="1"/>
  <c r="AM23" i="455"/>
  <c r="AD29" i="454" s="1"/>
  <c r="AG23" i="455"/>
  <c r="W29" i="454" s="1"/>
  <c r="AK23" i="455"/>
  <c r="AB29" i="454" s="1"/>
  <c r="AF23" i="455"/>
  <c r="V29" i="454" s="1"/>
  <c r="AL23" i="455"/>
  <c r="AC29" i="454" s="1"/>
  <c r="AN23" i="455"/>
  <c r="AF29" i="454" s="1"/>
  <c r="AO23" i="455"/>
  <c r="AG29" i="454" s="1"/>
  <c r="AQ23" i="455"/>
  <c r="AI29" i="454" s="1"/>
  <c r="AH23" i="455"/>
  <c r="X29" i="454" s="1"/>
  <c r="AP23" i="455"/>
  <c r="AH29" i="454" s="1"/>
  <c r="AJ23" i="455"/>
  <c r="Z29" i="454" s="1"/>
  <c r="AE23" i="455"/>
  <c r="T29" i="454" s="1"/>
  <c r="B31" i="454"/>
  <c r="AC25" i="455"/>
  <c r="E31" i="454" s="1"/>
  <c r="Z25" i="455"/>
  <c r="AB25" i="455" s="1"/>
  <c r="C31" i="454" s="1"/>
  <c r="AH25" i="455"/>
  <c r="X31" i="454" s="1"/>
  <c r="AM25" i="455"/>
  <c r="AD31" i="454" s="1"/>
  <c r="AP25" i="455"/>
  <c r="AH31" i="454" s="1"/>
  <c r="AO25" i="455"/>
  <c r="AG31" i="454" s="1"/>
  <c r="AL25" i="455"/>
  <c r="AC31" i="454" s="1"/>
  <c r="AI25" i="455"/>
  <c r="Y31" i="454" s="1"/>
  <c r="AN25" i="455"/>
  <c r="AF31" i="454" s="1"/>
  <c r="AD25" i="455"/>
  <c r="R31" i="454" s="1"/>
  <c r="AF25" i="455"/>
  <c r="V31" i="454" s="1"/>
  <c r="AK25" i="455"/>
  <c r="AB31" i="454" s="1"/>
  <c r="AG25" i="455"/>
  <c r="W31" i="454" s="1"/>
  <c r="AJ25" i="455"/>
  <c r="Z31" i="454" s="1"/>
  <c r="AQ25" i="455"/>
  <c r="AI31" i="454" s="1"/>
  <c r="AE25" i="455"/>
  <c r="T31" i="454" s="1"/>
  <c r="Z33" i="455"/>
  <c r="AB33" i="455" s="1"/>
  <c r="C39" i="454" s="1"/>
  <c r="AC33" i="455"/>
  <c r="E39" i="454" s="1"/>
  <c r="AQ33" i="455"/>
  <c r="AI39" i="454" s="1"/>
  <c r="AI33" i="455"/>
  <c r="Y39" i="454" s="1"/>
  <c r="AK33" i="455"/>
  <c r="AB39" i="454" s="1"/>
  <c r="AO33" i="455"/>
  <c r="AG39" i="454" s="1"/>
  <c r="AM33" i="455"/>
  <c r="AD39" i="454" s="1"/>
  <c r="AE33" i="455"/>
  <c r="T39" i="454" s="1"/>
  <c r="AP33" i="455"/>
  <c r="AH39" i="454" s="1"/>
  <c r="AJ33" i="455"/>
  <c r="Z39" i="454" s="1"/>
  <c r="AG33" i="455"/>
  <c r="W39" i="454" s="1"/>
  <c r="AH33" i="455"/>
  <c r="X39" i="454" s="1"/>
  <c r="AN33" i="455"/>
  <c r="AF39" i="454" s="1"/>
  <c r="AL33" i="455"/>
  <c r="AC39" i="454" s="1"/>
  <c r="AD33" i="455"/>
  <c r="R39" i="454" s="1"/>
  <c r="AF33" i="455"/>
  <c r="V39" i="454" s="1"/>
  <c r="Z43" i="455"/>
  <c r="AB43" i="455" s="1"/>
  <c r="C49" i="454" s="1"/>
  <c r="AC43" i="455"/>
  <c r="E49" i="454" s="1"/>
  <c r="AP43" i="455"/>
  <c r="AH49" i="454" s="1"/>
  <c r="AD43" i="455"/>
  <c r="R49" i="454" s="1"/>
  <c r="AG43" i="455"/>
  <c r="W49" i="454" s="1"/>
  <c r="AQ43" i="455"/>
  <c r="AI49" i="454" s="1"/>
  <c r="AK43" i="455"/>
  <c r="AB49" i="454" s="1"/>
  <c r="AN43" i="455"/>
  <c r="AF49" i="454" s="1"/>
  <c r="AL43" i="455"/>
  <c r="AC49" i="454" s="1"/>
  <c r="AM43" i="455"/>
  <c r="AD49" i="454" s="1"/>
  <c r="AF43" i="455"/>
  <c r="V49" i="454" s="1"/>
  <c r="AO43" i="455"/>
  <c r="AG49" i="454" s="1"/>
  <c r="AH43" i="455"/>
  <c r="X49" i="454" s="1"/>
  <c r="AJ43" i="455"/>
  <c r="Z49" i="454" s="1"/>
  <c r="AE43" i="455"/>
  <c r="T49" i="454" s="1"/>
  <c r="AI43" i="455"/>
  <c r="Y49" i="454" s="1"/>
  <c r="AC36" i="455"/>
  <c r="E42" i="454" s="1"/>
  <c r="Z36" i="455"/>
  <c r="AB36" i="455" s="1"/>
  <c r="C42" i="454" s="1"/>
  <c r="AG36" i="455"/>
  <c r="W42" i="454" s="1"/>
  <c r="AF36" i="455"/>
  <c r="V42" i="454" s="1"/>
  <c r="AD36" i="455"/>
  <c r="R42" i="454" s="1"/>
  <c r="AP36" i="455"/>
  <c r="AH42" i="454" s="1"/>
  <c r="AO36" i="455"/>
  <c r="AG42" i="454" s="1"/>
  <c r="AE36" i="455"/>
  <c r="T42" i="454" s="1"/>
  <c r="AK36" i="455"/>
  <c r="AB42" i="454" s="1"/>
  <c r="AI36" i="455"/>
  <c r="Y42" i="454" s="1"/>
  <c r="AQ36" i="455"/>
  <c r="AI42" i="454" s="1"/>
  <c r="AN36" i="455"/>
  <c r="AF42" i="454" s="1"/>
  <c r="AM36" i="455"/>
  <c r="AD42" i="454" s="1"/>
  <c r="AH36" i="455"/>
  <c r="X42" i="454" s="1"/>
  <c r="AJ36" i="455"/>
  <c r="Z42" i="454" s="1"/>
  <c r="AL36" i="455"/>
  <c r="AC42" i="454" s="1"/>
  <c r="Z38" i="455"/>
  <c r="AB38" i="455" s="1"/>
  <c r="C44" i="454" s="1"/>
  <c r="AC38" i="455"/>
  <c r="E44" i="454" s="1"/>
  <c r="AH38" i="455"/>
  <c r="X44" i="454" s="1"/>
  <c r="AQ38" i="455"/>
  <c r="AI44" i="454" s="1"/>
  <c r="AM38" i="455"/>
  <c r="AD44" i="454" s="1"/>
  <c r="AK38" i="455"/>
  <c r="AB44" i="454" s="1"/>
  <c r="AI38" i="455"/>
  <c r="Y44" i="454" s="1"/>
  <c r="AG38" i="455"/>
  <c r="W44" i="454" s="1"/>
  <c r="AF38" i="455"/>
  <c r="V44" i="454" s="1"/>
  <c r="AO38" i="455"/>
  <c r="AG44" i="454" s="1"/>
  <c r="AN38" i="455"/>
  <c r="AF44" i="454" s="1"/>
  <c r="AL38" i="455"/>
  <c r="AC44" i="454" s="1"/>
  <c r="AP38" i="455"/>
  <c r="AH44" i="454" s="1"/>
  <c r="AD38" i="455"/>
  <c r="R44" i="454" s="1"/>
  <c r="AJ38" i="455"/>
  <c r="Z44" i="454" s="1"/>
  <c r="AE38" i="455"/>
  <c r="T44" i="454" s="1"/>
  <c r="AC40" i="455"/>
  <c r="E46" i="454" s="1"/>
  <c r="Z40" i="455"/>
  <c r="AB40" i="455" s="1"/>
  <c r="C46" i="454" s="1"/>
  <c r="AE40" i="455"/>
  <c r="T46" i="454" s="1"/>
  <c r="AD40" i="455"/>
  <c r="R46" i="454" s="1"/>
  <c r="AJ40" i="455"/>
  <c r="Z46" i="454" s="1"/>
  <c r="AK40" i="455"/>
  <c r="AB46" i="454" s="1"/>
  <c r="AH40" i="455"/>
  <c r="X46" i="454" s="1"/>
  <c r="AP40" i="455"/>
  <c r="AH46" i="454" s="1"/>
  <c r="AG40" i="455"/>
  <c r="W46" i="454" s="1"/>
  <c r="AQ40" i="455"/>
  <c r="AI46" i="454" s="1"/>
  <c r="AO40" i="455"/>
  <c r="AG46" i="454" s="1"/>
  <c r="AL40" i="455"/>
  <c r="AC46" i="454" s="1"/>
  <c r="AI40" i="455"/>
  <c r="Y46" i="454" s="1"/>
  <c r="AM40" i="455"/>
  <c r="AD46" i="454" s="1"/>
  <c r="AN40" i="455"/>
  <c r="AF46" i="454" s="1"/>
  <c r="AF40" i="455"/>
  <c r="V46" i="454" s="1"/>
  <c r="AC28" i="455"/>
  <c r="E34" i="454" s="1"/>
  <c r="Z28" i="455"/>
  <c r="AB28" i="455" s="1"/>
  <c r="C34" i="454" s="1"/>
  <c r="AD28" i="455"/>
  <c r="R34" i="454" s="1"/>
  <c r="AJ28" i="455"/>
  <c r="Z34" i="454" s="1"/>
  <c r="AE28" i="455"/>
  <c r="T34" i="454" s="1"/>
  <c r="AN28" i="455"/>
  <c r="AF34" i="454" s="1"/>
  <c r="AP28" i="455"/>
  <c r="AH34" i="454" s="1"/>
  <c r="AM28" i="455"/>
  <c r="AD34" i="454" s="1"/>
  <c r="AO28" i="455"/>
  <c r="AG34" i="454" s="1"/>
  <c r="AQ28" i="455"/>
  <c r="AI34" i="454" s="1"/>
  <c r="AI28" i="455"/>
  <c r="Y34" i="454" s="1"/>
  <c r="AK28" i="455"/>
  <c r="AB34" i="454" s="1"/>
  <c r="AL28" i="455"/>
  <c r="AC34" i="454" s="1"/>
  <c r="AF28" i="455"/>
  <c r="V34" i="454" s="1"/>
  <c r="AG28" i="455"/>
  <c r="W34" i="454" s="1"/>
  <c r="AH28" i="455"/>
  <c r="X34" i="454" s="1"/>
  <c r="AC27" i="455"/>
  <c r="E33" i="454" s="1"/>
  <c r="Z27" i="455"/>
  <c r="AB27" i="455" s="1"/>
  <c r="C33" i="454" s="1"/>
  <c r="AO27" i="455"/>
  <c r="AG33" i="454" s="1"/>
  <c r="AM27" i="455"/>
  <c r="AD33" i="454" s="1"/>
  <c r="AH27" i="455"/>
  <c r="X33" i="454" s="1"/>
  <c r="AD27" i="455"/>
  <c r="R33" i="454" s="1"/>
  <c r="AG27" i="455"/>
  <c r="W33" i="454" s="1"/>
  <c r="AN27" i="455"/>
  <c r="AF33" i="454" s="1"/>
  <c r="AK27" i="455"/>
  <c r="AB33" i="454" s="1"/>
  <c r="AP27" i="455"/>
  <c r="AH33" i="454" s="1"/>
  <c r="AI27" i="455"/>
  <c r="Y33" i="454" s="1"/>
  <c r="AQ27" i="455"/>
  <c r="AI33" i="454" s="1"/>
  <c r="AJ27" i="455"/>
  <c r="Z33" i="454" s="1"/>
  <c r="AL27" i="455"/>
  <c r="AC33" i="454" s="1"/>
  <c r="AF27" i="455"/>
  <c r="V33" i="454" s="1"/>
  <c r="AE27" i="455"/>
  <c r="T33" i="454" s="1"/>
  <c r="Z24" i="455"/>
  <c r="AB24" i="455" s="1"/>
  <c r="C30" i="454" s="1"/>
  <c r="AC24" i="455"/>
  <c r="E30" i="454" s="1"/>
  <c r="B30" i="454"/>
  <c r="AO24" i="455"/>
  <c r="AG30" i="454" s="1"/>
  <c r="AJ24" i="455"/>
  <c r="Z30" i="454" s="1"/>
  <c r="AL24" i="455"/>
  <c r="AC30" i="454" s="1"/>
  <c r="AQ24" i="455"/>
  <c r="AI30" i="454" s="1"/>
  <c r="AD24" i="455"/>
  <c r="R30" i="454" s="1"/>
  <c r="AN24" i="455"/>
  <c r="AF30" i="454" s="1"/>
  <c r="AE24" i="455"/>
  <c r="T30" i="454" s="1"/>
  <c r="AM24" i="455"/>
  <c r="AD30" i="454" s="1"/>
  <c r="AG24" i="455"/>
  <c r="W30" i="454" s="1"/>
  <c r="AH24" i="455"/>
  <c r="X30" i="454" s="1"/>
  <c r="AK24" i="455"/>
  <c r="AB30" i="454" s="1"/>
  <c r="AI24" i="455"/>
  <c r="Y30" i="454" s="1"/>
  <c r="AP24" i="455"/>
  <c r="AH30" i="454" s="1"/>
  <c r="AF24" i="455"/>
  <c r="V30" i="454" s="1"/>
  <c r="Z34" i="455"/>
  <c r="AB34" i="455" s="1"/>
  <c r="C40" i="454" s="1"/>
  <c r="AC34" i="455"/>
  <c r="E40" i="454" s="1"/>
  <c r="AD34" i="455"/>
  <c r="R40" i="454" s="1"/>
  <c r="AN34" i="455"/>
  <c r="AF40" i="454" s="1"/>
  <c r="AM34" i="455"/>
  <c r="AD40" i="454" s="1"/>
  <c r="AH34" i="455"/>
  <c r="X40" i="454" s="1"/>
  <c r="AK34" i="455"/>
  <c r="AB40" i="454" s="1"/>
  <c r="AF34" i="455"/>
  <c r="V40" i="454" s="1"/>
  <c r="AL34" i="455"/>
  <c r="AC40" i="454" s="1"/>
  <c r="AP34" i="455"/>
  <c r="AH40" i="454" s="1"/>
  <c r="AJ34" i="455"/>
  <c r="Z40" i="454" s="1"/>
  <c r="AG34" i="455"/>
  <c r="W40" i="454" s="1"/>
  <c r="AI34" i="455"/>
  <c r="Y40" i="454" s="1"/>
  <c r="AQ34" i="455"/>
  <c r="AI40" i="454" s="1"/>
  <c r="AO34" i="455"/>
  <c r="AG40" i="454" s="1"/>
  <c r="AE34" i="455"/>
  <c r="T40" i="454" s="1"/>
  <c r="X93" i="454"/>
  <c r="AH93" i="454"/>
  <c r="Z93" i="454"/>
  <c r="R93" i="454"/>
  <c r="AD93" i="454"/>
  <c r="AC93" i="454"/>
  <c r="T93" i="454"/>
  <c r="B93" i="454"/>
  <c r="W93" i="454"/>
  <c r="AI93" i="454"/>
  <c r="Y93" i="454"/>
  <c r="AG93" i="454"/>
  <c r="AF93" i="454"/>
  <c r="E93" i="454"/>
  <c r="AB93" i="454"/>
  <c r="V93" i="454"/>
  <c r="Z39" i="455"/>
  <c r="AB39" i="455" s="1"/>
  <c r="C45" i="454" s="1"/>
  <c r="AC39" i="455"/>
  <c r="E45" i="454" s="1"/>
  <c r="AM39" i="455"/>
  <c r="AD45" i="454" s="1"/>
  <c r="AD39" i="455"/>
  <c r="R45" i="454" s="1"/>
  <c r="AP39" i="455"/>
  <c r="AH45" i="454" s="1"/>
  <c r="AF39" i="455"/>
  <c r="V45" i="454" s="1"/>
  <c r="AK39" i="455"/>
  <c r="AB45" i="454" s="1"/>
  <c r="AG39" i="455"/>
  <c r="W45" i="454" s="1"/>
  <c r="AN39" i="455"/>
  <c r="AF45" i="454" s="1"/>
  <c r="AQ39" i="455"/>
  <c r="AI45" i="454" s="1"/>
  <c r="AI39" i="455"/>
  <c r="Y45" i="454" s="1"/>
  <c r="AL39" i="455"/>
  <c r="AC45" i="454" s="1"/>
  <c r="AH39" i="455"/>
  <c r="X45" i="454" s="1"/>
  <c r="AJ39" i="455"/>
  <c r="Z45" i="454" s="1"/>
  <c r="AO39" i="455"/>
  <c r="AG45" i="454" s="1"/>
  <c r="AE39" i="455"/>
  <c r="T45" i="454" s="1"/>
  <c r="Z35" i="455"/>
  <c r="AB35" i="455" s="1"/>
  <c r="C41" i="454" s="1"/>
  <c r="AC35" i="455"/>
  <c r="E41" i="454" s="1"/>
  <c r="AD35" i="455"/>
  <c r="R41" i="454" s="1"/>
  <c r="AH35" i="455"/>
  <c r="X41" i="454" s="1"/>
  <c r="AM35" i="455"/>
  <c r="AD41" i="454" s="1"/>
  <c r="AO35" i="455"/>
  <c r="AG41" i="454" s="1"/>
  <c r="AJ35" i="455"/>
  <c r="Z41" i="454" s="1"/>
  <c r="AN35" i="455"/>
  <c r="AF41" i="454" s="1"/>
  <c r="AQ35" i="455"/>
  <c r="AI41" i="454" s="1"/>
  <c r="AG35" i="455"/>
  <c r="W41" i="454" s="1"/>
  <c r="AP35" i="455"/>
  <c r="AH41" i="454" s="1"/>
  <c r="AK35" i="455"/>
  <c r="AB41" i="454" s="1"/>
  <c r="AF35" i="455"/>
  <c r="V41" i="454" s="1"/>
  <c r="AI35" i="455"/>
  <c r="Y41" i="454" s="1"/>
  <c r="AL35" i="455"/>
  <c r="AC41" i="454" s="1"/>
  <c r="AE35" i="455"/>
  <c r="T41" i="454" s="1"/>
  <c r="Z31" i="455"/>
  <c r="AB31" i="455" s="1"/>
  <c r="C37" i="454" s="1"/>
  <c r="AC31" i="455"/>
  <c r="E37" i="454" s="1"/>
  <c r="AK31" i="455"/>
  <c r="AB37" i="454" s="1"/>
  <c r="AJ31" i="455"/>
  <c r="Z37" i="454" s="1"/>
  <c r="AI31" i="455"/>
  <c r="Y37" i="454" s="1"/>
  <c r="AM31" i="455"/>
  <c r="AD37" i="454" s="1"/>
  <c r="AD31" i="455"/>
  <c r="R37" i="454" s="1"/>
  <c r="AG31" i="455"/>
  <c r="W37" i="454" s="1"/>
  <c r="AQ31" i="455"/>
  <c r="AI37" i="454" s="1"/>
  <c r="AN31" i="455"/>
  <c r="AF37" i="454" s="1"/>
  <c r="AP31" i="455"/>
  <c r="AH37" i="454" s="1"/>
  <c r="AF31" i="455"/>
  <c r="V37" i="454" s="1"/>
  <c r="AH31" i="455"/>
  <c r="X37" i="454" s="1"/>
  <c r="AO31" i="455"/>
  <c r="AG37" i="454" s="1"/>
  <c r="AL31" i="455"/>
  <c r="AC37" i="454" s="1"/>
  <c r="AE31" i="455"/>
  <c r="T37" i="454" s="1"/>
  <c r="B94" i="454"/>
  <c r="Y94" i="454"/>
  <c r="AD94" i="454"/>
  <c r="AI94" i="454"/>
  <c r="T94" i="454"/>
  <c r="V94" i="454"/>
  <c r="Z94" i="454"/>
  <c r="AF94" i="454"/>
  <c r="E94" i="454"/>
  <c r="X94" i="454"/>
  <c r="AB94" i="454"/>
  <c r="R94" i="454"/>
  <c r="AC94" i="454"/>
  <c r="W94" i="454"/>
  <c r="AG94" i="454"/>
  <c r="AH94" i="454"/>
  <c r="Z29" i="455"/>
  <c r="AB29" i="455" s="1"/>
  <c r="C35" i="454" s="1"/>
  <c r="AC29" i="455"/>
  <c r="E35" i="454" s="1"/>
  <c r="AH29" i="455"/>
  <c r="X35" i="454" s="1"/>
  <c r="AG29" i="455"/>
  <c r="W35" i="454" s="1"/>
  <c r="AI29" i="455"/>
  <c r="Y35" i="454" s="1"/>
  <c r="AM29" i="455"/>
  <c r="AD35" i="454" s="1"/>
  <c r="AK29" i="455"/>
  <c r="AB35" i="454" s="1"/>
  <c r="AE29" i="455"/>
  <c r="T35" i="454" s="1"/>
  <c r="AN29" i="455"/>
  <c r="AF35" i="454" s="1"/>
  <c r="AF29" i="455"/>
  <c r="V35" i="454" s="1"/>
  <c r="AO29" i="455"/>
  <c r="AG35" i="454" s="1"/>
  <c r="AQ29" i="455"/>
  <c r="AI35" i="454" s="1"/>
  <c r="AL29" i="455"/>
  <c r="AC35" i="454" s="1"/>
  <c r="AD29" i="455"/>
  <c r="R35" i="454" s="1"/>
  <c r="AJ29" i="455"/>
  <c r="Z35" i="454" s="1"/>
  <c r="AP29" i="455"/>
  <c r="AH35" i="454" s="1"/>
  <c r="AC37" i="455"/>
  <c r="E43" i="454" s="1"/>
  <c r="Z37" i="455"/>
  <c r="AB37" i="455" s="1"/>
  <c r="C43" i="454" s="1"/>
  <c r="AE37" i="455"/>
  <c r="T43" i="454" s="1"/>
  <c r="AJ37" i="455"/>
  <c r="Z43" i="454" s="1"/>
  <c r="AF37" i="455"/>
  <c r="V43" i="454" s="1"/>
  <c r="AL37" i="455"/>
  <c r="AC43" i="454" s="1"/>
  <c r="AD37" i="455"/>
  <c r="R43" i="454" s="1"/>
  <c r="AP37" i="455"/>
  <c r="AH43" i="454" s="1"/>
  <c r="AM37" i="455"/>
  <c r="AD43" i="454" s="1"/>
  <c r="AQ37" i="455"/>
  <c r="AI43" i="454" s="1"/>
  <c r="AK37" i="455"/>
  <c r="AB43" i="454" s="1"/>
  <c r="AG37" i="455"/>
  <c r="W43" i="454" s="1"/>
  <c r="AO37" i="455"/>
  <c r="AG43" i="454" s="1"/>
  <c r="AH37" i="455"/>
  <c r="X43" i="454" s="1"/>
  <c r="AI37" i="455"/>
  <c r="Y43" i="454" s="1"/>
  <c r="AN37" i="455"/>
  <c r="AF43" i="454" s="1"/>
  <c r="Z32" i="455"/>
  <c r="AB32" i="455" s="1"/>
  <c r="C38" i="454" s="1"/>
  <c r="AC32" i="455"/>
  <c r="E38" i="454" s="1"/>
  <c r="AI32" i="455"/>
  <c r="Y38" i="454" s="1"/>
  <c r="AJ32" i="455"/>
  <c r="Z38" i="454" s="1"/>
  <c r="AO32" i="455"/>
  <c r="AG38" i="454" s="1"/>
  <c r="AG32" i="455"/>
  <c r="W38" i="454" s="1"/>
  <c r="AM32" i="455"/>
  <c r="AD38" i="454" s="1"/>
  <c r="AK32" i="455"/>
  <c r="AB38" i="454" s="1"/>
  <c r="AH32" i="455"/>
  <c r="X38" i="454" s="1"/>
  <c r="AD32" i="455"/>
  <c r="R38" i="454" s="1"/>
  <c r="AP32" i="455"/>
  <c r="AH38" i="454" s="1"/>
  <c r="AN32" i="455"/>
  <c r="AF38" i="454" s="1"/>
  <c r="AF32" i="455"/>
  <c r="V38" i="454" s="1"/>
  <c r="AQ32" i="455"/>
  <c r="AI38" i="454" s="1"/>
  <c r="AL32" i="455"/>
  <c r="AC38" i="454" s="1"/>
  <c r="AE32" i="455"/>
  <c r="T38" i="454" s="1"/>
  <c r="AC42" i="455"/>
  <c r="E48" i="454" s="1"/>
  <c r="Z42" i="455"/>
  <c r="AB42" i="455" s="1"/>
  <c r="C48" i="454" s="1"/>
  <c r="AJ42" i="455"/>
  <c r="Z48" i="454" s="1"/>
  <c r="AN42" i="455"/>
  <c r="AF48" i="454" s="1"/>
  <c r="AK42" i="455"/>
  <c r="AB48" i="454" s="1"/>
  <c r="AQ42" i="455"/>
  <c r="AI48" i="454" s="1"/>
  <c r="AH42" i="455"/>
  <c r="X48" i="454" s="1"/>
  <c r="AO42" i="455"/>
  <c r="AG48" i="454" s="1"/>
  <c r="AG42" i="455"/>
  <c r="W48" i="454" s="1"/>
  <c r="AM42" i="455"/>
  <c r="AD48" i="454" s="1"/>
  <c r="AP42" i="455"/>
  <c r="AH48" i="454" s="1"/>
  <c r="AF42" i="455"/>
  <c r="V48" i="454" s="1"/>
  <c r="AI42" i="455"/>
  <c r="Y48" i="454" s="1"/>
  <c r="AD42" i="455"/>
  <c r="R48" i="454" s="1"/>
  <c r="AL42" i="455"/>
  <c r="AC48" i="454" s="1"/>
  <c r="AE42" i="455"/>
  <c r="T48" i="454" s="1"/>
  <c r="Z30" i="455"/>
  <c r="AB30" i="455" s="1"/>
  <c r="C36" i="454" s="1"/>
  <c r="AC30" i="455"/>
  <c r="E36" i="454" s="1"/>
  <c r="AJ30" i="455"/>
  <c r="Z36" i="454" s="1"/>
  <c r="AP30" i="455"/>
  <c r="AH36" i="454" s="1"/>
  <c r="AH30" i="455"/>
  <c r="X36" i="454" s="1"/>
  <c r="AK30" i="455"/>
  <c r="AB36" i="454" s="1"/>
  <c r="AQ30" i="455"/>
  <c r="AI36" i="454" s="1"/>
  <c r="AL30" i="455"/>
  <c r="AC36" i="454" s="1"/>
  <c r="AD30" i="455"/>
  <c r="R36" i="454" s="1"/>
  <c r="AG30" i="455"/>
  <c r="W36" i="454" s="1"/>
  <c r="AN30" i="455"/>
  <c r="AF36" i="454" s="1"/>
  <c r="AF30" i="455"/>
  <c r="V36" i="454" s="1"/>
  <c r="AM30" i="455"/>
  <c r="AD36" i="454" s="1"/>
  <c r="AO30" i="455"/>
  <c r="AG36" i="454" s="1"/>
  <c r="AI30" i="455"/>
  <c r="Y36" i="454" s="1"/>
  <c r="AE30" i="455"/>
  <c r="T36" i="454" s="1"/>
  <c r="AC97" i="454"/>
  <c r="AH97" i="454"/>
  <c r="X97" i="454"/>
  <c r="Y97" i="454"/>
  <c r="E97" i="454"/>
  <c r="AF97" i="454"/>
  <c r="Z97" i="454"/>
  <c r="AG97" i="454"/>
  <c r="V97" i="454"/>
  <c r="AD97" i="454"/>
  <c r="AB97" i="454"/>
  <c r="B97" i="454"/>
  <c r="R97" i="454"/>
  <c r="AI97" i="454"/>
  <c r="W97" i="454"/>
  <c r="T97" i="454"/>
  <c r="AC41" i="455"/>
  <c r="E47" i="454" s="1"/>
  <c r="Z41" i="455"/>
  <c r="AB41" i="455" s="1"/>
  <c r="C47" i="454" s="1"/>
  <c r="AD41" i="455"/>
  <c r="R47" i="454" s="1"/>
  <c r="AQ41" i="455"/>
  <c r="AI47" i="454" s="1"/>
  <c r="AM41" i="455"/>
  <c r="AD47" i="454" s="1"/>
  <c r="AF41" i="455"/>
  <c r="V47" i="454" s="1"/>
  <c r="AI41" i="455"/>
  <c r="Y47" i="454" s="1"/>
  <c r="AH41" i="455"/>
  <c r="X47" i="454" s="1"/>
  <c r="AN41" i="455"/>
  <c r="AF47" i="454" s="1"/>
  <c r="AG41" i="455"/>
  <c r="W47" i="454" s="1"/>
  <c r="AO41" i="455"/>
  <c r="AG47" i="454" s="1"/>
  <c r="AJ41" i="455"/>
  <c r="Z47" i="454" s="1"/>
  <c r="AK41" i="455"/>
  <c r="AB47" i="454" s="1"/>
  <c r="AL41" i="455"/>
  <c r="AC47" i="454" s="1"/>
  <c r="AP41" i="455"/>
  <c r="AH47" i="454" s="1"/>
  <c r="AE41" i="455"/>
  <c r="T47" i="454" s="1"/>
  <c r="B96" i="454"/>
  <c r="AB96" i="454"/>
  <c r="R96" i="454"/>
  <c r="AC96" i="454"/>
  <c r="E96" i="454"/>
  <c r="T96" i="454"/>
  <c r="Y96" i="454"/>
  <c r="AD96" i="454"/>
  <c r="AI96" i="454"/>
  <c r="AG96" i="454"/>
  <c r="W96" i="454"/>
  <c r="V96" i="454"/>
  <c r="Z96" i="454"/>
  <c r="AF96" i="454"/>
  <c r="X96" i="454"/>
  <c r="AH96" i="454"/>
  <c r="C96" i="454"/>
  <c r="AC95" i="454"/>
  <c r="AH95" i="454"/>
  <c r="T95" i="454"/>
  <c r="X95" i="454"/>
  <c r="Z95" i="454"/>
  <c r="B95" i="454"/>
  <c r="R95" i="454"/>
  <c r="W95" i="454"/>
  <c r="AB95" i="454"/>
  <c r="AF95" i="454"/>
  <c r="AD95" i="454"/>
  <c r="V95" i="454"/>
  <c r="AG95" i="454"/>
  <c r="Y95" i="454"/>
  <c r="AI95" i="454"/>
  <c r="B28" i="454"/>
  <c r="AC22" i="455"/>
  <c r="E28" i="454" s="1"/>
  <c r="Z22" i="455"/>
  <c r="AB22" i="455" s="1"/>
  <c r="C28" i="454" s="1"/>
  <c r="AI22" i="455"/>
  <c r="Y28" i="454" s="1"/>
  <c r="AN22" i="455"/>
  <c r="AF28" i="454" s="1"/>
  <c r="AL22" i="455"/>
  <c r="AC28" i="454" s="1"/>
  <c r="AO22" i="455"/>
  <c r="AG28" i="454" s="1"/>
  <c r="AQ22" i="455"/>
  <c r="AI28" i="454" s="1"/>
  <c r="AJ22" i="455"/>
  <c r="Z28" i="454" s="1"/>
  <c r="AG22" i="455"/>
  <c r="W28" i="454" s="1"/>
  <c r="AH22" i="455"/>
  <c r="X28" i="454" s="1"/>
  <c r="AP22" i="455"/>
  <c r="AH28" i="454" s="1"/>
  <c r="AF22" i="455"/>
  <c r="V28" i="454" s="1"/>
  <c r="AK22" i="455"/>
  <c r="AB28" i="454" s="1"/>
  <c r="AM22" i="455"/>
  <c r="AD28" i="454" s="1"/>
  <c r="AE22" i="455"/>
  <c r="T28" i="454" s="1"/>
  <c r="AD22" i="455"/>
  <c r="R28" i="454" s="1"/>
  <c r="I7" i="432"/>
  <c r="I16" i="432"/>
  <c r="I24" i="432"/>
  <c r="I23" i="432"/>
  <c r="I9" i="432"/>
  <c r="I26" i="432"/>
  <c r="I8" i="432"/>
  <c r="I29" i="432"/>
  <c r="I15" i="432"/>
  <c r="I10" i="432"/>
  <c r="I13" i="432"/>
  <c r="I28" i="432"/>
  <c r="I18" i="432"/>
  <c r="I35" i="432"/>
  <c r="I21" i="432"/>
  <c r="I19" i="432"/>
  <c r="I11" i="432"/>
  <c r="I22" i="432"/>
  <c r="I20" i="432"/>
  <c r="I25" i="432"/>
  <c r="I27" i="432"/>
  <c r="I30" i="432"/>
  <c r="I14" i="432"/>
  <c r="I34" i="432"/>
  <c r="I12" i="432"/>
  <c r="I33" i="432"/>
  <c r="I31" i="432"/>
  <c r="I17" i="432"/>
  <c r="I6" i="432"/>
  <c r="S6" i="432" s="1"/>
  <c r="I32" i="432"/>
  <c r="R11" i="451"/>
  <c r="AK36" i="453"/>
  <c r="AK26" i="453"/>
  <c r="AK22" i="453"/>
  <c r="AK19" i="453"/>
  <c r="AV28" i="436"/>
  <c r="L11" i="451"/>
  <c r="AK28" i="453"/>
  <c r="AK35" i="453"/>
  <c r="AA43" i="450"/>
  <c r="AA37" i="450"/>
  <c r="AA21" i="450"/>
  <c r="Z35" i="450"/>
  <c r="AA35" i="450"/>
  <c r="AK23" i="453"/>
  <c r="AA28" i="450"/>
  <c r="Z28" i="450"/>
  <c r="Z21" i="450"/>
  <c r="AA45" i="450"/>
  <c r="Z31" i="450"/>
  <c r="AA25" i="450"/>
  <c r="AA39" i="450"/>
  <c r="Z19" i="450"/>
  <c r="Z48" i="450"/>
  <c r="AA22" i="450"/>
  <c r="Z24" i="450"/>
  <c r="AA19" i="450"/>
  <c r="AA40" i="450"/>
  <c r="AA34" i="450"/>
  <c r="Z40" i="450"/>
  <c r="AA48" i="450"/>
  <c r="Z44" i="450"/>
  <c r="Z42" i="450"/>
  <c r="AA42" i="450"/>
  <c r="AA31" i="450"/>
  <c r="AA44" i="450"/>
  <c r="Q19" i="450"/>
  <c r="P19" i="450"/>
  <c r="AK29" i="453"/>
  <c r="AK27" i="453"/>
  <c r="AK34" i="453"/>
  <c r="AK15" i="453"/>
  <c r="AK14" i="453"/>
  <c r="AL16" i="435"/>
  <c r="N20" i="453"/>
  <c r="P20" i="453" s="1"/>
  <c r="N31" i="453"/>
  <c r="P31" i="453" s="1"/>
  <c r="N32" i="453"/>
  <c r="P32" i="453" s="1"/>
  <c r="AK9" i="453"/>
  <c r="N22" i="453"/>
  <c r="P22" i="453" s="1"/>
  <c r="AK11" i="453"/>
  <c r="AK33" i="453"/>
  <c r="AK21" i="453"/>
  <c r="AK8" i="453"/>
  <c r="AK12" i="453"/>
  <c r="AE18" i="436"/>
  <c r="AV24" i="436"/>
  <c r="AV22" i="436"/>
  <c r="AV25" i="436"/>
  <c r="AG18" i="436"/>
  <c r="AV26" i="436"/>
  <c r="AV23" i="436"/>
  <c r="AV27" i="436"/>
  <c r="AF18" i="436"/>
  <c r="AK31" i="453"/>
  <c r="AK16" i="453"/>
  <c r="AE27" i="453"/>
  <c r="AL27" i="453" s="1"/>
  <c r="AK30" i="453"/>
  <c r="N24" i="453"/>
  <c r="P24" i="453" s="1"/>
  <c r="N28" i="453"/>
  <c r="P28" i="453" s="1"/>
  <c r="N29" i="453"/>
  <c r="P29" i="453" s="1"/>
  <c r="N21" i="453"/>
  <c r="P21" i="453" s="1"/>
  <c r="N18" i="453"/>
  <c r="P18" i="453" s="1"/>
  <c r="AK18" i="453"/>
  <c r="AK37" i="453"/>
  <c r="N26" i="453"/>
  <c r="P26" i="453" s="1"/>
  <c r="N10" i="453"/>
  <c r="P10" i="453" s="1"/>
  <c r="N9" i="453"/>
  <c r="P9" i="453" s="1"/>
  <c r="N27" i="453"/>
  <c r="P27" i="453" s="1"/>
  <c r="N23" i="453"/>
  <c r="P23" i="453" s="1"/>
  <c r="N25" i="453"/>
  <c r="P25" i="453" s="1"/>
  <c r="N17" i="453"/>
  <c r="P17" i="453" s="1"/>
  <c r="N35" i="453"/>
  <c r="P35" i="453" s="1"/>
  <c r="AK17" i="453"/>
  <c r="AK24" i="453"/>
  <c r="N14" i="453"/>
  <c r="P14" i="453" s="1"/>
  <c r="N37" i="453"/>
  <c r="P37" i="453" s="1"/>
  <c r="N11" i="453"/>
  <c r="P11" i="453" s="1"/>
  <c r="N13" i="453"/>
  <c r="P13" i="453" s="1"/>
  <c r="N16" i="453"/>
  <c r="P16" i="453" s="1"/>
  <c r="N15" i="453"/>
  <c r="P15" i="453" s="1"/>
  <c r="N19" i="453"/>
  <c r="P19" i="453" s="1"/>
  <c r="N30" i="453"/>
  <c r="P30" i="453" s="1"/>
  <c r="N34" i="453"/>
  <c r="P34" i="453" s="1"/>
  <c r="AE35" i="453"/>
  <c r="AL35" i="453" s="1"/>
  <c r="AE29" i="453"/>
  <c r="AL29" i="453" s="1"/>
  <c r="AK20" i="453"/>
  <c r="P12" i="453"/>
  <c r="AE11" i="453"/>
  <c r="AE19" i="453"/>
  <c r="AC40" i="453"/>
  <c r="BL9" i="434"/>
  <c r="BC9" i="434"/>
  <c r="BB9" i="434"/>
  <c r="CC9" i="434"/>
  <c r="BH9" i="434"/>
  <c r="CK9" i="434"/>
  <c r="BY9" i="434"/>
  <c r="BO9" i="434"/>
  <c r="BK9" i="434"/>
  <c r="CH9" i="434"/>
  <c r="BV9" i="434"/>
  <c r="BQ9" i="434"/>
  <c r="AY9" i="434"/>
  <c r="BD9" i="434"/>
  <c r="AZ9" i="434"/>
  <c r="CJ9" i="434"/>
  <c r="CA9" i="434"/>
  <c r="BE9" i="434"/>
  <c r="BX9" i="434"/>
  <c r="BG9" i="434"/>
  <c r="BT9" i="434"/>
  <c r="BM9" i="434"/>
  <c r="CI9" i="434"/>
  <c r="CE9" i="434"/>
  <c r="BI9" i="434"/>
  <c r="CF9" i="434"/>
  <c r="BW9" i="434"/>
  <c r="CG9" i="434"/>
  <c r="BU9" i="434"/>
  <c r="BJ9" i="434"/>
  <c r="BA9" i="434"/>
  <c r="BF9" i="434"/>
  <c r="BS9" i="434"/>
  <c r="BP9" i="434"/>
  <c r="BZ9" i="434"/>
  <c r="CD9" i="434"/>
  <c r="BN9" i="434"/>
  <c r="BR9" i="434"/>
  <c r="CB9" i="434"/>
  <c r="L10" i="451"/>
  <c r="R10" i="451"/>
  <c r="DQ41" i="434"/>
  <c r="DS41" i="434"/>
  <c r="AE28" i="453"/>
  <c r="AE34" i="453"/>
  <c r="AE38" i="453"/>
  <c r="AE13" i="453"/>
  <c r="AE22" i="453"/>
  <c r="AE9" i="453"/>
  <c r="AE23" i="453"/>
  <c r="AN14" i="454"/>
  <c r="AO14" i="454"/>
  <c r="R9" i="451"/>
  <c r="L9" i="451"/>
  <c r="AE14" i="453"/>
  <c r="AE26" i="453"/>
  <c r="AE32" i="453"/>
  <c r="B12" i="450"/>
  <c r="B13" i="450"/>
  <c r="W41" i="450"/>
  <c r="F16" i="433"/>
  <c r="AW26" i="434"/>
  <c r="DP41" i="434"/>
  <c r="CZ41" i="434"/>
  <c r="H15" i="433" s="1"/>
  <c r="W33" i="450"/>
  <c r="W27" i="450"/>
  <c r="AE12" i="453"/>
  <c r="AE8" i="453"/>
  <c r="AE30" i="453"/>
  <c r="AE24" i="453"/>
  <c r="AE31" i="453"/>
  <c r="AE37" i="453"/>
  <c r="AE18" i="453"/>
  <c r="W47" i="450"/>
  <c r="W43" i="450"/>
  <c r="W45" i="450"/>
  <c r="N38" i="453"/>
  <c r="P38" i="453" s="1"/>
  <c r="N8" i="453"/>
  <c r="P8" i="453" s="1"/>
  <c r="J25" i="453"/>
  <c r="J18" i="453"/>
  <c r="J23" i="453"/>
  <c r="J33" i="453"/>
  <c r="J27" i="453"/>
  <c r="J34" i="453"/>
  <c r="J31" i="453"/>
  <c r="J14" i="453"/>
  <c r="J22" i="453"/>
  <c r="J26" i="453"/>
  <c r="J38" i="453"/>
  <c r="J15" i="453"/>
  <c r="J28" i="453"/>
  <c r="J35" i="453"/>
  <c r="J30" i="453"/>
  <c r="J11" i="453"/>
  <c r="J24" i="453"/>
  <c r="J13" i="453"/>
  <c r="J20" i="453"/>
  <c r="J21" i="453"/>
  <c r="J32" i="453"/>
  <c r="J17" i="453"/>
  <c r="J29" i="453"/>
  <c r="J8" i="453"/>
  <c r="J10" i="453"/>
  <c r="J16" i="453"/>
  <c r="J36" i="453"/>
  <c r="J9" i="453"/>
  <c r="J37" i="453"/>
  <c r="J19" i="453"/>
  <c r="J12" i="453"/>
  <c r="W37" i="450"/>
  <c r="AK10" i="453"/>
  <c r="AE15" i="453"/>
  <c r="AE10" i="453"/>
  <c r="B14" i="450"/>
  <c r="AK32" i="453"/>
  <c r="W36" i="450"/>
  <c r="AK25" i="453"/>
  <c r="G15" i="433"/>
  <c r="DB41" i="434"/>
  <c r="AW8" i="434" s="1"/>
  <c r="DA41" i="434"/>
  <c r="AE20" i="453"/>
  <c r="AE36" i="453"/>
  <c r="AE17" i="453"/>
  <c r="AE33" i="453"/>
  <c r="AE25" i="453"/>
  <c r="AE16" i="453"/>
  <c r="AE21" i="453"/>
  <c r="W46" i="450"/>
  <c r="N36" i="453"/>
  <c r="P36" i="453" s="1"/>
  <c r="W34" i="450"/>
  <c r="N33" i="453"/>
  <c r="P33" i="453" s="1"/>
  <c r="C190" i="2"/>
  <c r="AY17" i="459" l="1"/>
  <c r="AS31" i="459"/>
  <c r="AS15" i="459"/>
  <c r="BW26" i="459"/>
  <c r="BX26" i="459" s="1"/>
  <c r="AM15" i="459"/>
  <c r="AN15" i="459" s="1"/>
  <c r="AG26" i="459"/>
  <c r="EE9" i="459"/>
  <c r="O14" i="459"/>
  <c r="P14" i="459" s="1"/>
  <c r="CO17" i="459"/>
  <c r="CT17" i="459" s="1"/>
  <c r="DA9" i="459"/>
  <c r="DM14" i="459"/>
  <c r="BE14" i="459"/>
  <c r="BJ14" i="459" s="1"/>
  <c r="BQ17" i="459"/>
  <c r="BV17" i="459" s="1"/>
  <c r="N9" i="459"/>
  <c r="CI15" i="459"/>
  <c r="DA14" i="459"/>
  <c r="DB14" i="459" s="1"/>
  <c r="AS14" i="459"/>
  <c r="AT14" i="459" s="1"/>
  <c r="T26" i="459"/>
  <c r="BE17" i="459"/>
  <c r="CI30" i="459"/>
  <c r="CJ30" i="459" s="1"/>
  <c r="AM9" i="459"/>
  <c r="AR9" i="459" s="1"/>
  <c r="DG17" i="459"/>
  <c r="BK15" i="459"/>
  <c r="CC14" i="459"/>
  <c r="CH14" i="459" s="1"/>
  <c r="CU26" i="459"/>
  <c r="CZ26" i="459" s="1"/>
  <c r="J26" i="459"/>
  <c r="J17" i="459"/>
  <c r="AS30" i="459"/>
  <c r="AX30" i="459" s="1"/>
  <c r="BK33" i="459"/>
  <c r="BL33" i="459" s="1"/>
  <c r="DG15" i="459"/>
  <c r="N33" i="459"/>
  <c r="O15" i="459"/>
  <c r="P15" i="459" s="1"/>
  <c r="CO26" i="459"/>
  <c r="CT26" i="459" s="1"/>
  <c r="BK17" i="459"/>
  <c r="AA33" i="459"/>
  <c r="T9" i="459"/>
  <c r="EK33" i="459"/>
  <c r="EL33" i="459" s="1"/>
  <c r="DS30" i="459"/>
  <c r="CC15" i="459"/>
  <c r="AA15" i="459"/>
  <c r="AF15" i="459" s="1"/>
  <c r="BW14" i="459"/>
  <c r="BX14" i="459" s="1"/>
  <c r="U14" i="459"/>
  <c r="BQ26" i="459"/>
  <c r="BE26" i="459"/>
  <c r="BJ26" i="459" s="1"/>
  <c r="CI17" i="459"/>
  <c r="CN17" i="459" s="1"/>
  <c r="AS17" i="459"/>
  <c r="AS33" i="459"/>
  <c r="AG30" i="459"/>
  <c r="AL30" i="459" s="1"/>
  <c r="EK14" i="459"/>
  <c r="EL14" i="459" s="1"/>
  <c r="CU15" i="459"/>
  <c r="BW15" i="459"/>
  <c r="T15" i="459"/>
  <c r="J15" i="459"/>
  <c r="BE15" i="459"/>
  <c r="CO14" i="459"/>
  <c r="BQ14" i="459"/>
  <c r="BR14" i="459" s="1"/>
  <c r="AG14" i="459"/>
  <c r="AL14" i="459" s="1"/>
  <c r="T14" i="459"/>
  <c r="J14" i="459"/>
  <c r="CI26" i="459"/>
  <c r="CJ26" i="459" s="1"/>
  <c r="BK26" i="459"/>
  <c r="BP26" i="459" s="1"/>
  <c r="AA26" i="459"/>
  <c r="AS26" i="459"/>
  <c r="DA17" i="459"/>
  <c r="DF17" i="459" s="1"/>
  <c r="CC17" i="459"/>
  <c r="CD17" i="459" s="1"/>
  <c r="O17" i="459"/>
  <c r="P17" i="459" s="1"/>
  <c r="U17" i="459"/>
  <c r="AA17" i="459"/>
  <c r="AB17" i="459" s="1"/>
  <c r="CI33" i="459"/>
  <c r="CN33" i="459" s="1"/>
  <c r="BE33" i="459"/>
  <c r="BK30" i="459"/>
  <c r="N30" i="459"/>
  <c r="CC9" i="459"/>
  <c r="CH9" i="459" s="1"/>
  <c r="AA9" i="459"/>
  <c r="DY14" i="459"/>
  <c r="EE17" i="459"/>
  <c r="EF17" i="459" s="1"/>
  <c r="EE33" i="459"/>
  <c r="EJ33" i="459" s="1"/>
  <c r="EK30" i="459"/>
  <c r="EL30" i="459" s="1"/>
  <c r="DA15" i="459"/>
  <c r="AG15" i="459"/>
  <c r="AL15" i="459" s="1"/>
  <c r="CU14" i="459"/>
  <c r="CV14" i="459" s="1"/>
  <c r="AA14" i="459"/>
  <c r="N14" i="459"/>
  <c r="AM26" i="459"/>
  <c r="AR26" i="459" s="1"/>
  <c r="AY26" i="459"/>
  <c r="BD26" i="459" s="1"/>
  <c r="AM17" i="459"/>
  <c r="DA33" i="459"/>
  <c r="CC30" i="459"/>
  <c r="CD30" i="459" s="1"/>
  <c r="CU9" i="459"/>
  <c r="CZ9" i="459" s="1"/>
  <c r="U9" i="459"/>
  <c r="DG9" i="459"/>
  <c r="CO15" i="459"/>
  <c r="CP15" i="459" s="1"/>
  <c r="BQ15" i="459"/>
  <c r="BV15" i="459" s="1"/>
  <c r="N15" i="459"/>
  <c r="U15" i="459"/>
  <c r="AY15" i="459"/>
  <c r="BD15" i="459" s="1"/>
  <c r="CI14" i="459"/>
  <c r="CJ14" i="459" s="1"/>
  <c r="BK14" i="459"/>
  <c r="AM14" i="459"/>
  <c r="AY14" i="459"/>
  <c r="BD14" i="459" s="1"/>
  <c r="DA26" i="459"/>
  <c r="DF26" i="459" s="1"/>
  <c r="CC26" i="459"/>
  <c r="O26" i="459"/>
  <c r="P26" i="459" s="1"/>
  <c r="U26" i="459"/>
  <c r="V26" i="459" s="1"/>
  <c r="N26" i="459"/>
  <c r="CU17" i="459"/>
  <c r="BW17" i="459"/>
  <c r="AG17" i="459"/>
  <c r="AH17" i="459" s="1"/>
  <c r="N17" i="459"/>
  <c r="T17" i="459"/>
  <c r="CC33" i="459"/>
  <c r="AG33" i="459"/>
  <c r="AH33" i="459" s="1"/>
  <c r="DA30" i="459"/>
  <c r="DF30" i="459" s="1"/>
  <c r="T30" i="459"/>
  <c r="AA30" i="459"/>
  <c r="BW9" i="459"/>
  <c r="CB9" i="459" s="1"/>
  <c r="J9" i="459"/>
  <c r="DS26" i="459"/>
  <c r="DS14" i="459"/>
  <c r="DS17" i="459"/>
  <c r="DT17" i="459" s="1"/>
  <c r="EE15" i="459"/>
  <c r="EJ15" i="459" s="1"/>
  <c r="DY26" i="459"/>
  <c r="DG30" i="459"/>
  <c r="DM31" i="459"/>
  <c r="DN31" i="459" s="1"/>
  <c r="AN34" i="454"/>
  <c r="AO34" i="454"/>
  <c r="AO39" i="454"/>
  <c r="AN39" i="454"/>
  <c r="AN81" i="454"/>
  <c r="AO81" i="454"/>
  <c r="AO58" i="454"/>
  <c r="AN58" i="454"/>
  <c r="AN88" i="454"/>
  <c r="AO88" i="454"/>
  <c r="AN74" i="454"/>
  <c r="AO74" i="454"/>
  <c r="AN90" i="454"/>
  <c r="AO90" i="454"/>
  <c r="AN64" i="454"/>
  <c r="AO64" i="454"/>
  <c r="AO80" i="454"/>
  <c r="AN80" i="454"/>
  <c r="AN78" i="454"/>
  <c r="AO78" i="454"/>
  <c r="AN91" i="454"/>
  <c r="AO91" i="454"/>
  <c r="AN73" i="454"/>
  <c r="AO73" i="454"/>
  <c r="AO84" i="454"/>
  <c r="AN84" i="454"/>
  <c r="AN36" i="454"/>
  <c r="AO36" i="454"/>
  <c r="AN60" i="454"/>
  <c r="AO60" i="454"/>
  <c r="AO72" i="454"/>
  <c r="AN72" i="454"/>
  <c r="AN56" i="454"/>
  <c r="AO56" i="454"/>
  <c r="AN70" i="454"/>
  <c r="AO70" i="454"/>
  <c r="AN86" i="454"/>
  <c r="AO86" i="454"/>
  <c r="AN61" i="454"/>
  <c r="AO61" i="454"/>
  <c r="AN92" i="454"/>
  <c r="AO92" i="454"/>
  <c r="AN52" i="454"/>
  <c r="AO52" i="454"/>
  <c r="AN55" i="454"/>
  <c r="AO55" i="454"/>
  <c r="AO68" i="454"/>
  <c r="AN68" i="454"/>
  <c r="AN48" i="454"/>
  <c r="AO48" i="454"/>
  <c r="AO35" i="454"/>
  <c r="AN35" i="454"/>
  <c r="AN33" i="454"/>
  <c r="AO33" i="454"/>
  <c r="AO51" i="454"/>
  <c r="AN51" i="454"/>
  <c r="AN45" i="454"/>
  <c r="AO45" i="454"/>
  <c r="AN42" i="454"/>
  <c r="AO42" i="454"/>
  <c r="AN66" i="454"/>
  <c r="AO66" i="454"/>
  <c r="AN82" i="454"/>
  <c r="AO82" i="454"/>
  <c r="AN69" i="454"/>
  <c r="AO69" i="454"/>
  <c r="AO53" i="454"/>
  <c r="AN53" i="454"/>
  <c r="AN83" i="454"/>
  <c r="AO83" i="454"/>
  <c r="AN77" i="454"/>
  <c r="AO77" i="454"/>
  <c r="AN50" i="454"/>
  <c r="AO50" i="454"/>
  <c r="AN65" i="454"/>
  <c r="AO65" i="454"/>
  <c r="AO85" i="454"/>
  <c r="AN85" i="454"/>
  <c r="AN75" i="454"/>
  <c r="AO75" i="454"/>
  <c r="AO54" i="454"/>
  <c r="AN54" i="454"/>
  <c r="AN38" i="454"/>
  <c r="AO38" i="454"/>
  <c r="AN44" i="454"/>
  <c r="AO44" i="454"/>
  <c r="AO47" i="454"/>
  <c r="AN47" i="454"/>
  <c r="AO43" i="454"/>
  <c r="AN43" i="454"/>
  <c r="AN37" i="454"/>
  <c r="AO37" i="454"/>
  <c r="AN41" i="454"/>
  <c r="AO41" i="454"/>
  <c r="AN40" i="454"/>
  <c r="AO40" i="454"/>
  <c r="AN46" i="454"/>
  <c r="AO46" i="454"/>
  <c r="AO49" i="454"/>
  <c r="AN49" i="454"/>
  <c r="AN63" i="454"/>
  <c r="AO63" i="454"/>
  <c r="AN79" i="454"/>
  <c r="AO79" i="454"/>
  <c r="AO67" i="454"/>
  <c r="AN67" i="454"/>
  <c r="AN59" i="454"/>
  <c r="AO59" i="454"/>
  <c r="AO89" i="454"/>
  <c r="AN89" i="454"/>
  <c r="AO76" i="454"/>
  <c r="AN76" i="454"/>
  <c r="AN57" i="454"/>
  <c r="AO57" i="454"/>
  <c r="AN71" i="454"/>
  <c r="AO71" i="454"/>
  <c r="AN87" i="454"/>
  <c r="AO87" i="454"/>
  <c r="AO62" i="454"/>
  <c r="AN62" i="454"/>
  <c r="EK19" i="459"/>
  <c r="EL19" i="459" s="1"/>
  <c r="T6" i="459"/>
  <c r="DS6" i="459"/>
  <c r="DX6" i="459" s="1"/>
  <c r="CI6" i="459"/>
  <c r="CJ6" i="459" s="1"/>
  <c r="J190" i="2"/>
  <c r="D190" i="2"/>
  <c r="H190" i="2" s="1"/>
  <c r="AY12" i="459"/>
  <c r="AZ12" i="459" s="1"/>
  <c r="AS20" i="459"/>
  <c r="AT20" i="459" s="1"/>
  <c r="DY12" i="459"/>
  <c r="ED12" i="459" s="1"/>
  <c r="AG24" i="459"/>
  <c r="AA29" i="459"/>
  <c r="AF29" i="459" s="1"/>
  <c r="BW25" i="459"/>
  <c r="BX25" i="459" s="1"/>
  <c r="J34" i="459"/>
  <c r="CO12" i="459"/>
  <c r="DS20" i="459"/>
  <c r="DX20" i="459" s="1"/>
  <c r="CU27" i="459"/>
  <c r="CZ27" i="459" s="1"/>
  <c r="N16" i="459"/>
  <c r="DG27" i="459"/>
  <c r="J27" i="459"/>
  <c r="BW19" i="459"/>
  <c r="BX19" i="459" s="1"/>
  <c r="BK22" i="459"/>
  <c r="BE6" i="459"/>
  <c r="CO8" i="459"/>
  <c r="CP8" i="459" s="1"/>
  <c r="T11" i="459"/>
  <c r="CI7" i="459"/>
  <c r="CC35" i="459"/>
  <c r="AY8" i="459"/>
  <c r="AZ8" i="459" s="1"/>
  <c r="DM11" i="459"/>
  <c r="DR11" i="459" s="1"/>
  <c r="J11" i="459"/>
  <c r="T22" i="459"/>
  <c r="AM35" i="459"/>
  <c r="AN35" i="459" s="1"/>
  <c r="BW27" i="459"/>
  <c r="CB27" i="459" s="1"/>
  <c r="BK7" i="459"/>
  <c r="BP7" i="459" s="1"/>
  <c r="T19" i="459"/>
  <c r="BQ8" i="459"/>
  <c r="BV8" i="459" s="1"/>
  <c r="CI16" i="459"/>
  <c r="CJ16" i="459" s="1"/>
  <c r="CO11" i="459"/>
  <c r="AY11" i="459"/>
  <c r="O22" i="459"/>
  <c r="P22" i="459" s="1"/>
  <c r="T35" i="459"/>
  <c r="O27" i="459"/>
  <c r="P27" i="459" s="1"/>
  <c r="AM7" i="459"/>
  <c r="AG19" i="459"/>
  <c r="AH19" i="459" s="1"/>
  <c r="AS8" i="459"/>
  <c r="AX8" i="459" s="1"/>
  <c r="BK16" i="459"/>
  <c r="BP16" i="459" s="1"/>
  <c r="DS16" i="459"/>
  <c r="DY8" i="459"/>
  <c r="ED8" i="459" s="1"/>
  <c r="DM22" i="459"/>
  <c r="DN22" i="459" s="1"/>
  <c r="BQ11" i="459"/>
  <c r="BV11" i="459" s="1"/>
  <c r="CI22" i="459"/>
  <c r="DA35" i="459"/>
  <c r="DB35" i="459" s="1"/>
  <c r="AA35" i="459"/>
  <c r="AF35" i="459" s="1"/>
  <c r="N27" i="459"/>
  <c r="AA7" i="459"/>
  <c r="AF7" i="459" s="1"/>
  <c r="CU19" i="459"/>
  <c r="CV19" i="459" s="1"/>
  <c r="N19" i="459"/>
  <c r="O8" i="459"/>
  <c r="P8" i="459" s="1"/>
  <c r="T16" i="459"/>
  <c r="DY35" i="459"/>
  <c r="ED35" i="459" s="1"/>
  <c r="DM27" i="459"/>
  <c r="DN27" i="459" s="1"/>
  <c r="DM8" i="459"/>
  <c r="DY7" i="459"/>
  <c r="DZ7" i="459" s="1"/>
  <c r="DS19" i="459"/>
  <c r="DT19" i="459" s="1"/>
  <c r="AG11" i="459"/>
  <c r="AH11" i="459" s="1"/>
  <c r="AG22" i="459"/>
  <c r="AL22" i="459" s="1"/>
  <c r="CU35" i="459"/>
  <c r="CZ35" i="459" s="1"/>
  <c r="AS35" i="459"/>
  <c r="AT35" i="459" s="1"/>
  <c r="BQ27" i="459"/>
  <c r="BV27" i="459" s="1"/>
  <c r="AY27" i="459"/>
  <c r="DA7" i="459"/>
  <c r="DB7" i="459" s="1"/>
  <c r="O7" i="459"/>
  <c r="P7" i="459" s="1"/>
  <c r="AS19" i="459"/>
  <c r="AX19" i="459" s="1"/>
  <c r="CI8" i="459"/>
  <c r="AM8" i="459"/>
  <c r="AN8" i="459" s="1"/>
  <c r="CC16" i="459"/>
  <c r="CH16" i="459" s="1"/>
  <c r="AM16" i="459"/>
  <c r="AR16" i="459" s="1"/>
  <c r="DY16" i="459"/>
  <c r="ED16" i="459" s="1"/>
  <c r="DY27" i="459"/>
  <c r="DZ27" i="459" s="1"/>
  <c r="DG8" i="459"/>
  <c r="DH8" i="459" s="1"/>
  <c r="DY11" i="459"/>
  <c r="DZ11" i="459" s="1"/>
  <c r="DG22" i="459"/>
  <c r="DH22" i="459" s="1"/>
  <c r="CI11" i="459"/>
  <c r="CJ11" i="459" s="1"/>
  <c r="N11" i="459"/>
  <c r="CC22" i="459"/>
  <c r="CD22" i="459" s="1"/>
  <c r="AA22" i="459"/>
  <c r="AF22" i="459" s="1"/>
  <c r="U35" i="459"/>
  <c r="V35" i="459" s="1"/>
  <c r="O35" i="459"/>
  <c r="P35" i="459" s="1"/>
  <c r="AM27" i="459"/>
  <c r="AN27" i="459" s="1"/>
  <c r="T27" i="459"/>
  <c r="AS7" i="459"/>
  <c r="AT7" i="459" s="1"/>
  <c r="U7" i="459"/>
  <c r="V7" i="459" s="1"/>
  <c r="CO19" i="459"/>
  <c r="CP19" i="459" s="1"/>
  <c r="AM19" i="459"/>
  <c r="BK8" i="459"/>
  <c r="BL8" i="459" s="1"/>
  <c r="DA16" i="459"/>
  <c r="DB16" i="459" s="1"/>
  <c r="U16" i="459"/>
  <c r="V16" i="459" s="1"/>
  <c r="EE35" i="459"/>
  <c r="DS27" i="459"/>
  <c r="EK11" i="459"/>
  <c r="EL11" i="459" s="1"/>
  <c r="DM7" i="459"/>
  <c r="DN7" i="459" s="1"/>
  <c r="EK22" i="459"/>
  <c r="EL22" i="459" s="1"/>
  <c r="DM19" i="459"/>
  <c r="DA11" i="459"/>
  <c r="DB11" i="459" s="1"/>
  <c r="CC11" i="459"/>
  <c r="CD11" i="459" s="1"/>
  <c r="O11" i="459"/>
  <c r="P11" i="459" s="1"/>
  <c r="AS11" i="459"/>
  <c r="AT11" i="459" s="1"/>
  <c r="AM11" i="459"/>
  <c r="AN11" i="459" s="1"/>
  <c r="CU22" i="459"/>
  <c r="CZ22" i="459" s="1"/>
  <c r="BW22" i="459"/>
  <c r="AM22" i="459"/>
  <c r="AR22" i="459" s="1"/>
  <c r="N22" i="459"/>
  <c r="BE22" i="459"/>
  <c r="BJ22" i="459" s="1"/>
  <c r="CO35" i="459"/>
  <c r="CT35" i="459" s="1"/>
  <c r="BQ35" i="459"/>
  <c r="BR35" i="459" s="1"/>
  <c r="BE35" i="459"/>
  <c r="BJ35" i="459" s="1"/>
  <c r="N35" i="459"/>
  <c r="AY35" i="459"/>
  <c r="CI27" i="459"/>
  <c r="CJ27" i="459" s="1"/>
  <c r="BK27" i="459"/>
  <c r="BL27" i="459" s="1"/>
  <c r="AA27" i="459"/>
  <c r="AB27" i="459" s="1"/>
  <c r="AS27" i="459"/>
  <c r="AX27" i="459" s="1"/>
  <c r="CU7" i="459"/>
  <c r="CV7" i="459" s="1"/>
  <c r="BW7" i="459"/>
  <c r="CB7" i="459" s="1"/>
  <c r="N7" i="459"/>
  <c r="BE7" i="459"/>
  <c r="J7" i="459"/>
  <c r="CI19" i="459"/>
  <c r="CJ19" i="459" s="1"/>
  <c r="BK19" i="459"/>
  <c r="BL19" i="459" s="1"/>
  <c r="AA19" i="459"/>
  <c r="AB19" i="459" s="1"/>
  <c r="BE19" i="459"/>
  <c r="BF19" i="459" s="1"/>
  <c r="DA8" i="459"/>
  <c r="DB8" i="459" s="1"/>
  <c r="CC8" i="459"/>
  <c r="CD8" i="459" s="1"/>
  <c r="J8" i="459"/>
  <c r="T8" i="459"/>
  <c r="U8" i="459"/>
  <c r="Z8" i="459" s="1"/>
  <c r="CU16" i="459"/>
  <c r="CV16" i="459" s="1"/>
  <c r="BW16" i="459"/>
  <c r="BX16" i="459" s="1"/>
  <c r="AS16" i="459"/>
  <c r="O16" i="459"/>
  <c r="P16" i="459" s="1"/>
  <c r="BE16" i="459"/>
  <c r="BJ16" i="459" s="1"/>
  <c r="DG35" i="459"/>
  <c r="EK35" i="459"/>
  <c r="EL35" i="459" s="1"/>
  <c r="DG16" i="459"/>
  <c r="DL16" i="459" s="1"/>
  <c r="EK16" i="459"/>
  <c r="EL16" i="459" s="1"/>
  <c r="EE27" i="459"/>
  <c r="EE8" i="459"/>
  <c r="DG11" i="459"/>
  <c r="DL11" i="459" s="1"/>
  <c r="EE11" i="459"/>
  <c r="EJ11" i="459" s="1"/>
  <c r="DS7" i="459"/>
  <c r="EK7" i="459"/>
  <c r="EL7" i="459" s="1"/>
  <c r="EE22" i="459"/>
  <c r="EF22" i="459" s="1"/>
  <c r="DY22" i="459"/>
  <c r="DZ22" i="459" s="1"/>
  <c r="DY19" i="459"/>
  <c r="DZ19" i="459" s="1"/>
  <c r="BK11" i="459"/>
  <c r="DA22" i="459"/>
  <c r="DF22" i="459" s="1"/>
  <c r="AS22" i="459"/>
  <c r="AT22" i="459" s="1"/>
  <c r="BW35" i="459"/>
  <c r="CB35" i="459" s="1"/>
  <c r="CO27" i="459"/>
  <c r="CT27" i="459" s="1"/>
  <c r="CC7" i="459"/>
  <c r="CH7" i="459" s="1"/>
  <c r="BQ19" i="459"/>
  <c r="BV19" i="459" s="1"/>
  <c r="AY19" i="459"/>
  <c r="AZ19" i="459" s="1"/>
  <c r="AA8" i="459"/>
  <c r="AG16" i="459"/>
  <c r="AH16" i="459" s="1"/>
  <c r="EE7" i="459"/>
  <c r="EJ7" i="459" s="1"/>
  <c r="CU11" i="459"/>
  <c r="BW11" i="459"/>
  <c r="CB11" i="459" s="1"/>
  <c r="U11" i="459"/>
  <c r="V11" i="459" s="1"/>
  <c r="AA11" i="459"/>
  <c r="AF11" i="459" s="1"/>
  <c r="BE11" i="459"/>
  <c r="BF11" i="459" s="1"/>
  <c r="CO22" i="459"/>
  <c r="CT22" i="459" s="1"/>
  <c r="BQ22" i="459"/>
  <c r="BR22" i="459" s="1"/>
  <c r="U22" i="459"/>
  <c r="V22" i="459" s="1"/>
  <c r="J22" i="459"/>
  <c r="AY22" i="459"/>
  <c r="BD22" i="459" s="1"/>
  <c r="CI35" i="459"/>
  <c r="CJ35" i="459" s="1"/>
  <c r="BK35" i="459"/>
  <c r="BL35" i="459" s="1"/>
  <c r="AG35" i="459"/>
  <c r="AL35" i="459" s="1"/>
  <c r="J35" i="459"/>
  <c r="DA27" i="459"/>
  <c r="DF27" i="459" s="1"/>
  <c r="CC27" i="459"/>
  <c r="CD27" i="459" s="1"/>
  <c r="U27" i="459"/>
  <c r="V27" i="459" s="1"/>
  <c r="BE27" i="459"/>
  <c r="AG27" i="459"/>
  <c r="AL27" i="459" s="1"/>
  <c r="CO7" i="459"/>
  <c r="CT7" i="459" s="1"/>
  <c r="BQ7" i="459"/>
  <c r="BR7" i="459" s="1"/>
  <c r="T7" i="459"/>
  <c r="AG7" i="459"/>
  <c r="AH7" i="459" s="1"/>
  <c r="AY7" i="459"/>
  <c r="BD7" i="459" s="1"/>
  <c r="DA19" i="459"/>
  <c r="CC19" i="459"/>
  <c r="CD19" i="459" s="1"/>
  <c r="U19" i="459"/>
  <c r="V19" i="459" s="1"/>
  <c r="J19" i="459"/>
  <c r="O19" i="459"/>
  <c r="P19" i="459" s="1"/>
  <c r="CU8" i="459"/>
  <c r="BW8" i="459"/>
  <c r="BX8" i="459" s="1"/>
  <c r="N8" i="459"/>
  <c r="AG8" i="459"/>
  <c r="AL8" i="459" s="1"/>
  <c r="BE8" i="459"/>
  <c r="BF8" i="459" s="1"/>
  <c r="CO16" i="459"/>
  <c r="CT16" i="459" s="1"/>
  <c r="BQ16" i="459"/>
  <c r="BR16" i="459" s="1"/>
  <c r="AA16" i="459"/>
  <c r="J16" i="459"/>
  <c r="AY16" i="459"/>
  <c r="BD16" i="459" s="1"/>
  <c r="DM35" i="459"/>
  <c r="DN35" i="459" s="1"/>
  <c r="EE16" i="459"/>
  <c r="DS8" i="459"/>
  <c r="DT8" i="459" s="1"/>
  <c r="DG19" i="459"/>
  <c r="DL19" i="459" s="1"/>
  <c r="CU33" i="459"/>
  <c r="CV33" i="459" s="1"/>
  <c r="BW33" i="459"/>
  <c r="BX33" i="459" s="1"/>
  <c r="U33" i="459"/>
  <c r="Z33" i="459" s="1"/>
  <c r="O33" i="459"/>
  <c r="P33" i="459" s="1"/>
  <c r="J33" i="459"/>
  <c r="CU30" i="459"/>
  <c r="CZ30" i="459" s="1"/>
  <c r="BW30" i="459"/>
  <c r="BE30" i="459"/>
  <c r="BF30" i="459" s="1"/>
  <c r="J30" i="459"/>
  <c r="U30" i="459"/>
  <c r="CO9" i="459"/>
  <c r="CT9" i="459" s="1"/>
  <c r="BQ9" i="459"/>
  <c r="BV9" i="459" s="1"/>
  <c r="BE9" i="459"/>
  <c r="BJ9" i="459" s="1"/>
  <c r="O9" i="459"/>
  <c r="P9" i="459" s="1"/>
  <c r="AY9" i="459"/>
  <c r="AZ9" i="459" s="1"/>
  <c r="DG26" i="459"/>
  <c r="DH26" i="459" s="1"/>
  <c r="EK26" i="459"/>
  <c r="EL26" i="459" s="1"/>
  <c r="DS9" i="459"/>
  <c r="DT9" i="459" s="1"/>
  <c r="DY9" i="459"/>
  <c r="ED9" i="459" s="1"/>
  <c r="EE14" i="459"/>
  <c r="EJ14" i="459" s="1"/>
  <c r="DY17" i="459"/>
  <c r="ED17" i="459" s="1"/>
  <c r="DM17" i="459"/>
  <c r="DN17" i="459" s="1"/>
  <c r="DG33" i="459"/>
  <c r="DH33" i="459" s="1"/>
  <c r="DY33" i="459"/>
  <c r="DZ33" i="459" s="1"/>
  <c r="DY15" i="459"/>
  <c r="ED15" i="459" s="1"/>
  <c r="DM15" i="459"/>
  <c r="DR15" i="459" s="1"/>
  <c r="DY30" i="459"/>
  <c r="CO33" i="459"/>
  <c r="CP33" i="459" s="1"/>
  <c r="BQ33" i="459"/>
  <c r="BV33" i="459" s="1"/>
  <c r="T33" i="459"/>
  <c r="AM33" i="459"/>
  <c r="AR33" i="459" s="1"/>
  <c r="AY33" i="459"/>
  <c r="BD33" i="459" s="1"/>
  <c r="CO30" i="459"/>
  <c r="CP30" i="459" s="1"/>
  <c r="BQ30" i="459"/>
  <c r="AM30" i="459"/>
  <c r="AR30" i="459" s="1"/>
  <c r="O30" i="459"/>
  <c r="P30" i="459" s="1"/>
  <c r="AY30" i="459"/>
  <c r="AZ30" i="459" s="1"/>
  <c r="CI9" i="459"/>
  <c r="CN9" i="459" s="1"/>
  <c r="BK9" i="459"/>
  <c r="BL9" i="459" s="1"/>
  <c r="AS9" i="459"/>
  <c r="AT9" i="459" s="1"/>
  <c r="AG9" i="459"/>
  <c r="AH9" i="459" s="1"/>
  <c r="DM26" i="459"/>
  <c r="DM9" i="459"/>
  <c r="DR9" i="459" s="1"/>
  <c r="DS33" i="459"/>
  <c r="DT33" i="459" s="1"/>
  <c r="EK15" i="459"/>
  <c r="EL15" i="459" s="1"/>
  <c r="EE30" i="459"/>
  <c r="EF30" i="459" s="1"/>
  <c r="DG6" i="459"/>
  <c r="DL6" i="459" s="1"/>
  <c r="U21" i="459"/>
  <c r="V21" i="459" s="1"/>
  <c r="CC6" i="459"/>
  <c r="CH6" i="459" s="1"/>
  <c r="AA6" i="459"/>
  <c r="AA13" i="459"/>
  <c r="AB13" i="459" s="1"/>
  <c r="BE10" i="459"/>
  <c r="BF10" i="459" s="1"/>
  <c r="DA6" i="459"/>
  <c r="DB6" i="459" s="1"/>
  <c r="BW6" i="459"/>
  <c r="CB6" i="459" s="1"/>
  <c r="AG6" i="459"/>
  <c r="N6" i="459"/>
  <c r="AS6" i="459"/>
  <c r="AT6" i="459" s="1"/>
  <c r="CU6" i="459"/>
  <c r="BK6" i="459"/>
  <c r="BL6" i="459" s="1"/>
  <c r="U6" i="459"/>
  <c r="Z6" i="459" s="1"/>
  <c r="J6" i="459"/>
  <c r="S13" i="451"/>
  <c r="S12" i="451"/>
  <c r="S14" i="451"/>
  <c r="S15" i="451"/>
  <c r="S16" i="451"/>
  <c r="S17" i="451"/>
  <c r="S18" i="451"/>
  <c r="S19" i="451"/>
  <c r="S20" i="451"/>
  <c r="S21" i="451"/>
  <c r="S22" i="451"/>
  <c r="S23" i="451"/>
  <c r="S24" i="451"/>
  <c r="S25" i="451"/>
  <c r="S26" i="451"/>
  <c r="S27" i="451"/>
  <c r="S28" i="451"/>
  <c r="S29" i="451"/>
  <c r="S30" i="451"/>
  <c r="S31" i="451"/>
  <c r="S32" i="451"/>
  <c r="S33" i="451"/>
  <c r="S34" i="451"/>
  <c r="M12" i="451"/>
  <c r="M13" i="451"/>
  <c r="M14" i="451"/>
  <c r="M15" i="451"/>
  <c r="M16" i="451"/>
  <c r="M17" i="451"/>
  <c r="M18" i="451"/>
  <c r="M19" i="451"/>
  <c r="M20" i="451"/>
  <c r="M21" i="451"/>
  <c r="M22" i="451"/>
  <c r="M23" i="451"/>
  <c r="M24" i="451"/>
  <c r="M25" i="451"/>
  <c r="M26" i="451"/>
  <c r="M27" i="451"/>
  <c r="M28" i="451"/>
  <c r="M29" i="451"/>
  <c r="M30" i="451"/>
  <c r="M31" i="451"/>
  <c r="M32" i="451"/>
  <c r="M33" i="451"/>
  <c r="M34" i="451"/>
  <c r="CO6" i="459"/>
  <c r="CT6" i="459" s="1"/>
  <c r="BQ6" i="459"/>
  <c r="BR6" i="459" s="1"/>
  <c r="O6" i="459"/>
  <c r="P6" i="459" s="1"/>
  <c r="AM6" i="459"/>
  <c r="AN6" i="459" s="1"/>
  <c r="AY6" i="459"/>
  <c r="AZ6" i="459" s="1"/>
  <c r="DM6" i="459"/>
  <c r="DN6" i="459" s="1"/>
  <c r="DY6" i="459"/>
  <c r="BW23" i="459"/>
  <c r="CB23" i="459" s="1"/>
  <c r="AG28" i="459"/>
  <c r="AL28" i="459" s="1"/>
  <c r="EE6" i="459"/>
  <c r="EF6" i="459" s="1"/>
  <c r="CI24" i="459"/>
  <c r="AM29" i="459"/>
  <c r="AN29" i="459" s="1"/>
  <c r="AA31" i="459"/>
  <c r="AF31" i="459" s="1"/>
  <c r="AM25" i="459"/>
  <c r="AN25" i="459" s="1"/>
  <c r="BQ12" i="459"/>
  <c r="CI34" i="459"/>
  <c r="CN34" i="459" s="1"/>
  <c r="DA20" i="459"/>
  <c r="DB20" i="459" s="1"/>
  <c r="N20" i="459"/>
  <c r="DG34" i="459"/>
  <c r="EE25" i="459"/>
  <c r="EJ25" i="459" s="1"/>
  <c r="EE12" i="459"/>
  <c r="EJ12" i="459" s="1"/>
  <c r="BK24" i="459"/>
  <c r="BL24" i="459" s="1"/>
  <c r="CI29" i="459"/>
  <c r="DA31" i="459"/>
  <c r="DF31" i="459" s="1"/>
  <c r="T31" i="459"/>
  <c r="AA25" i="459"/>
  <c r="AB25" i="459" s="1"/>
  <c r="AS12" i="459"/>
  <c r="AT12" i="459" s="1"/>
  <c r="BK34" i="459"/>
  <c r="BL34" i="459" s="1"/>
  <c r="CC20" i="459"/>
  <c r="CH20" i="459" s="1"/>
  <c r="DG29" i="459"/>
  <c r="DL29" i="459" s="1"/>
  <c r="DG25" i="459"/>
  <c r="DL25" i="459" s="1"/>
  <c r="AS24" i="459"/>
  <c r="AT24" i="459" s="1"/>
  <c r="BK29" i="459"/>
  <c r="BP29" i="459" s="1"/>
  <c r="CC31" i="459"/>
  <c r="CD31" i="459" s="1"/>
  <c r="CU25" i="459"/>
  <c r="BE25" i="459"/>
  <c r="BF25" i="459" s="1"/>
  <c r="N12" i="459"/>
  <c r="T34" i="459"/>
  <c r="U20" i="459"/>
  <c r="EE31" i="459"/>
  <c r="EF31" i="459" s="1"/>
  <c r="EE29" i="459"/>
  <c r="EF29" i="459" s="1"/>
  <c r="DS24" i="459"/>
  <c r="DT24" i="459" s="1"/>
  <c r="DA24" i="459"/>
  <c r="CC24" i="459"/>
  <c r="CD24" i="459" s="1"/>
  <c r="N24" i="459"/>
  <c r="U24" i="459"/>
  <c r="Z24" i="459" s="1"/>
  <c r="O24" i="459"/>
  <c r="P24" i="459" s="1"/>
  <c r="DA29" i="459"/>
  <c r="DB29" i="459" s="1"/>
  <c r="CC29" i="459"/>
  <c r="CD29" i="459" s="1"/>
  <c r="O29" i="459"/>
  <c r="P29" i="459" s="1"/>
  <c r="T29" i="459"/>
  <c r="J29" i="459"/>
  <c r="CU31" i="459"/>
  <c r="CV31" i="459" s="1"/>
  <c r="BW31" i="459"/>
  <c r="CB31" i="459" s="1"/>
  <c r="J31" i="459"/>
  <c r="O31" i="459"/>
  <c r="P31" i="459" s="1"/>
  <c r="BE31" i="459"/>
  <c r="BJ31" i="459" s="1"/>
  <c r="CO25" i="459"/>
  <c r="CT25" i="459" s="1"/>
  <c r="BQ25" i="459"/>
  <c r="T25" i="459"/>
  <c r="N25" i="459"/>
  <c r="AY25" i="459"/>
  <c r="AZ25" i="459" s="1"/>
  <c r="CI12" i="459"/>
  <c r="BK12" i="459"/>
  <c r="BL12" i="459" s="1"/>
  <c r="O12" i="459"/>
  <c r="P12" i="459" s="1"/>
  <c r="BE12" i="459"/>
  <c r="BF12" i="459" s="1"/>
  <c r="DA34" i="459"/>
  <c r="CC34" i="459"/>
  <c r="CH34" i="459" s="1"/>
  <c r="AM34" i="459"/>
  <c r="AR34" i="459" s="1"/>
  <c r="BE34" i="459"/>
  <c r="BF34" i="459" s="1"/>
  <c r="O34" i="459"/>
  <c r="P34" i="459" s="1"/>
  <c r="CU20" i="459"/>
  <c r="CV20" i="459" s="1"/>
  <c r="BW20" i="459"/>
  <c r="BX20" i="459" s="1"/>
  <c r="AA20" i="459"/>
  <c r="AF20" i="459" s="1"/>
  <c r="O20" i="459"/>
  <c r="P20" i="459" s="1"/>
  <c r="BE20" i="459"/>
  <c r="BJ20" i="459" s="1"/>
  <c r="DY31" i="459"/>
  <c r="DZ31" i="459" s="1"/>
  <c r="DS31" i="459"/>
  <c r="DT31" i="459" s="1"/>
  <c r="DM34" i="459"/>
  <c r="DM29" i="459"/>
  <c r="DN29" i="459" s="1"/>
  <c r="EK29" i="459"/>
  <c r="EL29" i="459" s="1"/>
  <c r="DY20" i="459"/>
  <c r="DZ20" i="459" s="1"/>
  <c r="DS25" i="459"/>
  <c r="DY25" i="459"/>
  <c r="DZ25" i="459" s="1"/>
  <c r="EE24" i="459"/>
  <c r="EF24" i="459" s="1"/>
  <c r="EK12" i="459"/>
  <c r="EL12" i="459" s="1"/>
  <c r="DM12" i="459"/>
  <c r="DN12" i="459" s="1"/>
  <c r="CU24" i="459"/>
  <c r="CZ24" i="459" s="1"/>
  <c r="BW24" i="459"/>
  <c r="CB24" i="459" s="1"/>
  <c r="J24" i="459"/>
  <c r="T24" i="459"/>
  <c r="AM24" i="459"/>
  <c r="AR24" i="459" s="1"/>
  <c r="CU29" i="459"/>
  <c r="CZ29" i="459" s="1"/>
  <c r="BW29" i="459"/>
  <c r="BX29" i="459" s="1"/>
  <c r="AS29" i="459"/>
  <c r="AX29" i="459" s="1"/>
  <c r="N29" i="459"/>
  <c r="BE29" i="459"/>
  <c r="BJ29" i="459" s="1"/>
  <c r="CO31" i="459"/>
  <c r="CP31" i="459" s="1"/>
  <c r="BQ31" i="459"/>
  <c r="BV31" i="459" s="1"/>
  <c r="AM31" i="459"/>
  <c r="AN31" i="459" s="1"/>
  <c r="N31" i="459"/>
  <c r="AY31" i="459"/>
  <c r="BD31" i="459" s="1"/>
  <c r="CI25" i="459"/>
  <c r="CJ25" i="459" s="1"/>
  <c r="BK25" i="459"/>
  <c r="BL25" i="459" s="1"/>
  <c r="O25" i="459"/>
  <c r="P25" i="459" s="1"/>
  <c r="U25" i="459"/>
  <c r="Z25" i="459" s="1"/>
  <c r="DA12" i="459"/>
  <c r="CC12" i="459"/>
  <c r="CD12" i="459" s="1"/>
  <c r="J12" i="459"/>
  <c r="T12" i="459"/>
  <c r="AM12" i="459"/>
  <c r="AN12" i="459" s="1"/>
  <c r="CU34" i="459"/>
  <c r="CV34" i="459" s="1"/>
  <c r="BW34" i="459"/>
  <c r="BX34" i="459" s="1"/>
  <c r="AA34" i="459"/>
  <c r="AB34" i="459" s="1"/>
  <c r="AS34" i="459"/>
  <c r="U34" i="459"/>
  <c r="V34" i="459" s="1"/>
  <c r="CO20" i="459"/>
  <c r="CT20" i="459" s="1"/>
  <c r="BQ20" i="459"/>
  <c r="BV20" i="459" s="1"/>
  <c r="AM20" i="459"/>
  <c r="T20" i="459"/>
  <c r="AY20" i="459"/>
  <c r="AZ20" i="459" s="1"/>
  <c r="EK31" i="459"/>
  <c r="EL31" i="459" s="1"/>
  <c r="EK34" i="459"/>
  <c r="EL34" i="459" s="1"/>
  <c r="DY34" i="459"/>
  <c r="DZ34" i="459" s="1"/>
  <c r="DY29" i="459"/>
  <c r="ED29" i="459" s="1"/>
  <c r="EE20" i="459"/>
  <c r="EF20" i="459" s="1"/>
  <c r="EK20" i="459"/>
  <c r="EL20" i="459" s="1"/>
  <c r="DM25" i="459"/>
  <c r="DR25" i="459" s="1"/>
  <c r="EK24" i="459"/>
  <c r="EL24" i="459" s="1"/>
  <c r="DY24" i="459"/>
  <c r="ED24" i="459" s="1"/>
  <c r="DS12" i="459"/>
  <c r="CO24" i="459"/>
  <c r="CP24" i="459" s="1"/>
  <c r="BQ24" i="459"/>
  <c r="BV24" i="459" s="1"/>
  <c r="BE24" i="459"/>
  <c r="BF24" i="459" s="1"/>
  <c r="AY24" i="459"/>
  <c r="AZ24" i="459" s="1"/>
  <c r="AA24" i="459"/>
  <c r="AB24" i="459" s="1"/>
  <c r="CO29" i="459"/>
  <c r="CP29" i="459" s="1"/>
  <c r="BQ29" i="459"/>
  <c r="BR29" i="459" s="1"/>
  <c r="AG29" i="459"/>
  <c r="U29" i="459"/>
  <c r="V29" i="459" s="1"/>
  <c r="AY29" i="459"/>
  <c r="BD29" i="459" s="1"/>
  <c r="CI31" i="459"/>
  <c r="CJ31" i="459" s="1"/>
  <c r="BK31" i="459"/>
  <c r="AG31" i="459"/>
  <c r="AH31" i="459" s="1"/>
  <c r="U31" i="459"/>
  <c r="V31" i="459" s="1"/>
  <c r="DA25" i="459"/>
  <c r="DB25" i="459" s="1"/>
  <c r="CC25" i="459"/>
  <c r="AS25" i="459"/>
  <c r="AX25" i="459" s="1"/>
  <c r="AG25" i="459"/>
  <c r="AL25" i="459" s="1"/>
  <c r="J25" i="459"/>
  <c r="CU12" i="459"/>
  <c r="CV12" i="459" s="1"/>
  <c r="BW12" i="459"/>
  <c r="BX12" i="459" s="1"/>
  <c r="AA12" i="459"/>
  <c r="AF12" i="459" s="1"/>
  <c r="AG12" i="459"/>
  <c r="AH12" i="459" s="1"/>
  <c r="U12" i="459"/>
  <c r="Z12" i="459" s="1"/>
  <c r="CO34" i="459"/>
  <c r="CT34" i="459" s="1"/>
  <c r="BQ34" i="459"/>
  <c r="BV34" i="459" s="1"/>
  <c r="N34" i="459"/>
  <c r="AG34" i="459"/>
  <c r="AY34" i="459"/>
  <c r="AZ34" i="459" s="1"/>
  <c r="CI20" i="459"/>
  <c r="CJ20" i="459" s="1"/>
  <c r="BK20" i="459"/>
  <c r="BL20" i="459" s="1"/>
  <c r="J20" i="459"/>
  <c r="AG20" i="459"/>
  <c r="AH20" i="459" s="1"/>
  <c r="EE34" i="459"/>
  <c r="EJ34" i="459" s="1"/>
  <c r="DG20" i="459"/>
  <c r="DH20" i="459" s="1"/>
  <c r="DG24" i="459"/>
  <c r="CO13" i="459"/>
  <c r="CP13" i="459" s="1"/>
  <c r="AY13" i="459"/>
  <c r="AZ13" i="459" s="1"/>
  <c r="DA10" i="459"/>
  <c r="DB10" i="459" s="1"/>
  <c r="AA10" i="459"/>
  <c r="AF10" i="459" s="1"/>
  <c r="AG23" i="459"/>
  <c r="AL23" i="459" s="1"/>
  <c r="CC13" i="459"/>
  <c r="CH13" i="459" s="1"/>
  <c r="CO10" i="459"/>
  <c r="CT10" i="459" s="1"/>
  <c r="AY10" i="459"/>
  <c r="AZ10" i="459" s="1"/>
  <c r="AS32" i="459"/>
  <c r="AX32" i="459" s="1"/>
  <c r="AG13" i="459"/>
  <c r="AH13" i="459" s="1"/>
  <c r="AM10" i="459"/>
  <c r="AR10" i="459" s="1"/>
  <c r="BW21" i="459"/>
  <c r="CB21" i="459" s="1"/>
  <c r="AG18" i="459"/>
  <c r="AH18" i="459" s="1"/>
  <c r="O18" i="459"/>
  <c r="P18" i="459" s="1"/>
  <c r="AY32" i="459"/>
  <c r="BD32" i="459" s="1"/>
  <c r="EK10" i="459"/>
  <c r="EL10" i="459" s="1"/>
  <c r="DY13" i="459"/>
  <c r="DZ13" i="459" s="1"/>
  <c r="DS18" i="459"/>
  <c r="DT18" i="459" s="1"/>
  <c r="CU18" i="459"/>
  <c r="CZ18" i="459" s="1"/>
  <c r="CC28" i="459"/>
  <c r="CD28" i="459" s="1"/>
  <c r="DS21" i="459"/>
  <c r="DT21" i="459" s="1"/>
  <c r="CO32" i="459"/>
  <c r="CT32" i="459" s="1"/>
  <c r="EE28" i="459"/>
  <c r="EF28" i="459" s="1"/>
  <c r="DY23" i="459"/>
  <c r="BK21" i="459"/>
  <c r="BP21" i="459" s="1"/>
  <c r="AA21" i="459"/>
  <c r="AB21" i="459" s="1"/>
  <c r="BK23" i="459"/>
  <c r="BL23" i="459" s="1"/>
  <c r="O23" i="459"/>
  <c r="P23" i="459" s="1"/>
  <c r="CI18" i="459"/>
  <c r="CJ18" i="459" s="1"/>
  <c r="BE18" i="459"/>
  <c r="BJ18" i="459" s="1"/>
  <c r="CC32" i="459"/>
  <c r="CH32" i="459" s="1"/>
  <c r="T32" i="459"/>
  <c r="BQ28" i="459"/>
  <c r="BV28" i="459" s="1"/>
  <c r="AM28" i="459"/>
  <c r="AR28" i="459" s="1"/>
  <c r="EE13" i="459"/>
  <c r="EF13" i="459" s="1"/>
  <c r="DY10" i="459"/>
  <c r="DG32" i="459"/>
  <c r="DH32" i="459" s="1"/>
  <c r="EK23" i="459"/>
  <c r="EL23" i="459" s="1"/>
  <c r="EK28" i="459"/>
  <c r="EL28" i="459" s="1"/>
  <c r="BQ13" i="459"/>
  <c r="J13" i="459"/>
  <c r="CC10" i="459"/>
  <c r="CH10" i="459" s="1"/>
  <c r="N10" i="459"/>
  <c r="CU21" i="459"/>
  <c r="AG21" i="459"/>
  <c r="AL21" i="459" s="1"/>
  <c r="J21" i="459"/>
  <c r="CU23" i="459"/>
  <c r="CZ23" i="459" s="1"/>
  <c r="J23" i="459"/>
  <c r="BE23" i="459"/>
  <c r="BF23" i="459" s="1"/>
  <c r="BW18" i="459"/>
  <c r="BX18" i="459" s="1"/>
  <c r="T18" i="459"/>
  <c r="BQ32" i="459"/>
  <c r="BV32" i="459" s="1"/>
  <c r="O32" i="459"/>
  <c r="P32" i="459" s="1"/>
  <c r="DA28" i="459"/>
  <c r="DB28" i="459" s="1"/>
  <c r="U28" i="459"/>
  <c r="Z28" i="459" s="1"/>
  <c r="N28" i="459"/>
  <c r="DG21" i="459"/>
  <c r="DH21" i="459" s="1"/>
  <c r="EE10" i="459"/>
  <c r="EF10" i="459" s="1"/>
  <c r="EK32" i="459"/>
  <c r="EL32" i="459" s="1"/>
  <c r="DG18" i="459"/>
  <c r="DL18" i="459" s="1"/>
  <c r="DM28" i="459"/>
  <c r="DN28" i="459" s="1"/>
  <c r="DA13" i="459"/>
  <c r="DB13" i="459" s="1"/>
  <c r="BE13" i="459"/>
  <c r="BF13" i="459" s="1"/>
  <c r="U13" i="459"/>
  <c r="BQ10" i="459"/>
  <c r="BR10" i="459" s="1"/>
  <c r="T10" i="459"/>
  <c r="CI21" i="459"/>
  <c r="CJ21" i="459" s="1"/>
  <c r="AS21" i="459"/>
  <c r="CI23" i="459"/>
  <c r="CN23" i="459" s="1"/>
  <c r="AM23" i="459"/>
  <c r="AN23" i="459" s="1"/>
  <c r="BK18" i="459"/>
  <c r="BP18" i="459" s="1"/>
  <c r="N18" i="459"/>
  <c r="DA32" i="459"/>
  <c r="DB32" i="459" s="1"/>
  <c r="AA32" i="459"/>
  <c r="AB32" i="459" s="1"/>
  <c r="AM32" i="459"/>
  <c r="AN32" i="459" s="1"/>
  <c r="CO28" i="459"/>
  <c r="CT28" i="459" s="1"/>
  <c r="T28" i="459"/>
  <c r="AY28" i="459"/>
  <c r="BD28" i="459" s="1"/>
  <c r="DY21" i="459"/>
  <c r="DZ21" i="459" s="1"/>
  <c r="EK13" i="459"/>
  <c r="EL13" i="459" s="1"/>
  <c r="DM32" i="459"/>
  <c r="DN32" i="459" s="1"/>
  <c r="DY18" i="459"/>
  <c r="DZ18" i="459" s="1"/>
  <c r="DG23" i="459"/>
  <c r="DH23" i="459" s="1"/>
  <c r="CU13" i="459"/>
  <c r="CZ13" i="459" s="1"/>
  <c r="BW13" i="459"/>
  <c r="BX13" i="459" s="1"/>
  <c r="O13" i="459"/>
  <c r="P13" i="459" s="1"/>
  <c r="N13" i="459"/>
  <c r="T13" i="459"/>
  <c r="CI10" i="459"/>
  <c r="CJ10" i="459" s="1"/>
  <c r="BK10" i="459"/>
  <c r="BL10" i="459" s="1"/>
  <c r="O10" i="459"/>
  <c r="P10" i="459" s="1"/>
  <c r="AS10" i="459"/>
  <c r="DA21" i="459"/>
  <c r="DB21" i="459" s="1"/>
  <c r="CC21" i="459"/>
  <c r="CH21" i="459" s="1"/>
  <c r="BE21" i="459"/>
  <c r="BF21" i="459" s="1"/>
  <c r="O21" i="459"/>
  <c r="P21" i="459" s="1"/>
  <c r="N21" i="459"/>
  <c r="CO23" i="459"/>
  <c r="CP23" i="459" s="1"/>
  <c r="BQ23" i="459"/>
  <c r="BV23" i="459" s="1"/>
  <c r="AS23" i="459"/>
  <c r="AX23" i="459" s="1"/>
  <c r="N23" i="459"/>
  <c r="AY23" i="459"/>
  <c r="AZ23" i="459" s="1"/>
  <c r="CO18" i="459"/>
  <c r="CT18" i="459" s="1"/>
  <c r="BQ18" i="459"/>
  <c r="BV18" i="459" s="1"/>
  <c r="U18" i="459"/>
  <c r="V18" i="459" s="1"/>
  <c r="AS18" i="459"/>
  <c r="AT18" i="459" s="1"/>
  <c r="AM18" i="459"/>
  <c r="AR18" i="459" s="1"/>
  <c r="CU32" i="459"/>
  <c r="BW32" i="459"/>
  <c r="CB32" i="459" s="1"/>
  <c r="J32" i="459"/>
  <c r="AG32" i="459"/>
  <c r="AL32" i="459" s="1"/>
  <c r="BE32" i="459"/>
  <c r="BJ32" i="459" s="1"/>
  <c r="CU28" i="459"/>
  <c r="CZ28" i="459" s="1"/>
  <c r="BW28" i="459"/>
  <c r="CB28" i="459" s="1"/>
  <c r="AA28" i="459"/>
  <c r="AF28" i="459" s="1"/>
  <c r="O28" i="459"/>
  <c r="P28" i="459" s="1"/>
  <c r="BE28" i="459"/>
  <c r="BF28" i="459" s="1"/>
  <c r="EE21" i="459"/>
  <c r="EJ21" i="459" s="1"/>
  <c r="EK21" i="459"/>
  <c r="EL21" i="459" s="1"/>
  <c r="DG13" i="459"/>
  <c r="DH13" i="459" s="1"/>
  <c r="DS13" i="459"/>
  <c r="DT13" i="459" s="1"/>
  <c r="DG10" i="459"/>
  <c r="DH10" i="459" s="1"/>
  <c r="DS10" i="459"/>
  <c r="DX10" i="459" s="1"/>
  <c r="EE32" i="459"/>
  <c r="DS32" i="459"/>
  <c r="DT32" i="459" s="1"/>
  <c r="EK18" i="459"/>
  <c r="EL18" i="459" s="1"/>
  <c r="EE18" i="459"/>
  <c r="EJ18" i="459" s="1"/>
  <c r="DS23" i="459"/>
  <c r="DT23" i="459" s="1"/>
  <c r="EE23" i="459"/>
  <c r="EF23" i="459" s="1"/>
  <c r="DG28" i="459"/>
  <c r="DH28" i="459" s="1"/>
  <c r="DS28" i="459"/>
  <c r="DX28" i="459" s="1"/>
  <c r="CI13" i="459"/>
  <c r="BK13" i="459"/>
  <c r="BL13" i="459" s="1"/>
  <c r="AM13" i="459"/>
  <c r="AR13" i="459" s="1"/>
  <c r="AS13" i="459"/>
  <c r="AX13" i="459" s="1"/>
  <c r="CU10" i="459"/>
  <c r="BW10" i="459"/>
  <c r="BX10" i="459" s="1"/>
  <c r="U10" i="459"/>
  <c r="V10" i="459" s="1"/>
  <c r="AG10" i="459"/>
  <c r="AL10" i="459" s="1"/>
  <c r="J10" i="459"/>
  <c r="CO21" i="459"/>
  <c r="CP21" i="459" s="1"/>
  <c r="BQ21" i="459"/>
  <c r="BV21" i="459" s="1"/>
  <c r="T21" i="459"/>
  <c r="AM21" i="459"/>
  <c r="AN21" i="459" s="1"/>
  <c r="AY21" i="459"/>
  <c r="BD21" i="459" s="1"/>
  <c r="DA23" i="459"/>
  <c r="DF23" i="459" s="1"/>
  <c r="CC23" i="459"/>
  <c r="CD23" i="459" s="1"/>
  <c r="U23" i="459"/>
  <c r="Z23" i="459" s="1"/>
  <c r="AA23" i="459"/>
  <c r="AB23" i="459" s="1"/>
  <c r="T23" i="459"/>
  <c r="DA18" i="459"/>
  <c r="DB18" i="459" s="1"/>
  <c r="CC18" i="459"/>
  <c r="AY18" i="459"/>
  <c r="AZ18" i="459" s="1"/>
  <c r="AA18" i="459"/>
  <c r="AF18" i="459" s="1"/>
  <c r="J18" i="459"/>
  <c r="CI32" i="459"/>
  <c r="CJ32" i="459" s="1"/>
  <c r="BK32" i="459"/>
  <c r="BL32" i="459" s="1"/>
  <c r="U32" i="459"/>
  <c r="Z32" i="459" s="1"/>
  <c r="N32" i="459"/>
  <c r="CI28" i="459"/>
  <c r="CJ28" i="459" s="1"/>
  <c r="BK28" i="459"/>
  <c r="BL28" i="459" s="1"/>
  <c r="AS28" i="459"/>
  <c r="AT28" i="459" s="1"/>
  <c r="J28" i="459"/>
  <c r="AN31" i="454"/>
  <c r="AN32" i="454"/>
  <c r="B27" i="454"/>
  <c r="AO95" i="454"/>
  <c r="AN95" i="454"/>
  <c r="AN96" i="454"/>
  <c r="AO96" i="454"/>
  <c r="AN97" i="454"/>
  <c r="AO97" i="454"/>
  <c r="AO28" i="454"/>
  <c r="AN28" i="454"/>
  <c r="AN94" i="454"/>
  <c r="AO94" i="454"/>
  <c r="AN93" i="454"/>
  <c r="AO93" i="454"/>
  <c r="AO31" i="454"/>
  <c r="AO29" i="454"/>
  <c r="AO32" i="454"/>
  <c r="AO30" i="454"/>
  <c r="AN30" i="454"/>
  <c r="AN29" i="454"/>
  <c r="R17" i="432"/>
  <c r="AI17" i="432"/>
  <c r="S17" i="432"/>
  <c r="R28" i="431" s="1"/>
  <c r="Q17" i="432"/>
  <c r="N28" i="431" s="1"/>
  <c r="J17" i="432"/>
  <c r="L17" i="432"/>
  <c r="R34" i="432"/>
  <c r="L34" i="432"/>
  <c r="J34" i="432"/>
  <c r="Q34" i="432"/>
  <c r="N45" i="431" s="1"/>
  <c r="AI34" i="432"/>
  <c r="S34" i="432"/>
  <c r="R45" i="431" s="1"/>
  <c r="Q25" i="432"/>
  <c r="N36" i="431" s="1"/>
  <c r="AI25" i="432"/>
  <c r="R25" i="432"/>
  <c r="S25" i="432"/>
  <c r="R36" i="431" s="1"/>
  <c r="L25" i="432"/>
  <c r="J25" i="432"/>
  <c r="S19" i="432"/>
  <c r="R30" i="431" s="1"/>
  <c r="Q19" i="432"/>
  <c r="N30" i="431" s="1"/>
  <c r="AI19" i="432"/>
  <c r="R19" i="432"/>
  <c r="J19" i="432"/>
  <c r="L19" i="432"/>
  <c r="Q28" i="432"/>
  <c r="N39" i="431" s="1"/>
  <c r="AI28" i="432"/>
  <c r="S28" i="432"/>
  <c r="R39" i="431" s="1"/>
  <c r="R28" i="432"/>
  <c r="J28" i="432"/>
  <c r="L28" i="432"/>
  <c r="R29" i="432"/>
  <c r="AI29" i="432"/>
  <c r="L29" i="432"/>
  <c r="Q29" i="432"/>
  <c r="N40" i="431" s="1"/>
  <c r="J29" i="432"/>
  <c r="S29" i="432"/>
  <c r="R40" i="431" s="1"/>
  <c r="R23" i="432"/>
  <c r="AI23" i="432"/>
  <c r="Q23" i="432"/>
  <c r="N34" i="431" s="1"/>
  <c r="J23" i="432"/>
  <c r="S23" i="432"/>
  <c r="R34" i="431" s="1"/>
  <c r="L23" i="432"/>
  <c r="Q31" i="432"/>
  <c r="N42" i="431" s="1"/>
  <c r="AI31" i="432"/>
  <c r="R31" i="432"/>
  <c r="J31" i="432"/>
  <c r="L31" i="432"/>
  <c r="S31" i="432"/>
  <c r="R42" i="431" s="1"/>
  <c r="S14" i="432"/>
  <c r="R25" i="431" s="1"/>
  <c r="J14" i="432"/>
  <c r="R14" i="432"/>
  <c r="Q14" i="432"/>
  <c r="N25" i="431" s="1"/>
  <c r="L14" i="432"/>
  <c r="AI14" i="432"/>
  <c r="J20" i="432"/>
  <c r="R20" i="432"/>
  <c r="S20" i="432"/>
  <c r="R31" i="431" s="1"/>
  <c r="L20" i="432"/>
  <c r="Q20" i="432"/>
  <c r="N31" i="431" s="1"/>
  <c r="AI20" i="432"/>
  <c r="L21" i="432"/>
  <c r="J21" i="432"/>
  <c r="S21" i="432"/>
  <c r="R32" i="431" s="1"/>
  <c r="Q21" i="432"/>
  <c r="N32" i="431" s="1"/>
  <c r="AI21" i="432"/>
  <c r="R21" i="432"/>
  <c r="AI13" i="432"/>
  <c r="R13" i="432"/>
  <c r="L13" i="432"/>
  <c r="J13" i="432"/>
  <c r="S13" i="432"/>
  <c r="R24" i="431" s="1"/>
  <c r="Q13" i="432"/>
  <c r="N24" i="431" s="1"/>
  <c r="S8" i="432"/>
  <c r="R19" i="431" s="1"/>
  <c r="Q8" i="432"/>
  <c r="N19" i="431" s="1"/>
  <c r="R8" i="432"/>
  <c r="J8" i="432"/>
  <c r="AI8" i="432"/>
  <c r="L8" i="432"/>
  <c r="J24" i="432"/>
  <c r="AI24" i="432"/>
  <c r="S24" i="432"/>
  <c r="R35" i="431" s="1"/>
  <c r="Q24" i="432"/>
  <c r="N35" i="431" s="1"/>
  <c r="R24" i="432"/>
  <c r="L24" i="432"/>
  <c r="J32" i="432"/>
  <c r="Q32" i="432"/>
  <c r="N43" i="431" s="1"/>
  <c r="S32" i="432"/>
  <c r="R43" i="431" s="1"/>
  <c r="L32" i="432"/>
  <c r="AI32" i="432"/>
  <c r="R32" i="432"/>
  <c r="L33" i="432"/>
  <c r="AI33" i="432"/>
  <c r="J33" i="432"/>
  <c r="Q33" i="432"/>
  <c r="N44" i="431" s="1"/>
  <c r="R33" i="432"/>
  <c r="S33" i="432"/>
  <c r="R44" i="431" s="1"/>
  <c r="R30" i="432"/>
  <c r="S30" i="432"/>
  <c r="R41" i="431" s="1"/>
  <c r="L30" i="432"/>
  <c r="J30" i="432"/>
  <c r="AI30" i="432"/>
  <c r="Q30" i="432"/>
  <c r="N41" i="431" s="1"/>
  <c r="R22" i="432"/>
  <c r="J22" i="432"/>
  <c r="Q22" i="432"/>
  <c r="N33" i="431" s="1"/>
  <c r="L22" i="432"/>
  <c r="AI22" i="432"/>
  <c r="S22" i="432"/>
  <c r="R33" i="431" s="1"/>
  <c r="S35" i="432"/>
  <c r="R46" i="431" s="1"/>
  <c r="AI35" i="432"/>
  <c r="L35" i="432"/>
  <c r="Q35" i="432"/>
  <c r="N46" i="431" s="1"/>
  <c r="R35" i="432"/>
  <c r="J35" i="432"/>
  <c r="J10" i="432"/>
  <c r="L10" i="432"/>
  <c r="AI10" i="432"/>
  <c r="Q10" i="432"/>
  <c r="N21" i="431" s="1"/>
  <c r="R10" i="432"/>
  <c r="S10" i="432"/>
  <c r="R21" i="431" s="1"/>
  <c r="S26" i="432"/>
  <c r="R37" i="431" s="1"/>
  <c r="J26" i="432"/>
  <c r="AI26" i="432"/>
  <c r="R26" i="432"/>
  <c r="Q26" i="432"/>
  <c r="N37" i="431" s="1"/>
  <c r="L26" i="432"/>
  <c r="R16" i="432"/>
  <c r="AI16" i="432"/>
  <c r="Q16" i="432"/>
  <c r="N27" i="431" s="1"/>
  <c r="S16" i="432"/>
  <c r="R27" i="431" s="1"/>
  <c r="L16" i="432"/>
  <c r="J16" i="432"/>
  <c r="Q6" i="432"/>
  <c r="N17" i="431" s="1"/>
  <c r="AI6" i="432"/>
  <c r="L6" i="432"/>
  <c r="R17" i="431"/>
  <c r="J6" i="432"/>
  <c r="R6" i="432"/>
  <c r="S12" i="432"/>
  <c r="R23" i="431" s="1"/>
  <c r="Q12" i="432"/>
  <c r="N23" i="431" s="1"/>
  <c r="R12" i="432"/>
  <c r="AI12" i="432"/>
  <c r="L12" i="432"/>
  <c r="J12" i="432"/>
  <c r="S27" i="432"/>
  <c r="R38" i="431" s="1"/>
  <c r="R27" i="432"/>
  <c r="Q27" i="432"/>
  <c r="N38" i="431" s="1"/>
  <c r="AI27" i="432"/>
  <c r="L27" i="432"/>
  <c r="J27" i="432"/>
  <c r="Q11" i="432"/>
  <c r="N22" i="431" s="1"/>
  <c r="L11" i="432"/>
  <c r="AI11" i="432"/>
  <c r="S11" i="432"/>
  <c r="R22" i="431" s="1"/>
  <c r="R11" i="432"/>
  <c r="J11" i="432"/>
  <c r="L18" i="432"/>
  <c r="AI18" i="432"/>
  <c r="Q18" i="432"/>
  <c r="N29" i="431" s="1"/>
  <c r="S18" i="432"/>
  <c r="R29" i="431" s="1"/>
  <c r="J18" i="432"/>
  <c r="R18" i="432"/>
  <c r="L15" i="432"/>
  <c r="S15" i="432"/>
  <c r="R26" i="431" s="1"/>
  <c r="Q15" i="432"/>
  <c r="N26" i="431" s="1"/>
  <c r="AI15" i="432"/>
  <c r="J15" i="432"/>
  <c r="R15" i="432"/>
  <c r="AI9" i="432"/>
  <c r="J9" i="432"/>
  <c r="Q9" i="432"/>
  <c r="N20" i="431" s="1"/>
  <c r="L9" i="432"/>
  <c r="R9" i="432"/>
  <c r="S9" i="432"/>
  <c r="R20" i="431" s="1"/>
  <c r="R7" i="432"/>
  <c r="Q7" i="432"/>
  <c r="N18" i="431" s="1"/>
  <c r="L7" i="432"/>
  <c r="J7" i="432"/>
  <c r="S7" i="432"/>
  <c r="R18" i="431" s="1"/>
  <c r="AI7" i="432"/>
  <c r="AO27" i="453"/>
  <c r="N34" i="452" s="1"/>
  <c r="M11" i="451"/>
  <c r="S11" i="451"/>
  <c r="AN27" i="453"/>
  <c r="AQ27" i="453" s="1"/>
  <c r="DZ26" i="459"/>
  <c r="ED26" i="459"/>
  <c r="DN21" i="459"/>
  <c r="DR21" i="459"/>
  <c r="EF9" i="459"/>
  <c r="EJ9" i="459"/>
  <c r="DZ14" i="459"/>
  <c r="ED14" i="459"/>
  <c r="DN14" i="459"/>
  <c r="DR14" i="459"/>
  <c r="DH17" i="459"/>
  <c r="DL17" i="459"/>
  <c r="DN13" i="459"/>
  <c r="DR13" i="459"/>
  <c r="DH27" i="459"/>
  <c r="DL27" i="459"/>
  <c r="DN10" i="459"/>
  <c r="DR10" i="459"/>
  <c r="DZ32" i="459"/>
  <c r="ED32" i="459"/>
  <c r="DN18" i="459"/>
  <c r="DR18" i="459"/>
  <c r="DN23" i="459"/>
  <c r="DR23" i="459"/>
  <c r="DH30" i="459"/>
  <c r="DL30" i="459"/>
  <c r="EF19" i="459"/>
  <c r="EJ19" i="459"/>
  <c r="DZ28" i="459"/>
  <c r="ED28" i="459"/>
  <c r="DB15" i="459"/>
  <c r="DF15" i="459"/>
  <c r="DB33" i="459"/>
  <c r="DF33" i="459"/>
  <c r="DT26" i="459"/>
  <c r="DX26" i="459"/>
  <c r="DT35" i="459"/>
  <c r="DX35" i="459"/>
  <c r="DT34" i="459"/>
  <c r="DX34" i="459"/>
  <c r="DH9" i="459"/>
  <c r="DL9" i="459"/>
  <c r="DT14" i="459"/>
  <c r="DX14" i="459"/>
  <c r="DX29" i="459"/>
  <c r="DT29" i="459"/>
  <c r="DN16" i="459"/>
  <c r="DR16" i="459"/>
  <c r="DT27" i="459"/>
  <c r="DX27" i="459"/>
  <c r="DN20" i="459"/>
  <c r="DR20" i="459"/>
  <c r="EF8" i="459"/>
  <c r="EJ8" i="459"/>
  <c r="DN24" i="459"/>
  <c r="DR24" i="459"/>
  <c r="DH15" i="459"/>
  <c r="DL15" i="459"/>
  <c r="DZ30" i="459"/>
  <c r="ED30" i="459"/>
  <c r="DB31" i="459"/>
  <c r="DB30" i="459"/>
  <c r="DB9" i="459"/>
  <c r="DF9" i="459"/>
  <c r="DZ9" i="459"/>
  <c r="DT16" i="459"/>
  <c r="DX16" i="459"/>
  <c r="DH6" i="459"/>
  <c r="DX8" i="459"/>
  <c r="DT11" i="459"/>
  <c r="DX11" i="459"/>
  <c r="DL33" i="459"/>
  <c r="DH7" i="459"/>
  <c r="DL7" i="459"/>
  <c r="DT22" i="459"/>
  <c r="DX22" i="459"/>
  <c r="DN30" i="459"/>
  <c r="DR30" i="459"/>
  <c r="DN19" i="459"/>
  <c r="DR19" i="459"/>
  <c r="DB17" i="459"/>
  <c r="DF29" i="459"/>
  <c r="DH31" i="459"/>
  <c r="DL31" i="459"/>
  <c r="EF26" i="459"/>
  <c r="EJ26" i="459"/>
  <c r="DN9" i="459"/>
  <c r="DH14" i="459"/>
  <c r="DL14" i="459"/>
  <c r="DR29" i="459"/>
  <c r="DX17" i="459"/>
  <c r="DN33" i="459"/>
  <c r="DR33" i="459"/>
  <c r="DT15" i="459"/>
  <c r="DX15" i="459"/>
  <c r="DH12" i="459"/>
  <c r="DL12" i="459"/>
  <c r="DT30" i="459"/>
  <c r="DX30" i="459"/>
  <c r="CZ15" i="459"/>
  <c r="CV15" i="459"/>
  <c r="BX15" i="459"/>
  <c r="CB15" i="459"/>
  <c r="BJ15" i="459"/>
  <c r="BF15" i="459"/>
  <c r="BD11" i="459"/>
  <c r="AZ11" i="459"/>
  <c r="CJ22" i="459"/>
  <c r="CN22" i="459"/>
  <c r="BV35" i="459"/>
  <c r="CP27" i="459"/>
  <c r="CB14" i="459"/>
  <c r="AB14" i="459"/>
  <c r="AF14" i="459"/>
  <c r="V14" i="459"/>
  <c r="Z14" i="459"/>
  <c r="CN26" i="459"/>
  <c r="BL26" i="459"/>
  <c r="AB26" i="459"/>
  <c r="AF26" i="459"/>
  <c r="AT26" i="459"/>
  <c r="AX26" i="459"/>
  <c r="CV17" i="459"/>
  <c r="CZ17" i="459"/>
  <c r="BX17" i="459"/>
  <c r="CB17" i="459"/>
  <c r="AL17" i="459"/>
  <c r="CD33" i="459"/>
  <c r="CH33" i="459"/>
  <c r="AX33" i="459"/>
  <c r="AT33" i="459"/>
  <c r="AB33" i="459"/>
  <c r="AF33" i="459"/>
  <c r="CZ7" i="459"/>
  <c r="BP30" i="459"/>
  <c r="BL30" i="459"/>
  <c r="CV8" i="459"/>
  <c r="CZ8" i="459"/>
  <c r="AH8" i="459"/>
  <c r="BJ8" i="459"/>
  <c r="AB9" i="459"/>
  <c r="AF9" i="459"/>
  <c r="AZ15" i="459"/>
  <c r="BL11" i="459"/>
  <c r="BP11" i="459"/>
  <c r="CN27" i="459"/>
  <c r="CT14" i="459"/>
  <c r="CP14" i="459"/>
  <c r="BV14" i="459"/>
  <c r="AL24" i="459"/>
  <c r="AH24" i="459"/>
  <c r="CH26" i="459"/>
  <c r="CD26" i="459"/>
  <c r="BR17" i="459"/>
  <c r="BF17" i="459"/>
  <c r="BJ17" i="459"/>
  <c r="BD17" i="459"/>
  <c r="AZ17" i="459"/>
  <c r="V33" i="459"/>
  <c r="AT31" i="459"/>
  <c r="AX31" i="459"/>
  <c r="AH6" i="459"/>
  <c r="AL6" i="459"/>
  <c r="AH30" i="459"/>
  <c r="AB30" i="459"/>
  <c r="AF30" i="459"/>
  <c r="BP34" i="459"/>
  <c r="V9" i="459"/>
  <c r="Z9" i="459"/>
  <c r="V15" i="459"/>
  <c r="Z15" i="459"/>
  <c r="CJ15" i="459"/>
  <c r="CN15" i="459"/>
  <c r="BL15" i="459"/>
  <c r="BP15" i="459"/>
  <c r="AT15" i="459"/>
  <c r="AX15" i="459"/>
  <c r="AR15" i="459"/>
  <c r="AX11" i="459"/>
  <c r="AN22" i="459"/>
  <c r="CD35" i="459"/>
  <c r="CH35" i="459"/>
  <c r="BJ27" i="459"/>
  <c r="BF27" i="459"/>
  <c r="BP14" i="459"/>
  <c r="BL14" i="459"/>
  <c r="AR14" i="459"/>
  <c r="AN14" i="459"/>
  <c r="AZ14" i="459"/>
  <c r="AL26" i="459"/>
  <c r="AH26" i="459"/>
  <c r="CJ17" i="459"/>
  <c r="BL17" i="459"/>
  <c r="BP17" i="459"/>
  <c r="AN17" i="459"/>
  <c r="AR17" i="459"/>
  <c r="AX17" i="459"/>
  <c r="AT17" i="459"/>
  <c r="AN33" i="459"/>
  <c r="AN7" i="459"/>
  <c r="AR7" i="459"/>
  <c r="BX30" i="459"/>
  <c r="CB30" i="459"/>
  <c r="AB8" i="459"/>
  <c r="AF8" i="459"/>
  <c r="CD34" i="459"/>
  <c r="CP9" i="459"/>
  <c r="BD9" i="459"/>
  <c r="CH15" i="459"/>
  <c r="CD15" i="459"/>
  <c r="BX11" i="459"/>
  <c r="CP22" i="459"/>
  <c r="AZ22" i="459"/>
  <c r="CV35" i="459"/>
  <c r="Z35" i="459"/>
  <c r="AF13" i="459"/>
  <c r="BF14" i="459"/>
  <c r="CV24" i="459"/>
  <c r="CP26" i="459"/>
  <c r="BR26" i="459"/>
  <c r="BV26" i="459"/>
  <c r="BF26" i="459"/>
  <c r="AZ26" i="459"/>
  <c r="V17" i="459"/>
  <c r="Z17" i="459"/>
  <c r="CJ33" i="459"/>
  <c r="BF33" i="459"/>
  <c r="BJ33" i="459"/>
  <c r="AX7" i="459"/>
  <c r="BJ6" i="459"/>
  <c r="BF6" i="459"/>
  <c r="AN30" i="459"/>
  <c r="BJ19" i="459"/>
  <c r="AT16" i="459"/>
  <c r="AX16" i="459"/>
  <c r="CT12" i="459"/>
  <c r="CP12" i="459"/>
  <c r="BP9" i="459"/>
  <c r="J21" i="450"/>
  <c r="K21" i="450" s="1"/>
  <c r="J22" i="450"/>
  <c r="K22" i="450" s="1"/>
  <c r="J28" i="450"/>
  <c r="K28" i="450" s="1"/>
  <c r="J39" i="450"/>
  <c r="K39" i="450" s="1"/>
  <c r="J42" i="450"/>
  <c r="K42" i="450" s="1"/>
  <c r="AN35" i="453"/>
  <c r="M42" i="452" s="1"/>
  <c r="AO35" i="453"/>
  <c r="N42" i="452" s="1"/>
  <c r="AN29" i="453"/>
  <c r="M36" i="452" s="1"/>
  <c r="AO29" i="453"/>
  <c r="N36" i="452" s="1"/>
  <c r="J36" i="450"/>
  <c r="K36" i="450" s="1"/>
  <c r="AO17" i="453"/>
  <c r="N24" i="452" s="1"/>
  <c r="AL17" i="453"/>
  <c r="AN17" i="453"/>
  <c r="AO15" i="453"/>
  <c r="N22" i="452" s="1"/>
  <c r="AL15" i="453"/>
  <c r="AN15" i="453"/>
  <c r="Q11" i="453"/>
  <c r="T11" i="453"/>
  <c r="G18" i="452" s="1"/>
  <c r="S11" i="453"/>
  <c r="J43" i="450"/>
  <c r="K43" i="450" s="1"/>
  <c r="AO16" i="453"/>
  <c r="N23" i="452" s="1"/>
  <c r="AL16" i="453"/>
  <c r="AN16" i="453"/>
  <c r="F15" i="433"/>
  <c r="AW25" i="434"/>
  <c r="J40" i="450"/>
  <c r="K40" i="450" s="1"/>
  <c r="T36" i="453"/>
  <c r="G43" i="452" s="1"/>
  <c r="Q36" i="453"/>
  <c r="S36" i="453"/>
  <c r="T29" i="453"/>
  <c r="G36" i="452" s="1"/>
  <c r="Q29" i="453"/>
  <c r="S29" i="453"/>
  <c r="T20" i="453"/>
  <c r="G27" i="452" s="1"/>
  <c r="Q20" i="453"/>
  <c r="S20" i="453"/>
  <c r="T30" i="453"/>
  <c r="G37" i="452" s="1"/>
  <c r="Q30" i="453"/>
  <c r="S30" i="453"/>
  <c r="T38" i="453"/>
  <c r="G45" i="452" s="1"/>
  <c r="Q38" i="453"/>
  <c r="S38" i="453"/>
  <c r="T31" i="453"/>
  <c r="G38" i="452" s="1"/>
  <c r="Q31" i="453"/>
  <c r="S31" i="453"/>
  <c r="T23" i="453"/>
  <c r="G30" i="452" s="1"/>
  <c r="Q23" i="453"/>
  <c r="S23" i="453"/>
  <c r="AO24" i="453"/>
  <c r="N31" i="452" s="1"/>
  <c r="AL24" i="453"/>
  <c r="AN24" i="453"/>
  <c r="I34" i="452"/>
  <c r="BY26" i="434"/>
  <c r="BO26" i="434"/>
  <c r="BK26" i="434"/>
  <c r="BU26" i="434"/>
  <c r="BG26" i="434"/>
  <c r="BT26" i="434"/>
  <c r="BM26" i="434"/>
  <c r="CI26" i="434"/>
  <c r="BD26" i="434"/>
  <c r="BI26" i="434"/>
  <c r="BN26" i="434"/>
  <c r="CB26" i="434"/>
  <c r="BV26" i="434"/>
  <c r="BJ26" i="434"/>
  <c r="BL26" i="434"/>
  <c r="BC26" i="434"/>
  <c r="BB26" i="434"/>
  <c r="CL26" i="434"/>
  <c r="CE26" i="434"/>
  <c r="CK26" i="434"/>
  <c r="CJ26" i="434"/>
  <c r="CA26" i="434"/>
  <c r="BE26" i="434"/>
  <c r="BS26" i="434"/>
  <c r="BF26" i="434"/>
  <c r="BA26" i="434"/>
  <c r="BP26" i="434"/>
  <c r="CD26" i="434"/>
  <c r="CC26" i="434"/>
  <c r="BH26" i="434"/>
  <c r="BZ26" i="434"/>
  <c r="CF26" i="434"/>
  <c r="BW26" i="434"/>
  <c r="CG26" i="434"/>
  <c r="BX26" i="434"/>
  <c r="CH26" i="434"/>
  <c r="CM26" i="434"/>
  <c r="BQ26" i="434"/>
  <c r="AY26" i="434"/>
  <c r="BR26" i="434"/>
  <c r="AZ26" i="434"/>
  <c r="J35" i="450"/>
  <c r="K35" i="450" s="1"/>
  <c r="J26" i="450"/>
  <c r="K26" i="450" s="1"/>
  <c r="J23" i="450"/>
  <c r="K23" i="450" s="1"/>
  <c r="J32" i="450"/>
  <c r="K32" i="450" s="1"/>
  <c r="J20" i="450"/>
  <c r="K20" i="450" s="1"/>
  <c r="J29" i="450"/>
  <c r="K29" i="450" s="1"/>
  <c r="J38" i="450"/>
  <c r="K38" i="450" s="1"/>
  <c r="J30" i="450"/>
  <c r="K30" i="450" s="1"/>
  <c r="J47" i="450"/>
  <c r="K47" i="450" s="1"/>
  <c r="M9" i="451"/>
  <c r="M10" i="451"/>
  <c r="M8" i="451"/>
  <c r="AO23" i="453"/>
  <c r="N30" i="452" s="1"/>
  <c r="AL23" i="453"/>
  <c r="AN23" i="453"/>
  <c r="AO38" i="453"/>
  <c r="N45" i="452" s="1"/>
  <c r="AL38" i="453"/>
  <c r="AN38" i="453"/>
  <c r="J33" i="450"/>
  <c r="K33" i="450" s="1"/>
  <c r="T9" i="453"/>
  <c r="G16" i="452" s="1"/>
  <c r="Q9" i="453"/>
  <c r="S9" i="453"/>
  <c r="T21" i="453"/>
  <c r="G28" i="452" s="1"/>
  <c r="Q21" i="453"/>
  <c r="S21" i="453"/>
  <c r="T33" i="453"/>
  <c r="G40" i="452" s="1"/>
  <c r="Q33" i="453"/>
  <c r="S33" i="453"/>
  <c r="AO12" i="453"/>
  <c r="N19" i="452" s="1"/>
  <c r="AL12" i="453"/>
  <c r="AN12" i="453"/>
  <c r="AO14" i="453"/>
  <c r="N21" i="452" s="1"/>
  <c r="AL14" i="453"/>
  <c r="AN14" i="453"/>
  <c r="J41" i="450"/>
  <c r="K41" i="450" s="1"/>
  <c r="AO36" i="453"/>
  <c r="N43" i="452" s="1"/>
  <c r="AL36" i="453"/>
  <c r="AN36" i="453"/>
  <c r="T12" i="453"/>
  <c r="G19" i="452" s="1"/>
  <c r="Q12" i="453"/>
  <c r="S12" i="453"/>
  <c r="AO25" i="453"/>
  <c r="N32" i="452" s="1"/>
  <c r="AL25" i="453"/>
  <c r="AN25" i="453"/>
  <c r="AO20" i="453"/>
  <c r="N27" i="452" s="1"/>
  <c r="AL20" i="453"/>
  <c r="AN20" i="453"/>
  <c r="BH8" i="434"/>
  <c r="BB8" i="434"/>
  <c r="CG8" i="434"/>
  <c r="CH8" i="434"/>
  <c r="BE8" i="434"/>
  <c r="BZ8" i="434"/>
  <c r="CB8" i="434"/>
  <c r="CF8" i="434"/>
  <c r="BL8" i="434"/>
  <c r="BS8" i="434"/>
  <c r="BW8" i="434"/>
  <c r="BR8" i="434"/>
  <c r="BJ8" i="434"/>
  <c r="BX8" i="434"/>
  <c r="BD8" i="434"/>
  <c r="CC8" i="434"/>
  <c r="CI8" i="434"/>
  <c r="BM8" i="434"/>
  <c r="BT8" i="434"/>
  <c r="BV8" i="434"/>
  <c r="CD8" i="434"/>
  <c r="BN8" i="434"/>
  <c r="BO8" i="434"/>
  <c r="BK8" i="434"/>
  <c r="CA8" i="434"/>
  <c r="BI8" i="434"/>
  <c r="BG8" i="434"/>
  <c r="CE8" i="434"/>
  <c r="CJ8" i="434"/>
  <c r="BC8" i="434"/>
  <c r="AY8" i="434"/>
  <c r="CK8" i="434"/>
  <c r="AZ8" i="434"/>
  <c r="BY8" i="434"/>
  <c r="BU8" i="434"/>
  <c r="BP8" i="434"/>
  <c r="BA8" i="434"/>
  <c r="BF8" i="434"/>
  <c r="BQ8" i="434"/>
  <c r="J25" i="450"/>
  <c r="K25" i="450" s="1"/>
  <c r="R27" i="447"/>
  <c r="B15" i="450"/>
  <c r="J46" i="450"/>
  <c r="K46" i="450" s="1"/>
  <c r="T19" i="453"/>
  <c r="G26" i="452" s="1"/>
  <c r="Q19" i="453"/>
  <c r="S19" i="453"/>
  <c r="T16" i="453"/>
  <c r="G23" i="452" s="1"/>
  <c r="Q16" i="453"/>
  <c r="S16" i="453"/>
  <c r="T17" i="453"/>
  <c r="G24" i="452" s="1"/>
  <c r="Q17" i="453"/>
  <c r="S17" i="453"/>
  <c r="T13" i="453"/>
  <c r="G20" i="452" s="1"/>
  <c r="Q13" i="453"/>
  <c r="S13" i="453"/>
  <c r="T35" i="453"/>
  <c r="G42" i="452" s="1"/>
  <c r="Q35" i="453"/>
  <c r="S35" i="453"/>
  <c r="T26" i="453"/>
  <c r="G33" i="452" s="1"/>
  <c r="Q26" i="453"/>
  <c r="S26" i="453"/>
  <c r="T34" i="453"/>
  <c r="G41" i="452" s="1"/>
  <c r="Q34" i="453"/>
  <c r="S34" i="453"/>
  <c r="T18" i="453"/>
  <c r="G25" i="452" s="1"/>
  <c r="Q18" i="453"/>
  <c r="S18" i="453"/>
  <c r="AO18" i="453"/>
  <c r="N25" i="452" s="1"/>
  <c r="AL18" i="453"/>
  <c r="AN18" i="453"/>
  <c r="AO30" i="453"/>
  <c r="N37" i="452" s="1"/>
  <c r="AL30" i="453"/>
  <c r="AN30" i="453"/>
  <c r="J27" i="450"/>
  <c r="K27" i="450" s="1"/>
  <c r="J24" i="450"/>
  <c r="K24" i="450" s="1"/>
  <c r="AO32" i="453"/>
  <c r="N39" i="452" s="1"/>
  <c r="AL32" i="453"/>
  <c r="AN32" i="453"/>
  <c r="S10" i="451"/>
  <c r="S9" i="451"/>
  <c r="S8" i="451"/>
  <c r="J37" i="450"/>
  <c r="K37" i="450" s="1"/>
  <c r="AO9" i="453"/>
  <c r="N16" i="452" s="1"/>
  <c r="AL9" i="453"/>
  <c r="AN9" i="453"/>
  <c r="AO34" i="453"/>
  <c r="N41" i="452" s="1"/>
  <c r="AL34" i="453"/>
  <c r="AN34" i="453"/>
  <c r="AO19" i="453"/>
  <c r="N26" i="452" s="1"/>
  <c r="AL19" i="453"/>
  <c r="AN19" i="453"/>
  <c r="I42" i="452"/>
  <c r="J42" i="452" s="1"/>
  <c r="I36" i="452"/>
  <c r="AO21" i="453"/>
  <c r="N28" i="452" s="1"/>
  <c r="AL21" i="453"/>
  <c r="AN21" i="453"/>
  <c r="Q8" i="453"/>
  <c r="T8" i="453"/>
  <c r="G15" i="452" s="1"/>
  <c r="S8" i="453"/>
  <c r="T15" i="453"/>
  <c r="G22" i="452" s="1"/>
  <c r="Q15" i="453"/>
  <c r="S15" i="453"/>
  <c r="T14" i="453"/>
  <c r="G21" i="452" s="1"/>
  <c r="Q14" i="453"/>
  <c r="S14" i="453"/>
  <c r="AO31" i="453"/>
  <c r="N38" i="452" s="1"/>
  <c r="AL31" i="453"/>
  <c r="AN31" i="453"/>
  <c r="J45" i="450"/>
  <c r="K45" i="450" s="1"/>
  <c r="AL13" i="453"/>
  <c r="AO13" i="453"/>
  <c r="N20" i="452" s="1"/>
  <c r="AN13" i="453"/>
  <c r="AO33" i="453"/>
  <c r="N40" i="452" s="1"/>
  <c r="AL33" i="453"/>
  <c r="AN33" i="453"/>
  <c r="J44" i="450"/>
  <c r="K44" i="450" s="1"/>
  <c r="J19" i="450"/>
  <c r="K19" i="450" s="1"/>
  <c r="AL10" i="453"/>
  <c r="AO10" i="453"/>
  <c r="N17" i="452" s="1"/>
  <c r="AN10" i="453"/>
  <c r="T37" i="453"/>
  <c r="G44" i="452" s="1"/>
  <c r="Q37" i="453"/>
  <c r="S37" i="453"/>
  <c r="Q10" i="453"/>
  <c r="T10" i="453"/>
  <c r="G17" i="452" s="1"/>
  <c r="S10" i="453"/>
  <c r="T32" i="453"/>
  <c r="G39" i="452" s="1"/>
  <c r="Q32" i="453"/>
  <c r="S32" i="453"/>
  <c r="T24" i="453"/>
  <c r="G31" i="452" s="1"/>
  <c r="Q24" i="453"/>
  <c r="S24" i="453"/>
  <c r="T28" i="453"/>
  <c r="G35" i="452" s="1"/>
  <c r="Q28" i="453"/>
  <c r="S28" i="453"/>
  <c r="T22" i="453"/>
  <c r="G29" i="452" s="1"/>
  <c r="Q22" i="453"/>
  <c r="S22" i="453"/>
  <c r="T27" i="453"/>
  <c r="G34" i="452" s="1"/>
  <c r="Q27" i="453"/>
  <c r="S27" i="453"/>
  <c r="Q25" i="453"/>
  <c r="T25" i="453"/>
  <c r="G32" i="452" s="1"/>
  <c r="S25" i="453"/>
  <c r="AO37" i="453"/>
  <c r="N44" i="452" s="1"/>
  <c r="AL37" i="453"/>
  <c r="AN37" i="453"/>
  <c r="AO8" i="453"/>
  <c r="N15" i="452" s="1"/>
  <c r="AL8" i="453"/>
  <c r="AN8" i="453"/>
  <c r="J48" i="450"/>
  <c r="K48" i="450" s="1"/>
  <c r="AO26" i="453"/>
  <c r="N33" i="452" s="1"/>
  <c r="AL26" i="453"/>
  <c r="AN26" i="453"/>
  <c r="J34" i="450"/>
  <c r="K34" i="450" s="1"/>
  <c r="AO22" i="453"/>
  <c r="N29" i="452" s="1"/>
  <c r="AL22" i="453"/>
  <c r="AN22" i="453"/>
  <c r="AO28" i="453"/>
  <c r="N35" i="452" s="1"/>
  <c r="AL28" i="453"/>
  <c r="AN28" i="453"/>
  <c r="J31" i="450"/>
  <c r="K31" i="450" s="1"/>
  <c r="AO11" i="453"/>
  <c r="N18" i="452" s="1"/>
  <c r="AL11" i="453"/>
  <c r="AN11" i="453"/>
  <c r="AN26" i="459" l="1"/>
  <c r="CD14" i="459"/>
  <c r="CB26" i="459"/>
  <c r="CH30" i="459"/>
  <c r="CN6" i="459"/>
  <c r="CT15" i="459"/>
  <c r="AT30" i="459"/>
  <c r="CN30" i="459"/>
  <c r="DF14" i="459"/>
  <c r="EJ17" i="459"/>
  <c r="DR31" i="459"/>
  <c r="AF17" i="459"/>
  <c r="AH15" i="459"/>
  <c r="BX9" i="459"/>
  <c r="Z26" i="459"/>
  <c r="AL33" i="459"/>
  <c r="AB15" i="459"/>
  <c r="CV27" i="459"/>
  <c r="AX12" i="459"/>
  <c r="BP33" i="459"/>
  <c r="CH17" i="459"/>
  <c r="CV26" i="459"/>
  <c r="CN14" i="459"/>
  <c r="AH22" i="459"/>
  <c r="AN9" i="459"/>
  <c r="CD9" i="459"/>
  <c r="AX14" i="459"/>
  <c r="CV9" i="459"/>
  <c r="CP17" i="459"/>
  <c r="AH14" i="459"/>
  <c r="BR15" i="459"/>
  <c r="CZ14" i="459"/>
  <c r="EF33" i="459"/>
  <c r="DZ12" i="459"/>
  <c r="EF15" i="459"/>
  <c r="DB26" i="459"/>
  <c r="CB16" i="459"/>
  <c r="Z27" i="459"/>
  <c r="ED19" i="459"/>
  <c r="DN15" i="459"/>
  <c r="BP12" i="459"/>
  <c r="EF25" i="459"/>
  <c r="EJ31" i="459"/>
  <c r="AR8" i="459"/>
  <c r="BP8" i="459"/>
  <c r="BX23" i="459"/>
  <c r="BP6" i="459"/>
  <c r="CN11" i="459"/>
  <c r="CH19" i="459"/>
  <c r="AR6" i="459"/>
  <c r="ED7" i="459"/>
  <c r="ED27" i="459"/>
  <c r="DF7" i="459"/>
  <c r="AB7" i="459"/>
  <c r="CH24" i="459"/>
  <c r="BD12" i="459"/>
  <c r="CZ20" i="459"/>
  <c r="CT13" i="459"/>
  <c r="AR25" i="459"/>
  <c r="AX20" i="459"/>
  <c r="CP25" i="459"/>
  <c r="CB25" i="459"/>
  <c r="AF27" i="459"/>
  <c r="Z16" i="459"/>
  <c r="AX6" i="459"/>
  <c r="BX27" i="459"/>
  <c r="EF7" i="459"/>
  <c r="ED11" i="459"/>
  <c r="DT20" i="459"/>
  <c r="DT6" i="459"/>
  <c r="AH28" i="459"/>
  <c r="CT8" i="459"/>
  <c r="AB29" i="459"/>
  <c r="AH27" i="459"/>
  <c r="CZ19" i="459"/>
  <c r="V8" i="459"/>
  <c r="Z11" i="459"/>
  <c r="BD24" i="459"/>
  <c r="AT23" i="459"/>
  <c r="BR31" i="459"/>
  <c r="BX21" i="459"/>
  <c r="EJ30" i="459"/>
  <c r="DR17" i="459"/>
  <c r="AL31" i="459"/>
  <c r="DX21" i="459"/>
  <c r="DN25" i="459"/>
  <c r="DR32" i="459"/>
  <c r="Z18" i="459"/>
  <c r="AF32" i="459"/>
  <c r="CN32" i="459"/>
  <c r="V23" i="459"/>
  <c r="AN24" i="459"/>
  <c r="CN10" i="459"/>
  <c r="AL20" i="459"/>
  <c r="AT32" i="459"/>
  <c r="BL21" i="459"/>
  <c r="AR31" i="459"/>
  <c r="CN18" i="459"/>
  <c r="AT25" i="459"/>
  <c r="BJ23" i="459"/>
  <c r="AH21" i="459"/>
  <c r="CJ23" i="459"/>
  <c r="AF24" i="459"/>
  <c r="CB13" i="459"/>
  <c r="ED13" i="459"/>
  <c r="DF32" i="459"/>
  <c r="Z7" i="459"/>
  <c r="BR32" i="459"/>
  <c r="DB27" i="459"/>
  <c r="CN19" i="459"/>
  <c r="CT23" i="459"/>
  <c r="V6" i="459"/>
  <c r="BD10" i="459"/>
  <c r="BX7" i="459"/>
  <c r="CD10" i="459"/>
  <c r="CB18" i="459"/>
  <c r="AX35" i="459"/>
  <c r="BV22" i="459"/>
  <c r="AB18" i="459"/>
  <c r="BF31" i="459"/>
  <c r="Z21" i="459"/>
  <c r="AR11" i="459"/>
  <c r="BD8" i="459"/>
  <c r="AZ16" i="459"/>
  <c r="Z19" i="459"/>
  <c r="BD6" i="459"/>
  <c r="EJ24" i="459"/>
  <c r="DF11" i="459"/>
  <c r="CB20" i="459"/>
  <c r="AN34" i="459"/>
  <c r="CD16" i="459"/>
  <c r="BJ30" i="459"/>
  <c r="AZ33" i="459"/>
  <c r="AL19" i="459"/>
  <c r="AL7" i="459"/>
  <c r="BP27" i="459"/>
  <c r="CN35" i="459"/>
  <c r="CP16" i="459"/>
  <c r="AH25" i="459"/>
  <c r="DL26" i="459"/>
  <c r="DF35" i="459"/>
  <c r="CV29" i="459"/>
  <c r="CD7" i="459"/>
  <c r="BX24" i="459"/>
  <c r="AN28" i="459"/>
  <c r="EF14" i="459"/>
  <c r="DF28" i="459"/>
  <c r="DF13" i="459"/>
  <c r="CD13" i="459"/>
  <c r="BR9" i="459"/>
  <c r="CZ31" i="459"/>
  <c r="ED33" i="459"/>
  <c r="DH16" i="459"/>
  <c r="BF29" i="459"/>
  <c r="CH29" i="459"/>
  <c r="CT33" i="459"/>
  <c r="BJ10" i="459"/>
  <c r="BL29" i="459"/>
  <c r="BD13" i="459"/>
  <c r="AZ29" i="459"/>
  <c r="DZ8" i="459"/>
  <c r="DB22" i="459"/>
  <c r="EJ29" i="459"/>
  <c r="DZ35" i="459"/>
  <c r="DF16" i="459"/>
  <c r="DH11" i="459"/>
  <c r="DH19" i="459"/>
  <c r="DL8" i="459"/>
  <c r="DM39" i="459" s="1"/>
  <c r="CT30" i="459"/>
  <c r="BP20" i="459"/>
  <c r="AL9" i="459"/>
  <c r="AN16" i="459"/>
  <c r="CH27" i="459"/>
  <c r="CH11" i="459"/>
  <c r="AX22" i="459"/>
  <c r="DZ15" i="459"/>
  <c r="DR35" i="459"/>
  <c r="AX9" i="459"/>
  <c r="CB34" i="459"/>
  <c r="BD23" i="459"/>
  <c r="BP10" i="459"/>
  <c r="Z22" i="459"/>
  <c r="CD20" i="459"/>
  <c r="BF9" i="459"/>
  <c r="AB12" i="459"/>
  <c r="AL16" i="459"/>
  <c r="AT19" i="459"/>
  <c r="AR35" i="459"/>
  <c r="BF22" i="459"/>
  <c r="CN20" i="459"/>
  <c r="BR8" i="459"/>
  <c r="BF18" i="459"/>
  <c r="CB19" i="459"/>
  <c r="AB31" i="459"/>
  <c r="CH31" i="459"/>
  <c r="AZ7" i="459"/>
  <c r="BD20" i="459"/>
  <c r="CB8" i="459"/>
  <c r="CP6" i="459"/>
  <c r="BR27" i="459"/>
  <c r="BF35" i="459"/>
  <c r="DX33" i="459"/>
  <c r="DN11" i="459"/>
  <c r="DF8" i="459"/>
  <c r="DH29" i="459"/>
  <c r="DX19" i="459"/>
  <c r="EJ22" i="459"/>
  <c r="EF11" i="459"/>
  <c r="EF34" i="459"/>
  <c r="EJ6" i="459"/>
  <c r="DF20" i="459"/>
  <c r="ED20" i="459"/>
  <c r="BF16" i="459"/>
  <c r="BR21" i="459"/>
  <c r="AB11" i="459"/>
  <c r="V32" i="459"/>
  <c r="CT19" i="459"/>
  <c r="CP10" i="459"/>
  <c r="CP32" i="459"/>
  <c r="CZ33" i="459"/>
  <c r="CH22" i="459"/>
  <c r="AF21" i="459"/>
  <c r="DZ17" i="459"/>
  <c r="EF12" i="459"/>
  <c r="DR27" i="459"/>
  <c r="AX28" i="459"/>
  <c r="AN13" i="459"/>
  <c r="AZ28" i="459"/>
  <c r="CD21" i="459"/>
  <c r="AL13" i="459"/>
  <c r="CP20" i="459"/>
  <c r="BR34" i="459"/>
  <c r="AR23" i="459"/>
  <c r="CT29" i="459"/>
  <c r="BR24" i="459"/>
  <c r="DX18" i="459"/>
  <c r="DL28" i="459"/>
  <c r="ED31" i="459"/>
  <c r="DZ29" i="459"/>
  <c r="BX28" i="459"/>
  <c r="AX18" i="459"/>
  <c r="EF21" i="459"/>
  <c r="Z31" i="459"/>
  <c r="DL10" i="459"/>
  <c r="ED18" i="459"/>
  <c r="CD18" i="459"/>
  <c r="CH18" i="459"/>
  <c r="AT10" i="459"/>
  <c r="AX10" i="459"/>
  <c r="AN20" i="459"/>
  <c r="AR20" i="459"/>
  <c r="DN34" i="459"/>
  <c r="DR34" i="459"/>
  <c r="DB34" i="459"/>
  <c r="DF34" i="459"/>
  <c r="DB24" i="459"/>
  <c r="DF24" i="459"/>
  <c r="DZ6" i="459"/>
  <c r="ED6" i="459"/>
  <c r="AB6" i="459"/>
  <c r="AF6" i="459"/>
  <c r="BV30" i="459"/>
  <c r="BR30" i="459"/>
  <c r="V30" i="459"/>
  <c r="Z30" i="459"/>
  <c r="EF16" i="459"/>
  <c r="EJ16" i="459"/>
  <c r="DH35" i="459"/>
  <c r="DL35" i="459"/>
  <c r="EF35" i="459"/>
  <c r="EJ35" i="459"/>
  <c r="AZ27" i="459"/>
  <c r="BD27" i="459"/>
  <c r="AT27" i="459"/>
  <c r="DL22" i="459"/>
  <c r="CZ10" i="459"/>
  <c r="CV10" i="459"/>
  <c r="CV32" i="459"/>
  <c r="CZ32" i="459"/>
  <c r="V13" i="459"/>
  <c r="Z13" i="459"/>
  <c r="CZ21" i="459"/>
  <c r="CV21" i="459"/>
  <c r="DZ23" i="459"/>
  <c r="ED23" i="459"/>
  <c r="AH34" i="459"/>
  <c r="AL34" i="459"/>
  <c r="CD25" i="459"/>
  <c r="CH25" i="459"/>
  <c r="AH29" i="459"/>
  <c r="AL29" i="459"/>
  <c r="AX34" i="459"/>
  <c r="AT34" i="459"/>
  <c r="DF12" i="459"/>
  <c r="DB12" i="459"/>
  <c r="DT25" i="459"/>
  <c r="DX25" i="459"/>
  <c r="CN12" i="459"/>
  <c r="CJ12" i="459"/>
  <c r="V20" i="459"/>
  <c r="Z20" i="459"/>
  <c r="CZ25" i="459"/>
  <c r="CV25" i="459"/>
  <c r="CJ29" i="459"/>
  <c r="CN29" i="459"/>
  <c r="BR12" i="459"/>
  <c r="BV12" i="459"/>
  <c r="CZ6" i="459"/>
  <c r="CV6" i="459"/>
  <c r="DN26" i="459"/>
  <c r="DR26" i="459"/>
  <c r="DF19" i="459"/>
  <c r="DB19" i="459"/>
  <c r="CV11" i="459"/>
  <c r="CZ11" i="459"/>
  <c r="EJ27" i="459"/>
  <c r="EF27" i="459"/>
  <c r="BJ7" i="459"/>
  <c r="BF7" i="459"/>
  <c r="AZ35" i="459"/>
  <c r="BD35" i="459"/>
  <c r="AN19" i="459"/>
  <c r="AR19" i="459"/>
  <c r="CJ8" i="459"/>
  <c r="CN8" i="459"/>
  <c r="DN8" i="459"/>
  <c r="DR8" i="459"/>
  <c r="CT11" i="459"/>
  <c r="CP11" i="459"/>
  <c r="CN7" i="459"/>
  <c r="CJ7" i="459"/>
  <c r="CH28" i="459"/>
  <c r="CN25" i="459"/>
  <c r="BX35" i="459"/>
  <c r="BF32" i="459"/>
  <c r="DX23" i="459"/>
  <c r="DX9" i="459"/>
  <c r="BX6" i="459"/>
  <c r="AR21" i="459"/>
  <c r="V12" i="459"/>
  <c r="CV30" i="459"/>
  <c r="BL7" i="459"/>
  <c r="CP28" i="459"/>
  <c r="AR12" i="459"/>
  <c r="CB33" i="459"/>
  <c r="AB22" i="459"/>
  <c r="CP35" i="459"/>
  <c r="DH18" i="459"/>
  <c r="DR12" i="459"/>
  <c r="CJ13" i="459"/>
  <c r="CN13" i="459"/>
  <c r="EJ32" i="459"/>
  <c r="EF32" i="459"/>
  <c r="AX21" i="459"/>
  <c r="AT21" i="459"/>
  <c r="BV13" i="459"/>
  <c r="BR13" i="459"/>
  <c r="ED10" i="459"/>
  <c r="DZ10" i="459"/>
  <c r="DH24" i="459"/>
  <c r="DL24" i="459"/>
  <c r="BP31" i="459"/>
  <c r="BL31" i="459"/>
  <c r="DT12" i="459"/>
  <c r="DX12" i="459"/>
  <c r="BV25" i="459"/>
  <c r="BR25" i="459"/>
  <c r="DH34" i="459"/>
  <c r="DL34" i="459"/>
  <c r="CN24" i="459"/>
  <c r="CJ24" i="459"/>
  <c r="AF16" i="459"/>
  <c r="AB16" i="459"/>
  <c r="DX7" i="459"/>
  <c r="DT7" i="459"/>
  <c r="BX22" i="459"/>
  <c r="CB22" i="459"/>
  <c r="BP22" i="459"/>
  <c r="BL22" i="459"/>
  <c r="CZ12" i="459"/>
  <c r="CV13" i="459"/>
  <c r="DZ16" i="459"/>
  <c r="CJ9" i="459"/>
  <c r="AF19" i="459"/>
  <c r="AT29" i="459"/>
  <c r="BJ11" i="459"/>
  <c r="CN28" i="459"/>
  <c r="BD19" i="459"/>
  <c r="BL16" i="459"/>
  <c r="BV7" i="459"/>
  <c r="AH35" i="459"/>
  <c r="BR18" i="459"/>
  <c r="AB10" i="459"/>
  <c r="BR11" i="459"/>
  <c r="DH25" i="459"/>
  <c r="DT28" i="459"/>
  <c r="V28" i="459"/>
  <c r="CZ16" i="459"/>
  <c r="CH8" i="459"/>
  <c r="CV18" i="459"/>
  <c r="CT31" i="459"/>
  <c r="BR19" i="459"/>
  <c r="BD25" i="459"/>
  <c r="AB35" i="459"/>
  <c r="CV22" i="459"/>
  <c r="CN16" i="459"/>
  <c r="AT8" i="459"/>
  <c r="BP24" i="459"/>
  <c r="BP35" i="459"/>
  <c r="AL11" i="459"/>
  <c r="BR20" i="459"/>
  <c r="BV16" i="459"/>
  <c r="BV6" i="459"/>
  <c r="CN31" i="459"/>
  <c r="BJ24" i="459"/>
  <c r="AR27" i="459"/>
  <c r="EJ13" i="459"/>
  <c r="DF10" i="459"/>
  <c r="DX24" i="459"/>
  <c r="DR7" i="459"/>
  <c r="AF34" i="459"/>
  <c r="BP19" i="459"/>
  <c r="CD6" i="459"/>
  <c r="BR33" i="459"/>
  <c r="AF25" i="459"/>
  <c r="CP7" i="459"/>
  <c r="BV29" i="459"/>
  <c r="DR22" i="459"/>
  <c r="DR6" i="459"/>
  <c r="ED22" i="459"/>
  <c r="DF6" i="459"/>
  <c r="BD30" i="459"/>
  <c r="AB20" i="459"/>
  <c r="BJ13" i="459"/>
  <c r="CV23" i="459"/>
  <c r="BP32" i="459"/>
  <c r="AZ21" i="459"/>
  <c r="AF23" i="459"/>
  <c r="DL13" i="459"/>
  <c r="P32" i="451"/>
  <c r="G51" i="448" s="1"/>
  <c r="O32" i="451"/>
  <c r="F51" i="448" s="1"/>
  <c r="N32" i="451"/>
  <c r="E51" i="448" s="1"/>
  <c r="P28" i="451"/>
  <c r="N28" i="451" s="1"/>
  <c r="O28" i="451"/>
  <c r="F47" i="448" s="1"/>
  <c r="O20" i="451"/>
  <c r="F39" i="448" s="1"/>
  <c r="P20" i="451"/>
  <c r="N20" i="451" s="1"/>
  <c r="O16" i="451"/>
  <c r="F35" i="448" s="1"/>
  <c r="P16" i="451"/>
  <c r="N16" i="451" s="1"/>
  <c r="P12" i="451"/>
  <c r="N12" i="451" s="1"/>
  <c r="O12" i="451"/>
  <c r="F31" i="448" s="1"/>
  <c r="V31" i="451"/>
  <c r="L50" i="448" s="1"/>
  <c r="U31" i="451"/>
  <c r="K50" i="448" s="1"/>
  <c r="T31" i="451"/>
  <c r="J50" i="448" s="1"/>
  <c r="V27" i="451"/>
  <c r="T27" i="451" s="1"/>
  <c r="U27" i="451"/>
  <c r="K46" i="448" s="1"/>
  <c r="V23" i="451"/>
  <c r="T23" i="451" s="1"/>
  <c r="U23" i="451"/>
  <c r="K42" i="448" s="1"/>
  <c r="V15" i="451"/>
  <c r="T15" i="451" s="1"/>
  <c r="U15" i="451"/>
  <c r="K34" i="448" s="1"/>
  <c r="N31" i="451"/>
  <c r="P31" i="451"/>
  <c r="O31" i="451"/>
  <c r="F50" i="448" s="1"/>
  <c r="O27" i="451"/>
  <c r="F46" i="448" s="1"/>
  <c r="P27" i="451"/>
  <c r="N27" i="451" s="1"/>
  <c r="O23" i="451"/>
  <c r="F42" i="448" s="1"/>
  <c r="P23" i="451"/>
  <c r="N23" i="451" s="1"/>
  <c r="O19" i="451"/>
  <c r="F38" i="448" s="1"/>
  <c r="P19" i="451"/>
  <c r="G38" i="448" s="1"/>
  <c r="O15" i="451"/>
  <c r="F34" i="448" s="1"/>
  <c r="P15" i="451"/>
  <c r="N15" i="451" s="1"/>
  <c r="T34" i="451"/>
  <c r="J53" i="448" s="1"/>
  <c r="U34" i="451"/>
  <c r="K53" i="448" s="1"/>
  <c r="V34" i="451"/>
  <c r="L53" i="448" s="1"/>
  <c r="V30" i="451"/>
  <c r="T30" i="451" s="1"/>
  <c r="U30" i="451"/>
  <c r="K49" i="448" s="1"/>
  <c r="U26" i="451"/>
  <c r="K45" i="448" s="1"/>
  <c r="V26" i="451"/>
  <c r="T26" i="451" s="1"/>
  <c r="U22" i="451"/>
  <c r="K41" i="448" s="1"/>
  <c r="V22" i="451"/>
  <c r="T22" i="451" s="1"/>
  <c r="U18" i="451"/>
  <c r="K37" i="448" s="1"/>
  <c r="V18" i="451"/>
  <c r="T18" i="451" s="1"/>
  <c r="U14" i="451"/>
  <c r="K33" i="448" s="1"/>
  <c r="V14" i="451"/>
  <c r="L33" i="448" s="1"/>
  <c r="O24" i="451"/>
  <c r="F43" i="448" s="1"/>
  <c r="P24" i="451"/>
  <c r="N24" i="451" s="1"/>
  <c r="N34" i="451"/>
  <c r="E53" i="448" s="1"/>
  <c r="O34" i="451"/>
  <c r="F53" i="448" s="1"/>
  <c r="P34" i="451"/>
  <c r="G53" i="448" s="1"/>
  <c r="O30" i="451"/>
  <c r="F49" i="448" s="1"/>
  <c r="P30" i="451"/>
  <c r="G49" i="448" s="1"/>
  <c r="O26" i="451"/>
  <c r="F45" i="448" s="1"/>
  <c r="P26" i="451"/>
  <c r="N26" i="451" s="1"/>
  <c r="O22" i="451"/>
  <c r="F41" i="448" s="1"/>
  <c r="P22" i="451"/>
  <c r="N22" i="451" s="1"/>
  <c r="P18" i="451"/>
  <c r="N18" i="451" s="1"/>
  <c r="O18" i="451"/>
  <c r="F37" i="448" s="1"/>
  <c r="O14" i="451"/>
  <c r="F33" i="448" s="1"/>
  <c r="P14" i="451"/>
  <c r="N14" i="451" s="1"/>
  <c r="T33" i="451"/>
  <c r="J52" i="448" s="1"/>
  <c r="U33" i="451"/>
  <c r="K52" i="448" s="1"/>
  <c r="V33" i="451"/>
  <c r="L52" i="448" s="1"/>
  <c r="U29" i="451"/>
  <c r="K48" i="448" s="1"/>
  <c r="V29" i="451"/>
  <c r="T29" i="451" s="1"/>
  <c r="U25" i="451"/>
  <c r="K44" i="448" s="1"/>
  <c r="V25" i="451"/>
  <c r="T25" i="451" s="1"/>
  <c r="U21" i="451"/>
  <c r="K40" i="448" s="1"/>
  <c r="V21" i="451"/>
  <c r="T21" i="451" s="1"/>
  <c r="V17" i="451"/>
  <c r="T17" i="451" s="1"/>
  <c r="U17" i="451"/>
  <c r="K36" i="448" s="1"/>
  <c r="U12" i="451"/>
  <c r="K31" i="448" s="1"/>
  <c r="V12" i="451"/>
  <c r="T12" i="451" s="1"/>
  <c r="U19" i="451"/>
  <c r="K38" i="448" s="1"/>
  <c r="V19" i="451"/>
  <c r="T19" i="451" s="1"/>
  <c r="O33" i="451"/>
  <c r="F52" i="448" s="1"/>
  <c r="P33" i="451"/>
  <c r="G52" i="448" s="1"/>
  <c r="N33" i="451"/>
  <c r="E52" i="448" s="1"/>
  <c r="O29" i="451"/>
  <c r="F48" i="448" s="1"/>
  <c r="P29" i="451"/>
  <c r="G48" i="448" s="1"/>
  <c r="P25" i="451"/>
  <c r="N25" i="451" s="1"/>
  <c r="O25" i="451"/>
  <c r="F44" i="448" s="1"/>
  <c r="O21" i="451"/>
  <c r="F40" i="448" s="1"/>
  <c r="P21" i="451"/>
  <c r="N21" i="451" s="1"/>
  <c r="O17" i="451"/>
  <c r="F36" i="448" s="1"/>
  <c r="P17" i="451"/>
  <c r="N17" i="451" s="1"/>
  <c r="O13" i="451"/>
  <c r="F32" i="448" s="1"/>
  <c r="P13" i="451"/>
  <c r="N13" i="451" s="1"/>
  <c r="U32" i="451"/>
  <c r="K51" i="448" s="1"/>
  <c r="T32" i="451"/>
  <c r="J51" i="448" s="1"/>
  <c r="V32" i="451"/>
  <c r="L51" i="448" s="1"/>
  <c r="U28" i="451"/>
  <c r="K47" i="448" s="1"/>
  <c r="V28" i="451"/>
  <c r="T28" i="451" s="1"/>
  <c r="V24" i="451"/>
  <c r="T24" i="451" s="1"/>
  <c r="U24" i="451"/>
  <c r="K43" i="448" s="1"/>
  <c r="U20" i="451"/>
  <c r="K39" i="448" s="1"/>
  <c r="V20" i="451"/>
  <c r="L39" i="448" s="1"/>
  <c r="V16" i="451"/>
  <c r="T16" i="451" s="1"/>
  <c r="U16" i="451"/>
  <c r="K35" i="448" s="1"/>
  <c r="U13" i="451"/>
  <c r="K32" i="448" s="1"/>
  <c r="V13" i="451"/>
  <c r="T13" i="451" s="1"/>
  <c r="DB23" i="459"/>
  <c r="CZ34" i="459"/>
  <c r="AL18" i="459"/>
  <c r="CT21" i="459"/>
  <c r="BV10" i="459"/>
  <c r="BR28" i="459"/>
  <c r="CJ34" i="459"/>
  <c r="CH12" i="459"/>
  <c r="BJ25" i="459"/>
  <c r="AR29" i="459"/>
  <c r="CV28" i="459"/>
  <c r="BD34" i="459"/>
  <c r="DR28" i="459"/>
  <c r="EJ23" i="459"/>
  <c r="DX32" i="459"/>
  <c r="DF21" i="459"/>
  <c r="BP25" i="459"/>
  <c r="BP13" i="459"/>
  <c r="AX24" i="459"/>
  <c r="CB10" i="459"/>
  <c r="BJ28" i="459"/>
  <c r="CP34" i="459"/>
  <c r="BX32" i="459"/>
  <c r="Z29" i="459"/>
  <c r="CT24" i="459"/>
  <c r="DL32" i="459"/>
  <c r="DL21" i="459"/>
  <c r="DX13" i="459"/>
  <c r="ED25" i="459"/>
  <c r="ED34" i="459"/>
  <c r="BF20" i="459"/>
  <c r="Z34" i="459"/>
  <c r="BP28" i="459"/>
  <c r="CB12" i="459"/>
  <c r="BD18" i="459"/>
  <c r="AH23" i="459"/>
  <c r="Z10" i="459"/>
  <c r="AN10" i="459"/>
  <c r="EJ10" i="459"/>
  <c r="BL18" i="459"/>
  <c r="CN21" i="459"/>
  <c r="DL23" i="459"/>
  <c r="EJ28" i="459"/>
  <c r="DZ24" i="459"/>
  <c r="O39" i="459"/>
  <c r="U39" i="459"/>
  <c r="BJ12" i="459"/>
  <c r="AH32" i="459"/>
  <c r="DL20" i="459"/>
  <c r="ED21" i="459"/>
  <c r="DX31" i="459"/>
  <c r="EJ20" i="459"/>
  <c r="AR32" i="459"/>
  <c r="CD32" i="459"/>
  <c r="V25" i="459"/>
  <c r="AZ31" i="459"/>
  <c r="CB29" i="459"/>
  <c r="BJ34" i="459"/>
  <c r="AL12" i="459"/>
  <c r="BX31" i="459"/>
  <c r="V24" i="459"/>
  <c r="AZ32" i="459"/>
  <c r="CH23" i="459"/>
  <c r="AB28" i="459"/>
  <c r="BP23" i="459"/>
  <c r="DF25" i="459"/>
  <c r="DT10" i="459"/>
  <c r="AH10" i="459"/>
  <c r="EF18" i="459"/>
  <c r="BR23" i="459"/>
  <c r="BJ21" i="459"/>
  <c r="AN18" i="459"/>
  <c r="CP18" i="459"/>
  <c r="DF18" i="459"/>
  <c r="AT13" i="459"/>
  <c r="M34" i="452"/>
  <c r="AQ6" i="432"/>
  <c r="AP6" i="432"/>
  <c r="AM6" i="432"/>
  <c r="AN6" i="432"/>
  <c r="AO6" i="432"/>
  <c r="AQ29" i="453"/>
  <c r="K22" i="432"/>
  <c r="K15" i="432"/>
  <c r="K13" i="432"/>
  <c r="K20" i="432"/>
  <c r="K9" i="432"/>
  <c r="K10" i="432"/>
  <c r="K33" i="432"/>
  <c r="K19" i="432"/>
  <c r="O18" i="431"/>
  <c r="Q18" i="431" s="1"/>
  <c r="V7" i="432"/>
  <c r="AA7" i="432" s="1"/>
  <c r="AH7" i="432"/>
  <c r="T9" i="432"/>
  <c r="P20" i="431" s="1"/>
  <c r="J20" i="431"/>
  <c r="AE9" i="432"/>
  <c r="AB9" i="432"/>
  <c r="O29" i="431"/>
  <c r="Q29" i="431" s="1"/>
  <c r="V18" i="432"/>
  <c r="AA18" i="432" s="1"/>
  <c r="AH18" i="432"/>
  <c r="AH11" i="432"/>
  <c r="O22" i="431"/>
  <c r="Q22" i="431" s="1"/>
  <c r="V11" i="432"/>
  <c r="AD11" i="432" s="1"/>
  <c r="K12" i="432"/>
  <c r="O23" i="431"/>
  <c r="Q23" i="431" s="1"/>
  <c r="V12" i="432"/>
  <c r="AA12" i="432" s="1"/>
  <c r="AH12" i="432"/>
  <c r="AH6" i="432"/>
  <c r="O17" i="431"/>
  <c r="Q17" i="431" s="1"/>
  <c r="V6" i="432"/>
  <c r="AD6" i="432" s="1"/>
  <c r="AB16" i="432"/>
  <c r="T16" i="432"/>
  <c r="P27" i="431" s="1"/>
  <c r="J27" i="431"/>
  <c r="AE16" i="432"/>
  <c r="AH16" i="432"/>
  <c r="V16" i="432"/>
  <c r="AD16" i="432" s="1"/>
  <c r="O27" i="431"/>
  <c r="Q27" i="431" s="1"/>
  <c r="O37" i="431"/>
  <c r="Q37" i="431" s="1"/>
  <c r="AH26" i="432"/>
  <c r="V26" i="432"/>
  <c r="AD26" i="432" s="1"/>
  <c r="M35" i="432"/>
  <c r="V22" i="432"/>
  <c r="AD22" i="432" s="1"/>
  <c r="AH22" i="432"/>
  <c r="O33" i="431"/>
  <c r="Q33" i="431" s="1"/>
  <c r="M30" i="432"/>
  <c r="M33" i="432"/>
  <c r="AH32" i="432"/>
  <c r="V32" i="432"/>
  <c r="AA32" i="432" s="1"/>
  <c r="O43" i="431"/>
  <c r="Q43" i="431" s="1"/>
  <c r="AH24" i="432"/>
  <c r="V24" i="432"/>
  <c r="AA24" i="432" s="1"/>
  <c r="O35" i="431"/>
  <c r="Q35" i="431" s="1"/>
  <c r="M24" i="432"/>
  <c r="M8" i="432"/>
  <c r="J24" i="431"/>
  <c r="T13" i="432"/>
  <c r="P24" i="431" s="1"/>
  <c r="AE13" i="432"/>
  <c r="AB13" i="432"/>
  <c r="AH21" i="432"/>
  <c r="V21" i="432"/>
  <c r="AA21" i="432" s="1"/>
  <c r="O32" i="431"/>
  <c r="Q32" i="431" s="1"/>
  <c r="M21" i="432"/>
  <c r="M20" i="432"/>
  <c r="K31" i="432"/>
  <c r="AH31" i="432"/>
  <c r="O42" i="431"/>
  <c r="Q42" i="431" s="1"/>
  <c r="V31" i="432"/>
  <c r="AA31" i="432" s="1"/>
  <c r="J34" i="431"/>
  <c r="AB23" i="432"/>
  <c r="T23" i="432"/>
  <c r="P34" i="431" s="1"/>
  <c r="AE23" i="432"/>
  <c r="M29" i="432"/>
  <c r="AH29" i="432"/>
  <c r="V29" i="432"/>
  <c r="AD29" i="432" s="1"/>
  <c r="O40" i="431"/>
  <c r="Q40" i="431" s="1"/>
  <c r="V28" i="432"/>
  <c r="AA28" i="432" s="1"/>
  <c r="O39" i="431"/>
  <c r="Q39" i="431" s="1"/>
  <c r="AH28" i="432"/>
  <c r="M25" i="432"/>
  <c r="O45" i="431"/>
  <c r="Q45" i="431" s="1"/>
  <c r="V34" i="432"/>
  <c r="AA34" i="432" s="1"/>
  <c r="AH34" i="432"/>
  <c r="M7" i="432"/>
  <c r="O26" i="431"/>
  <c r="Q26" i="431" s="1"/>
  <c r="AH15" i="432"/>
  <c r="V15" i="432"/>
  <c r="AA15" i="432" s="1"/>
  <c r="M18" i="432"/>
  <c r="T18" i="432"/>
  <c r="P29" i="431" s="1"/>
  <c r="J29" i="431"/>
  <c r="AB18" i="432"/>
  <c r="AE18" i="432"/>
  <c r="K27" i="432"/>
  <c r="M12" i="432"/>
  <c r="M6" i="432"/>
  <c r="K26" i="432"/>
  <c r="J21" i="431"/>
  <c r="AB10" i="432"/>
  <c r="AE10" i="432"/>
  <c r="T10" i="432"/>
  <c r="P21" i="431" s="1"/>
  <c r="O46" i="431"/>
  <c r="Q46" i="431" s="1"/>
  <c r="AH35" i="432"/>
  <c r="V35" i="432"/>
  <c r="AA35" i="432" s="1"/>
  <c r="J33" i="431"/>
  <c r="AB22" i="432"/>
  <c r="AE22" i="432"/>
  <c r="T22" i="432"/>
  <c r="P33" i="431" s="1"/>
  <c r="K30" i="432"/>
  <c r="AE30" i="432"/>
  <c r="T30" i="432"/>
  <c r="P41" i="431" s="1"/>
  <c r="AB30" i="432"/>
  <c r="J41" i="431"/>
  <c r="M32" i="432"/>
  <c r="K8" i="432"/>
  <c r="AH8" i="432"/>
  <c r="O19" i="431"/>
  <c r="Q19" i="431" s="1"/>
  <c r="V8" i="432"/>
  <c r="AD8" i="432" s="1"/>
  <c r="AH13" i="432"/>
  <c r="V13" i="432"/>
  <c r="AA13" i="432" s="1"/>
  <c r="O24" i="431"/>
  <c r="Q24" i="431" s="1"/>
  <c r="J32" i="431"/>
  <c r="AB21" i="432"/>
  <c r="AD21" i="432"/>
  <c r="T21" i="432"/>
  <c r="P32" i="431" s="1"/>
  <c r="AE21" i="432"/>
  <c r="T20" i="432"/>
  <c r="P31" i="431" s="1"/>
  <c r="J31" i="431"/>
  <c r="AB20" i="432"/>
  <c r="AE20" i="432"/>
  <c r="K14" i="432"/>
  <c r="V14" i="432"/>
  <c r="AA14" i="432" s="1"/>
  <c r="O25" i="431"/>
  <c r="Q25" i="431" s="1"/>
  <c r="AH14" i="432"/>
  <c r="O34" i="431"/>
  <c r="Q34" i="431" s="1"/>
  <c r="V23" i="432"/>
  <c r="AD23" i="432" s="1"/>
  <c r="AH23" i="432"/>
  <c r="K28" i="432"/>
  <c r="T19" i="432"/>
  <c r="P30" i="431" s="1"/>
  <c r="AE19" i="432"/>
  <c r="AB19" i="432"/>
  <c r="J30" i="431"/>
  <c r="AE25" i="432"/>
  <c r="AB25" i="432"/>
  <c r="T25" i="432"/>
  <c r="P36" i="431" s="1"/>
  <c r="J36" i="431"/>
  <c r="K17" i="432"/>
  <c r="K7" i="432"/>
  <c r="J18" i="431"/>
  <c r="T7" i="432"/>
  <c r="P18" i="431" s="1"/>
  <c r="AB7" i="432"/>
  <c r="AD7" i="432"/>
  <c r="AE7" i="432"/>
  <c r="M9" i="432"/>
  <c r="M15" i="432"/>
  <c r="AB15" i="432"/>
  <c r="J26" i="431"/>
  <c r="T15" i="432"/>
  <c r="P26" i="431" s="1"/>
  <c r="AE15" i="432"/>
  <c r="K11" i="432"/>
  <c r="M27" i="432"/>
  <c r="V27" i="432"/>
  <c r="AA27" i="432" s="1"/>
  <c r="AH27" i="432"/>
  <c r="O38" i="431"/>
  <c r="Q38" i="431" s="1"/>
  <c r="J23" i="431"/>
  <c r="AB12" i="432"/>
  <c r="AE12" i="432"/>
  <c r="T12" i="432"/>
  <c r="P23" i="431" s="1"/>
  <c r="K16" i="432"/>
  <c r="AB26" i="432"/>
  <c r="T26" i="432"/>
  <c r="P37" i="431" s="1"/>
  <c r="J37" i="431"/>
  <c r="AE26" i="432"/>
  <c r="M26" i="432"/>
  <c r="AH10" i="432"/>
  <c r="O21" i="431"/>
  <c r="Q21" i="431" s="1"/>
  <c r="V10" i="432"/>
  <c r="AD10" i="432" s="1"/>
  <c r="M10" i="432"/>
  <c r="AH33" i="432"/>
  <c r="O44" i="431"/>
  <c r="Q44" i="431" s="1"/>
  <c r="V33" i="432"/>
  <c r="AA33" i="432" s="1"/>
  <c r="T33" i="432"/>
  <c r="P44" i="431" s="1"/>
  <c r="J44" i="431"/>
  <c r="AE33" i="432"/>
  <c r="AB33" i="432"/>
  <c r="AE32" i="432"/>
  <c r="T32" i="432"/>
  <c r="P43" i="431" s="1"/>
  <c r="J43" i="431"/>
  <c r="AB32" i="432"/>
  <c r="K24" i="432"/>
  <c r="AB8" i="432"/>
  <c r="T8" i="432"/>
  <c r="P19" i="431" s="1"/>
  <c r="J19" i="431"/>
  <c r="AE8" i="432"/>
  <c r="M14" i="432"/>
  <c r="AD31" i="432"/>
  <c r="AB31" i="432"/>
  <c r="T31" i="432"/>
  <c r="P42" i="431" s="1"/>
  <c r="AE31" i="432"/>
  <c r="J42" i="431"/>
  <c r="M23" i="432"/>
  <c r="K29" i="432"/>
  <c r="J40" i="431"/>
  <c r="AB29" i="432"/>
  <c r="T29" i="432"/>
  <c r="P40" i="431" s="1"/>
  <c r="AE29" i="432"/>
  <c r="J39" i="431"/>
  <c r="AE28" i="432"/>
  <c r="T28" i="432"/>
  <c r="P39" i="431" s="1"/>
  <c r="AB28" i="432"/>
  <c r="M19" i="432"/>
  <c r="K34" i="432"/>
  <c r="M34" i="432"/>
  <c r="AB17" i="432"/>
  <c r="T17" i="432"/>
  <c r="P28" i="431" s="1"/>
  <c r="J28" i="431"/>
  <c r="AE17" i="432"/>
  <c r="O20" i="431"/>
  <c r="Q20" i="431" s="1"/>
  <c r="AH9" i="432"/>
  <c r="V9" i="432"/>
  <c r="AD9" i="432" s="1"/>
  <c r="K18" i="432"/>
  <c r="M11" i="432"/>
  <c r="AB11" i="432"/>
  <c r="AE11" i="432"/>
  <c r="J22" i="431"/>
  <c r="T11" i="432"/>
  <c r="P22" i="431" s="1"/>
  <c r="AB27" i="432"/>
  <c r="AD27" i="432"/>
  <c r="J38" i="431"/>
  <c r="T27" i="432"/>
  <c r="P38" i="431" s="1"/>
  <c r="AE27" i="432"/>
  <c r="K6" i="432"/>
  <c r="J17" i="431"/>
  <c r="AE6" i="432"/>
  <c r="AB6" i="432"/>
  <c r="T6" i="432"/>
  <c r="P17" i="431" s="1"/>
  <c r="M16" i="432"/>
  <c r="K35" i="432"/>
  <c r="AB35" i="432"/>
  <c r="J46" i="431"/>
  <c r="T35" i="432"/>
  <c r="P46" i="431" s="1"/>
  <c r="AE35" i="432"/>
  <c r="M22" i="432"/>
  <c r="V30" i="432"/>
  <c r="AA30" i="432" s="1"/>
  <c r="AH30" i="432"/>
  <c r="O41" i="431"/>
  <c r="Q41" i="431" s="1"/>
  <c r="K32" i="432"/>
  <c r="AB24" i="432"/>
  <c r="AE24" i="432"/>
  <c r="T24" i="432"/>
  <c r="P35" i="431" s="1"/>
  <c r="J35" i="431"/>
  <c r="M13" i="432"/>
  <c r="K21" i="432"/>
  <c r="O31" i="431"/>
  <c r="Q31" i="431" s="1"/>
  <c r="V20" i="432"/>
  <c r="AA20" i="432" s="1"/>
  <c r="AH20" i="432"/>
  <c r="T14" i="432"/>
  <c r="P25" i="431" s="1"/>
  <c r="AE14" i="432"/>
  <c r="AB14" i="432"/>
  <c r="J25" i="431"/>
  <c r="M31" i="432"/>
  <c r="K23" i="432"/>
  <c r="M28" i="432"/>
  <c r="O30" i="431"/>
  <c r="Q30" i="431" s="1"/>
  <c r="V19" i="432"/>
  <c r="AA19" i="432" s="1"/>
  <c r="AH19" i="432"/>
  <c r="K25" i="432"/>
  <c r="V25" i="432"/>
  <c r="AD25" i="432" s="1"/>
  <c r="AH25" i="432"/>
  <c r="O36" i="431"/>
  <c r="Q36" i="431" s="1"/>
  <c r="AB34" i="432"/>
  <c r="T34" i="432"/>
  <c r="P45" i="431" s="1"/>
  <c r="AE34" i="432"/>
  <c r="J45" i="431"/>
  <c r="M17" i="432"/>
  <c r="O28" i="431"/>
  <c r="Q28" i="431" s="1"/>
  <c r="AH17" i="432"/>
  <c r="V17" i="432"/>
  <c r="AD17" i="432" s="1"/>
  <c r="AP27" i="453"/>
  <c r="AT27" i="453" s="1"/>
  <c r="J34" i="452"/>
  <c r="U11" i="451"/>
  <c r="K30" i="448" s="1"/>
  <c r="V11" i="451"/>
  <c r="L30" i="448" s="1"/>
  <c r="P11" i="451"/>
  <c r="N11" i="451" s="1"/>
  <c r="O11" i="451"/>
  <c r="F30" i="448" s="1"/>
  <c r="AQ35" i="453"/>
  <c r="AP35" i="453"/>
  <c r="AT35" i="453" s="1"/>
  <c r="BQ39" i="459"/>
  <c r="AY39" i="459"/>
  <c r="CU39" i="459"/>
  <c r="AP29" i="453"/>
  <c r="AT29" i="453" s="1"/>
  <c r="J36" i="452"/>
  <c r="I15" i="452"/>
  <c r="AP30" i="453"/>
  <c r="AT30" i="453" s="1"/>
  <c r="AQ30" i="453"/>
  <c r="M37" i="452"/>
  <c r="U18" i="453"/>
  <c r="Y18" i="453" s="1"/>
  <c r="V18" i="453"/>
  <c r="F25" i="452"/>
  <c r="F42" i="452"/>
  <c r="V35" i="453"/>
  <c r="U35" i="453"/>
  <c r="Y35" i="453" s="1"/>
  <c r="U17" i="453"/>
  <c r="V17" i="453"/>
  <c r="F24" i="452"/>
  <c r="U19" i="453"/>
  <c r="Y19" i="453" s="1"/>
  <c r="F26" i="452"/>
  <c r="V19" i="453"/>
  <c r="B19" i="452"/>
  <c r="C19" i="452" s="1"/>
  <c r="AP12" i="453"/>
  <c r="AT12" i="453" s="1"/>
  <c r="AQ12" i="453"/>
  <c r="M19" i="452"/>
  <c r="U21" i="453"/>
  <c r="Y21" i="453" s="1"/>
  <c r="V21" i="453"/>
  <c r="F28" i="452"/>
  <c r="U23" i="453"/>
  <c r="Y23" i="453" s="1"/>
  <c r="F30" i="452"/>
  <c r="V23" i="453"/>
  <c r="U38" i="453"/>
  <c r="Y38" i="453" s="1"/>
  <c r="F45" i="452"/>
  <c r="V38" i="453"/>
  <c r="U20" i="453"/>
  <c r="Y20" i="453" s="1"/>
  <c r="V20" i="453"/>
  <c r="F27" i="452"/>
  <c r="V36" i="453"/>
  <c r="F43" i="452"/>
  <c r="U36" i="453"/>
  <c r="Y36" i="453" s="1"/>
  <c r="U11" i="453"/>
  <c r="Y11" i="453" s="1"/>
  <c r="V11" i="453"/>
  <c r="F18" i="452"/>
  <c r="AP17" i="453"/>
  <c r="AT17" i="453" s="1"/>
  <c r="AQ17" i="453"/>
  <c r="M24" i="452"/>
  <c r="AP28" i="453"/>
  <c r="AT28" i="453" s="1"/>
  <c r="M35" i="452"/>
  <c r="AQ28" i="453"/>
  <c r="AP22" i="453"/>
  <c r="AT22" i="453" s="1"/>
  <c r="AQ22" i="453"/>
  <c r="M29" i="452"/>
  <c r="B32" i="452"/>
  <c r="C32" i="452" s="1"/>
  <c r="B29" i="452"/>
  <c r="C29" i="452" s="1"/>
  <c r="B17" i="452"/>
  <c r="C17" i="452" s="1"/>
  <c r="AP33" i="453"/>
  <c r="AT33" i="453" s="1"/>
  <c r="AQ33" i="453"/>
  <c r="M40" i="452"/>
  <c r="AP13" i="453"/>
  <c r="AT13" i="453" s="1"/>
  <c r="AQ13" i="453"/>
  <c r="M20" i="452"/>
  <c r="I37" i="452"/>
  <c r="J37" i="452" s="1"/>
  <c r="B25" i="452"/>
  <c r="C25" i="452" s="1"/>
  <c r="B41" i="452"/>
  <c r="C41" i="452" s="1"/>
  <c r="B33" i="452"/>
  <c r="C33" i="452" s="1"/>
  <c r="B20" i="452"/>
  <c r="C20" i="452" s="1"/>
  <c r="B24" i="452"/>
  <c r="C24" i="452" s="1"/>
  <c r="B26" i="452"/>
  <c r="C26" i="452" s="1"/>
  <c r="I27" i="452"/>
  <c r="J27" i="452" s="1"/>
  <c r="I21" i="452"/>
  <c r="J21" i="452" s="1"/>
  <c r="I19" i="452"/>
  <c r="J19" i="452" s="1"/>
  <c r="B40" i="452"/>
  <c r="C40" i="452" s="1"/>
  <c r="B28" i="452"/>
  <c r="C28" i="452" s="1"/>
  <c r="B16" i="452"/>
  <c r="C16" i="452" s="1"/>
  <c r="AP38" i="453"/>
  <c r="AT38" i="453" s="1"/>
  <c r="AQ38" i="453"/>
  <c r="M45" i="452"/>
  <c r="AP23" i="453"/>
  <c r="AT23" i="453" s="1"/>
  <c r="M30" i="452"/>
  <c r="AQ23" i="453"/>
  <c r="P8" i="451"/>
  <c r="G27" i="448" s="1"/>
  <c r="O8" i="451"/>
  <c r="F27" i="448" s="1"/>
  <c r="O10" i="451"/>
  <c r="F29" i="448" s="1"/>
  <c r="P10" i="451"/>
  <c r="G29" i="448" s="1"/>
  <c r="I31" i="452"/>
  <c r="J31" i="452" s="1"/>
  <c r="B30" i="452"/>
  <c r="C30" i="452" s="1"/>
  <c r="B38" i="452"/>
  <c r="C38" i="452" s="1"/>
  <c r="B37" i="452"/>
  <c r="C37" i="452" s="1"/>
  <c r="B36" i="452"/>
  <c r="C36" i="452" s="1"/>
  <c r="B43" i="452"/>
  <c r="C43" i="452" s="1"/>
  <c r="CK25" i="434"/>
  <c r="F32" i="2" s="1"/>
  <c r="CJ25" i="434"/>
  <c r="BP25" i="434"/>
  <c r="CD25" i="434"/>
  <c r="BN25" i="434"/>
  <c r="BQ25" i="434"/>
  <c r="BK25" i="434"/>
  <c r="CH25" i="434"/>
  <c r="CF25" i="434"/>
  <c r="BG25" i="434"/>
  <c r="CE25" i="434"/>
  <c r="BF25" i="434"/>
  <c r="CB25" i="434"/>
  <c r="BW25" i="434"/>
  <c r="AY25" i="434"/>
  <c r="BS25" i="434"/>
  <c r="AZ25" i="434"/>
  <c r="BJ25" i="434"/>
  <c r="BU25" i="434"/>
  <c r="CA25" i="434"/>
  <c r="BA25" i="434"/>
  <c r="BL25" i="434"/>
  <c r="BM25" i="434"/>
  <c r="BH25" i="434"/>
  <c r="BB25" i="434"/>
  <c r="CG25" i="434"/>
  <c r="CM25" i="434"/>
  <c r="BO25" i="434"/>
  <c r="BZ25" i="434"/>
  <c r="BY25" i="434"/>
  <c r="BT25" i="434"/>
  <c r="BV25" i="434"/>
  <c r="CC25" i="434"/>
  <c r="BR25" i="434"/>
  <c r="BC25" i="434"/>
  <c r="BX25" i="434"/>
  <c r="BD25" i="434"/>
  <c r="BI25" i="434"/>
  <c r="CI25" i="434"/>
  <c r="BE25" i="434"/>
  <c r="CL25" i="434"/>
  <c r="A23" i="434" s="1"/>
  <c r="G32" i="2" s="1"/>
  <c r="I23" i="452"/>
  <c r="J23" i="452" s="1"/>
  <c r="I22" i="452"/>
  <c r="J22" i="452" s="1"/>
  <c r="AP11" i="453"/>
  <c r="AT11" i="453" s="1"/>
  <c r="M18" i="452"/>
  <c r="AQ11" i="453"/>
  <c r="B34" i="452"/>
  <c r="C34" i="452" s="1"/>
  <c r="B31" i="452"/>
  <c r="C31" i="452" s="1"/>
  <c r="B39" i="452"/>
  <c r="C39" i="452" s="1"/>
  <c r="I20" i="452"/>
  <c r="J20" i="452" s="1"/>
  <c r="B15" i="452"/>
  <c r="V8" i="451"/>
  <c r="L27" i="448" s="1"/>
  <c r="U8" i="451"/>
  <c r="K27" i="448" s="1"/>
  <c r="AP18" i="453"/>
  <c r="AT18" i="453" s="1"/>
  <c r="M25" i="452"/>
  <c r="AQ18" i="453"/>
  <c r="U34" i="453"/>
  <c r="Y34" i="453" s="1"/>
  <c r="V34" i="453"/>
  <c r="F41" i="452"/>
  <c r="U26" i="453"/>
  <c r="Y26" i="453" s="1"/>
  <c r="F33" i="452"/>
  <c r="V26" i="453"/>
  <c r="U13" i="453"/>
  <c r="Y13" i="453" s="1"/>
  <c r="V13" i="453"/>
  <c r="F20" i="452"/>
  <c r="U16" i="453"/>
  <c r="Y16" i="453" s="1"/>
  <c r="F23" i="452"/>
  <c r="V16" i="453"/>
  <c r="I32" i="452"/>
  <c r="J32" i="452" s="1"/>
  <c r="I43" i="452"/>
  <c r="J43" i="452" s="1"/>
  <c r="AP14" i="453"/>
  <c r="AT14" i="453" s="1"/>
  <c r="AQ14" i="453"/>
  <c r="M21" i="452"/>
  <c r="U33" i="453"/>
  <c r="Y33" i="453" s="1"/>
  <c r="F40" i="452"/>
  <c r="V33" i="453"/>
  <c r="U9" i="453"/>
  <c r="V9" i="453"/>
  <c r="F16" i="452"/>
  <c r="AP24" i="453"/>
  <c r="M31" i="452"/>
  <c r="AQ24" i="453"/>
  <c r="U31" i="453"/>
  <c r="Y31" i="453" s="1"/>
  <c r="V31" i="453"/>
  <c r="F38" i="452"/>
  <c r="F37" i="452"/>
  <c r="U30" i="453"/>
  <c r="V30" i="453"/>
  <c r="U29" i="453"/>
  <c r="Y29" i="453" s="1"/>
  <c r="F36" i="452"/>
  <c r="V29" i="453"/>
  <c r="AP15" i="453"/>
  <c r="M22" i="452"/>
  <c r="AQ15" i="453"/>
  <c r="I18" i="452"/>
  <c r="J18" i="452" s="1"/>
  <c r="I29" i="452"/>
  <c r="J29" i="452" s="1"/>
  <c r="AP26" i="453"/>
  <c r="AT26" i="453" s="1"/>
  <c r="AQ26" i="453"/>
  <c r="M33" i="452"/>
  <c r="N54" i="452"/>
  <c r="I17" i="452"/>
  <c r="J17" i="452" s="1"/>
  <c r="I40" i="452"/>
  <c r="J40" i="452" s="1"/>
  <c r="AP31" i="453"/>
  <c r="AT31" i="453" s="1"/>
  <c r="AQ31" i="453"/>
  <c r="M38" i="452"/>
  <c r="F21" i="452"/>
  <c r="V14" i="453"/>
  <c r="U14" i="453"/>
  <c r="Y14" i="453" s="1"/>
  <c r="U15" i="453"/>
  <c r="Y15" i="453" s="1"/>
  <c r="V15" i="453"/>
  <c r="F22" i="452"/>
  <c r="F15" i="452"/>
  <c r="V8" i="453"/>
  <c r="U8" i="453"/>
  <c r="Y8" i="453" s="1"/>
  <c r="AP21" i="453"/>
  <c r="AT21" i="453" s="1"/>
  <c r="M28" i="452"/>
  <c r="AQ21" i="453"/>
  <c r="AP19" i="453"/>
  <c r="AT19" i="453" s="1"/>
  <c r="AQ19" i="453"/>
  <c r="M26" i="452"/>
  <c r="AP34" i="453"/>
  <c r="AT34" i="453" s="1"/>
  <c r="AQ34" i="453"/>
  <c r="M41" i="452"/>
  <c r="AQ9" i="453"/>
  <c r="M16" i="452"/>
  <c r="AP9" i="453"/>
  <c r="AT9" i="453" s="1"/>
  <c r="V10" i="451"/>
  <c r="L29" i="448" s="1"/>
  <c r="U10" i="451"/>
  <c r="K29" i="448" s="1"/>
  <c r="AP32" i="453"/>
  <c r="AT32" i="453" s="1"/>
  <c r="M39" i="452"/>
  <c r="AQ32" i="453"/>
  <c r="I25" i="452"/>
  <c r="J25" i="452" s="1"/>
  <c r="B42" i="452"/>
  <c r="C42" i="452" s="1"/>
  <c r="B23" i="452"/>
  <c r="C23" i="452" s="1"/>
  <c r="I45" i="452"/>
  <c r="J45" i="452" s="1"/>
  <c r="I30" i="452"/>
  <c r="J30" i="452" s="1"/>
  <c r="B45" i="452"/>
  <c r="C45" i="452" s="1"/>
  <c r="B27" i="452"/>
  <c r="C27" i="452" s="1"/>
  <c r="I24" i="452"/>
  <c r="J24" i="452" s="1"/>
  <c r="I44" i="452"/>
  <c r="J44" i="452" s="1"/>
  <c r="B35" i="452"/>
  <c r="C35" i="452" s="1"/>
  <c r="B44" i="452"/>
  <c r="C44" i="452" s="1"/>
  <c r="B21" i="452"/>
  <c r="C21" i="452" s="1"/>
  <c r="U9" i="451"/>
  <c r="K28" i="448" s="1"/>
  <c r="V9" i="451"/>
  <c r="L28" i="448" s="1"/>
  <c r="I35" i="452"/>
  <c r="J35" i="452" s="1"/>
  <c r="I33" i="452"/>
  <c r="J33" i="452" s="1"/>
  <c r="AP8" i="453"/>
  <c r="AQ8" i="453"/>
  <c r="M15" i="452"/>
  <c r="AP37" i="453"/>
  <c r="AT37" i="453" s="1"/>
  <c r="AQ37" i="453"/>
  <c r="M44" i="452"/>
  <c r="U25" i="453"/>
  <c r="F32" i="452"/>
  <c r="V25" i="453"/>
  <c r="F34" i="452"/>
  <c r="U27" i="453"/>
  <c r="Y27" i="453" s="1"/>
  <c r="V27" i="453"/>
  <c r="V22" i="453"/>
  <c r="U22" i="453"/>
  <c r="Y22" i="453" s="1"/>
  <c r="F29" i="452"/>
  <c r="U28" i="453"/>
  <c r="F35" i="452"/>
  <c r="V28" i="453"/>
  <c r="F31" i="452"/>
  <c r="V24" i="453"/>
  <c r="U24" i="453"/>
  <c r="Y24" i="453" s="1"/>
  <c r="V32" i="453"/>
  <c r="U32" i="453"/>
  <c r="Y32" i="453" s="1"/>
  <c r="F39" i="452"/>
  <c r="U10" i="453"/>
  <c r="V10" i="453"/>
  <c r="F17" i="452"/>
  <c r="U37" i="453"/>
  <c r="V37" i="453"/>
  <c r="F44" i="452"/>
  <c r="AP10" i="453"/>
  <c r="AT10" i="453" s="1"/>
  <c r="M17" i="452"/>
  <c r="AQ10" i="453"/>
  <c r="M23" i="450"/>
  <c r="N23" i="450" s="1"/>
  <c r="M27" i="450"/>
  <c r="N27" i="450" s="1"/>
  <c r="I38" i="452"/>
  <c r="J38" i="452" s="1"/>
  <c r="B22" i="452"/>
  <c r="C22" i="452" s="1"/>
  <c r="G54" i="452"/>
  <c r="I28" i="452"/>
  <c r="J28" i="452" s="1"/>
  <c r="I26" i="452"/>
  <c r="J26" i="452" s="1"/>
  <c r="I41" i="452"/>
  <c r="J41" i="452" s="1"/>
  <c r="I16" i="452"/>
  <c r="J16" i="452" s="1"/>
  <c r="I39" i="452"/>
  <c r="J39" i="452" s="1"/>
  <c r="AP20" i="453"/>
  <c r="AT20" i="453" s="1"/>
  <c r="AQ20" i="453"/>
  <c r="M27" i="452"/>
  <c r="AP25" i="453"/>
  <c r="AT25" i="453" s="1"/>
  <c r="AQ25" i="453"/>
  <c r="M32" i="452"/>
  <c r="U12" i="453"/>
  <c r="F19" i="452"/>
  <c r="V12" i="453"/>
  <c r="AP36" i="453"/>
  <c r="AT36" i="453" s="1"/>
  <c r="AQ36" i="453"/>
  <c r="M43" i="452"/>
  <c r="P9" i="451"/>
  <c r="G28" i="448" s="1"/>
  <c r="O9" i="451"/>
  <c r="F28" i="448" s="1"/>
  <c r="AP16" i="453"/>
  <c r="AT16" i="453" s="1"/>
  <c r="M23" i="452"/>
  <c r="AQ16" i="453"/>
  <c r="B18" i="452"/>
  <c r="C18" i="452" s="1"/>
  <c r="C200" i="2"/>
  <c r="C196" i="2"/>
  <c r="AM39" i="459" l="1"/>
  <c r="AS39" i="459"/>
  <c r="AA26" i="432"/>
  <c r="N30" i="451"/>
  <c r="E49" i="448" s="1"/>
  <c r="AD15" i="432"/>
  <c r="AD12" i="432"/>
  <c r="DY39" i="459"/>
  <c r="BK39" i="459"/>
  <c r="EK39" i="459"/>
  <c r="CC39" i="459"/>
  <c r="AG39" i="459"/>
  <c r="DA39" i="459"/>
  <c r="CI39" i="459"/>
  <c r="EE39" i="459"/>
  <c r="AA39" i="459"/>
  <c r="AD24" i="432"/>
  <c r="BE39" i="459"/>
  <c r="BW39" i="459"/>
  <c r="DG39" i="459"/>
  <c r="AD33" i="432"/>
  <c r="CO39" i="459"/>
  <c r="AA11" i="432"/>
  <c r="L45" i="448"/>
  <c r="AA22" i="432"/>
  <c r="AA6" i="432"/>
  <c r="DS39" i="459"/>
  <c r="N19" i="451"/>
  <c r="E38" i="448" s="1"/>
  <c r="N29" i="451"/>
  <c r="E48" i="448" s="1"/>
  <c r="L49" i="448"/>
  <c r="L48" i="448"/>
  <c r="L31" i="448"/>
  <c r="L42" i="448"/>
  <c r="L34" i="448"/>
  <c r="L46" i="448"/>
  <c r="L47" i="448"/>
  <c r="L36" i="448"/>
  <c r="L40" i="448"/>
  <c r="L32" i="448"/>
  <c r="L43" i="448"/>
  <c r="L41" i="448"/>
  <c r="L35" i="448"/>
  <c r="L44" i="448"/>
  <c r="L38" i="448"/>
  <c r="T20" i="451"/>
  <c r="J39" i="448" s="1"/>
  <c r="T14" i="451"/>
  <c r="J33" i="448" s="1"/>
  <c r="L37" i="448"/>
  <c r="J42" i="448"/>
  <c r="J46" i="448"/>
  <c r="J48" i="448"/>
  <c r="J49" i="448"/>
  <c r="J47" i="448"/>
  <c r="J44" i="448"/>
  <c r="J45" i="448"/>
  <c r="J43" i="448"/>
  <c r="AA10" i="432"/>
  <c r="AA29" i="432"/>
  <c r="AD28" i="432"/>
  <c r="AA25" i="432"/>
  <c r="AD18" i="432"/>
  <c r="AD34" i="432"/>
  <c r="AA16" i="432"/>
  <c r="P10" i="432"/>
  <c r="M21" i="431" s="1"/>
  <c r="AA17" i="432"/>
  <c r="K25" i="431"/>
  <c r="AD14" i="432"/>
  <c r="AA9" i="432"/>
  <c r="P23" i="432"/>
  <c r="M34" i="431" s="1"/>
  <c r="AD35" i="432"/>
  <c r="P11" i="432"/>
  <c r="M22" i="431" s="1"/>
  <c r="AA8" i="432"/>
  <c r="AA23" i="432"/>
  <c r="P20" i="432"/>
  <c r="M31" i="431" s="1"/>
  <c r="AD32" i="432"/>
  <c r="K30" i="431"/>
  <c r="P27" i="432"/>
  <c r="M38" i="431" s="1"/>
  <c r="AD30" i="432"/>
  <c r="AD19" i="432"/>
  <c r="P15" i="432"/>
  <c r="M26" i="431" s="1"/>
  <c r="AD13" i="432"/>
  <c r="AQ7" i="432"/>
  <c r="BG6" i="432"/>
  <c r="AI17" i="431" s="1"/>
  <c r="BF6" i="432"/>
  <c r="AH17" i="431" s="1"/>
  <c r="AP7" i="432"/>
  <c r="BD6" i="432"/>
  <c r="AF17" i="431" s="1"/>
  <c r="BC6" i="432"/>
  <c r="AE17" i="431" s="1"/>
  <c r="P19" i="432"/>
  <c r="M30" i="431" s="1"/>
  <c r="AZ6" i="432"/>
  <c r="AB17" i="431" s="1"/>
  <c r="AO7" i="432"/>
  <c r="BA6" i="432"/>
  <c r="AC17" i="431" s="1"/>
  <c r="AW6" i="432"/>
  <c r="Y17" i="431" s="1"/>
  <c r="AX6" i="432"/>
  <c r="Z17" i="431" s="1"/>
  <c r="AN7" i="432"/>
  <c r="AT6" i="432"/>
  <c r="V17" i="431" s="1"/>
  <c r="AU6" i="432"/>
  <c r="W17" i="431" s="1"/>
  <c r="AM7" i="432"/>
  <c r="P7" i="432"/>
  <c r="M18" i="431" s="1"/>
  <c r="P34" i="432"/>
  <c r="M45" i="431" s="1"/>
  <c r="P17" i="432"/>
  <c r="M28" i="431" s="1"/>
  <c r="P28" i="432"/>
  <c r="M39" i="431" s="1"/>
  <c r="P26" i="432"/>
  <c r="M37" i="431" s="1"/>
  <c r="K20" i="431"/>
  <c r="P21" i="432"/>
  <c r="M32" i="431" s="1"/>
  <c r="P12" i="432"/>
  <c r="M23" i="431" s="1"/>
  <c r="P33" i="432"/>
  <c r="M44" i="431" s="1"/>
  <c r="P13" i="432"/>
  <c r="M24" i="431" s="1"/>
  <c r="K34" i="431"/>
  <c r="P6" i="432"/>
  <c r="M17" i="431" s="1"/>
  <c r="P9" i="432"/>
  <c r="M20" i="431" s="1"/>
  <c r="P31" i="432"/>
  <c r="M42" i="431" s="1"/>
  <c r="P16" i="432"/>
  <c r="M27" i="431" s="1"/>
  <c r="P24" i="432"/>
  <c r="M35" i="431" s="1"/>
  <c r="P22" i="432"/>
  <c r="M33" i="431" s="1"/>
  <c r="P14" i="432"/>
  <c r="M25" i="431" s="1"/>
  <c r="P30" i="432"/>
  <c r="M41" i="431" s="1"/>
  <c r="K36" i="431"/>
  <c r="AD20" i="432"/>
  <c r="P32" i="432"/>
  <c r="M43" i="431" s="1"/>
  <c r="P35" i="432"/>
  <c r="M46" i="431" s="1"/>
  <c r="K35" i="431"/>
  <c r="K18" i="431"/>
  <c r="K31" i="431"/>
  <c r="K41" i="431"/>
  <c r="P29" i="432"/>
  <c r="M40" i="431" s="1"/>
  <c r="P18" i="432"/>
  <c r="M29" i="431" s="1"/>
  <c r="P25" i="432"/>
  <c r="M36" i="431" s="1"/>
  <c r="P8" i="432"/>
  <c r="M19" i="431" s="1"/>
  <c r="K46" i="431"/>
  <c r="K37" i="431"/>
  <c r="K29" i="431"/>
  <c r="K43" i="431"/>
  <c r="K24" i="431"/>
  <c r="K27" i="431"/>
  <c r="K17" i="431"/>
  <c r="K14" i="431"/>
  <c r="K38" i="431"/>
  <c r="K39" i="431"/>
  <c r="K42" i="431"/>
  <c r="K26" i="431"/>
  <c r="K45" i="431"/>
  <c r="K22" i="431"/>
  <c r="K28" i="431"/>
  <c r="K40" i="431"/>
  <c r="K19" i="431"/>
  <c r="K44" i="431"/>
  <c r="K23" i="431"/>
  <c r="K32" i="431"/>
  <c r="K33" i="431"/>
  <c r="K21" i="431"/>
  <c r="J36" i="448"/>
  <c r="T11" i="451"/>
  <c r="J30" i="448" s="1"/>
  <c r="J32" i="448"/>
  <c r="J37" i="448"/>
  <c r="J31" i="448"/>
  <c r="J40" i="448"/>
  <c r="J34" i="448"/>
  <c r="J35" i="448"/>
  <c r="J38" i="448"/>
  <c r="J41" i="448"/>
  <c r="E47" i="448"/>
  <c r="G47" i="448"/>
  <c r="E34" i="448"/>
  <c r="G34" i="448"/>
  <c r="E35" i="448"/>
  <c r="G35" i="448"/>
  <c r="E40" i="448"/>
  <c r="G40" i="448"/>
  <c r="E44" i="448"/>
  <c r="G44" i="448"/>
  <c r="E33" i="448"/>
  <c r="G33" i="448"/>
  <c r="E42" i="448"/>
  <c r="G42" i="448"/>
  <c r="G30" i="448"/>
  <c r="E46" i="448"/>
  <c r="G46" i="448"/>
  <c r="E39" i="448"/>
  <c r="G39" i="448"/>
  <c r="E41" i="448"/>
  <c r="G41" i="448"/>
  <c r="E45" i="448"/>
  <c r="G45" i="448"/>
  <c r="E32" i="448"/>
  <c r="G32" i="448"/>
  <c r="E50" i="448"/>
  <c r="G50" i="448"/>
  <c r="E31" i="448"/>
  <c r="G31" i="448"/>
  <c r="E36" i="448"/>
  <c r="G36" i="448"/>
  <c r="E37" i="448"/>
  <c r="G37" i="448"/>
  <c r="E43" i="448"/>
  <c r="G43" i="448"/>
  <c r="S46" i="450"/>
  <c r="S47" i="450"/>
  <c r="S19" i="450"/>
  <c r="S39" i="450"/>
  <c r="S29" i="450"/>
  <c r="S21" i="450"/>
  <c r="S26" i="450"/>
  <c r="S23" i="450"/>
  <c r="S37" i="450"/>
  <c r="S32" i="450"/>
  <c r="S28" i="450"/>
  <c r="S48" i="450"/>
  <c r="S33" i="450"/>
  <c r="S31" i="450"/>
  <c r="S22" i="450"/>
  <c r="S43" i="450"/>
  <c r="S20" i="450"/>
  <c r="S27" i="450"/>
  <c r="S34" i="450"/>
  <c r="S35" i="450"/>
  <c r="S42" i="450"/>
  <c r="S25" i="450"/>
  <c r="S44" i="450"/>
  <c r="S30" i="450"/>
  <c r="S38" i="450"/>
  <c r="S41" i="450"/>
  <c r="S45" i="450"/>
  <c r="S36" i="450"/>
  <c r="S24" i="450"/>
  <c r="S40" i="450"/>
  <c r="T9" i="451"/>
  <c r="J28" i="448" s="1"/>
  <c r="T10" i="451"/>
  <c r="J29" i="448" s="1"/>
  <c r="AG35" i="453"/>
  <c r="T8" i="451"/>
  <c r="J27" i="448" s="1"/>
  <c r="E30" i="448"/>
  <c r="AF29" i="453"/>
  <c r="D196" i="2"/>
  <c r="D200" i="2"/>
  <c r="AF16" i="453"/>
  <c r="AG16" i="453"/>
  <c r="K32" i="453"/>
  <c r="L32" i="453"/>
  <c r="K22" i="453"/>
  <c r="L22" i="453"/>
  <c r="K27" i="453"/>
  <c r="L27" i="453"/>
  <c r="AF32" i="453"/>
  <c r="AG32" i="453"/>
  <c r="AF34" i="453"/>
  <c r="AG34" i="453"/>
  <c r="AF19" i="453"/>
  <c r="AG19" i="453"/>
  <c r="AF21" i="453"/>
  <c r="AG21" i="453"/>
  <c r="K15" i="453"/>
  <c r="L15" i="453"/>
  <c r="AF31" i="453"/>
  <c r="AG31" i="453"/>
  <c r="C15" i="452"/>
  <c r="B13" i="452"/>
  <c r="AF11" i="453"/>
  <c r="AG11" i="453"/>
  <c r="AF23" i="453"/>
  <c r="AG23" i="453"/>
  <c r="AF38" i="453"/>
  <c r="AG38" i="453"/>
  <c r="AF13" i="453"/>
  <c r="AG13" i="453"/>
  <c r="AF33" i="453"/>
  <c r="AG33" i="453"/>
  <c r="K36" i="453"/>
  <c r="L36" i="453"/>
  <c r="K29" i="453"/>
  <c r="L29" i="453"/>
  <c r="AF24" i="453"/>
  <c r="AG24" i="453"/>
  <c r="AF12" i="453"/>
  <c r="AG12" i="453"/>
  <c r="K17" i="453"/>
  <c r="L17" i="453"/>
  <c r="AF30" i="453"/>
  <c r="AG30" i="453"/>
  <c r="AF36" i="453"/>
  <c r="AG36" i="453"/>
  <c r="AF10" i="453"/>
  <c r="AG10" i="453"/>
  <c r="K37" i="453"/>
  <c r="L37" i="453"/>
  <c r="K10" i="453"/>
  <c r="L10" i="453"/>
  <c r="K28" i="453"/>
  <c r="L28" i="453"/>
  <c r="K25" i="453"/>
  <c r="L25" i="453"/>
  <c r="AF37" i="453"/>
  <c r="AG37" i="453"/>
  <c r="AF8" i="453"/>
  <c r="AG8" i="453"/>
  <c r="Y37" i="453"/>
  <c r="AG27" i="453"/>
  <c r="AT24" i="453"/>
  <c r="P23" i="450"/>
  <c r="Q23" i="450"/>
  <c r="O23" i="450"/>
  <c r="Y17" i="453"/>
  <c r="AF35" i="453"/>
  <c r="K35" i="453"/>
  <c r="L35" i="453"/>
  <c r="I13" i="452"/>
  <c r="B134" i="2" s="1"/>
  <c r="J15" i="452"/>
  <c r="K24" i="453"/>
  <c r="L24" i="453"/>
  <c r="AF26" i="453"/>
  <c r="AG26" i="453"/>
  <c r="AF15" i="453"/>
  <c r="AG15" i="453"/>
  <c r="K31" i="453"/>
  <c r="L31" i="453"/>
  <c r="K21" i="453"/>
  <c r="L21" i="453"/>
  <c r="K19" i="453"/>
  <c r="L19" i="453"/>
  <c r="N9" i="451"/>
  <c r="E28" i="448" s="1"/>
  <c r="K12" i="453"/>
  <c r="L12" i="453"/>
  <c r="AF25" i="453"/>
  <c r="AG25" i="453"/>
  <c r="AF20" i="453"/>
  <c r="AG20" i="453"/>
  <c r="AG29" i="453"/>
  <c r="Y28" i="453"/>
  <c r="AF9" i="453"/>
  <c r="AG9" i="453"/>
  <c r="K8" i="453"/>
  <c r="L8" i="453"/>
  <c r="K14" i="453"/>
  <c r="L14" i="453"/>
  <c r="AF27" i="453"/>
  <c r="K30" i="453"/>
  <c r="L30" i="453"/>
  <c r="K9" i="453"/>
  <c r="L9" i="453"/>
  <c r="K33" i="453"/>
  <c r="L33" i="453"/>
  <c r="AF14" i="453"/>
  <c r="AG14" i="453"/>
  <c r="K16" i="453"/>
  <c r="L16" i="453"/>
  <c r="K13" i="453"/>
  <c r="L13" i="453"/>
  <c r="K26" i="453"/>
  <c r="L26" i="453"/>
  <c r="K34" i="453"/>
  <c r="L34" i="453"/>
  <c r="AF18" i="453"/>
  <c r="AG18" i="453"/>
  <c r="AT15" i="453"/>
  <c r="Y30" i="453"/>
  <c r="N10" i="451"/>
  <c r="E29" i="448" s="1"/>
  <c r="N8" i="451"/>
  <c r="E27" i="448" s="1"/>
  <c r="Y9" i="453"/>
  <c r="P27" i="450"/>
  <c r="Q27" i="450"/>
  <c r="O27" i="450"/>
  <c r="Y10" i="453"/>
  <c r="Y25" i="453"/>
  <c r="AF22" i="453"/>
  <c r="AG22" i="453"/>
  <c r="AF28" i="453"/>
  <c r="AG28" i="453"/>
  <c r="AF17" i="453"/>
  <c r="AG17" i="453"/>
  <c r="K11" i="453"/>
  <c r="L11" i="453"/>
  <c r="K20" i="453"/>
  <c r="L20" i="453"/>
  <c r="K38" i="453"/>
  <c r="L38" i="453"/>
  <c r="K23" i="453"/>
  <c r="L23" i="453"/>
  <c r="Y12" i="453"/>
  <c r="K18" i="453"/>
  <c r="L18" i="453"/>
  <c r="AT8" i="453"/>
  <c r="BG7" i="432" l="1"/>
  <c r="AI18" i="431" s="1"/>
  <c r="AQ8" i="432"/>
  <c r="BF7" i="432"/>
  <c r="AH18" i="431" s="1"/>
  <c r="BD7" i="432"/>
  <c r="AF18" i="431" s="1"/>
  <c r="BC7" i="432"/>
  <c r="AE18" i="431" s="1"/>
  <c r="AP8" i="432"/>
  <c r="BA7" i="432"/>
  <c r="AC18" i="431" s="1"/>
  <c r="AZ7" i="432"/>
  <c r="AB18" i="431" s="1"/>
  <c r="AO8" i="432"/>
  <c r="AM8" i="432"/>
  <c r="AT7" i="432"/>
  <c r="V18" i="431" s="1"/>
  <c r="AU7" i="432"/>
  <c r="W18" i="431" s="1"/>
  <c r="AX7" i="432"/>
  <c r="Z18" i="431" s="1"/>
  <c r="AW7" i="432"/>
  <c r="Y18" i="431" s="1"/>
  <c r="AN8" i="432"/>
  <c r="AM29" i="453"/>
  <c r="AR29" i="453" s="1"/>
  <c r="AS29" i="453" s="1"/>
  <c r="AM35" i="453"/>
  <c r="AR35" i="453" s="1"/>
  <c r="AS35" i="453" s="1"/>
  <c r="AM25" i="453"/>
  <c r="L32" i="452" s="1"/>
  <c r="U24" i="450"/>
  <c r="T24" i="450"/>
  <c r="U36" i="450"/>
  <c r="T36" i="450"/>
  <c r="T30" i="450"/>
  <c r="U30" i="450"/>
  <c r="U35" i="450"/>
  <c r="T35" i="450"/>
  <c r="U43" i="450"/>
  <c r="T43" i="450"/>
  <c r="T48" i="450"/>
  <c r="U48" i="450"/>
  <c r="U23" i="450"/>
  <c r="T23" i="450"/>
  <c r="T39" i="450"/>
  <c r="U39" i="450"/>
  <c r="U45" i="450"/>
  <c r="T45" i="450"/>
  <c r="U44" i="450"/>
  <c r="T44" i="450"/>
  <c r="U34" i="450"/>
  <c r="T34" i="450"/>
  <c r="U22" i="450"/>
  <c r="T22" i="450"/>
  <c r="T28" i="450"/>
  <c r="U28" i="450"/>
  <c r="U26" i="450"/>
  <c r="T26" i="450"/>
  <c r="U19" i="450"/>
  <c r="T19" i="450"/>
  <c r="U40" i="450"/>
  <c r="T40" i="450"/>
  <c r="U41" i="450"/>
  <c r="T41" i="450"/>
  <c r="U25" i="450"/>
  <c r="T25" i="450"/>
  <c r="U27" i="450"/>
  <c r="T27" i="450"/>
  <c r="U31" i="450"/>
  <c r="T31" i="450"/>
  <c r="U32" i="450"/>
  <c r="T32" i="450"/>
  <c r="T21" i="450"/>
  <c r="U21" i="450"/>
  <c r="U47" i="450"/>
  <c r="T47" i="450"/>
  <c r="T38" i="450"/>
  <c r="U38" i="450"/>
  <c r="T42" i="450"/>
  <c r="U42" i="450"/>
  <c r="T20" i="450"/>
  <c r="U20" i="450"/>
  <c r="T33" i="450"/>
  <c r="U33" i="450"/>
  <c r="T37" i="450"/>
  <c r="U37" i="450"/>
  <c r="T29" i="450"/>
  <c r="U29" i="450"/>
  <c r="T46" i="450"/>
  <c r="U46" i="450"/>
  <c r="R22" i="453"/>
  <c r="L26" i="448"/>
  <c r="R21" i="453"/>
  <c r="W21" i="453" s="1"/>
  <c r="X21" i="453" s="1"/>
  <c r="AM15" i="453"/>
  <c r="AR15" i="453" s="1"/>
  <c r="AS15" i="453" s="1"/>
  <c r="R24" i="453"/>
  <c r="W24" i="453" s="1"/>
  <c r="X24" i="453" s="1"/>
  <c r="R30" i="453"/>
  <c r="W30" i="453" s="1"/>
  <c r="X30" i="453" s="1"/>
  <c r="AM11" i="453"/>
  <c r="AR11" i="453" s="1"/>
  <c r="AS11" i="453" s="1"/>
  <c r="R19" i="453"/>
  <c r="W19" i="453" s="1"/>
  <c r="X19" i="453" s="1"/>
  <c r="R31" i="453"/>
  <c r="E38" i="452" s="1"/>
  <c r="R23" i="453"/>
  <c r="W23" i="453" s="1"/>
  <c r="X23" i="453" s="1"/>
  <c r="R20" i="453"/>
  <c r="W20" i="453" s="1"/>
  <c r="X20" i="453" s="1"/>
  <c r="AM17" i="453"/>
  <c r="AR17" i="453" s="1"/>
  <c r="AS17" i="453" s="1"/>
  <c r="AM26" i="453"/>
  <c r="AR26" i="453" s="1"/>
  <c r="AS26" i="453" s="1"/>
  <c r="AM37" i="453"/>
  <c r="L44" i="452" s="1"/>
  <c r="R28" i="453"/>
  <c r="W28" i="453" s="1"/>
  <c r="X28" i="453" s="1"/>
  <c r="R37" i="453"/>
  <c r="W37" i="453" s="1"/>
  <c r="X37" i="453" s="1"/>
  <c r="AM22" i="453"/>
  <c r="L29" i="452" s="1"/>
  <c r="R34" i="453"/>
  <c r="E41" i="452" s="1"/>
  <c r="R13" i="453"/>
  <c r="E20" i="452" s="1"/>
  <c r="AM14" i="453"/>
  <c r="AR14" i="453" s="1"/>
  <c r="AS14" i="453" s="1"/>
  <c r="R9" i="453"/>
  <c r="W9" i="453" s="1"/>
  <c r="X9" i="453" s="1"/>
  <c r="R8" i="453"/>
  <c r="W8" i="453" s="1"/>
  <c r="X8" i="453" s="1"/>
  <c r="AM20" i="453"/>
  <c r="AR20" i="453" s="1"/>
  <c r="AS20" i="453" s="1"/>
  <c r="R12" i="453"/>
  <c r="E19" i="452" s="1"/>
  <c r="AM36" i="453"/>
  <c r="L43" i="452" s="1"/>
  <c r="R17" i="453"/>
  <c r="E24" i="452" s="1"/>
  <c r="AM24" i="453"/>
  <c r="L31" i="452" s="1"/>
  <c r="R36" i="453"/>
  <c r="W36" i="453" s="1"/>
  <c r="X36" i="453" s="1"/>
  <c r="AM13" i="453"/>
  <c r="AR13" i="453" s="1"/>
  <c r="AS13" i="453" s="1"/>
  <c r="AM23" i="453"/>
  <c r="L30" i="452" s="1"/>
  <c r="AM31" i="453"/>
  <c r="AR31" i="453" s="1"/>
  <c r="AS31" i="453" s="1"/>
  <c r="AM21" i="453"/>
  <c r="AR21" i="453" s="1"/>
  <c r="AS21" i="453" s="1"/>
  <c r="AM34" i="453"/>
  <c r="L41" i="452" s="1"/>
  <c r="R27" i="453"/>
  <c r="W27" i="453" s="1"/>
  <c r="X27" i="453" s="1"/>
  <c r="L42" i="452"/>
  <c r="R32" i="453"/>
  <c r="R18" i="453"/>
  <c r="R35" i="453"/>
  <c r="AM8" i="453"/>
  <c r="R25" i="453"/>
  <c r="R10" i="453"/>
  <c r="AM10" i="453"/>
  <c r="E200" i="2"/>
  <c r="G200" i="2" a="1"/>
  <c r="G200" i="2" s="1"/>
  <c r="G26" i="448"/>
  <c r="R38" i="453"/>
  <c r="R11" i="453"/>
  <c r="AM28" i="453"/>
  <c r="AM18" i="453"/>
  <c r="R26" i="453"/>
  <c r="R16" i="453"/>
  <c r="R33" i="453"/>
  <c r="R14" i="453"/>
  <c r="AM9" i="453"/>
  <c r="AM27" i="453"/>
  <c r="AM30" i="453"/>
  <c r="AM12" i="453"/>
  <c r="R29" i="453"/>
  <c r="AM33" i="453"/>
  <c r="AM38" i="453"/>
  <c r="R15" i="453"/>
  <c r="AM19" i="453"/>
  <c r="AM32" i="453"/>
  <c r="AM16" i="453"/>
  <c r="AQ9" i="432" l="1"/>
  <c r="BF8" i="432"/>
  <c r="AH19" i="431" s="1"/>
  <c r="BG8" i="432"/>
  <c r="AI19" i="431" s="1"/>
  <c r="BD8" i="432"/>
  <c r="AF19" i="431" s="1"/>
  <c r="BC8" i="432"/>
  <c r="AE19" i="431" s="1"/>
  <c r="AP9" i="432"/>
  <c r="AM9" i="432"/>
  <c r="AT8" i="432"/>
  <c r="V19" i="431" s="1"/>
  <c r="AU8" i="432"/>
  <c r="W19" i="431" s="1"/>
  <c r="AO9" i="432"/>
  <c r="AZ8" i="432"/>
  <c r="AB19" i="431" s="1"/>
  <c r="BA8" i="432"/>
  <c r="AC19" i="431" s="1"/>
  <c r="AX8" i="432"/>
  <c r="Z19" i="431" s="1"/>
  <c r="AW8" i="432"/>
  <c r="Y19" i="431" s="1"/>
  <c r="AN9" i="432"/>
  <c r="L36" i="452"/>
  <c r="E35" i="452"/>
  <c r="AR36" i="453"/>
  <c r="AS36" i="453" s="1"/>
  <c r="AR25" i="453"/>
  <c r="AS25" i="453" s="1"/>
  <c r="E28" i="452"/>
  <c r="W13" i="453"/>
  <c r="X13" i="453" s="1"/>
  <c r="L18" i="452"/>
  <c r="L24" i="452"/>
  <c r="L22" i="452"/>
  <c r="E37" i="452"/>
  <c r="L38" i="452"/>
  <c r="W22" i="453"/>
  <c r="X22" i="453" s="1"/>
  <c r="E29" i="452"/>
  <c r="L27" i="452"/>
  <c r="E27" i="452"/>
  <c r="AR24" i="453"/>
  <c r="AS24" i="453" s="1"/>
  <c r="E26" i="448"/>
  <c r="E44" i="452"/>
  <c r="L21" i="452"/>
  <c r="E26" i="452"/>
  <c r="E31" i="452"/>
  <c r="W31" i="453"/>
  <c r="X31" i="453" s="1"/>
  <c r="E16" i="452"/>
  <c r="AR37" i="453"/>
  <c r="AS37" i="453" s="1"/>
  <c r="L20" i="452"/>
  <c r="AR22" i="453"/>
  <c r="AS22" i="453" s="1"/>
  <c r="L33" i="452"/>
  <c r="AR34" i="453"/>
  <c r="AS34" i="453" s="1"/>
  <c r="E30" i="452"/>
  <c r="E15" i="452"/>
  <c r="W34" i="453"/>
  <c r="X34" i="453" s="1"/>
  <c r="E34" i="452"/>
  <c r="W17" i="453"/>
  <c r="X17" i="453" s="1"/>
  <c r="E43" i="452"/>
  <c r="L28" i="452"/>
  <c r="AR23" i="453"/>
  <c r="AS23" i="453" s="1"/>
  <c r="W12" i="453"/>
  <c r="X12" i="453" s="1"/>
  <c r="AR33" i="453"/>
  <c r="AS33" i="453" s="1"/>
  <c r="L40" i="452"/>
  <c r="W14" i="453"/>
  <c r="X14" i="453" s="1"/>
  <c r="E21" i="452"/>
  <c r="L25" i="452"/>
  <c r="AR18" i="453"/>
  <c r="AS18" i="453" s="1"/>
  <c r="AR19" i="453"/>
  <c r="AS19" i="453" s="1"/>
  <c r="L26" i="452"/>
  <c r="W29" i="453"/>
  <c r="X29" i="453" s="1"/>
  <c r="E36" i="452"/>
  <c r="W33" i="453"/>
  <c r="X33" i="453" s="1"/>
  <c r="E40" i="452"/>
  <c r="AR28" i="453"/>
  <c r="AS28" i="453" s="1"/>
  <c r="L35" i="452"/>
  <c r="AR10" i="453"/>
  <c r="AS10" i="453" s="1"/>
  <c r="L17" i="452"/>
  <c r="E42" i="452"/>
  <c r="W35" i="453"/>
  <c r="X35" i="453" s="1"/>
  <c r="E25" i="452"/>
  <c r="W18" i="453"/>
  <c r="X18" i="453" s="1"/>
  <c r="AR12" i="453"/>
  <c r="AS12" i="453" s="1"/>
  <c r="L19" i="452"/>
  <c r="W16" i="453"/>
  <c r="X16" i="453" s="1"/>
  <c r="E23" i="452"/>
  <c r="E18" i="452"/>
  <c r="W11" i="453"/>
  <c r="X11" i="453" s="1"/>
  <c r="E17" i="452"/>
  <c r="W10" i="453"/>
  <c r="X10" i="453" s="1"/>
  <c r="AR32" i="453"/>
  <c r="AS32" i="453" s="1"/>
  <c r="L39" i="452"/>
  <c r="AR27" i="453"/>
  <c r="AS27" i="453" s="1"/>
  <c r="L34" i="452"/>
  <c r="AR8" i="453"/>
  <c r="AS8" i="453" s="1"/>
  <c r="L15" i="452"/>
  <c r="W15" i="453"/>
  <c r="X15" i="453" s="1"/>
  <c r="E22" i="452"/>
  <c r="AR16" i="453"/>
  <c r="AS16" i="453" s="1"/>
  <c r="L23" i="452"/>
  <c r="AR38" i="453"/>
  <c r="AS38" i="453" s="1"/>
  <c r="L45" i="452"/>
  <c r="AR30" i="453"/>
  <c r="AS30" i="453" s="1"/>
  <c r="L37" i="452"/>
  <c r="L16" i="452"/>
  <c r="AR9" i="453"/>
  <c r="AS9" i="453" s="1"/>
  <c r="E33" i="452"/>
  <c r="W26" i="453"/>
  <c r="X26" i="453" s="1"/>
  <c r="W38" i="453"/>
  <c r="X38" i="453" s="1"/>
  <c r="E45" i="452"/>
  <c r="E32" i="452"/>
  <c r="W25" i="453"/>
  <c r="X25" i="453" s="1"/>
  <c r="W32" i="453"/>
  <c r="X32" i="453" s="1"/>
  <c r="E39" i="452"/>
  <c r="BG9" i="432" l="1"/>
  <c r="AI20" i="431" s="1"/>
  <c r="AQ10" i="432"/>
  <c r="BF9" i="432"/>
  <c r="AH20" i="431" s="1"/>
  <c r="AP10" i="432"/>
  <c r="BC9" i="432"/>
  <c r="AE20" i="431" s="1"/>
  <c r="BD9" i="432"/>
  <c r="AF20" i="431" s="1"/>
  <c r="BA9" i="432"/>
  <c r="AC20" i="431" s="1"/>
  <c r="AZ9" i="432"/>
  <c r="AB20" i="431" s="1"/>
  <c r="AO10" i="432"/>
  <c r="AN10" i="432"/>
  <c r="AX9" i="432"/>
  <c r="Z20" i="431" s="1"/>
  <c r="AW9" i="432"/>
  <c r="Y20" i="431" s="1"/>
  <c r="AU9" i="432"/>
  <c r="W20" i="431" s="1"/>
  <c r="AT9" i="432"/>
  <c r="V20" i="431" s="1"/>
  <c r="AM10" i="432"/>
  <c r="BG10" i="432" l="1"/>
  <c r="AI21" i="431" s="1"/>
  <c r="AQ11" i="432"/>
  <c r="BF10" i="432"/>
  <c r="AH21" i="431" s="1"/>
  <c r="AP11" i="432"/>
  <c r="BD10" i="432"/>
  <c r="AF21" i="431" s="1"/>
  <c r="BC10" i="432"/>
  <c r="AE21" i="431" s="1"/>
  <c r="AN11" i="432"/>
  <c r="AW10" i="432"/>
  <c r="Y21" i="431" s="1"/>
  <c r="AX10" i="432"/>
  <c r="Z21" i="431" s="1"/>
  <c r="AZ10" i="432"/>
  <c r="AB21" i="431" s="1"/>
  <c r="BA10" i="432"/>
  <c r="AC21" i="431" s="1"/>
  <c r="AO11" i="432"/>
  <c r="AU10" i="432"/>
  <c r="W21" i="431" s="1"/>
  <c r="AM11" i="432"/>
  <c r="AT10" i="432"/>
  <c r="V21" i="431" s="1"/>
  <c r="BG11" i="432" l="1"/>
  <c r="AI22" i="431" s="1"/>
  <c r="BF11" i="432"/>
  <c r="AH22" i="431" s="1"/>
  <c r="AQ12" i="432"/>
  <c r="BD11" i="432"/>
  <c r="AF22" i="431" s="1"/>
  <c r="BC11" i="432"/>
  <c r="AE22" i="431" s="1"/>
  <c r="AP12" i="432"/>
  <c r="AT11" i="432"/>
  <c r="V22" i="431" s="1"/>
  <c r="AU11" i="432"/>
  <c r="W22" i="431" s="1"/>
  <c r="AM12" i="432"/>
  <c r="BA11" i="432"/>
  <c r="AC22" i="431" s="1"/>
  <c r="AO12" i="432"/>
  <c r="AZ11" i="432"/>
  <c r="AB22" i="431" s="1"/>
  <c r="AX11" i="432"/>
  <c r="Z22" i="431" s="1"/>
  <c r="AN12" i="432"/>
  <c r="AW11" i="432"/>
  <c r="Y22" i="431" s="1"/>
  <c r="AQ13" i="432" l="1"/>
  <c r="BG12" i="432"/>
  <c r="AI23" i="431" s="1"/>
  <c r="BF12" i="432"/>
  <c r="AH23" i="431" s="1"/>
  <c r="BC12" i="432"/>
  <c r="AE23" i="431" s="1"/>
  <c r="AP13" i="432"/>
  <c r="BD12" i="432"/>
  <c r="AF23" i="431" s="1"/>
  <c r="AW12" i="432"/>
  <c r="Y23" i="431" s="1"/>
  <c r="AN13" i="432"/>
  <c r="AX12" i="432"/>
  <c r="Z23" i="431" s="1"/>
  <c r="AT12" i="432"/>
  <c r="V23" i="431" s="1"/>
  <c r="AU12" i="432"/>
  <c r="W23" i="431" s="1"/>
  <c r="AM13" i="432"/>
  <c r="AO13" i="432"/>
  <c r="BA12" i="432"/>
  <c r="AC23" i="431" s="1"/>
  <c r="AZ12" i="432"/>
  <c r="AB23" i="431" s="1"/>
  <c r="AQ14" i="432" l="1"/>
  <c r="BF13" i="432"/>
  <c r="AH24" i="431" s="1"/>
  <c r="BG13" i="432"/>
  <c r="AI24" i="431" s="1"/>
  <c r="BC13" i="432"/>
  <c r="AE24" i="431" s="1"/>
  <c r="AP14" i="432"/>
  <c r="BD13" i="432"/>
  <c r="AF24" i="431" s="1"/>
  <c r="AO14" i="432"/>
  <c r="BA13" i="432"/>
  <c r="AC24" i="431" s="1"/>
  <c r="AZ13" i="432"/>
  <c r="AB24" i="431" s="1"/>
  <c r="AM14" i="432"/>
  <c r="AU13" i="432"/>
  <c r="W24" i="431" s="1"/>
  <c r="AT13" i="432"/>
  <c r="V24" i="431" s="1"/>
  <c r="AN14" i="432"/>
  <c r="AW13" i="432"/>
  <c r="Y24" i="431" s="1"/>
  <c r="AX13" i="432"/>
  <c r="Z24" i="431" s="1"/>
  <c r="C178" i="2"/>
  <c r="AQ15" i="432" l="1"/>
  <c r="BF14" i="432"/>
  <c r="AH25" i="431" s="1"/>
  <c r="BG14" i="432"/>
  <c r="AI25" i="431" s="1"/>
  <c r="AP15" i="432"/>
  <c r="BD14" i="432"/>
  <c r="AF25" i="431" s="1"/>
  <c r="BC14" i="432"/>
  <c r="AE25" i="431" s="1"/>
  <c r="D178" i="2"/>
  <c r="H178" i="2" s="1"/>
  <c r="AX14" i="432"/>
  <c r="Z25" i="431" s="1"/>
  <c r="AN15" i="432"/>
  <c r="AW14" i="432"/>
  <c r="Y25" i="431" s="1"/>
  <c r="AT14" i="432"/>
  <c r="V25" i="431" s="1"/>
  <c r="AM15" i="432"/>
  <c r="AU14" i="432"/>
  <c r="W25" i="431" s="1"/>
  <c r="BA14" i="432"/>
  <c r="AC25" i="431" s="1"/>
  <c r="AO15" i="432"/>
  <c r="AZ14" i="432"/>
  <c r="AB25" i="431" s="1"/>
  <c r="BF15" i="432" l="1"/>
  <c r="AH26" i="431" s="1"/>
  <c r="BG15" i="432"/>
  <c r="AI26" i="431" s="1"/>
  <c r="AQ16" i="432"/>
  <c r="BD15" i="432"/>
  <c r="AF26" i="431" s="1"/>
  <c r="BC15" i="432"/>
  <c r="AE26" i="431" s="1"/>
  <c r="AP16" i="432"/>
  <c r="AW15" i="432"/>
  <c r="Y26" i="431" s="1"/>
  <c r="AX15" i="432"/>
  <c r="Z26" i="431" s="1"/>
  <c r="AN16" i="432"/>
  <c r="AT15" i="432"/>
  <c r="V26" i="431" s="1"/>
  <c r="AM16" i="432"/>
  <c r="AU15" i="432"/>
  <c r="W26" i="431" s="1"/>
  <c r="AZ15" i="432"/>
  <c r="AB26" i="431" s="1"/>
  <c r="BA15" i="432"/>
  <c r="AC26" i="431" s="1"/>
  <c r="AO16" i="432"/>
  <c r="AQ17" i="432" l="1"/>
  <c r="BF16" i="432"/>
  <c r="AH27" i="431" s="1"/>
  <c r="BG16" i="432"/>
  <c r="AI27" i="431" s="1"/>
  <c r="AP17" i="432"/>
  <c r="BC16" i="432"/>
  <c r="AE27" i="431" s="1"/>
  <c r="BD16" i="432"/>
  <c r="AF27" i="431" s="1"/>
  <c r="AX16" i="432"/>
  <c r="Z27" i="431" s="1"/>
  <c r="AW16" i="432"/>
  <c r="Y27" i="431" s="1"/>
  <c r="AN17" i="432"/>
  <c r="AO17" i="432"/>
  <c r="AZ16" i="432"/>
  <c r="AB27" i="431" s="1"/>
  <c r="BA16" i="432"/>
  <c r="AC27" i="431" s="1"/>
  <c r="AU16" i="432"/>
  <c r="W27" i="431" s="1"/>
  <c r="AT16" i="432"/>
  <c r="V27" i="431" s="1"/>
  <c r="AM17" i="432"/>
  <c r="BF17" i="432" l="1"/>
  <c r="AH28" i="431" s="1"/>
  <c r="BG17" i="432"/>
  <c r="AI28" i="431" s="1"/>
  <c r="AQ18" i="432"/>
  <c r="AP18" i="432"/>
  <c r="BD17" i="432"/>
  <c r="AF28" i="431" s="1"/>
  <c r="BC17" i="432"/>
  <c r="AE28" i="431" s="1"/>
  <c r="AO18" i="432"/>
  <c r="AZ17" i="432"/>
  <c r="AB28" i="431" s="1"/>
  <c r="BA17" i="432"/>
  <c r="AC28" i="431" s="1"/>
  <c r="AW17" i="432"/>
  <c r="Y28" i="431" s="1"/>
  <c r="AN18" i="432"/>
  <c r="AX17" i="432"/>
  <c r="Z28" i="431" s="1"/>
  <c r="AM18" i="432"/>
  <c r="AU17" i="432"/>
  <c r="W28" i="431" s="1"/>
  <c r="AT17" i="432"/>
  <c r="V28" i="431" s="1"/>
  <c r="AQ19" i="432" l="1"/>
  <c r="BG18" i="432"/>
  <c r="AI29" i="431" s="1"/>
  <c r="BF18" i="432"/>
  <c r="AH29" i="431" s="1"/>
  <c r="AP19" i="432"/>
  <c r="BD18" i="432"/>
  <c r="AF29" i="431" s="1"/>
  <c r="BC18" i="432"/>
  <c r="AE29" i="431" s="1"/>
  <c r="AT18" i="432"/>
  <c r="V29" i="431" s="1"/>
  <c r="AU18" i="432"/>
  <c r="W29" i="431" s="1"/>
  <c r="AM19" i="432"/>
  <c r="AW18" i="432"/>
  <c r="Y29" i="431" s="1"/>
  <c r="AX18" i="432"/>
  <c r="Z29" i="431" s="1"/>
  <c r="AN19" i="432"/>
  <c r="BA18" i="432"/>
  <c r="AC29" i="431" s="1"/>
  <c r="AZ18" i="432"/>
  <c r="AB29" i="431" s="1"/>
  <c r="AO19" i="432"/>
  <c r="AQ20" i="432" l="1"/>
  <c r="BF19" i="432"/>
  <c r="AH30" i="431" s="1"/>
  <c r="BG19" i="432"/>
  <c r="AI30" i="431" s="1"/>
  <c r="BC19" i="432"/>
  <c r="AE30" i="431" s="1"/>
  <c r="BD19" i="432"/>
  <c r="AF30" i="431" s="1"/>
  <c r="AP20" i="432"/>
  <c r="AM20" i="432"/>
  <c r="AT19" i="432"/>
  <c r="V30" i="431" s="1"/>
  <c r="AU19" i="432"/>
  <c r="W30" i="431" s="1"/>
  <c r="AW19" i="432"/>
  <c r="Y30" i="431" s="1"/>
  <c r="AX19" i="432"/>
  <c r="Z30" i="431" s="1"/>
  <c r="AN20" i="432"/>
  <c r="BA19" i="432"/>
  <c r="AC30" i="431" s="1"/>
  <c r="AZ19" i="432"/>
  <c r="AB30" i="431" s="1"/>
  <c r="AO20" i="432"/>
  <c r="BF20" i="432" l="1"/>
  <c r="AH31" i="431" s="1"/>
  <c r="AQ21" i="432"/>
  <c r="BG20" i="432"/>
  <c r="AI31" i="431" s="1"/>
  <c r="BC20" i="432"/>
  <c r="AE31" i="431" s="1"/>
  <c r="BD20" i="432"/>
  <c r="AF31" i="431" s="1"/>
  <c r="AP21" i="432"/>
  <c r="AN21" i="432"/>
  <c r="AW20" i="432"/>
  <c r="Y31" i="431" s="1"/>
  <c r="AX20" i="432"/>
  <c r="Z31" i="431" s="1"/>
  <c r="AO21" i="432"/>
  <c r="BA20" i="432"/>
  <c r="AC31" i="431" s="1"/>
  <c r="AZ20" i="432"/>
  <c r="AB31" i="431" s="1"/>
  <c r="AU20" i="432"/>
  <c r="W31" i="431" s="1"/>
  <c r="AM21" i="432"/>
  <c r="AT20" i="432"/>
  <c r="V31" i="431" s="1"/>
  <c r="BG21" i="432" l="1"/>
  <c r="AI32" i="431" s="1"/>
  <c r="BF21" i="432"/>
  <c r="AH32" i="431" s="1"/>
  <c r="AQ22" i="432"/>
  <c r="BD21" i="432"/>
  <c r="AF32" i="431" s="1"/>
  <c r="AP22" i="432"/>
  <c r="BC21" i="432"/>
  <c r="AE32" i="431" s="1"/>
  <c r="AU21" i="432"/>
  <c r="W32" i="431" s="1"/>
  <c r="AM22" i="432"/>
  <c r="AT21" i="432"/>
  <c r="V32" i="431" s="1"/>
  <c r="AO22" i="432"/>
  <c r="BA21" i="432"/>
  <c r="AC32" i="431" s="1"/>
  <c r="AZ21" i="432"/>
  <c r="AB32" i="431" s="1"/>
  <c r="AX21" i="432"/>
  <c r="Z32" i="431" s="1"/>
  <c r="AN22" i="432"/>
  <c r="AW21" i="432"/>
  <c r="Y32" i="431" s="1"/>
  <c r="BG22" i="432" l="1"/>
  <c r="AI33" i="431" s="1"/>
  <c r="BF22" i="432"/>
  <c r="AH33" i="431" s="1"/>
  <c r="AQ23" i="432"/>
  <c r="AP23" i="432"/>
  <c r="BC22" i="432"/>
  <c r="AE33" i="431" s="1"/>
  <c r="BD22" i="432"/>
  <c r="AF33" i="431" s="1"/>
  <c r="AZ22" i="432"/>
  <c r="AB33" i="431" s="1"/>
  <c r="BA22" i="432"/>
  <c r="AC33" i="431" s="1"/>
  <c r="AO23" i="432"/>
  <c r="AU22" i="432"/>
  <c r="W33" i="431" s="1"/>
  <c r="AM23" i="432"/>
  <c r="AT22" i="432"/>
  <c r="V33" i="431" s="1"/>
  <c r="AX22" i="432"/>
  <c r="Z33" i="431" s="1"/>
  <c r="AW22" i="432"/>
  <c r="Y33" i="431" s="1"/>
  <c r="AN23" i="432"/>
  <c r="AQ24" i="432" l="1"/>
  <c r="BG23" i="432"/>
  <c r="AI34" i="431" s="1"/>
  <c r="BF23" i="432"/>
  <c r="AH34" i="431" s="1"/>
  <c r="AP24" i="432"/>
  <c r="BD23" i="432"/>
  <c r="AF34" i="431" s="1"/>
  <c r="BC23" i="432"/>
  <c r="AE34" i="431" s="1"/>
  <c r="BA23" i="432"/>
  <c r="AC34" i="431" s="1"/>
  <c r="AO24" i="432"/>
  <c r="AZ23" i="432"/>
  <c r="AB34" i="431" s="1"/>
  <c r="AN24" i="432"/>
  <c r="AX23" i="432"/>
  <c r="Z34" i="431" s="1"/>
  <c r="AW23" i="432"/>
  <c r="Y34" i="431" s="1"/>
  <c r="AT23" i="432"/>
  <c r="V34" i="431" s="1"/>
  <c r="AU23" i="432"/>
  <c r="W34" i="431" s="1"/>
  <c r="AM24" i="432"/>
  <c r="AQ25" i="432" l="1"/>
  <c r="BG24" i="432"/>
  <c r="AI35" i="431" s="1"/>
  <c r="BF24" i="432"/>
  <c r="AH35" i="431" s="1"/>
  <c r="AP25" i="432"/>
  <c r="BD24" i="432"/>
  <c r="AF35" i="431" s="1"/>
  <c r="BC24" i="432"/>
  <c r="AE35" i="431" s="1"/>
  <c r="AX24" i="432"/>
  <c r="Z35" i="431" s="1"/>
  <c r="AW24" i="432"/>
  <c r="Y35" i="431" s="1"/>
  <c r="AN25" i="432"/>
  <c r="BA24" i="432"/>
  <c r="AC35" i="431" s="1"/>
  <c r="AO25" i="432"/>
  <c r="AZ24" i="432"/>
  <c r="AB35" i="431" s="1"/>
  <c r="AU24" i="432"/>
  <c r="W35" i="431" s="1"/>
  <c r="AT24" i="432"/>
  <c r="V35" i="431" s="1"/>
  <c r="AM25" i="432"/>
  <c r="BG25" i="432" l="1"/>
  <c r="AI36" i="431" s="1"/>
  <c r="BF25" i="432"/>
  <c r="AH36" i="431" s="1"/>
  <c r="AQ26" i="432"/>
  <c r="AP26" i="432"/>
  <c r="BC25" i="432"/>
  <c r="AE36" i="431" s="1"/>
  <c r="BD25" i="432"/>
  <c r="AF36" i="431" s="1"/>
  <c r="AW25" i="432"/>
  <c r="Y36" i="431" s="1"/>
  <c r="AX25" i="432"/>
  <c r="Z36" i="431" s="1"/>
  <c r="AN26" i="432"/>
  <c r="AT25" i="432"/>
  <c r="V36" i="431" s="1"/>
  <c r="AU25" i="432"/>
  <c r="W36" i="431" s="1"/>
  <c r="AM26" i="432"/>
  <c r="BA25" i="432"/>
  <c r="AC36" i="431" s="1"/>
  <c r="AZ25" i="432"/>
  <c r="AB36" i="431" s="1"/>
  <c r="AO26" i="432"/>
  <c r="AQ27" i="432" l="1"/>
  <c r="BF26" i="432"/>
  <c r="AH37" i="431" s="1"/>
  <c r="BG26" i="432"/>
  <c r="AI37" i="431" s="1"/>
  <c r="BD26" i="432"/>
  <c r="AF37" i="431" s="1"/>
  <c r="AP27" i="432"/>
  <c r="BC26" i="432"/>
  <c r="AE37" i="431" s="1"/>
  <c r="AX26" i="432"/>
  <c r="Z37" i="431" s="1"/>
  <c r="AN27" i="432"/>
  <c r="AW26" i="432"/>
  <c r="Y37" i="431" s="1"/>
  <c r="AT26" i="432"/>
  <c r="V37" i="431" s="1"/>
  <c r="AU26" i="432"/>
  <c r="W37" i="431" s="1"/>
  <c r="AM27" i="432"/>
  <c r="BA26" i="432"/>
  <c r="AC37" i="431" s="1"/>
  <c r="AZ26" i="432"/>
  <c r="AB37" i="431" s="1"/>
  <c r="AO27" i="432"/>
  <c r="BF27" i="432" l="1"/>
  <c r="AH38" i="431" s="1"/>
  <c r="BG27" i="432"/>
  <c r="AI38" i="431" s="1"/>
  <c r="AQ28" i="432"/>
  <c r="AP28" i="432"/>
  <c r="BD27" i="432"/>
  <c r="AF38" i="431" s="1"/>
  <c r="BC27" i="432"/>
  <c r="AE38" i="431" s="1"/>
  <c r="AT27" i="432"/>
  <c r="V38" i="431" s="1"/>
  <c r="AM28" i="432"/>
  <c r="AU27" i="432"/>
  <c r="W38" i="431" s="1"/>
  <c r="AW27" i="432"/>
  <c r="Y38" i="431" s="1"/>
  <c r="AX27" i="432"/>
  <c r="Z38" i="431" s="1"/>
  <c r="AN28" i="432"/>
  <c r="BA27" i="432"/>
  <c r="AC38" i="431" s="1"/>
  <c r="AO28" i="432"/>
  <c r="AZ27" i="432"/>
  <c r="AB38" i="431" s="1"/>
  <c r="BG28" i="432" l="1"/>
  <c r="AI39" i="431" s="1"/>
  <c r="BF28" i="432"/>
  <c r="AH39" i="431" s="1"/>
  <c r="AQ29" i="432"/>
  <c r="BD28" i="432"/>
  <c r="AF39" i="431" s="1"/>
  <c r="BC28" i="432"/>
  <c r="AE39" i="431" s="1"/>
  <c r="AP29" i="432"/>
  <c r="AO29" i="432"/>
  <c r="BA28" i="432"/>
  <c r="AC39" i="431" s="1"/>
  <c r="AZ28" i="432"/>
  <c r="AB39" i="431" s="1"/>
  <c r="AW28" i="432"/>
  <c r="Y39" i="431" s="1"/>
  <c r="AX28" i="432"/>
  <c r="Z39" i="431" s="1"/>
  <c r="AN29" i="432"/>
  <c r="AM29" i="432"/>
  <c r="AT28" i="432"/>
  <c r="V39" i="431" s="1"/>
  <c r="AU28" i="432"/>
  <c r="W39" i="431" s="1"/>
  <c r="AQ30" i="432" l="1"/>
  <c r="BF29" i="432"/>
  <c r="AH40" i="431" s="1"/>
  <c r="BG29" i="432"/>
  <c r="AI40" i="431" s="1"/>
  <c r="AP30" i="432"/>
  <c r="BD29" i="432"/>
  <c r="AF40" i="431" s="1"/>
  <c r="BC29" i="432"/>
  <c r="AE40" i="431" s="1"/>
  <c r="AU29" i="432"/>
  <c r="W40" i="431" s="1"/>
  <c r="AT29" i="432"/>
  <c r="V40" i="431" s="1"/>
  <c r="AM30" i="432"/>
  <c r="AX29" i="432"/>
  <c r="Z40" i="431" s="1"/>
  <c r="AW29" i="432"/>
  <c r="Y40" i="431" s="1"/>
  <c r="AN30" i="432"/>
  <c r="BA29" i="432"/>
  <c r="AC40" i="431" s="1"/>
  <c r="AO30" i="432"/>
  <c r="AZ29" i="432"/>
  <c r="AB40" i="431" s="1"/>
  <c r="AQ31" i="432" l="1"/>
  <c r="BF30" i="432"/>
  <c r="AH41" i="431" s="1"/>
  <c r="BG30" i="432"/>
  <c r="AI41" i="431" s="1"/>
  <c r="BC30" i="432"/>
  <c r="AE41" i="431" s="1"/>
  <c r="AP31" i="432"/>
  <c r="BD30" i="432"/>
  <c r="AF41" i="431" s="1"/>
  <c r="AO31" i="432"/>
  <c r="AZ30" i="432"/>
  <c r="AB41" i="431" s="1"/>
  <c r="BA30" i="432"/>
  <c r="AC41" i="431" s="1"/>
  <c r="AM31" i="432"/>
  <c r="AT30" i="432"/>
  <c r="V41" i="431" s="1"/>
  <c r="AU30" i="432"/>
  <c r="W41" i="431" s="1"/>
  <c r="AN31" i="432"/>
  <c r="AX30" i="432"/>
  <c r="Z41" i="431" s="1"/>
  <c r="AW30" i="432"/>
  <c r="Y41" i="431" s="1"/>
  <c r="BG31" i="432" l="1"/>
  <c r="AI42" i="431" s="1"/>
  <c r="BF31" i="432"/>
  <c r="AH42" i="431" s="1"/>
  <c r="AQ32" i="432"/>
  <c r="AP32" i="432"/>
  <c r="BD31" i="432"/>
  <c r="AF42" i="431" s="1"/>
  <c r="BC31" i="432"/>
  <c r="AE42" i="431" s="1"/>
  <c r="AU31" i="432"/>
  <c r="W42" i="431" s="1"/>
  <c r="AM32" i="432"/>
  <c r="AT31" i="432"/>
  <c r="V42" i="431" s="1"/>
  <c r="AN32" i="432"/>
  <c r="AW31" i="432"/>
  <c r="Y42" i="431" s="1"/>
  <c r="AX31" i="432"/>
  <c r="Z42" i="431" s="1"/>
  <c r="AZ31" i="432"/>
  <c r="AB42" i="431" s="1"/>
  <c r="BA31" i="432"/>
  <c r="AC42" i="431" s="1"/>
  <c r="AO32" i="432"/>
  <c r="AQ33" i="432" l="1"/>
  <c r="BF32" i="432"/>
  <c r="AH43" i="431" s="1"/>
  <c r="BG32" i="432"/>
  <c r="AI43" i="431" s="1"/>
  <c r="AP33" i="432"/>
  <c r="BC32" i="432"/>
  <c r="AE43" i="431" s="1"/>
  <c r="BD32" i="432"/>
  <c r="AF43" i="431" s="1"/>
  <c r="AZ32" i="432"/>
  <c r="AB43" i="431" s="1"/>
  <c r="AO33" i="432"/>
  <c r="BA32" i="432"/>
  <c r="AC43" i="431" s="1"/>
  <c r="AW32" i="432"/>
  <c r="Y43" i="431" s="1"/>
  <c r="AN33" i="432"/>
  <c r="AX32" i="432"/>
  <c r="Z43" i="431" s="1"/>
  <c r="AT32" i="432"/>
  <c r="V43" i="431" s="1"/>
  <c r="AU32" i="432"/>
  <c r="W43" i="431" s="1"/>
  <c r="AM33" i="432"/>
  <c r="AQ34" i="432" l="1"/>
  <c r="BF33" i="432"/>
  <c r="AH44" i="431" s="1"/>
  <c r="BG33" i="432"/>
  <c r="AI44" i="431" s="1"/>
  <c r="BC33" i="432"/>
  <c r="AE44" i="431" s="1"/>
  <c r="AP34" i="432"/>
  <c r="BD33" i="432"/>
  <c r="AF44" i="431" s="1"/>
  <c r="BA33" i="432"/>
  <c r="AC44" i="431" s="1"/>
  <c r="AZ33" i="432"/>
  <c r="AB44" i="431" s="1"/>
  <c r="AO34" i="432"/>
  <c r="AT33" i="432"/>
  <c r="V44" i="431" s="1"/>
  <c r="AU33" i="432"/>
  <c r="W44" i="431" s="1"/>
  <c r="AM34" i="432"/>
  <c r="AN34" i="432"/>
  <c r="AX33" i="432"/>
  <c r="Z44" i="431" s="1"/>
  <c r="AW33" i="432"/>
  <c r="Y44" i="431" s="1"/>
  <c r="BF34" i="432" l="1"/>
  <c r="AH45" i="431" s="1"/>
  <c r="BG34" i="432"/>
  <c r="AI45" i="431" s="1"/>
  <c r="AQ35" i="432"/>
  <c r="BC34" i="432"/>
  <c r="AE45" i="431" s="1"/>
  <c r="AP35" i="432"/>
  <c r="BD34" i="432"/>
  <c r="AF45" i="431" s="1"/>
  <c r="AW34" i="432"/>
  <c r="Y45" i="431" s="1"/>
  <c r="AN35" i="432"/>
  <c r="AX34" i="432"/>
  <c r="Z45" i="431" s="1"/>
  <c r="BA34" i="432"/>
  <c r="AC45" i="431" s="1"/>
  <c r="AO35" i="432"/>
  <c r="AZ34" i="432"/>
  <c r="AB45" i="431" s="1"/>
  <c r="AT34" i="432"/>
  <c r="V45" i="431" s="1"/>
  <c r="AU34" i="432"/>
  <c r="W45" i="431" s="1"/>
  <c r="AM35" i="432"/>
  <c r="BG35" i="432" l="1"/>
  <c r="AI46" i="431" s="1"/>
  <c r="BF35" i="432"/>
  <c r="AH46" i="431" s="1"/>
  <c r="AH16" i="431" s="1"/>
  <c r="BC35" i="432"/>
  <c r="AE46" i="431" s="1"/>
  <c r="AE14" i="431" s="1"/>
  <c r="BD35" i="432"/>
  <c r="AF46" i="431" s="1"/>
  <c r="AW35" i="432"/>
  <c r="Y46" i="431" s="1"/>
  <c r="Y14" i="431" s="1"/>
  <c r="AX35" i="432"/>
  <c r="Z46" i="431" s="1"/>
  <c r="AZ35" i="432"/>
  <c r="AB46" i="431" s="1"/>
  <c r="AB14" i="431" s="1"/>
  <c r="BA35" i="432"/>
  <c r="AC46" i="431" s="1"/>
  <c r="AT35" i="432"/>
  <c r="V46" i="431" s="1"/>
  <c r="V14" i="431" s="1"/>
  <c r="AU35" i="432"/>
  <c r="W46" i="431" s="1"/>
  <c r="AH14" i="431" l="1"/>
  <c r="AE16" i="431"/>
  <c r="Y16" i="431"/>
  <c r="AB16" i="431"/>
  <c r="V16" i="431"/>
  <c r="J16" i="431"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<sst xmlns="http://schemas.openxmlformats.org/spreadsheetml/2006/main" count="2906" uniqueCount="1303">
  <si>
    <t>Score Display</t>
  </si>
  <si>
    <t>Y</t>
  </si>
  <si>
    <t>X</t>
  </si>
  <si>
    <t>SHOW_DATA</t>
  </si>
  <si>
    <t>PARENT_CODE</t>
  </si>
  <si>
    <t>IS_BG</t>
  </si>
  <si>
    <t>HIGH_IS</t>
  </si>
  <si>
    <t>REF_INDI</t>
  </si>
  <si>
    <t>OVERALL SCORE</t>
  </si>
  <si>
    <t>MAIN_DP</t>
  </si>
  <si>
    <t>Indicator Ranking</t>
  </si>
  <si>
    <t>Display_Status</t>
  </si>
  <si>
    <t>&lt;none&gt;</t>
  </si>
  <si>
    <t>Groups</t>
  </si>
  <si>
    <t>GROUP_HIGHLIGHT_ID</t>
  </si>
  <si>
    <t>GROUP_FILTER_ID</t>
  </si>
  <si>
    <t>GROUP_HIGHLIGHT_DD</t>
  </si>
  <si>
    <t>Weight Profile Names</t>
  </si>
  <si>
    <t>Code</t>
  </si>
  <si>
    <t>Row</t>
  </si>
  <si>
    <t>Level</t>
  </si>
  <si>
    <t>Indicator/Category Name</t>
  </si>
  <si>
    <t>Weight %</t>
  </si>
  <si>
    <t>DisplayName</t>
  </si>
  <si>
    <t>CATEGORIES</t>
  </si>
  <si>
    <t>MIN</t>
  </si>
  <si>
    <t>MAX</t>
  </si>
  <si>
    <t>RANGE</t>
  </si>
  <si>
    <t>Status</t>
  </si>
  <si>
    <t>IsRegion</t>
  </si>
  <si>
    <t>ActiveStatus</t>
  </si>
  <si>
    <t>Score</t>
  </si>
  <si>
    <t>Rank unrounded</t>
  </si>
  <si>
    <t>LU</t>
  </si>
  <si>
    <t>RankRounded</t>
  </si>
  <si>
    <t>Rank</t>
  </si>
  <si>
    <t>Score / 100</t>
  </si>
  <si>
    <t>TERRITORY_COUNT</t>
  </si>
  <si>
    <t>CityID</t>
  </si>
  <si>
    <t>yScatter</t>
  </si>
  <si>
    <t>ignore none</t>
  </si>
  <si>
    <t>Average</t>
  </si>
  <si>
    <t>Band</t>
  </si>
  <si>
    <t>Tier No.</t>
  </si>
  <si>
    <t>All Tiers</t>
  </si>
  <si>
    <t>Indicator</t>
  </si>
  <si>
    <t>ISO/MAP</t>
  </si>
  <si>
    <t>Format</t>
  </si>
  <si>
    <t>TITLE</t>
  </si>
  <si>
    <t>SHOW_OUTLIERS</t>
  </si>
  <si>
    <t>SHOW_LABELS</t>
  </si>
  <si>
    <t>INDI_1</t>
  </si>
  <si>
    <t>INDI_2</t>
  </si>
  <si>
    <t>CITY_HIGHLIGHT_ID</t>
  </si>
  <si>
    <t>if Changed from Neutral</t>
  </si>
  <si>
    <t>Parentcity</t>
  </si>
  <si>
    <t>Weight_row</t>
  </si>
  <si>
    <t>Weight_nom</t>
  </si>
  <si>
    <t>Weight-%</t>
  </si>
  <si>
    <t>ZOOM</t>
  </si>
  <si>
    <t>Units</t>
  </si>
  <si>
    <t>Indicators</t>
  </si>
  <si>
    <t>OVERALL</t>
  </si>
  <si>
    <t>DO NOT DELETE</t>
  </si>
  <si>
    <t>IND_SUB_INDI</t>
  </si>
  <si>
    <t>GROUP_HIGHLIGHT_DD_PLUS_NONE</t>
  </si>
  <si>
    <t>REGION COUNT</t>
  </si>
  <si>
    <t>MODE</t>
  </si>
  <si>
    <t>NUMBER_OF_INDICATORS+SUBS</t>
  </si>
  <si>
    <t>Indi_ID</t>
  </si>
  <si>
    <t>BG_DATA</t>
  </si>
  <si>
    <t>INDI_ID</t>
  </si>
  <si>
    <t>Compound description</t>
  </si>
  <si>
    <t>Section</t>
  </si>
  <si>
    <t>Page</t>
  </si>
  <si>
    <t>ScrollRow</t>
  </si>
  <si>
    <t>nav_historyID</t>
  </si>
  <si>
    <t>PAGE_HOME</t>
  </si>
  <si>
    <t>SHEET_SET_ON_OPEN</t>
  </si>
  <si>
    <t>SHEET_SET_0</t>
  </si>
  <si>
    <t>SHEET_SET_1</t>
  </si>
  <si>
    <t>SHEET_SET_2</t>
  </si>
  <si>
    <t>SHEET_SET_3</t>
  </si>
  <si>
    <t>SHEET_SET_4</t>
  </si>
  <si>
    <t>SHEET_SET_5</t>
  </si>
  <si>
    <t>SHEET_SET_6</t>
  </si>
  <si>
    <t>SHEET_SET_7</t>
  </si>
  <si>
    <t>SHEET_SET_8</t>
  </si>
  <si>
    <t>SHEET_SET_9</t>
  </si>
  <si>
    <t>SHEET_SET_10</t>
  </si>
  <si>
    <t>Home,</t>
  </si>
  <si>
    <t>INDI_CODE</t>
  </si>
  <si>
    <t>Text 1</t>
  </si>
  <si>
    <t>Text 2</t>
  </si>
  <si>
    <t>level</t>
  </si>
  <si>
    <t>SCORE_TEXT</t>
  </si>
  <si>
    <t>WEIGHT_TEXT</t>
  </si>
  <si>
    <t>HEADER_01</t>
  </si>
  <si>
    <t>SCORES</t>
  </si>
  <si>
    <t>DATA</t>
  </si>
  <si>
    <t>INPUT/OUTPUT</t>
  </si>
  <si>
    <t>Indi Name</t>
  </si>
  <si>
    <t>Indi Level</t>
  </si>
  <si>
    <t>Parent</t>
  </si>
  <si>
    <t>Child</t>
  </si>
  <si>
    <t>Ref</t>
  </si>
  <si>
    <t>line</t>
  </si>
  <si>
    <t>COUNTRY_HIGHLIGHT_ID</t>
  </si>
  <si>
    <t>COUNTRY PROFILE</t>
  </si>
  <si>
    <t>COUNTRY PROFILE BUCKET SELECTION</t>
  </si>
  <si>
    <t>View Domains</t>
  </si>
  <si>
    <t>id</t>
  </si>
  <si>
    <t>Country_profile_extras</t>
  </si>
  <si>
    <t>Averages</t>
  </si>
  <si>
    <t>Show_High_Low</t>
  </si>
  <si>
    <t>Country</t>
  </si>
  <si>
    <t>Comparison</t>
  </si>
  <si>
    <t>Source</t>
  </si>
  <si>
    <t>Country_COUNT</t>
  </si>
  <si>
    <t>WEIGHT_PROFILE_ID</t>
  </si>
  <si>
    <t>DATA_INDIS_ONLY</t>
  </si>
  <si>
    <t>NUMBER_OF_QUAL_INDI</t>
  </si>
  <si>
    <t>Unit</t>
  </si>
  <si>
    <t>Bucket Values</t>
  </si>
  <si>
    <t>DATA_SCORE_Toggle</t>
  </si>
  <si>
    <t xml:space="preserve"> </t>
  </si>
  <si>
    <t>x</t>
  </si>
  <si>
    <t>INDI_IS_NATIONAL</t>
  </si>
  <si>
    <t>Buckets</t>
  </si>
  <si>
    <t>Cnt Number</t>
  </si>
  <si>
    <t>For Average Selection</t>
  </si>
  <si>
    <t>All Country Average</t>
  </si>
  <si>
    <t>All countries</t>
  </si>
  <si>
    <t>HEADER_02</t>
  </si>
  <si>
    <t>HEADER_03</t>
  </si>
  <si>
    <t>HEADER_04</t>
  </si>
  <si>
    <t>HEADER_05</t>
  </si>
  <si>
    <t>HEADER_06</t>
  </si>
  <si>
    <t>HEADER_07</t>
  </si>
  <si>
    <t>HEADER_08</t>
  </si>
  <si>
    <t>HEADER_09</t>
  </si>
  <si>
    <t>HEADER_10</t>
  </si>
  <si>
    <t>CATEGORY_SELECT</t>
  </si>
  <si>
    <t>Extract Active Category</t>
  </si>
  <si>
    <t>Country Comp</t>
  </si>
  <si>
    <t>Indicator_Selecr</t>
  </si>
  <si>
    <t>Position Select</t>
  </si>
  <si>
    <t>&lt;CLEAR&gt;</t>
  </si>
  <si>
    <t>SHOW_AVERAGES</t>
  </si>
  <si>
    <t>SHOW_WEIGHT_CHANGE</t>
  </si>
  <si>
    <t>Spare#3</t>
  </si>
  <si>
    <t>Spare#4</t>
  </si>
  <si>
    <t>Spare#5</t>
  </si>
  <si>
    <t>Spare#6</t>
  </si>
  <si>
    <t>Spare#7</t>
  </si>
  <si>
    <t>Lelev</t>
  </si>
  <si>
    <t>REGION HIGHLIGHT DATAPOINTS</t>
  </si>
  <si>
    <t>City HIGHLIGHT</t>
  </si>
  <si>
    <t>Score 2018 (unrounded)</t>
  </si>
  <si>
    <t>HAS_SUB_INDICATORS</t>
  </si>
  <si>
    <t>Region</t>
  </si>
  <si>
    <t>Qual_Or_Quant</t>
  </si>
  <si>
    <t>Data Point</t>
  </si>
  <si>
    <t>For Weights</t>
  </si>
  <si>
    <t>Description</t>
  </si>
  <si>
    <t>Guidance Notes</t>
  </si>
  <si>
    <t>NOTES</t>
  </si>
  <si>
    <t>&lt; CLEAR &gt;</t>
  </si>
  <si>
    <t>View_Level</t>
  </si>
  <si>
    <t>Quant or Qual</t>
  </si>
  <si>
    <t>Notes …</t>
  </si>
  <si>
    <t>High is good</t>
  </si>
  <si>
    <t>DropDown Menu</t>
  </si>
  <si>
    <t>INDICATOR_DISPLAY_LONG</t>
  </si>
  <si>
    <t>SUMMARY_LABELS</t>
  </si>
  <si>
    <t>Qual/Quant</t>
  </si>
  <si>
    <t>band</t>
  </si>
  <si>
    <t>Qual YES/No reverse</t>
  </si>
  <si>
    <t>COUNTRY_PROFILE_HIGH_LOW</t>
  </si>
  <si>
    <t>COUNTRY COMPARE Spider Positions</t>
  </si>
  <si>
    <t>Country Specific Notes</t>
  </si>
  <si>
    <t>Country Specific Ref</t>
  </si>
  <si>
    <t>Scatter_Plot_X</t>
  </si>
  <si>
    <t>Scatter_Plot_Y</t>
  </si>
  <si>
    <t>1_1</t>
  </si>
  <si>
    <t>1_2</t>
  </si>
  <si>
    <t>1_3</t>
  </si>
  <si>
    <t>2_1</t>
  </si>
  <si>
    <t>3_1</t>
  </si>
  <si>
    <t>3_2</t>
  </si>
  <si>
    <t>3_3</t>
  </si>
  <si>
    <t>Weights Dropdown</t>
  </si>
  <si>
    <t>City</t>
  </si>
  <si>
    <t>MAP OBJECT IDENTIFIER</t>
  </si>
  <si>
    <t>Combined filter</t>
  </si>
  <si>
    <t>All Groups</t>
  </si>
  <si>
    <t>Regional_Group_Select</t>
  </si>
  <si>
    <t>BOX_SUMMARY</t>
  </si>
  <si>
    <t>BOX_MAP</t>
  </si>
  <si>
    <t>BOX_COUNTRYPROFILE</t>
  </si>
  <si>
    <t>BOX_INDIRANK</t>
  </si>
  <si>
    <t xml:space="preserve">  </t>
  </si>
  <si>
    <t>output</t>
  </si>
  <si>
    <t>BOLD  WORDS</t>
  </si>
  <si>
    <t>Source:</t>
  </si>
  <si>
    <t>Other_1</t>
  </si>
  <si>
    <t>Other_2</t>
  </si>
  <si>
    <t>Other_3</t>
  </si>
  <si>
    <t>Other_4</t>
  </si>
  <si>
    <t>Other_5</t>
  </si>
  <si>
    <t>Other_6</t>
  </si>
  <si>
    <t>Other_7</t>
  </si>
  <si>
    <t>Other_8</t>
  </si>
  <si>
    <t>Other_9</t>
  </si>
  <si>
    <t>BOLD_TEXT</t>
  </si>
  <si>
    <t>BOLD_TEXT_COUNT</t>
  </si>
  <si>
    <t>BOLD_TEXT_VALUE</t>
  </si>
  <si>
    <t>SHOW_EXTRA_MENU</t>
  </si>
  <si>
    <t>A</t>
  </si>
  <si>
    <t>Hide weights</t>
  </si>
  <si>
    <t>Show weights</t>
  </si>
  <si>
    <t>Show units</t>
  </si>
  <si>
    <t>Hide units</t>
  </si>
  <si>
    <t>SHOW_HIDE_UNITS</t>
  </si>
  <si>
    <t>SHOW_HELP_BAR</t>
  </si>
  <si>
    <t>Show help bar</t>
  </si>
  <si>
    <t>Hide help bar</t>
  </si>
  <si>
    <t>2_2</t>
  </si>
  <si>
    <t>NORM_ID (1=sumproduct, 2=min max set by data values, 3=min max set by user here)</t>
  </si>
  <si>
    <t>Scoring Guidance</t>
  </si>
  <si>
    <t>Country PROFILE Spider</t>
  </si>
  <si>
    <t>Country Profile Tables</t>
  </si>
  <si>
    <t>Active countries</t>
  </si>
  <si>
    <t>Country 1</t>
  </si>
  <si>
    <t>Country 2</t>
  </si>
  <si>
    <t>Country 3</t>
  </si>
  <si>
    <t>Country 4</t>
  </si>
  <si>
    <t>Country 5</t>
  </si>
  <si>
    <t>Country 6</t>
  </si>
  <si>
    <t>rank equal</t>
  </si>
  <si>
    <t>CCOMP_ACTIVE</t>
  </si>
  <si>
    <t>Has Notes</t>
  </si>
  <si>
    <t>Extra Notes</t>
  </si>
  <si>
    <t>Extra Notes Line</t>
  </si>
  <si>
    <t>Description:</t>
  </si>
  <si>
    <t>SHOW_SOURCE</t>
  </si>
  <si>
    <t>Show Source</t>
  </si>
  <si>
    <t>Hide Source</t>
  </si>
  <si>
    <t>TITLE_PRINT_OUT</t>
  </si>
  <si>
    <t>SAVED_INDI_VALUE</t>
  </si>
  <si>
    <t>LAST SAVED</t>
  </si>
  <si>
    <t>BG</t>
  </si>
  <si>
    <t>Data D.P.</t>
  </si>
  <si>
    <t>Year</t>
  </si>
  <si>
    <t>Categories + Indicators</t>
  </si>
  <si>
    <t>COUNTRY_SCORECARDS</t>
  </si>
  <si>
    <t>JUMP_NUMBER</t>
  </si>
  <si>
    <t>CSC_CHART_SWITCH</t>
  </si>
  <si>
    <t>REGION_AVERAGE_SHOW</t>
  </si>
  <si>
    <t>CSC_LINE_COUNT</t>
  </si>
  <si>
    <t>SHEET_CLICKS</t>
  </si>
  <si>
    <t>IR_CLICK_THROUGH</t>
  </si>
  <si>
    <t>cell ref</t>
  </si>
  <si>
    <t>cell identify</t>
  </si>
  <si>
    <t>position count</t>
  </si>
  <si>
    <t>spare</t>
  </si>
  <si>
    <t>CP_CLICK_THROUGH</t>
  </si>
  <si>
    <t>CSC_CLICK_THROUGH</t>
  </si>
  <si>
    <t>CC_CLICK_THROUGH</t>
  </si>
  <si>
    <t>Var_List adjust</t>
  </si>
  <si>
    <t>max</t>
  </si>
  <si>
    <t>saved</t>
  </si>
  <si>
    <t>Name</t>
  </si>
  <si>
    <t>Notes</t>
  </si>
  <si>
    <t>Title</t>
  </si>
  <si>
    <t>Text</t>
  </si>
  <si>
    <t>Year:</t>
  </si>
  <si>
    <t>description</t>
  </si>
  <si>
    <t>question</t>
  </si>
  <si>
    <t>just</t>
  </si>
  <si>
    <t>ref</t>
  </si>
  <si>
    <t>References:</t>
  </si>
  <si>
    <t>isBG</t>
  </si>
  <si>
    <t>units</t>
  </si>
  <si>
    <t>S_CLICK_THROUGH</t>
  </si>
  <si>
    <t>TEST_FOR_WIN_MAC</t>
  </si>
  <si>
    <t>HEADER_11</t>
  </si>
  <si>
    <t xml:space="preserve">DP </t>
  </si>
  <si>
    <t>The active weight profile has been changed from its default setting</t>
  </si>
  <si>
    <t>Definition</t>
  </si>
  <si>
    <t>2_3</t>
  </si>
  <si>
    <t>2_4</t>
  </si>
  <si>
    <t>y</t>
  </si>
  <si>
    <t>None</t>
  </si>
  <si>
    <t>CORRELATIONS</t>
  </si>
  <si>
    <t>Indicator Style For Indi Rank display</t>
  </si>
  <si>
    <t>Indicator Style For Indi Rank text</t>
  </si>
  <si>
    <t>High income</t>
  </si>
  <si>
    <t>GROUP HIGHLIGHT</t>
  </si>
  <si>
    <t>SHOW GROUP AVERAGE</t>
  </si>
  <si>
    <t>domain_Number</t>
  </si>
  <si>
    <t>position in list</t>
  </si>
  <si>
    <t>Actual position</t>
  </si>
  <si>
    <t>ISBG</t>
  </si>
  <si>
    <t>Top+Selection</t>
  </si>
  <si>
    <t>BOX_CORREL</t>
  </si>
  <si>
    <t>number of characters</t>
  </si>
  <si>
    <t>uxb_works!B127</t>
  </si>
  <si>
    <t>format</t>
  </si>
  <si>
    <t>DEPTH</t>
  </si>
  <si>
    <t>WeightedSum Definition</t>
  </si>
  <si>
    <t>Very Short Name</t>
  </si>
  <si>
    <t>Overall</t>
  </si>
  <si>
    <t>Category 1</t>
  </si>
  <si>
    <t>Category 2</t>
  </si>
  <si>
    <t>Category 3</t>
  </si>
  <si>
    <t>Category 4</t>
  </si>
  <si>
    <t>Category 5</t>
  </si>
  <si>
    <t>World Bank Region</t>
  </si>
  <si>
    <t>WHO Region</t>
  </si>
  <si>
    <t>Filter</t>
  </si>
  <si>
    <t>HL</t>
  </si>
  <si>
    <t>Rounded Scores</t>
  </si>
  <si>
    <t>GROUP_FILTER_INCOME</t>
  </si>
  <si>
    <t>GROUP_FILTER_REGION</t>
  </si>
  <si>
    <t>All</t>
  </si>
  <si>
    <t>I button notes</t>
  </si>
  <si>
    <t>INFO_CAT_SELECT_IR</t>
  </si>
  <si>
    <t>DATA - ROUNDED</t>
  </si>
  <si>
    <t>RAW DATA INPUT</t>
  </si>
  <si>
    <t>Category_Filter</t>
  </si>
  <si>
    <t>GROUP_A_SELECTION</t>
  </si>
  <si>
    <t>Group A</t>
  </si>
  <si>
    <t>Group B</t>
  </si>
  <si>
    <t>&lt;no filter&gt;</t>
  </si>
  <si>
    <t>Map</t>
  </si>
  <si>
    <t>INSIGHTS &amp; ANALYTICS</t>
  </si>
  <si>
    <t>INDICATOR_RANKING_2ND_HL_PLUSNONE</t>
  </si>
  <si>
    <t>INDICATOR_RANKING_2ND_HL</t>
  </si>
  <si>
    <t>dropdown</t>
  </si>
  <si>
    <t>Actual number</t>
  </si>
  <si>
    <t>SCORE_DISTRIBUTION</t>
  </si>
  <si>
    <t>SD_FILTER_1</t>
  </si>
  <si>
    <t>SD_FILTER_2</t>
  </si>
  <si>
    <t>HELP TEXT</t>
  </si>
  <si>
    <t>For more general help please click 
HERE</t>
  </si>
  <si>
    <t>FILTER GROUPS</t>
  </si>
  <si>
    <t>HELP_PAGE</t>
  </si>
  <si>
    <t>ACTIVE_HELP_Sheet</t>
  </si>
  <si>
    <t>number of sheets</t>
  </si>
  <si>
    <t>%</t>
  </si>
  <si>
    <t>BY REGION</t>
  </si>
  <si>
    <t>SELECT INDICATOR</t>
  </si>
  <si>
    <t>Indi-Disclaimer</t>
  </si>
  <si>
    <t>Indi or BG</t>
  </si>
  <si>
    <t>is bg</t>
  </si>
  <si>
    <t>reset verflow</t>
  </si>
  <si>
    <t>BACKGROUND INDICATORS</t>
  </si>
  <si>
    <t>PAGE_MACROS_ON_OFF</t>
  </si>
  <si>
    <t>INDICATOR RANKING</t>
  </si>
  <si>
    <t>The boundaries and geographic names used in this map are for illustrative purposes and do not necessarily reflect the official positions of the research or funding organisations.</t>
  </si>
  <si>
    <t>Filters</t>
  </si>
  <si>
    <t>Spare#2</t>
  </si>
  <si>
    <t>3_4</t>
  </si>
  <si>
    <t>PARENT_CODE_NAME</t>
  </si>
  <si>
    <t>Qual/Quant
As Text</t>
  </si>
  <si>
    <t>min</t>
  </si>
  <si>
    <t>B</t>
  </si>
  <si>
    <t>CATEGORY</t>
  </si>
  <si>
    <t>INDICATOR</t>
  </si>
  <si>
    <t>100% (recommended)</t>
  </si>
  <si>
    <t>Category level</t>
  </si>
  <si>
    <t>Indicator level</t>
  </si>
  <si>
    <t>ONDI_VERY_SHORT</t>
  </si>
  <si>
    <t>Set max if NORM_ID =3</t>
  </si>
  <si>
    <t>Set min if NORM_ID =3</t>
  </si>
  <si>
    <t>INDEX INDICATORS (click to reset)</t>
  </si>
  <si>
    <t>BY INCOME (reset)</t>
  </si>
  <si>
    <t>ALL CATEGORIES</t>
  </si>
  <si>
    <t>Distribution bar chart</t>
  </si>
  <si>
    <t>Notes:</t>
  </si>
  <si>
    <t>Visualisation</t>
  </si>
  <si>
    <t>Weights</t>
  </si>
  <si>
    <t>RESULTS</t>
  </si>
  <si>
    <t>Units:</t>
  </si>
  <si>
    <t>1.3.1</t>
  </si>
  <si>
    <t>1.3.2</t>
  </si>
  <si>
    <t>2.3.1</t>
  </si>
  <si>
    <t>2.3.2</t>
  </si>
  <si>
    <t>3.4.1</t>
  </si>
  <si>
    <t>3.4.2</t>
  </si>
  <si>
    <t>1_3_1</t>
  </si>
  <si>
    <t>1_3_2</t>
  </si>
  <si>
    <t>ALL</t>
  </si>
  <si>
    <t>BOX_WEIGHTCOMP</t>
  </si>
  <si>
    <t>SCORES &amp; WEIGHTS</t>
  </si>
  <si>
    <t>YEAR COMPARE</t>
  </si>
  <si>
    <t>WEIGHTS</t>
  </si>
  <si>
    <t>WEIGHT REVIEW &amp; CONTROL</t>
  </si>
  <si>
    <t>COMPARE PROFILES</t>
  </si>
  <si>
    <t>CSC_CLICK_THROUGH_2</t>
  </si>
  <si>
    <t>Equal weighted categories</t>
  </si>
  <si>
    <t>ADDIND_GROUP_WEIGHTS</t>
  </si>
  <si>
    <t>OFFSET_POSITION</t>
  </si>
  <si>
    <t>TEXT_ON_DROPDOWN</t>
  </si>
  <si>
    <t>LOAD GROUP WEIGHTS</t>
  </si>
  <si>
    <t>SAVE_WEIGHT_INC</t>
  </si>
  <si>
    <t>PAGE_YEAR_COMPARE</t>
  </si>
  <si>
    <t>YEAR_FROM</t>
  </si>
  <si>
    <t>YEAR_TO</t>
  </si>
  <si>
    <t>IR_COMPARABLE_INDICATOR</t>
  </si>
  <si>
    <t>Show more options</t>
  </si>
  <si>
    <t>Hide these options</t>
  </si>
  <si>
    <t>Spare#1</t>
  </si>
  <si>
    <t>Stored position</t>
  </si>
  <si>
    <t>SAVE A PROFILE</t>
  </si>
  <si>
    <t>Scoring guidelines:</t>
  </si>
  <si>
    <t>METHODOLOGY</t>
  </si>
  <si>
    <t>Polarity:</t>
  </si>
  <si>
    <t>1.1.1</t>
  </si>
  <si>
    <t>1.1.2</t>
  </si>
  <si>
    <t>1.1.3</t>
  </si>
  <si>
    <t>1.1.4</t>
  </si>
  <si>
    <t>1.2.1</t>
  </si>
  <si>
    <t>1.2.2</t>
  </si>
  <si>
    <t>2.1.1</t>
  </si>
  <si>
    <t>2.1.2</t>
  </si>
  <si>
    <t>2.2.1</t>
  </si>
  <si>
    <t>2.2.2</t>
  </si>
  <si>
    <t>2.4.1</t>
  </si>
  <si>
    <t>2.4.2</t>
  </si>
  <si>
    <t>2.4.3</t>
  </si>
  <si>
    <t>3.1.1</t>
  </si>
  <si>
    <t>3.1.2</t>
  </si>
  <si>
    <t>3.2.1</t>
  </si>
  <si>
    <t>3.2.2</t>
  </si>
  <si>
    <t>3.3.1</t>
  </si>
  <si>
    <t>3.3.2</t>
  </si>
  <si>
    <t>1_1_1</t>
  </si>
  <si>
    <t>1_1_2</t>
  </si>
  <si>
    <t>1_1_3</t>
  </si>
  <si>
    <t>1_1_4</t>
  </si>
  <si>
    <t>1_2_1</t>
  </si>
  <si>
    <t>1_2_2</t>
  </si>
  <si>
    <t>3_1_1</t>
  </si>
  <si>
    <t>3_1_2</t>
  </si>
  <si>
    <t>RUS</t>
  </si>
  <si>
    <t>Row Heigh</t>
  </si>
  <si>
    <t>Question (Survey)</t>
  </si>
  <si>
    <t>eg: A 1-2 sentence conclusion will be provided for each country explaining why they receive or do not receive credit for this indicator. For example, Uganda does not have market-based instruments for end-user level food waste.</t>
  </si>
  <si>
    <t>Less Than</t>
  </si>
  <si>
    <t>MAIN</t>
  </si>
  <si>
    <t>lbl</t>
  </si>
  <si>
    <t>Fixed</t>
  </si>
  <si>
    <t>EMPTY</t>
  </si>
  <si>
    <t>Number of segments</t>
  </si>
  <si>
    <t>FIXED</t>
  </si>
  <si>
    <t>HIGh =Good</t>
  </si>
  <si>
    <t>Upper middle income</t>
  </si>
  <si>
    <t>Scoring Guidance:</t>
  </si>
  <si>
    <t>s</t>
  </si>
  <si>
    <t>$V$16</t>
  </si>
  <si>
    <t>Global Average</t>
  </si>
  <si>
    <t>SHOW_HEATMAP</t>
  </si>
  <si>
    <t>Country Profile</t>
  </si>
  <si>
    <t>colour assignment</t>
  </si>
  <si>
    <t>189, 201, 225</t>
  </si>
  <si>
    <t>116, 169, 207</t>
  </si>
  <si>
    <t>43, 140, 190</t>
  </si>
  <si>
    <t>CP_CHART_SEGMENTS</t>
  </si>
  <si>
    <t>Home</t>
  </si>
  <si>
    <t>Indicator_Ranking</t>
  </si>
  <si>
    <t>CProfile</t>
  </si>
  <si>
    <t>Scores</t>
  </si>
  <si>
    <t>uxb_works</t>
  </si>
  <si>
    <t>tblIndicators</t>
  </si>
  <si>
    <t>iIndiRank</t>
  </si>
  <si>
    <t>iCP_Chart</t>
  </si>
  <si>
    <t>iCountryComp_Scatter</t>
  </si>
  <si>
    <t>iData</t>
  </si>
  <si>
    <t>tblIndiSets</t>
  </si>
  <si>
    <t>iWeights1</t>
  </si>
  <si>
    <t>tblTerritories</t>
  </si>
  <si>
    <t>tblNavHist</t>
  </si>
  <si>
    <t>SheetNames</t>
  </si>
  <si>
    <t>tblCategories</t>
  </si>
  <si>
    <t>iScores</t>
  </si>
  <si>
    <t>Fill</t>
  </si>
  <si>
    <t>SUB - CATEGORY</t>
  </si>
  <si>
    <t>Sub-Indicator level</t>
  </si>
  <si>
    <t>Show all</t>
  </si>
  <si>
    <t>Indicators &amp; above</t>
  </si>
  <si>
    <t>BY REGION (reset)</t>
  </si>
  <si>
    <t>WEIGHTS (reset)</t>
  </si>
  <si>
    <t>SELECT LEVEL (reset)</t>
  </si>
  <si>
    <t>INDICATOR TO CORRELATE WITH. (reset)</t>
  </si>
  <si>
    <t>CATEGORY (reset)</t>
  </si>
  <si>
    <t>$C$15</t>
  </si>
  <si>
    <t>Spare#8</t>
  </si>
  <si>
    <t>Position 1</t>
  </si>
  <si>
    <t>Position 2</t>
  </si>
  <si>
    <t>Position 3</t>
  </si>
  <si>
    <t>Position 4</t>
  </si>
  <si>
    <t>Position 5</t>
  </si>
  <si>
    <t>1.2.3</t>
  </si>
  <si>
    <t>1_2_3</t>
  </si>
  <si>
    <t>2.5.1</t>
  </si>
  <si>
    <t>2_5</t>
  </si>
  <si>
    <t>2_1_1</t>
  </si>
  <si>
    <t>2_1_2</t>
  </si>
  <si>
    <t>2_2_1</t>
  </si>
  <si>
    <t>2_2_2</t>
  </si>
  <si>
    <t>2_3_1</t>
  </si>
  <si>
    <t>2_3_2</t>
  </si>
  <si>
    <t>2_4_1</t>
  </si>
  <si>
    <t>2_4_2</t>
  </si>
  <si>
    <t>2_4_3</t>
  </si>
  <si>
    <t>2_5_1</t>
  </si>
  <si>
    <t>SUST</t>
  </si>
  <si>
    <t>3.3.3</t>
  </si>
  <si>
    <t>RELY1_1</t>
  </si>
  <si>
    <t>RELY1_1_1</t>
  </si>
  <si>
    <t>RELY1_1_2</t>
  </si>
  <si>
    <t>RELY1_1_3</t>
  </si>
  <si>
    <t>RELY1_1_4</t>
  </si>
  <si>
    <t>RELY1_2</t>
  </si>
  <si>
    <t>RELY1_2_1</t>
  </si>
  <si>
    <t>RELY1_2_2</t>
  </si>
  <si>
    <t>RELY1_2_3</t>
  </si>
  <si>
    <t>RELY1_3</t>
  </si>
  <si>
    <t>RELY1_3_1</t>
  </si>
  <si>
    <t>RELY1_3_2</t>
  </si>
  <si>
    <t xml:space="preserve">RELY1_3_3 </t>
  </si>
  <si>
    <t xml:space="preserve">RELY1_3_4 </t>
  </si>
  <si>
    <t>ACES2_1</t>
  </si>
  <si>
    <t>ACES2_1_1</t>
  </si>
  <si>
    <t>ACES2_1_2</t>
  </si>
  <si>
    <t>ACES2_2</t>
  </si>
  <si>
    <t>ACES2_2_1</t>
  </si>
  <si>
    <t>ACES2_2_2</t>
  </si>
  <si>
    <t>ACES2_3</t>
  </si>
  <si>
    <t>ACES2_3_1</t>
  </si>
  <si>
    <t>ACES2_3_2</t>
  </si>
  <si>
    <t>ACES2_4</t>
  </si>
  <si>
    <t>ACES2_4_1</t>
  </si>
  <si>
    <t>ACES2_4_2</t>
  </si>
  <si>
    <t>ACES2_4_3</t>
  </si>
  <si>
    <t>ACES2_4_4</t>
  </si>
  <si>
    <t>ACES2_5</t>
  </si>
  <si>
    <t>ACES2_5_1</t>
  </si>
  <si>
    <t>ACES2_5_2</t>
  </si>
  <si>
    <t>ACES2_5_3</t>
  </si>
  <si>
    <t>SUST3_1</t>
  </si>
  <si>
    <t>SUST3_1_1</t>
  </si>
  <si>
    <t>SUST3_1_2</t>
  </si>
  <si>
    <t>SUST3_2</t>
  </si>
  <si>
    <t xml:space="preserve">SUST3_2_1 </t>
  </si>
  <si>
    <t xml:space="preserve">SUST3_2_2 </t>
  </si>
  <si>
    <t>SUST3_3</t>
  </si>
  <si>
    <t xml:space="preserve">SUST3_3_1 </t>
  </si>
  <si>
    <t xml:space="preserve">SUST3_3_2 </t>
  </si>
  <si>
    <t xml:space="preserve">SUST3_3_3 </t>
  </si>
  <si>
    <t>SUST3_4</t>
  </si>
  <si>
    <t xml:space="preserve">SUST3_4_1 </t>
  </si>
  <si>
    <t xml:space="preserve">SUST3_4_2 </t>
  </si>
  <si>
    <t>SUST3_4_3</t>
  </si>
  <si>
    <t>SUST3_4_4</t>
  </si>
  <si>
    <t xml:space="preserve">SUST3_4_5 </t>
  </si>
  <si>
    <t>SUST3_5</t>
  </si>
  <si>
    <t xml:space="preserve">SUST3_5_1 </t>
  </si>
  <si>
    <t xml:space="preserve">SUST3_5_2 </t>
  </si>
  <si>
    <t xml:space="preserve">SUST3_5_3 </t>
  </si>
  <si>
    <t xml:space="preserve">SUST3_5_4 </t>
  </si>
  <si>
    <t>City 1</t>
  </si>
  <si>
    <t>City 2</t>
  </si>
  <si>
    <t>Highest = best</t>
  </si>
  <si>
    <t>Pos. Number</t>
  </si>
  <si>
    <t>ISO</t>
  </si>
  <si>
    <t>Population</t>
  </si>
  <si>
    <t>1_4</t>
  </si>
  <si>
    <t>1_5</t>
  </si>
  <si>
    <t>Very Short Names (Spider Plot)</t>
  </si>
  <si>
    <t>Indicators with City level text</t>
  </si>
  <si>
    <t>Spare 2</t>
  </si>
  <si>
    <t>Qualitative</t>
  </si>
  <si>
    <t>Quantitative</t>
  </si>
  <si>
    <t>Short Names (If applicable)</t>
  </si>
  <si>
    <t>: 50.1 to 75.0</t>
  </si>
  <si>
    <t>: 25.1 to 50.0</t>
  </si>
  <si>
    <t>: 0 to 25.0</t>
  </si>
  <si>
    <t>CITY FILTERS</t>
  </si>
  <si>
    <t>0-25</t>
  </si>
  <si>
    <t>25-50</t>
  </si>
  <si>
    <t>50-75</t>
  </si>
  <si>
    <t>75-100</t>
  </si>
  <si>
    <t>FIRST_ENTRY</t>
  </si>
  <si>
    <t>Returning user? Click here to open menus above</t>
  </si>
  <si>
    <t>The access menus are now available above.</t>
  </si>
  <si>
    <t>CITY COMPARE</t>
  </si>
  <si>
    <t>DATA / SCORES</t>
  </si>
  <si>
    <t>CATEGORY_SELECT_CC</t>
  </si>
  <si>
    <t>Sub-categories &amp; above</t>
  </si>
  <si>
    <t>: 75.1 to 100</t>
  </si>
  <si>
    <t>CITY</t>
  </si>
  <si>
    <t>CITY 1</t>
  </si>
  <si>
    <t>CITY 2</t>
  </si>
  <si>
    <t>CITY 3</t>
  </si>
  <si>
    <t>CITY 4</t>
  </si>
  <si>
    <t>CITY_Compare</t>
  </si>
  <si>
    <t>CITY_VARIABLE_SELECT</t>
  </si>
  <si>
    <t>BOX_CCOMP</t>
  </si>
  <si>
    <t>CITY Code</t>
  </si>
  <si>
    <t>CITY_HIGHLIGHT_DD</t>
  </si>
  <si>
    <t>City Comparison Overview</t>
  </si>
  <si>
    <t>CITY HIGHLIGHT</t>
  </si>
  <si>
    <t>Min</t>
  </si>
  <si>
    <t>Max</t>
  </si>
  <si>
    <t>SUMMARY</t>
  </si>
  <si>
    <t>CCompare</t>
  </si>
  <si>
    <t>iCComp</t>
  </si>
  <si>
    <t>CITY1_ID</t>
  </si>
  <si>
    <t>CITY2_ID</t>
  </si>
  <si>
    <t>CITY3_ID</t>
  </si>
  <si>
    <t>CITY4_ID</t>
  </si>
  <si>
    <t>CITY5_ID</t>
  </si>
  <si>
    <t>CITY6_ID</t>
  </si>
  <si>
    <t>Sub-category level</t>
  </si>
  <si>
    <t>All data are normalised to a scale of 0 to 100, where 100 = optimal score</t>
  </si>
  <si>
    <t>SUMMARY_CLICK</t>
  </si>
  <si>
    <t>Scored 0-100, where 100 = most optimized</t>
  </si>
  <si>
    <t>Bangkok</t>
  </si>
  <si>
    <t>Buenos Aires</t>
  </si>
  <si>
    <t>Copenhagen</t>
  </si>
  <si>
    <t>Dallas</t>
  </si>
  <si>
    <t>Frankfurt</t>
  </si>
  <si>
    <t>Jakarta</t>
  </si>
  <si>
    <t>London</t>
  </si>
  <si>
    <t>Madrid</t>
  </si>
  <si>
    <t/>
  </si>
  <si>
    <t>CORRELATION(X,Y)</t>
  </si>
  <si>
    <t>input</t>
  </si>
  <si>
    <t>Y2</t>
  </si>
  <si>
    <t>Y1</t>
  </si>
  <si>
    <t>X2</t>
  </si>
  <si>
    <t>X1</t>
  </si>
  <si>
    <t>Counter</t>
  </si>
  <si>
    <t>formats</t>
  </si>
  <si>
    <t>Label</t>
  </si>
  <si>
    <t>CountryID</t>
  </si>
  <si>
    <t>Target</t>
  </si>
  <si>
    <t>Min Outlier</t>
  </si>
  <si>
    <t>Max Outlier</t>
  </si>
  <si>
    <t>Include?</t>
  </si>
  <si>
    <t>Diff</t>
  </si>
  <si>
    <t>STATUS</t>
  </si>
  <si>
    <t>Country_ID</t>
  </si>
  <si>
    <t>Highlighted</t>
  </si>
  <si>
    <t>Base (unhighlighted)</t>
  </si>
  <si>
    <t>Labels</t>
  </si>
  <si>
    <t>CountryHighlight</t>
  </si>
  <si>
    <t>Anticipated</t>
  </si>
  <si>
    <t>Don't allow blanks or errors</t>
  </si>
  <si>
    <t>Allowable?</t>
  </si>
  <si>
    <t>Raw data</t>
  </si>
  <si>
    <t>ERROR CORREL</t>
  </si>
  <si>
    <t>CORREL</t>
  </si>
  <si>
    <t>INTERCEPT</t>
  </si>
  <si>
    <t>SLOPE</t>
  </si>
  <si>
    <t>Y-LABEL</t>
  </si>
  <si>
    <t>X-LABEL</t>
  </si>
  <si>
    <t>Country_HIGHLIGHT_ID</t>
  </si>
  <si>
    <t>INDI_Y</t>
  </si>
  <si>
    <t>INDI_X</t>
  </si>
  <si>
    <t xml:space="preserve"> Most negative correlations</t>
  </si>
  <si>
    <t xml:space="preserve"> Most postive correlations</t>
  </si>
  <si>
    <t>correlation</t>
  </si>
  <si>
    <t>On/Off</t>
  </si>
  <si>
    <t>Check all values &lt;&gt; =</t>
  </si>
  <si>
    <t>Sort +ve</t>
  </si>
  <si>
    <t>Indi Select</t>
  </si>
  <si>
    <t>Compare *</t>
  </si>
  <si>
    <t>with</t>
  </si>
  <si>
    <t>iSbACKGROUND</t>
  </si>
  <si>
    <t>Scatter Axis
0 = 0 - 100
 1 = Auto
2 = pre-set</t>
  </si>
  <si>
    <t>SCATTER</t>
  </si>
  <si>
    <t>FILTER_SET_3</t>
  </si>
  <si>
    <t>BY POPULATION (reset)</t>
  </si>
  <si>
    <t>SELECT PRIMARY SET</t>
  </si>
  <si>
    <t>2_6</t>
  </si>
  <si>
    <t>Scatter</t>
  </si>
  <si>
    <t>Correlations</t>
  </si>
  <si>
    <t>iScatterZoom</t>
  </si>
  <si>
    <t>iScatter</t>
  </si>
  <si>
    <t>iCorrel1</t>
  </si>
  <si>
    <t>All tiers</t>
  </si>
  <si>
    <t>Rounding</t>
  </si>
  <si>
    <t>Active group</t>
  </si>
  <si>
    <t>Compare With</t>
  </si>
  <si>
    <t>Delta</t>
  </si>
  <si>
    <t>Change in Score</t>
  </si>
  <si>
    <t>Up/Down</t>
  </si>
  <si>
    <t>Change in Rank</t>
  </si>
  <si>
    <t>IN/OUT Group</t>
  </si>
  <si>
    <t>remove Aerage</t>
  </si>
  <si>
    <t>=</t>
  </si>
  <si>
    <t>display status</t>
  </si>
  <si>
    <t>score</t>
  </si>
  <si>
    <t>AVERAGE</t>
  </si>
  <si>
    <t>reg average</t>
  </si>
  <si>
    <t>See Filter Selection</t>
  </si>
  <si>
    <t>Selected Average</t>
  </si>
  <si>
    <t>Summary1</t>
  </si>
  <si>
    <t>iSummary1</t>
  </si>
  <si>
    <t>$1:$10</t>
  </si>
  <si>
    <t>CREL_CLICK_THROUGH</t>
  </si>
  <si>
    <t>EIU</t>
  </si>
  <si>
    <t>Economist Intelligence</t>
  </si>
  <si>
    <t>Low &amp; lower middle income</t>
  </si>
  <si>
    <t>Economist Impact default</t>
  </si>
  <si>
    <t>High is</t>
  </si>
  <si>
    <t>sort by data =  1
score = 2
alphabetical = 3</t>
  </si>
  <si>
    <t>IS BG</t>
  </si>
  <si>
    <t>$V$19</t>
  </si>
  <si>
    <t>BY WATER STRESS (reset)</t>
  </si>
  <si>
    <t>2.1.3</t>
  </si>
  <si>
    <t>2.2.3</t>
  </si>
  <si>
    <t>2.6.1</t>
  </si>
  <si>
    <t>2.6.2</t>
  </si>
  <si>
    <t>3.1.3</t>
  </si>
  <si>
    <t>3.2.3</t>
  </si>
  <si>
    <t>3.2.4</t>
  </si>
  <si>
    <t>3.3.4</t>
  </si>
  <si>
    <t>4.1.1</t>
  </si>
  <si>
    <t>4.1.2</t>
  </si>
  <si>
    <t>4.1.3</t>
  </si>
  <si>
    <t>4.2.1</t>
  </si>
  <si>
    <t>4.2.2</t>
  </si>
  <si>
    <t>4.2.3</t>
  </si>
  <si>
    <t>4.3.1</t>
  </si>
  <si>
    <t>4.4.1</t>
  </si>
  <si>
    <t>4.4.2</t>
  </si>
  <si>
    <t>2_1_3</t>
  </si>
  <si>
    <t>2_2_3</t>
  </si>
  <si>
    <t>2_6_1</t>
  </si>
  <si>
    <t>2_6_2</t>
  </si>
  <si>
    <t>3_1_3</t>
  </si>
  <si>
    <t>3_2_1</t>
  </si>
  <si>
    <t>3_2_2</t>
  </si>
  <si>
    <t>3_2_3</t>
  </si>
  <si>
    <t>3_2_4</t>
  </si>
  <si>
    <t>3_3_1</t>
  </si>
  <si>
    <t>3_3_2</t>
  </si>
  <si>
    <t>3_3_3</t>
  </si>
  <si>
    <t>3_3_4</t>
  </si>
  <si>
    <t>3_4_1</t>
  </si>
  <si>
    <t>3_4_2</t>
  </si>
  <si>
    <t>4_1</t>
  </si>
  <si>
    <t>4_1_1</t>
  </si>
  <si>
    <t>4_1_2</t>
  </si>
  <si>
    <t>4_1_3</t>
  </si>
  <si>
    <t>4_2</t>
  </si>
  <si>
    <t>4_2_1</t>
  </si>
  <si>
    <t>4_2_2</t>
  </si>
  <si>
    <t>4_2_3</t>
  </si>
  <si>
    <t>4_3</t>
  </si>
  <si>
    <t>4_3_1</t>
  </si>
  <si>
    <t>4_4</t>
  </si>
  <si>
    <t>4_4_1</t>
  </si>
  <si>
    <t>4_4_2</t>
  </si>
  <si>
    <t>Connectivity</t>
  </si>
  <si>
    <t>Digital infrastructure</t>
  </si>
  <si>
    <t>Mobile broadband subscriptions</t>
  </si>
  <si>
    <t>5G readiness</t>
  </si>
  <si>
    <t>Quality</t>
  </si>
  <si>
    <t>Internet upload speed</t>
  </si>
  <si>
    <t>Internet download speed</t>
  </si>
  <si>
    <t>Affordability</t>
  </si>
  <si>
    <t>Services</t>
  </si>
  <si>
    <t>E-gov services for residents &amp; businesses</t>
  </si>
  <si>
    <t>Digital finance - fintech</t>
  </si>
  <si>
    <t xml:space="preserve">Transport </t>
  </si>
  <si>
    <t>Digital identification at airports</t>
  </si>
  <si>
    <t>Healthcare</t>
  </si>
  <si>
    <t>Education</t>
  </si>
  <si>
    <t>Retail and hospitality</t>
  </si>
  <si>
    <t>Culture</t>
  </si>
  <si>
    <t>Internet Usage</t>
  </si>
  <si>
    <t>Cyber security risk awareness</t>
  </si>
  <si>
    <t>Innovation ecosystem</t>
  </si>
  <si>
    <t>Intellectual Property Rights</t>
  </si>
  <si>
    <t>Smart utility management</t>
  </si>
  <si>
    <t>Smart urban agriculture</t>
  </si>
  <si>
    <t>Emissions reduction</t>
  </si>
  <si>
    <t>Pollution</t>
  </si>
  <si>
    <t>Air pollution</t>
  </si>
  <si>
    <t>Circular economy</t>
  </si>
  <si>
    <t>E-waste management</t>
  </si>
  <si>
    <t>CNTY</t>
  </si>
  <si>
    <t>SERV</t>
  </si>
  <si>
    <t>CULT</t>
  </si>
  <si>
    <t>Digital Cities Index</t>
  </si>
  <si>
    <t>per 100 inhabitants</t>
  </si>
  <si>
    <t>Background Indicators</t>
  </si>
  <si>
    <t>BG.1</t>
  </si>
  <si>
    <t>BG_1.1</t>
  </si>
  <si>
    <t>BG_1.2</t>
  </si>
  <si>
    <t>BG_1.3</t>
  </si>
  <si>
    <t>BG_1.4</t>
  </si>
  <si>
    <t>BG_1.5</t>
  </si>
  <si>
    <t xml:space="preserve">Qualitative </t>
  </si>
  <si>
    <t xml:space="preserve">Quantitative </t>
  </si>
  <si>
    <t>Ookla</t>
  </si>
  <si>
    <t>CNTY1_1</t>
  </si>
  <si>
    <t>CNTY1_1_1</t>
  </si>
  <si>
    <t>CNTY1_1_2</t>
  </si>
  <si>
    <t>CNTY1_1_3</t>
  </si>
  <si>
    <t>CNTY1_1_4</t>
  </si>
  <si>
    <t>CNTY1_2</t>
  </si>
  <si>
    <t>CNTY1_2_1</t>
  </si>
  <si>
    <t>CNTY1_2_2</t>
  </si>
  <si>
    <t>CNTY1_2_3</t>
  </si>
  <si>
    <t>CNTY1_3</t>
  </si>
  <si>
    <t>CNTY1_3_1</t>
  </si>
  <si>
    <t>CNTY1_3_2</t>
  </si>
  <si>
    <t>SERV2_1</t>
  </si>
  <si>
    <t>SERV2_1_1</t>
  </si>
  <si>
    <t>SERV2_1_2</t>
  </si>
  <si>
    <t>SERV2_1_3</t>
  </si>
  <si>
    <t>SERV2_2</t>
  </si>
  <si>
    <t>SERV2_2_1</t>
  </si>
  <si>
    <t>SERV2_2_2</t>
  </si>
  <si>
    <t>SERV2_2_3</t>
  </si>
  <si>
    <t>SERV2_3</t>
  </si>
  <si>
    <t>SERV2_3_1</t>
  </si>
  <si>
    <t>SERV2_3_2</t>
  </si>
  <si>
    <t>SERV2_4</t>
  </si>
  <si>
    <t>SERV2_4_1</t>
  </si>
  <si>
    <t>SERV2_4_2</t>
  </si>
  <si>
    <t>SERV2_4_3</t>
  </si>
  <si>
    <t>SERV2_5</t>
  </si>
  <si>
    <t>SERV2_5_1</t>
  </si>
  <si>
    <t>SERV2_6</t>
  </si>
  <si>
    <t>SERV2_6_1</t>
  </si>
  <si>
    <t>SERV2_6_2</t>
  </si>
  <si>
    <t>CULT3_1</t>
  </si>
  <si>
    <t>CULT3_1_1</t>
  </si>
  <si>
    <t>CULT3_1_2</t>
  </si>
  <si>
    <t>CULT3_1_3</t>
  </si>
  <si>
    <t>CULT3_2</t>
  </si>
  <si>
    <t>CULT3_2_1</t>
  </si>
  <si>
    <t>CULT3_2_2</t>
  </si>
  <si>
    <t>CULT3_2_3</t>
  </si>
  <si>
    <t>CULT3_2_4</t>
  </si>
  <si>
    <t>CULT3_3</t>
  </si>
  <si>
    <t>CULT3_3_1</t>
  </si>
  <si>
    <t>CULT3_3_2</t>
  </si>
  <si>
    <t>CULT3_3_3</t>
  </si>
  <si>
    <t>CULT3_3_4</t>
  </si>
  <si>
    <t>CULT3_4</t>
  </si>
  <si>
    <t>CULT3_4_1</t>
  </si>
  <si>
    <t>CULT3_4_2</t>
  </si>
  <si>
    <t>SUST4_1</t>
  </si>
  <si>
    <t>SUST4_1_1</t>
  </si>
  <si>
    <t>SUST4_1_2</t>
  </si>
  <si>
    <t>SUST4_1_3</t>
  </si>
  <si>
    <t>SUST4_2</t>
  </si>
  <si>
    <t>SUST4_2_1</t>
  </si>
  <si>
    <t>SUST4_2_2</t>
  </si>
  <si>
    <t>SUST4_2_3</t>
  </si>
  <si>
    <t>SUST4_3</t>
  </si>
  <si>
    <t>SUST4_3_1</t>
  </si>
  <si>
    <t>SUST4_4</t>
  </si>
  <si>
    <t>SUST4_4_1</t>
  </si>
  <si>
    <t>SUST4_4_2</t>
  </si>
  <si>
    <t>BG.11_1</t>
  </si>
  <si>
    <t>BG.11_2</t>
  </si>
  <si>
    <t>BG.11_3</t>
  </si>
  <si>
    <t>BG.11_4</t>
  </si>
  <si>
    <t>BG.11_5</t>
  </si>
  <si>
    <t>BG1</t>
  </si>
  <si>
    <t>Score as in Government AI readiness index</t>
  </si>
  <si>
    <t>DOMAINS  + CATEGORIES</t>
  </si>
  <si>
    <t>Population &lt; 5m</t>
  </si>
  <si>
    <t>Population 5-10m</t>
  </si>
  <si>
    <t>Population 10-15m</t>
  </si>
  <si>
    <t>Population 15m +</t>
  </si>
  <si>
    <t>APAC</t>
  </si>
  <si>
    <t>LATAM</t>
  </si>
  <si>
    <t>MEA</t>
  </si>
  <si>
    <t>NA</t>
  </si>
  <si>
    <t>Amsterdam</t>
  </si>
  <si>
    <t>Auckland</t>
  </si>
  <si>
    <t>Barcelona</t>
  </si>
  <si>
    <t>Beijing</t>
  </si>
  <si>
    <t>Berlin</t>
  </si>
  <si>
    <t>Dubai</t>
  </si>
  <si>
    <t>Hong Kong</t>
  </si>
  <si>
    <t>Kuala Lumpur</t>
  </si>
  <si>
    <t>Manila</t>
  </si>
  <si>
    <t>Mexico City</t>
  </si>
  <si>
    <t>New Delhi</t>
  </si>
  <si>
    <t>New York</t>
  </si>
  <si>
    <t>Paris</t>
  </si>
  <si>
    <t>Rome</t>
  </si>
  <si>
    <t>Sao Paulo</t>
  </si>
  <si>
    <t>Seoul</t>
  </si>
  <si>
    <t>Singapore</t>
  </si>
  <si>
    <t>Sydney</t>
  </si>
  <si>
    <t>Tokyo</t>
  </si>
  <si>
    <t>Toronto</t>
  </si>
  <si>
    <t>Washington</t>
  </si>
  <si>
    <t>Zurich</t>
  </si>
  <si>
    <t>All Pop</t>
  </si>
  <si>
    <t>region</t>
  </si>
  <si>
    <t>income</t>
  </si>
  <si>
    <t>See filter selection above</t>
  </si>
  <si>
    <t>Sub-category</t>
  </si>
  <si>
    <t>actual</t>
  </si>
  <si>
    <t>Indi_Select_Region_Compare</t>
  </si>
  <si>
    <t>Leaves out Domain names in list</t>
  </si>
  <si>
    <t xml:space="preserve">Long </t>
  </si>
  <si>
    <t>Short</t>
  </si>
  <si>
    <t>RC_REGION_SELECT</t>
  </si>
  <si>
    <t>REGION_COMPARE_INDICATOR</t>
  </si>
  <si>
    <t>SORT_BY_REGION</t>
  </si>
  <si>
    <t>REGION_COMPARE_LIST</t>
  </si>
  <si>
    <t>REGION_COMPARE_TEXT</t>
  </si>
  <si>
    <t>All regions in all income levels with all population sizes</t>
  </si>
  <si>
    <t>No official portals for businesses available</t>
  </si>
  <si>
    <t>Available</t>
  </si>
  <si>
    <t>Not available</t>
  </si>
  <si>
    <t>Applications/systems for verification of vaccination and testing</t>
  </si>
  <si>
    <t>No applications/systems exist</t>
  </si>
  <si>
    <t>Very high preparedness</t>
  </si>
  <si>
    <t>High preparedness</t>
  </si>
  <si>
    <t>Moderate preparedness</t>
  </si>
  <si>
    <t>Low preparedness</t>
  </si>
  <si>
    <t>Very low preparedness</t>
  </si>
  <si>
    <t>No</t>
  </si>
  <si>
    <t>Yes</t>
  </si>
  <si>
    <t>Announced net zero targets</t>
  </si>
  <si>
    <t>Policies banning testing/operating autonomous vehicles</t>
  </si>
  <si>
    <t>No explicit policy - autonomous vehicles not prevented from being tested or operated</t>
  </si>
  <si>
    <t>Policies explicitly encouraging the testing/usage of autonomous vehicles</t>
  </si>
  <si>
    <t>$C$30</t>
  </si>
  <si>
    <t>Don’t Move</t>
  </si>
  <si>
    <t>actual ref</t>
  </si>
  <si>
    <t>Rank =?</t>
  </si>
  <si>
    <t>Cat</t>
  </si>
  <si>
    <t>Number of indi's</t>
  </si>
  <si>
    <t>Score (unrounded)</t>
  </si>
  <si>
    <t>X-Highlight</t>
  </si>
  <si>
    <t>Highlight Country</t>
  </si>
  <si>
    <t>Highlight Region</t>
  </si>
  <si>
    <t>t</t>
  </si>
  <si>
    <t>CITY SCORECARD</t>
  </si>
  <si>
    <t>REGION COMPARE</t>
  </si>
  <si>
    <t>Table of Contents</t>
  </si>
  <si>
    <t>Offers a more detailed description of the scoring for each indicator</t>
  </si>
  <si>
    <t>Displays scatter plots between indicators</t>
  </si>
  <si>
    <t>Provides correlation analysis between indicators</t>
  </si>
  <si>
    <t>Table of data or normalised scores for each indicator and country</t>
  </si>
  <si>
    <t>Create and save your own weight profiles</t>
  </si>
  <si>
    <t>Shows the overall and category scores and rankings for all cities</t>
  </si>
  <si>
    <t>Allows comparisons for all filter groups and overlaps.</t>
  </si>
  <si>
    <t>Click name below to view</t>
  </si>
  <si>
    <t>Contents</t>
  </si>
  <si>
    <t>CtyScoreCard</t>
  </si>
  <si>
    <t>RegionCompare</t>
  </si>
  <si>
    <t>INPUTS</t>
  </si>
  <si>
    <t>iCSCtbl</t>
  </si>
  <si>
    <t>iCntyScoreCard</t>
  </si>
  <si>
    <t>iRegionComp</t>
  </si>
  <si>
    <t>Allows comparisons for two cities against any filter group through tables, spider charts and bar charts</t>
  </si>
  <si>
    <t>All Regions</t>
  </si>
  <si>
    <t>All Incomes</t>
  </si>
  <si>
    <t>All Populations</t>
  </si>
  <si>
    <t>EUROPE</t>
  </si>
  <si>
    <t>Zoom_11</t>
  </si>
  <si>
    <t>1.2.4</t>
  </si>
  <si>
    <t>1_2_4</t>
  </si>
  <si>
    <t>CNTY1_2_4</t>
  </si>
  <si>
    <t>RELY1_2_4</t>
  </si>
  <si>
    <t>Fixed broadband susbcriptions</t>
  </si>
  <si>
    <t>5G deployment</t>
  </si>
  <si>
    <t>Mobile broadband latency</t>
  </si>
  <si>
    <t>Fixed broadband latency</t>
  </si>
  <si>
    <t>Mobile data affordability</t>
  </si>
  <si>
    <t>Fixed broadband affordability</t>
  </si>
  <si>
    <t>E-gov service portal for residents</t>
  </si>
  <si>
    <t>E-gov service portal for businesses</t>
  </si>
  <si>
    <t>Digital finance</t>
  </si>
  <si>
    <t>Digital platforms for banking and personal finance</t>
  </si>
  <si>
    <t>Digital investment management tools</t>
  </si>
  <si>
    <t>E-payments</t>
  </si>
  <si>
    <t>Transportation</t>
  </si>
  <si>
    <t>Integrated public transport apps</t>
  </si>
  <si>
    <t>Telehealth &amp; telemedicine</t>
  </si>
  <si>
    <t>Pandemic-related applications</t>
  </si>
  <si>
    <t>E-commerce penetration</t>
  </si>
  <si>
    <t>Gap between female and male access to the internet</t>
  </si>
  <si>
    <t>Digital skills</t>
  </si>
  <si>
    <t>Cyber security preparedness</t>
  </si>
  <si>
    <t>Open data access and use</t>
  </si>
  <si>
    <t>AI readiness of government</t>
  </si>
  <si>
    <t>Blockchain technology strategy</t>
  </si>
  <si>
    <t>Smart construction</t>
  </si>
  <si>
    <t>Net-zero emission</t>
  </si>
  <si>
    <t>Autonomous vehicle support</t>
  </si>
  <si>
    <t>Sharing economy development</t>
  </si>
  <si>
    <t>Assesses if there is a national or local strategy or initiatives to promote 5G. Cities receive a higher score if the policy or strategy recognises multiple use cases of 5G. Multiple use cases may include the following: fixed wireless access (FWA), enhanced mobile broadband (eMBB), massive machine-type communications (mMTC), Internet of Things (IoT) or ultra-reliable low-latency communications (URLLC). Other use cases or applications may also apply if specifically mentioned (eg. 5G for precision agriculture, smart city/home applications, autonomous vehicle applications). Policies, strategies or initiatives may be embodied across a number of documents (eg, policy or strategy documents, government committee notes).</t>
  </si>
  <si>
    <t>Time it takes for data or a request to go from the source to the destination when using mobile broadband.</t>
  </si>
  <si>
    <t xml:space="preserve">Time it takes for data or a request to go from the source to the destination when using fixed broadband. </t>
  </si>
  <si>
    <t>Cost of 1GB of mobile data as a proportion of individual personal disposable income.</t>
  </si>
  <si>
    <t>Cost of fixed line broadband subscriptions as a proportion of individual personal disposable income.</t>
  </si>
  <si>
    <t>Value of e-payments made as a share of total retail sales.
E-payment platforms considered include: 
- Traditional card transactions e.g. Visa/Mastercard
- Mobile payment apps that integrate payments from traditional card issuers e.g. Apple Pay
- Mobile payment wallets e.g. PayPal/Square/Alipay</t>
  </si>
  <si>
    <t>Number of individuals that use the internet via a computer, mobile phone, personal digital assistant, games machine, digital TV etc.</t>
  </si>
  <si>
    <t>Cyber security is the application of technologies, processes and controls to protect systems, networks, programs, devices and data from cyber attacks. The indicator assesses the level of a country's cyber security preparedness.</t>
  </si>
  <si>
    <t>Smart traffic management refers to the use of digital technologies in traffic management. This indicator assesses if the city has employed technologies, such as autonomous traffic lights that adapt to traffic conditions and traffic lights that can be remotely controlled, to manage traffic. The use of these technologies are assessed against the severity of congestion levels of the city to ascertain if congestion has been adequately addressed.</t>
  </si>
  <si>
    <t xml:space="preserve">Autonomous vehicles are capable of sensing their environment and operating without human involvement. This indicator assesses government support for autonomous vehicle development and operation by evaluating whether policies are supportive or limiting. </t>
  </si>
  <si>
    <t>Number of fixed broadband subscribers per 100 inhabitants</t>
  </si>
  <si>
    <t>Average cost of mobile data as a percent of personal disposable income</t>
  </si>
  <si>
    <t>Average cost of fixed broadband as a percent of personal disposable income</t>
  </si>
  <si>
    <t>Number of mobile broadband subscribers per 100 inhabitants</t>
  </si>
  <si>
    <t>Scores 1</t>
  </si>
  <si>
    <t>Scores 0</t>
  </si>
  <si>
    <t>Scores 2</t>
  </si>
  <si>
    <t>Scores 3</t>
  </si>
  <si>
    <t>Cable, EIU</t>
  </si>
  <si>
    <t>United Nations Division for Public Institutions and Digital Government</t>
  </si>
  <si>
    <t>Offset</t>
  </si>
  <si>
    <t>TEXT</t>
  </si>
  <si>
    <t>Amsterdam 1.1.3</t>
  </si>
  <si>
    <t>Auckland 1.1.3</t>
  </si>
  <si>
    <t>Bangkok 1.1.3</t>
  </si>
  <si>
    <t>Barcelona 1.1.3</t>
  </si>
  <si>
    <t>Beijing 1.1.3</t>
  </si>
  <si>
    <t>Berlin 1.1.3</t>
  </si>
  <si>
    <t>Buenos Aires 1.1.3</t>
  </si>
  <si>
    <t>Copenhagen 1.1.3</t>
  </si>
  <si>
    <t>Dallas 1.1.3</t>
  </si>
  <si>
    <t>Dubai 1.1.3</t>
  </si>
  <si>
    <t>Frankfurt 1.1.3</t>
  </si>
  <si>
    <t>Hong Kong 1.1.3</t>
  </si>
  <si>
    <t>Jakarta 1.1.3</t>
  </si>
  <si>
    <t>Kuala Lumpur 1.1.3</t>
  </si>
  <si>
    <t>London 1.1.3</t>
  </si>
  <si>
    <t>Madrid 1.1.3</t>
  </si>
  <si>
    <t>Manila 1.1.3</t>
  </si>
  <si>
    <t>Mexico City 1.1.3</t>
  </si>
  <si>
    <t>New Delhi 1.1.3</t>
  </si>
  <si>
    <t>New York 1.1.3</t>
  </si>
  <si>
    <t>Paris 1.1.3</t>
  </si>
  <si>
    <t>Rome 1.1.3</t>
  </si>
  <si>
    <t>Sao Paulo 1.1.3</t>
  </si>
  <si>
    <t>Seoul 1.1.3</t>
  </si>
  <si>
    <t>Singapore 1.1.3</t>
  </si>
  <si>
    <t>Sydney 1.1.3</t>
  </si>
  <si>
    <t>Tokyo 1.1.3</t>
  </si>
  <si>
    <t>Toronto 1.1.3</t>
  </si>
  <si>
    <t>Washington 1.1.3</t>
  </si>
  <si>
    <t>Zurich 1.1.3</t>
  </si>
  <si>
    <t>Amsterdam 1.1.4</t>
  </si>
  <si>
    <t>Auckland 1.1.4</t>
  </si>
  <si>
    <t>Bangkok 1.1.4</t>
  </si>
  <si>
    <t>Barcelona 1.1.4</t>
  </si>
  <si>
    <t>Beijing 1.1.4</t>
  </si>
  <si>
    <t>Berlin 1.1.4</t>
  </si>
  <si>
    <t>Buenos Aires 1.1.4</t>
  </si>
  <si>
    <t>Copenhagen 1.1.4</t>
  </si>
  <si>
    <t>Dallas 1.1.4</t>
  </si>
  <si>
    <t>Dubai 1.1.4</t>
  </si>
  <si>
    <t>Frankfurt 1.1.4</t>
  </si>
  <si>
    <t>Hong Kong 1.1.4</t>
  </si>
  <si>
    <t>Jakarta 1.1.4</t>
  </si>
  <si>
    <t>Kuala Lumpur 1.1.4</t>
  </si>
  <si>
    <t>London 1.1.4</t>
  </si>
  <si>
    <t>Madrid 1.1.4</t>
  </si>
  <si>
    <t>Manila 1.1.4</t>
  </si>
  <si>
    <t>Mexico City 1.1.4</t>
  </si>
  <si>
    <t>New Delhi 1.1.4</t>
  </si>
  <si>
    <t>New York 1.1.4</t>
  </si>
  <si>
    <t>Paris 1.1.4</t>
  </si>
  <si>
    <t>Rome 1.1.4</t>
  </si>
  <si>
    <t>Sao Paulo 1.1.4</t>
  </si>
  <si>
    <t>Seoul 1.1.4</t>
  </si>
  <si>
    <t>Singapore 1.1.4</t>
  </si>
  <si>
    <t>Sydney 1.1.4</t>
  </si>
  <si>
    <t>Tokyo 1.1.4</t>
  </si>
  <si>
    <t>Toronto 1.1.4</t>
  </si>
  <si>
    <t>Washington 1.1.4</t>
  </si>
  <si>
    <t>Zurich 1.1.4</t>
  </si>
  <si>
    <t xml:space="preserve">Adoption rates and satisfaction levels of digital banking and personal finance tools by city residents </t>
  </si>
  <si>
    <t xml:space="preserve">Adoption rates and satisfaction levels of digital investment management tools by city residents </t>
  </si>
  <si>
    <t>E-payments made as a share of total retail sales</t>
  </si>
  <si>
    <t>Apps or digital platforms that replace the traditional functions of banking such as deposit, withdrawal, loans, monitoring spending in a current account.</t>
  </si>
  <si>
    <t>Apps or digital platforms for individuals to access financial markets and manage a personal investment portfolio of equities, bonds, mutual funds or similar financial instruments.</t>
  </si>
  <si>
    <t xml:space="preserve">Sharing economy is an economic model in which goods and resources are shared by individuals and groups, usually through an online platform that acts as a virtual meeting place for suppliers and renters. This in turn leads to the greater use of existing resources and reduces the demand for the production of new goods. This indicator assesses the government's support for the sharing economy through the evaluation of plans, policies, strategies or frameworks. </t>
  </si>
  <si>
    <t>5G deployed</t>
  </si>
  <si>
    <t>5G trials implemented or clearly planned</t>
  </si>
  <si>
    <t>No 5G deployment or trials</t>
  </si>
  <si>
    <t>The city does not have a strategy but has launched several initiatives on digital education (at least 2 initiatives)</t>
  </si>
  <si>
    <t>Digital education</t>
  </si>
  <si>
    <t>Qualitative scoring by Economist Impact analysts</t>
  </si>
  <si>
    <t>WorldPay</t>
  </si>
  <si>
    <t>Digital tourist passes</t>
  </si>
  <si>
    <t>Internet usage</t>
  </si>
  <si>
    <t>Percentage of individuals using the internet</t>
  </si>
  <si>
    <t>EIU; ITU; Qualitative scoring by Economist Impact analysts</t>
  </si>
  <si>
    <t>Difference between % of men using the internet and % of women using the internet divided by % of women using the internet</t>
  </si>
  <si>
    <t>ITU; Gallup</t>
  </si>
  <si>
    <t>Lowest = best</t>
  </si>
  <si>
    <t>Digital skills can be defined as the ability to find, evaluate, use, share, and create content using digital devices, such as computers and smartphones. The indicator is a self assessment of digital skills by city residents, as captured in the Economist Impact survey.</t>
  </si>
  <si>
    <t>Economist Impact survey</t>
  </si>
  <si>
    <t>Data protection law</t>
  </si>
  <si>
    <t>Oxford Insights</t>
  </si>
  <si>
    <t>Score in the startup ecosystem report by Startup Blink</t>
  </si>
  <si>
    <t>Startup Blink</t>
  </si>
  <si>
    <t>Intellectual property rights</t>
  </si>
  <si>
    <t>Public attitude and engagement</t>
  </si>
  <si>
    <t>Public comfort with sharing information online</t>
  </si>
  <si>
    <t>Online public comfort</t>
  </si>
  <si>
    <t>Economist Impact survey; EIU risk briefing</t>
  </si>
  <si>
    <t>E-participation on government portals</t>
  </si>
  <si>
    <t>Sustainability</t>
  </si>
  <si>
    <t>Efficient resource management</t>
  </si>
  <si>
    <t xml:space="preserve">Smart construction refers to the use of digital technologies in construction activities in the city to make construction smarter and more efficient. </t>
  </si>
  <si>
    <t xml:space="preserve">Net zero emissions is the state in which the greenhouse gases going into the atmosphere are balanced by those being removed from the atmosphere. As digital technologies also contribute to greenhouse gas emissions, it is necessary for governments to balance their growth against emissions. This indicator assesses if the city has  targets in place to achieve net zero emissions in the foreseeable future and whether there are concrete actions being taken to satisfy those targets in the form of policies, reforms or laws. 
</t>
  </si>
  <si>
    <t xml:space="preserve">Traffic management </t>
  </si>
  <si>
    <t>TomTom Traffic Index; Qualitative scoring by Economist Impact analysts</t>
  </si>
  <si>
    <t>Support for autonomous vehicles</t>
  </si>
  <si>
    <t xml:space="preserve">Digital technologies can be adopted to measure air pollution at a more granular level. This indicator assesses if cities are installing air sensors on multi-functional/smart poles or street lights for granular air pollution data collection. The use of these technologies are assessed against the severity of pollution levels of the city to highlight the need for smarter tools to combat particle pollution.  
</t>
  </si>
  <si>
    <t>IQAir; Qualitative scoring by Economist Impact analysts</t>
  </si>
  <si>
    <t xml:space="preserve">Development of sharing economy </t>
  </si>
  <si>
    <t xml:space="preserve">E-waste refers to discarded electrical or electronic equipment and their parts without the intention of re-use. This indicator assesses if the government has e-waste management policies/laws which target proper disposal or mandate reuse of e-waste, among others. </t>
  </si>
  <si>
    <t>Real GDP growth</t>
  </si>
  <si>
    <t>Real GDP (% change pa)</t>
  </si>
  <si>
    <t>Corruption</t>
  </si>
  <si>
    <t>What is the country's operational business risk score  for official corruption?</t>
  </si>
  <si>
    <t>0-4 score</t>
  </si>
  <si>
    <t>Human Development Index</t>
  </si>
  <si>
    <t>HDI</t>
  </si>
  <si>
    <t>The Human Development Index is a statistic composite index of life expectancy, education, and per capita income indicators</t>
  </si>
  <si>
    <t>UNDP</t>
  </si>
  <si>
    <t>0-1 score (Fragmented into decimal points)</t>
  </si>
  <si>
    <t>Gender Inequality Index</t>
  </si>
  <si>
    <t>GII</t>
  </si>
  <si>
    <t>To expose differences in the distribution of achievements between women and men.</t>
  </si>
  <si>
    <t>Per capita income</t>
  </si>
  <si>
    <t>BG5</t>
  </si>
  <si>
    <t>ITU; EIU</t>
  </si>
  <si>
    <t>Has 5G been deployed?
0 - No 5G deployment or trials
1 - 5G trials implemented or clearly planned
2 - 5G deployed</t>
  </si>
  <si>
    <t>Mbps</t>
  </si>
  <si>
    <t>Speed at which a user can pull data from a server on the internet to their mobile device.</t>
  </si>
  <si>
    <t>ms</t>
  </si>
  <si>
    <t>Economist Impact survey; Qualitative scoring by Economist Impact analysts</t>
  </si>
  <si>
    <t>Economist Impact calculation</t>
  </si>
  <si>
    <t>Washington DC</t>
  </si>
  <si>
    <t>Very high</t>
  </si>
  <si>
    <t>High</t>
  </si>
  <si>
    <t>Medium</t>
  </si>
  <si>
    <t>Low</t>
  </si>
  <si>
    <t>CITY PROFILE</t>
  </si>
  <si>
    <t>Review indicators for a single city</t>
  </si>
  <si>
    <t>Contents,Summary1,Indicator_Ranking,Cprofile,CtyScoreCard,CCompare,RegionCompare,Scatter,Correlations,Scores,Weights,</t>
  </si>
  <si>
    <t>RC_CLICK_THROUGH</t>
  </si>
  <si>
    <t>$C$17</t>
  </si>
  <si>
    <t>View and compare city results</t>
  </si>
  <si>
    <t xml:space="preserve">Good
</t>
  </si>
  <si>
    <t xml:space="preserve">Fair
</t>
  </si>
  <si>
    <t xml:space="preserve">Poor
</t>
  </si>
  <si>
    <t>&lt;all cities&gt;</t>
  </si>
  <si>
    <t>Open Data Barometer</t>
  </si>
  <si>
    <t>The total value of personal income after taxes and deductions divided by total population.</t>
  </si>
  <si>
    <t>per head, US$</t>
  </si>
  <si>
    <t>Journey planning and ticket purchasing on app</t>
  </si>
  <si>
    <t>Journey planning or ticket purchasing on app</t>
  </si>
  <si>
    <t>Supports both biometric identification at immigration and boarding</t>
  </si>
  <si>
    <t>Supports either biometric identification at immigration or boarding</t>
  </si>
  <si>
    <t>Score as in the Open Data Barometer report 2017</t>
  </si>
  <si>
    <t>Electronic health records</t>
  </si>
  <si>
    <t>Does the city have a policy/law on e-waste?
0- No evidence of a policy
1- Has a policy on e-waste management and clear actions /initiatives to show for it</t>
  </si>
  <si>
    <t>updated</t>
  </si>
  <si>
    <t>3.2.5</t>
  </si>
  <si>
    <t>3_2_5</t>
  </si>
  <si>
    <t>3_3_5</t>
  </si>
  <si>
    <t>3.3.5</t>
  </si>
  <si>
    <t>CULT3_2_5</t>
  </si>
  <si>
    <t>CULT3_3_5</t>
  </si>
  <si>
    <t>Internet freedom</t>
  </si>
  <si>
    <t>Score as in the Internet Freedom Index</t>
  </si>
  <si>
    <t>Freedom House</t>
  </si>
  <si>
    <t>Business environment</t>
  </si>
  <si>
    <t>Scale 0-2, sum of checklist below:
0-1 score - Adoption rate by city residents (where 1 point is awarded to the city with the highest adoption rate and 0 points to the city with the lowest)
+
1 point if telehealth services are rolled out on a national/regional/city-wide scale by health authorities. E.g. an official national telehealth platform or a public-private partnership in which the health ministry works with an official private-sector provider (with the service provided by professional medical staff).</t>
  </si>
  <si>
    <t>Scale 0-4, sum of checklist below:
- Are there any citizen groups organized around digital awareness/threats?
- Are there any significant local or transnational NGOs working on this issue?
- Does the local government have a public liaison for digital issues?
- Is cybersecurity education a priority?</t>
  </si>
  <si>
    <t>$F$36</t>
  </si>
  <si>
    <t>$N$23</t>
  </si>
  <si>
    <t>Scale (0-3)</t>
  </si>
  <si>
    <t>Scale (0-2)</t>
  </si>
  <si>
    <t>Scale (0-1)</t>
  </si>
  <si>
    <t>Scale (0-100)</t>
  </si>
  <si>
    <t>Scale (0-4 )</t>
  </si>
  <si>
    <t>Scale (0-4)</t>
  </si>
  <si>
    <t>Scale (1-5)</t>
  </si>
  <si>
    <t>Scale (0-5)</t>
  </si>
  <si>
    <t>Scale (0-6)</t>
  </si>
  <si>
    <t>How does the city score on air pollution and whether it deploys air quality sensors on multifunctional/smart poles/street lights?
Score is a of summation of A+B:
A:
0- No air quality sensors deployed on multifunctional/smart poles/street lights
1- There are pilots/tests on implementing air quality sensors on multifunctional/smart poles/street lights
2- Air quality sensors have been deployed on multifunctional/smart poles/street lights
B:
0-4, where 0 is awarded to cities with the worst air quality as assessed by PM 2.5 levels</t>
  </si>
  <si>
    <t>Is there regulatory support for autonomous vehicles?
 0 - There either is an outright ban or there is no work, public or private, going on in the AVs space
 1 - No clear evidence of stance taken by the government in terms of policies to support or ban AVs, but there is private sector work ongoing indicating that the government is okay with innovation taking place on AVs
 2 - There are policies/initiatives/strategies/frameworks permitting or encouraging the testing/usage of autonomous vehicles</t>
  </si>
  <si>
    <t xml:space="preserve">Level of Intellectual Property Rights enforcement
1 - Very Poor: IP protection is not codified or enforced
2 - Poor: IP laws have substantial gaps and are often not enforced
3 - Fair: IP laws are of a moderate standard with some gaps and enforcement may be inconsistent
4 - Good: A good standard of comprehensive IP laws is generally enforced effectively
5 - Very Good : A high standard of comprehensive IP laws is strongly enforced </t>
  </si>
  <si>
    <t>Does the city/country have a blockchain technology strategy? 
0 - There is no evidence of a national or state-level blockchain technology strategy
1 - There is a draft national or state level blockchain technology strategy
2 - There is a national or state level blockchain technology strategy
3 - The strategy has clearly defined goals and a roadmap of implementation</t>
  </si>
  <si>
    <t>What is the level of country's cyber security preparedness? 
0 - Very low preparedness. There is no national level cyber security strategy. There are no barriers in place to defend key infrastructure.
1 - Low preparedness, reflecting low awareness within both the government and corporate sector, and intermittent implementation of strategy.
2 - Moderate preparedness, reflecting a lack of co-ordination over cyber security and gaps in awareness and technical capacity at the corporate and government level.
3 - High preparedness, with uniform cyber security awareness, but coordination and capacity gaps exist.
4 - Very high preparedness, with uniform cyber security awareness, and advanced technical barriers in place to defend key infrastructure.</t>
  </si>
  <si>
    <t>Does the country/city have a data protection law? 
0 - There is no law on data protection
1- There is a data protection bill at the national/state level or a law which is not updated in last ten years / lacks specific details
2 -There is a data protection law at the national level/state level</t>
  </si>
  <si>
    <t>The score is calculated as the weighted average of the following digital skills self-assessed by city residents, where basic skills are assigned the lowest weight, and the advanced skills the highest:
Basic : 
- Using basic functions like calls, messaging etc. on your device (mobile, laptop, ipads etc.)
- Browsing online content (eg. send emails, browse websites, save and share content)
Intermediate: 
- Managing your online profile on various social media platforms 
- Creating digital content like videos, presentations
Upper-intermediate: 
- Understanding terms of service (copyright, licensing, ethical code of conduct) when creating digital content 
- Taking precautions (like changing passwords regularly, downloading anti-virus softwares) to protect your devices and personal data from cyber threats
Advanced: 
 - Resolving some complex issues (like lost files, hard drive failures) you encounter while using your personal device by troubleshooting or using online help and support pages 
- Having advanced digital competences such as coding or software development skills</t>
  </si>
  <si>
    <t xml:space="preserve">Are electronic health records commonly in use?
0 - No evidence electronic health records are in use
1 - Electronic health records are not commonly in use, but there is evidence they are used 
2 - Electronic health records are commonly in use </t>
  </si>
  <si>
    <t>Is there a mobile application that allows journey planning and buying tickets for different modes of public transport?
0 - Not available 
1 - Journey planning or ticket purchasing on app (either one is available)
2 - Journey planning and ticket purchasing on app (both are available on different apps)
3 - Both journey planning and ticket purchasing functionality are provided within one app</t>
  </si>
  <si>
    <t>Does the city have online government portals to carry out and assist in business functions like registration, payment of grants and duties etc.?
0 - No official portals for businesses available
1 - Has official portals but only for providing information/FAQ or redirecting queries
2 - Has official portals with actual functionality to carry out the process online</t>
  </si>
  <si>
    <t>Median download speeds in October 2021</t>
  </si>
  <si>
    <t>Median latency in October 2021</t>
  </si>
  <si>
    <t>Median upload speeds in October 2021</t>
  </si>
  <si>
    <t xml:space="preserve">Percentage of people that are aware and satisfied with online services provided by the government. Online services can include grievance redressal, citizen feedback, policy consultation, e-voting, signing of an e-petition, crime reporting etc.
</t>
  </si>
  <si>
    <t xml:space="preserve">The indicator is a composite of 13 sub-indicators from two pillars from the EIU Business Environment Rankings. The two pillars are: 
-Private enterprise policy which covers aspects like protection of private property, government regulation, freedom to compete, competition policy, price controls, lobbying, state control, minority shareholders. Protection of intellectual property is not included
-Foreign investment policy which covers policies in the areas like foreign investors, openness of national culture, expropriation risk, investor protection, government favouritism
</t>
  </si>
  <si>
    <t>Does the city airport support biometric identification at immigration and boarding to allow automation of the processes?
0 - There is no evidence of biometric identification at immigration or boarding
1 - Supports biometric identification at either immigration or boarding
2 - Supports biometric identification at both immigration and boarding</t>
  </si>
  <si>
    <t>Speed at which a user can send data from their mobile device to the internet.</t>
  </si>
  <si>
    <t>$D$14:$E$14</t>
  </si>
  <si>
    <t xml:space="preserve">There is a specific plan/policy/framework on the sharing economy
</t>
  </si>
  <si>
    <t>No specific plan/policy/framework but there are other government initiatives</t>
  </si>
  <si>
    <t>Has a policy on e-waste management and clear actions /initiatives to show for it</t>
  </si>
  <si>
    <t>Does the city have a plan/policy/framework to promote the development of the sharing economy? 
 0- There is no evidence of a plan/policy/framework
 1- There is no evidence of a specific plan/policy on the sharing economy but the government has other initiatives, which include sharing economy being tackled in a larger policy/ a specific government unit for the development of the sharing economy / public-private collaborations to promote the sharing economy
 2- There is a specific plan/policy/framework on the sharing economy</t>
  </si>
  <si>
    <t>Government support</t>
  </si>
  <si>
    <t>Digital inclusion</t>
  </si>
  <si>
    <t>Number of mobile broadband subscriptions with high-speed access to the internet. Subscriptions that have access to the internet via fixed-line networks are not included.</t>
  </si>
  <si>
    <t>Number of fixed broadband subscriptions with high-speed access to the internet, including both residential subscriptions and subscriptions for organisations. Subscriptions that have access to the internet via mobile-cellular networks are not included.</t>
  </si>
  <si>
    <t>Has the government developed a policy, strategy or initiatives to promote 5G?
0 - The government has not developed a policy, strategy or initiatives to promote 5G
1 - The government has developed a policy, strategy or initiatives to promote 5G but does not specifically mention any of the following use-case applications (FWA, eMBB, mMTC, IoT, URLLC)
2 - The government has a policy, strategy or initiatives to promote 5G and specifically mentions one of the following use-case applications (FWA, eMBB, mMTC, IoT, URLLC)
3 -The government has a policy or strategy to promote 5G network development and it specifically mentions more than one of the following use-case applications (FWA, eMBB, mMTC, IoT, URLLC)</t>
  </si>
  <si>
    <t>Assesses the stage of 5G deployment, varying from pilots and testing to deployment for commercial use.</t>
  </si>
  <si>
    <t>Assesses the availability of a digital national ID that can be accessed and displayed on a mobile device in the form of a scannable code or digital replica of the physical ID card, for the purpose of online and offline verification.</t>
  </si>
  <si>
    <t>Assesses whether a country provides its residents with information about laws, policies; platforms offering help links, tutorials on online tools, online skills development; and functionalities that allow for the use of e-services like application for visas, ID cards and social protection.</t>
  </si>
  <si>
    <t xml:space="preserve">This indicator assesses the e-government portals of countries using the Online Service Index (OSI) which measures the scope and quality of online services on a scale of 0 to 1, where 1 indicates the highest score. The OSI is a composite indicator measuring the use of information and communications technology (ICT) by Governments for the delivery of public services at the national level. </t>
  </si>
  <si>
    <t xml:space="preserve">Assesses official government portals for business functions such as digital or remote business registration, payment of duties and grant applications. </t>
  </si>
  <si>
    <t>Assesses whether residents have access to integrated transport apps with journey planning and ticketing functionality in the public transit system provided by the government or by the private sector in collaboration with the public sector.</t>
  </si>
  <si>
    <t>Assesses whether the city airport supports: 
- Biometric identification at immigration
- Biometric identification at boarding gates
to enable a completely automated process.</t>
  </si>
  <si>
    <t xml:space="preserve">Assesses the extent to which city residents have adopted and have access to telehealth or telemedicine services that are provided or officially supported by health authorities, with service being provided by professional medical staff.
The indicator assesses telehealth or telemedicine services that provide residents with either:
- Remote consultation
- Remote consultation + prescription of drugs/delivery of drugs
</t>
  </si>
  <si>
    <t>Assesses the use of Electronic Health Record (EHR) systems in the healthcare sector.</t>
  </si>
  <si>
    <t>Assesses the presence of apps, mobile functionalities (iOS, Google wallet pass) or physical devices and tokens to aid in verification of vaccination or contact tracing.</t>
  </si>
  <si>
    <t xml:space="preserve">Applications/systems with contact tracing/exposure mapping functionality and real-time health risk alerts for users </t>
  </si>
  <si>
    <t xml:space="preserve">Assesses plans, policies and initiatives adopted by the government to promote digital education. Digital education is the ingenious use of digital technologies and tools throughout teaching and learning and is frequently known as Technology Enhanced Learning (TEL) or digital learning. </t>
  </si>
  <si>
    <t>Does the city/country have any policies/plans/strategy or initiatives on digital education?
0 - The city does not have any plans/policy/ strategy or initiatives on digital education 
1- The city does not have a strategy but has launched several initiatives on digital education (at least 2 initiatives)
2- The city has a policy/strategy on digital education</t>
  </si>
  <si>
    <t>Ecommerce sales as a share of total retail sales. The measure includes purchases on any ecommerce shopping platforms, and excludes hybrid in-store shopping experiences</t>
  </si>
  <si>
    <t>Assesses the availability of official digital tourist passes for access to attractions or transportation in a city. Any generic ride-sharing and hotel booking apps that residents use day-to-day are excluded.</t>
  </si>
  <si>
    <t>Does the city provide digital passes for tourist specific activities like accessing tourist attractions?
0 - No evidence available
1 - Available</t>
  </si>
  <si>
    <t xml:space="preserve">Ecommerce sales as a share of total retail sales </t>
  </si>
  <si>
    <t>Measures the difference between the number of women and men online.</t>
  </si>
  <si>
    <t>Assesses whether the country/city has legislation on data protection, which is a set of privacy laws, policies and procedures that aim to minimise personal data thefts.</t>
  </si>
  <si>
    <t>EIU risk briefing</t>
  </si>
  <si>
    <t>Assesses how the governments are publishing and using open data for accountability, innovation and social impact.</t>
  </si>
  <si>
    <t>Assesses the freedom of the internet taking into account obstacles to access to the internet, limits on content and violation of user rights.</t>
  </si>
  <si>
    <t>Assesses how ready a given government is to implement AI in the delivery of public services to their citizens.</t>
  </si>
  <si>
    <t>Assesses whether  there is a well-defined blockchain technology strategy in the country/city. A blockchain based digital government can protect data, streamline processes, and reduce fraud, while simultaneously increasing trust and accountability.</t>
  </si>
  <si>
    <t>Assesses the quality and quantity of startups in a city, taking into account different metrics, like number of startups, number of coworking spaces, and number of accelerators, to establish the activity level of the startup ecosystem.</t>
  </si>
  <si>
    <t>Tech startup ecosytem</t>
  </si>
  <si>
    <t>Assesses the level of intellectual property protection which is critical to fostering digital innovation. Without protection of ideas, businesses and individuals would not be able to reap the full benefits of their inventions.</t>
  </si>
  <si>
    <t>Assesses the degree to which businesses can invest and operate in a free, open and competitive market, with policies and legal assurances that their rights and assets would be secure.</t>
  </si>
  <si>
    <t>Assesses the residents’ comfort in  sharing their financial and personal details on various digital platforms, such as ecommerce websites, e-payment apps, e-government platforms, health and wellness apps, tracking apps (navigation, location), food delivery apps, ride-sharing apps, etc, and the likelihood of cyber attacks and level of preparedness.</t>
  </si>
  <si>
    <t>Measures residents’ awareness and satisfaction with interactive e- platforms provided by the government.</t>
  </si>
  <si>
    <t>The score is a combination of three measures: 
1) level of public comfort in sharing information which evaluates the percentage of people who are comfortable with sharing their personal and financial details on various online platforms
2) likelihood of cyber security attacks which shows how susceptible the city is to cyber threats and attacks
3) level of cyber security preparedness which assesses how equipped the government is to handle such attacks
The score ranges between 0 to 100 where 0 means relatively high risk of cyber attacks, low preparedness and low level of public comfort, while 100 means relatively low risk of cyber attacks, high preparedness and high level of public comfort.</t>
  </si>
  <si>
    <t xml:space="preserve">Digital technologies like IoT and AI are being used to improve utility management. Cities are assessed on their use of such technologies in managing water, electricity and waste efficiently. </t>
  </si>
  <si>
    <t>Smart urban agriculture refers to the use of digital technologies in farming activities within the city. This could include the use of drones in vertical farming, use of IoT for light and heat controlling in indoor farming, use of sensors and tracking devices in dispensing water to crops. The indicator assesses if the city has employed such digital technologies that would make their agricultural activities smarter, sustainable and more efficient.</t>
  </si>
  <si>
    <t>Does the city have smart monitoring and management of utility services?
1 point awarded for the smart management of each service:
-electricity: smart electricity meters in households that allow data to be collected and analysed remotely
-water: smart water meters in households that allow data to be collected and analysed remotely
-street lighting: IoT enabled street lighting with sensors (switch off when road not in use) or provide WIFI connectivity
-waste management: installation of smart bins or use of digital technologies such as AI enabled waste robots in sorting/dismantling of waste</t>
  </si>
  <si>
    <t>Does the city use digital technologies in urban agriculture? 
 0- No evidence
 1- Yes</t>
  </si>
  <si>
    <t>Does the city use emerging technologies like AI, robotics, IoT, digital twin technology, in construction?
 0- No evidence
 1- Yes</t>
  </si>
  <si>
    <t>Does the city employ smart traffic management to address congestion? 
Score is a of summation of A+B:
A:
0- No IoT-enabled traffic management system in place
1- IoT-enabled traffic management system is in place 
B:
0-4, where 0 is awarded to cities with the worst congestion problem (highest congestion level %)</t>
  </si>
  <si>
    <t>Has official portals but only for providing information/FAQ or redirecting queries</t>
  </si>
  <si>
    <t>Has official portals with actual functionality to carry out the process online</t>
  </si>
  <si>
    <t>No evidence of  biometric identification at immigration or boarding</t>
  </si>
  <si>
    <t>Both functionalities have to be provided within one app</t>
  </si>
  <si>
    <t>No evidence of app</t>
  </si>
  <si>
    <t>No evidence of a plan/policy/ strategy or initiatives on digital education</t>
  </si>
  <si>
    <t>Has a plan/policy/strategy on digital education</t>
  </si>
  <si>
    <t>There is a data protection law at the national level/state level</t>
  </si>
  <si>
    <t>There is a data protection bill at the national/state level or a law which is not updated in last ten years / lacks specific details</t>
  </si>
  <si>
    <t>There is no law on data protection</t>
  </si>
  <si>
    <t xml:space="preserve">The strategy has clearly defined goals and a roadmap of implementation
</t>
  </si>
  <si>
    <t>There is a national or state level blockchain technology strategy</t>
  </si>
  <si>
    <t xml:space="preserve">There is a draft national or state level blockchain technology strategy
</t>
  </si>
  <si>
    <t xml:space="preserve">No evidence of strategy
</t>
  </si>
  <si>
    <t>No evidence of policy</t>
  </si>
  <si>
    <t>No evidence of plan/policy/framework</t>
  </si>
  <si>
    <t>No target announced</t>
  </si>
  <si>
    <t>Is there a policy/declaration focussed on eliminating emissions? 
 0- No evidence of a declaration 
 1- Announced net zero target
 2- Policy implemented to support achieving the target</t>
  </si>
  <si>
    <t xml:space="preserve">Very good
</t>
  </si>
  <si>
    <t xml:space="preserve">Very poor
</t>
  </si>
  <si>
    <t>Does the city or country have mobile applications that can aid in vaccine verification and contact tracing?
0 - No evidence of an application
1 - There are either applications for verification of vaccination and testing or applications for contact tracing
2 - There are both applications for verification of vaccination and testing and applications for contact tracing</t>
  </si>
  <si>
    <t>Cyber security has become important given the near-constant instances of cyber attacks and an ever-increasing cyber risk landscape. It is important for the citizens to be aware of the kinds of cyber attacks and ways to protect one's data. The indicator assesses if initiatives are undertaken by citizen groups, NGOs or government to increase cyber security risk awareness.</t>
  </si>
  <si>
    <t xml:space="preserve">EHR are not commonly in use, but there is evidence they are used </t>
  </si>
  <si>
    <t>No evidence EHR are in use</t>
  </si>
  <si>
    <t xml:space="preserve">EHR are commonly in use </t>
  </si>
  <si>
    <t>$F$21</t>
  </si>
  <si>
    <t>Policy implemented to support the target</t>
  </si>
  <si>
    <t>Mobile digital national ID</t>
  </si>
  <si>
    <t>Does the city have a mobile digital national ID?
0 - No evidence of a mobile digital national ID that is accepted as identification both online and in physical venues
1 - There is a mobile digital national ID that is accepted as identification both online and in physical venues</t>
  </si>
  <si>
    <t>Has a mobile digital ID</t>
  </si>
  <si>
    <t xml:space="preserve">No evidence of a mobile digital ID for online and offline use </t>
  </si>
  <si>
    <t>PRODUCTION</t>
  </si>
  <si>
    <r>
      <t xml:space="preserve">Digital skills can be defined as the ability to find, evaluate, use, share, and create content using digital devices, such as computers and smartphones. The indicator is a self assessment of digital skills by city residents, as captured in the Economist Impact survey.
</t>
    </r>
    <r>
      <rPr>
        <b/>
        <sz val="10.5"/>
        <color theme="1"/>
        <rFont val="Calibri"/>
        <family val="2"/>
        <scheme val="minor"/>
      </rPr>
      <t>Scoring Guidance:</t>
    </r>
    <r>
      <rPr>
        <sz val="10.5"/>
        <color theme="1"/>
        <rFont val="Calibri"/>
        <family val="2"/>
        <scheme val="minor"/>
      </rPr>
      <t xml:space="preserve"> 
The score is calculated as the weighted average of the following digital skills self-assessed by city residents, where basic skills are assigned the lowest weight, and the advanced skills the highest:
Basic : 
- Using basic functions like calls, messaging etc. on your device (mobile, laptop, ipads etc.)
- Browsing online content (eg. send emails, browse websites, save and share content)
Intermediate: 
- Managing your online profile on various social media platforms 
- Creating digital content like videos, presentations
Upper-intermediate: 
- Understanding terms of service (copyright, licensing, ethical code of conduct) when creating digital content 
- Taking precautions (like changing passwords regularly, downloading anti-virus softwares) to protect your devices and personal data from cyber threats
Advanced: 
 - Resolving some complex issues (like lost files, hard drive failures) you encounter while using your personal device by troubleshooting or using online help and support pages 
- Having advanced digital competences such as coding or software development skills
</t>
    </r>
    <r>
      <rPr>
        <b/>
        <sz val="10.5"/>
        <color theme="1"/>
        <rFont val="Calibri"/>
        <family val="2"/>
        <scheme val="minor"/>
      </rPr>
      <t>Units:</t>
    </r>
    <r>
      <rPr>
        <sz val="10.5"/>
        <color theme="1"/>
        <rFont val="Calibri"/>
        <family val="2"/>
        <scheme val="minor"/>
      </rPr>
      <t xml:space="preserve"> 
Scale (0-100)
</t>
    </r>
    <r>
      <rPr>
        <b/>
        <sz val="10.5"/>
        <color theme="1"/>
        <rFont val="Calibri"/>
        <family val="2"/>
        <scheme val="minor"/>
      </rPr>
      <t>Source:</t>
    </r>
    <r>
      <rPr>
        <sz val="10.5"/>
        <color theme="1"/>
        <rFont val="Calibri"/>
        <family val="2"/>
        <scheme val="minor"/>
      </rPr>
      <t xml:space="preserve"> Economist Impact survey
</t>
    </r>
    <r>
      <rPr>
        <b/>
        <sz val="10.5"/>
        <color theme="1"/>
        <rFont val="Calibri"/>
        <family val="2"/>
        <scheme val="minor"/>
      </rPr>
      <t>Year:</t>
    </r>
    <r>
      <rPr>
        <sz val="10.5"/>
        <color theme="1"/>
        <rFont val="Calibri"/>
        <family val="2"/>
        <scheme val="minor"/>
      </rPr>
      <t xml:space="preserve"> 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</si>
</sst>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_ * #,##0.00_ ;_ * \-#,##0.00_ ;_ * &quot;-&quot;??_ ;_ @_ "/>
    <numFmt numFmtId="165" formatCode="_(* #,##0_);_(* \(#,##0\);_(* &quot;-&quot;_);_(@_)"/>
    <numFmt numFmtId="166" formatCode="_(&quot;$&quot;* #,##0.00_);_(&quot;$&quot;* \(#,##0.00\);_(&quot;$&quot;* &quot;-&quot;??_);_(@_)"/>
    <numFmt numFmtId="167" formatCode="_(* #,##0.00_);_(* \(#,##0.00\);_(* &quot;-&quot;??_);_(@_)"/>
    <numFmt numFmtId="168" formatCode="_(&quot;£&quot;* #,##0_);_(&quot;£&quot;* \(#,##0\);_(&quot;£&quot;* &quot;-&quot;_);_(@_)"/>
    <numFmt numFmtId="169" formatCode="0.0"/>
    <numFmt numFmtId="170" formatCode="0.0%"/>
    <numFmt numFmtId="171" formatCode="_-&quot;€&quot;\ * #,##0.00_-;\-&quot;€&quot;\ * #,##0.00_-;_-&quot;€&quot;\ * &quot;-&quot;??_-;_-@_-"/>
    <numFmt numFmtId="172" formatCode="#,##0.0"/>
    <numFmt numFmtId="173" formatCode="_(&quot;£&quot;\ * #,##0_);_(&quot;£&quot;\ * \(#,##0\);_(&quot;£&quot;\ * &quot;-&quot;_);_(@_)"/>
    <numFmt numFmtId="174" formatCode="_(&quot;£&quot;\ * #,##0.00_);_(&quot;£&quot;\ * \(#,##0.00\);_(&quot;£&quot;\ * &quot;-&quot;??_);_(@_)"/>
    <numFmt numFmtId="175" formatCode="#\ ##0.0_-;\-#\ ##0.0_-;_-0.0_-;_-@_ "/>
    <numFmt numFmtId="176" formatCode="#\ ##0.00_-;\-#\ ##0.00_-;_-0.00_-;_-@_ "/>
    <numFmt numFmtId="177" formatCode="#,##0.00;[Red]\(#,##0.00\)"/>
    <numFmt numFmtId="178" formatCode="#,##0_ "/>
    <numFmt numFmtId="179" formatCode="_ * #,##0.00_ ;_ * \!\-#,##0.00_ ;_ * &quot;-&quot;??_ ;_ @_ "/>
    <numFmt numFmtId="180" formatCode="_-* #,##0.00\ _D_M_-;\-* #,##0.00\ _D_M_-;_-* &quot;-&quot;??\ _D_M_-;_-@_-"/>
    <numFmt numFmtId="181" formatCode="#,###,##0"/>
    <numFmt numFmtId="182" formatCode="_-* #,##0.00\ _€_-;\-* #,##0.00\ _€_-;_-* &quot;-&quot;??\ _€_-;_-@_-"/>
    <numFmt numFmtId="183" formatCode="0.000"/>
    <numFmt numFmtId="184" formatCode="0.0000"/>
    <numFmt numFmtId="185" formatCode="0.00000"/>
  </numFmts>
  <fonts count="219">
    <font>
      <sz val="11"/>
      <color theme="1"/>
      <name val="Calibri"/>
      <family val="2"/>
      <scheme val="minor"/>
    </font>
    <font>
      <sz val="11"/>
      <color indexed="8"/>
      <name val="Calibri"/>
      <family val="2"/>
    </font>
    <font>
      <sz val="8"/>
      <color indexed="8"/>
      <name val="Calibri"/>
      <family val="2"/>
    </font>
    <font>
      <b/>
      <sz val="8"/>
      <color indexed="8"/>
      <name val="Calibri"/>
      <family val="2"/>
    </font>
    <font>
      <sz val="8"/>
      <name val="Calibri"/>
      <family val="2"/>
    </font>
    <font>
      <sz val="8"/>
      <color indexed="10"/>
      <name val="Calibri"/>
      <family val="2"/>
    </font>
    <font>
      <sz val="8"/>
      <color indexed="8"/>
      <name val="Calibri"/>
      <family val="2"/>
    </font>
    <font>
      <b/>
      <sz val="8"/>
      <color indexed="8"/>
      <name val="Calibri"/>
      <family val="2"/>
    </font>
    <font>
      <sz val="8"/>
      <color indexed="17"/>
      <name val="Calibri"/>
      <family val="2"/>
    </font>
    <font>
      <sz val="10"/>
      <color indexed="8"/>
      <name val="Calibri"/>
      <family val="2"/>
    </font>
    <font>
      <b/>
      <sz val="10"/>
      <color indexed="8"/>
      <name val="Calibri"/>
      <family val="2"/>
    </font>
    <font>
      <sz val="10"/>
      <color indexed="10"/>
      <name val="Calibri"/>
      <family val="2"/>
    </font>
    <font>
      <sz val="8"/>
      <color indexed="10"/>
      <name val="Calibri"/>
      <family val="2"/>
    </font>
    <font>
      <sz val="8"/>
      <color indexed="8"/>
      <name val="Arial"/>
      <family val="2"/>
    </font>
    <font>
      <sz val="10"/>
      <name val="Arial"/>
      <family val="2"/>
    </font>
    <font>
      <sz val="10"/>
      <color indexed="8"/>
      <name val="MS Sans Serif"/>
      <family val="2"/>
    </font>
    <font>
      <sz val="12"/>
      <name val="Times New Roman"/>
      <family val="1"/>
    </font>
    <font>
      <u/>
      <sz val="10"/>
      <color indexed="12"/>
      <name val="Arial"/>
      <family val="2"/>
    </font>
    <font>
      <sz val="9"/>
      <color indexed="8"/>
      <name val="Calibri"/>
      <family val="2"/>
    </font>
    <font>
      <sz val="10"/>
      <name val="Calibri"/>
      <family val="2"/>
    </font>
    <font>
      <sz val="11"/>
      <color indexed="9"/>
      <name val="Calibri"/>
      <family val="2"/>
    </font>
    <font>
      <b/>
      <sz val="10"/>
      <name val="Arial"/>
      <family val="2"/>
    </font>
    <font>
      <sz val="10"/>
      <color indexed="10"/>
      <name val="Arial"/>
      <family val="2"/>
    </font>
    <font>
      <sz val="10"/>
      <color indexed="8"/>
      <name val="Arial"/>
      <family val="2"/>
    </font>
    <font>
      <sz val="1"/>
      <color indexed="8"/>
      <name val="Courier"/>
      <family val="3"/>
    </font>
    <font>
      <sz val="10"/>
      <name val="Times New Roman"/>
      <family val="1"/>
    </font>
    <font>
      <sz val="7.5"/>
      <name val="Century Schoolbook"/>
      <family val="1"/>
    </font>
    <font>
      <sz val="11"/>
      <name val="SL Swiss"/>
    </font>
    <font>
      <sz val="10"/>
      <name val="Arial CE"/>
    </font>
    <font>
      <sz val="6"/>
      <color indexed="8"/>
      <name val="Arial"/>
      <family val="2"/>
    </font>
    <font>
      <sz val="12"/>
      <name val="宋体"/>
      <charset val="134"/>
    </font>
    <font>
      <b/>
      <sz val="8"/>
      <name val="Calibri"/>
      <family val="2"/>
    </font>
    <font>
      <sz val="11"/>
      <name val="Calibri"/>
      <family val="2"/>
    </font>
    <font>
      <sz val="8"/>
      <color indexed="38"/>
      <name val="Calibri"/>
      <family val="2"/>
    </font>
    <font>
      <sz val="11"/>
      <color indexed="10"/>
      <name val="Calibri"/>
      <family val="2"/>
    </font>
    <font>
      <sz val="11"/>
      <color theme="1"/>
      <name val="Calibri"/>
      <family val="2"/>
      <scheme val="minor"/>
    </font>
    <font>
      <sz val="11"/>
      <color theme="0"/>
      <name val="Calibri"/>
      <family val="2"/>
      <scheme val="minor"/>
    </font>
    <font>
      <b/>
      <sz val="8"/>
      <color rgb="FF0070C0"/>
      <name val="Calibri"/>
      <family val="2"/>
    </font>
    <font>
      <sz val="11"/>
      <name val="Calibri"/>
      <family val="2"/>
      <scheme val="minor"/>
    </font>
    <font>
      <u/>
      <sz val="11"/>
      <color theme="10"/>
      <name val="Calibri"/>
      <family val="2"/>
    </font>
    <font>
      <i/>
      <sz val="11"/>
      <color theme="1"/>
      <name val="Calibri"/>
      <family val="2"/>
      <scheme val="minor"/>
    </font>
    <font>
      <b/>
      <sz val="18"/>
      <color theme="3"/>
      <name val="Cambria"/>
      <family val="2"/>
      <scheme val="major"/>
    </font>
    <font>
      <u/>
      <sz val="9.9"/>
      <color theme="10"/>
      <name val="Calibri"/>
      <family val="2"/>
    </font>
    <font>
      <b/>
      <sz val="12"/>
      <color rgb="FF000000"/>
      <name val="Calibri"/>
      <family val="2"/>
    </font>
    <font>
      <sz val="10"/>
      <name val="돋움"/>
      <family val="3"/>
      <charset val="129"/>
    </font>
    <font>
      <sz val="8"/>
      <name val="Futura Lt BT"/>
      <family val="2"/>
    </font>
    <font>
      <sz val="12"/>
      <name val="Arial"/>
      <family val="2"/>
    </font>
    <font>
      <sz val="11"/>
      <name val="Arial"/>
      <family val="2"/>
    </font>
    <font>
      <sz val="11"/>
      <name val="돋움"/>
      <family val="3"/>
      <charset val="129"/>
    </font>
    <font>
      <sz val="12"/>
      <name val="바탕체"/>
      <family val="1"/>
      <charset val="129"/>
    </font>
    <font>
      <sz val="11"/>
      <color theme="1"/>
      <name val="맑은 고딕"/>
      <family val="3"/>
      <charset val="129"/>
    </font>
    <font>
      <sz val="10"/>
      <color theme="0"/>
      <name val="Calibri"/>
      <family val="2"/>
      <scheme val="minor"/>
    </font>
    <font>
      <sz val="8"/>
      <color theme="1"/>
      <name val="Calibri"/>
      <family val="2"/>
      <scheme val="minor"/>
    </font>
    <font>
      <sz val="10"/>
      <name val="MS Sans Serif"/>
      <family val="2"/>
    </font>
    <font>
      <sz val="12"/>
      <name val="DTMLetterRegular"/>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9"/>
      <name val="Verdana"/>
      <family val="2"/>
    </font>
    <font>
      <b/>
      <sz val="11"/>
      <color indexed="63"/>
      <name val="Calibri"/>
      <family val="2"/>
    </font>
    <font>
      <b/>
      <sz val="14"/>
      <color indexed="23"/>
      <name val="Arial"/>
      <family val="2"/>
    </font>
    <font>
      <b/>
      <sz val="10"/>
      <color indexed="8"/>
      <name val="Arial"/>
      <family val="2"/>
    </font>
    <font>
      <sz val="11"/>
      <name val="ＭＳ Ｐゴシック"/>
      <family val="2"/>
      <charset val="128"/>
    </font>
    <font>
      <b/>
      <sz val="12"/>
      <color indexed="8"/>
      <name val="Arial"/>
      <family val="2"/>
    </font>
    <font>
      <sz val="12"/>
      <color theme="1"/>
      <name val="Calibri"/>
      <family val="2"/>
      <scheme val="minor"/>
    </font>
    <font>
      <sz val="8"/>
      <color theme="0"/>
      <name val="Calibri"/>
      <family val="2"/>
      <scheme val="minor"/>
    </font>
    <font>
      <sz val="8"/>
      <name val="Calibri"/>
      <family val="2"/>
      <scheme val="minor"/>
    </font>
    <font>
      <b/>
      <sz val="10"/>
      <name val="Calibri"/>
      <family val="2"/>
    </font>
    <font>
      <sz val="10"/>
      <color theme="1"/>
      <name val="Arial"/>
      <family val="2"/>
    </font>
    <font>
      <u/>
      <sz val="10"/>
      <color theme="10"/>
      <name val="Arial"/>
      <family val="2"/>
    </font>
    <font>
      <b/>
      <sz val="14"/>
      <name val="Calibri"/>
      <family val="2"/>
      <scheme val="minor"/>
    </font>
    <font>
      <sz val="10"/>
      <color rgb="FF000000"/>
      <name val="Arial"/>
      <family val="2"/>
    </font>
    <font>
      <sz val="11"/>
      <color rgb="FF000000"/>
      <name val="Calibri"/>
      <family val="2"/>
      <scheme val="minor"/>
    </font>
    <font>
      <b/>
      <sz val="8"/>
      <color theme="1"/>
      <name val="Calibri"/>
      <family val="2"/>
      <scheme val="minor"/>
    </font>
    <font>
      <sz val="8"/>
      <color theme="9" tint="-0.499984740745262"/>
      <name val="Calibri"/>
      <family val="2"/>
      <scheme val="minor"/>
    </font>
    <font>
      <b/>
      <sz val="11"/>
      <color theme="1"/>
      <name val="Calibri"/>
      <family val="2"/>
      <scheme val="minor"/>
    </font>
    <font>
      <sz val="10"/>
      <name val="Calibri"/>
      <family val="2"/>
      <scheme val="minor"/>
    </font>
    <font>
      <b/>
      <sz val="12"/>
      <name val="Calibri"/>
      <family val="2"/>
      <scheme val="minor"/>
    </font>
    <font>
      <b/>
      <sz val="12"/>
      <color theme="0"/>
      <name val="Calibri"/>
      <family val="2"/>
      <scheme val="minor"/>
    </font>
    <font>
      <b/>
      <sz val="8"/>
      <color theme="0"/>
      <name val="Calibri"/>
      <family val="2"/>
      <scheme val="minor"/>
    </font>
    <font>
      <sz val="10"/>
      <color indexed="8"/>
      <name val="Calibri"/>
      <family val="2"/>
      <scheme val="minor"/>
    </font>
    <font>
      <sz val="10"/>
      <color rgb="FF382E2C"/>
      <name val="Calibri"/>
      <family val="2"/>
      <scheme val="minor"/>
    </font>
    <font>
      <sz val="14"/>
      <color indexed="9"/>
      <name val="Calibri"/>
      <family val="2"/>
      <scheme val="minor"/>
    </font>
    <font>
      <sz val="14"/>
      <color indexed="8"/>
      <name val="Calibri"/>
      <family val="2"/>
      <scheme val="minor"/>
    </font>
    <font>
      <b/>
      <sz val="12"/>
      <color theme="1"/>
      <name val="Calibri"/>
      <family val="2"/>
      <scheme val="minor"/>
    </font>
    <font>
      <sz val="12"/>
      <name val="Calibri"/>
      <family val="2"/>
      <scheme val="minor"/>
    </font>
    <font>
      <sz val="10"/>
      <color rgb="FFFF0000"/>
      <name val="Calibri"/>
      <family val="2"/>
      <scheme val="minor"/>
    </font>
    <font>
      <sz val="12"/>
      <color indexed="8"/>
      <name val="Calibri"/>
      <family val="2"/>
      <scheme val="minor"/>
    </font>
    <font>
      <b/>
      <sz val="16"/>
      <name val="Calibri"/>
      <family val="2"/>
      <scheme val="minor"/>
    </font>
    <font>
      <sz val="8"/>
      <color theme="4" tint="-0.249977111117893"/>
      <name val="Calibri"/>
      <family val="2"/>
    </font>
    <font>
      <b/>
      <sz val="12"/>
      <color theme="4" tint="-0.249977111117893"/>
      <name val="Calibri"/>
      <family val="2"/>
    </font>
    <font>
      <sz val="11"/>
      <color rgb="FF000000"/>
      <name val="Calibri"/>
      <family val="2"/>
    </font>
    <font>
      <sz val="11"/>
      <color theme="1"/>
      <name val="Calibri"/>
      <family val="2"/>
      <scheme val="minor"/>
    </font>
    <font>
      <sz val="10"/>
      <color indexed="8"/>
      <name val="Calibri"/>
      <family val="2"/>
      <scheme val="minor"/>
    </font>
    <font>
      <sz val="11"/>
      <color rgb="FF382E2C"/>
      <name val="Calibri"/>
      <family val="2"/>
      <scheme val="minor"/>
    </font>
    <font>
      <sz val="10"/>
      <color theme="1"/>
      <name val="Calibri"/>
      <family val="2"/>
      <scheme val="minor"/>
    </font>
    <font>
      <sz val="11"/>
      <color theme="0"/>
      <name val="Calibri"/>
      <family val="2"/>
      <scheme val="minor"/>
    </font>
    <font>
      <sz val="11"/>
      <color theme="1"/>
      <name val="Calibri"/>
      <family val="2"/>
      <scheme val="minor"/>
    </font>
    <font>
      <sz val="18"/>
      <color rgb="FF0070B8"/>
      <name val="Calibri"/>
      <family val="2"/>
      <scheme val="minor"/>
    </font>
    <font>
      <b/>
      <sz val="10"/>
      <color indexed="8"/>
      <name val="Calibri"/>
      <family val="2"/>
      <scheme val="minor"/>
    </font>
    <font>
      <sz val="14"/>
      <name val="Calibri"/>
      <family val="2"/>
      <scheme val="minor"/>
    </font>
    <font>
      <sz val="18"/>
      <color theme="0"/>
      <name val="Calibri"/>
      <family val="2"/>
      <scheme val="minor"/>
    </font>
    <font>
      <sz val="10"/>
      <name val="Calibri"/>
      <family val="2"/>
      <scheme val="minor"/>
    </font>
    <font>
      <b/>
      <sz val="10"/>
      <color indexed="9"/>
      <name val="Calibri"/>
      <family val="2"/>
      <scheme val="minor"/>
    </font>
    <font>
      <b/>
      <sz val="12"/>
      <color indexed="9"/>
      <name val="Calibri"/>
      <family val="2"/>
      <scheme val="minor"/>
    </font>
    <font>
      <sz val="10"/>
      <color indexed="9"/>
      <name val="Calibri"/>
      <family val="2"/>
      <scheme val="minor"/>
    </font>
    <font>
      <u/>
      <sz val="12"/>
      <color indexed="9"/>
      <name val="Calibri"/>
      <family val="2"/>
      <scheme val="minor"/>
    </font>
    <font>
      <sz val="11"/>
      <color theme="1"/>
      <name val="Calibri"/>
      <family val="2"/>
      <scheme val="minor"/>
    </font>
    <font>
      <b/>
      <sz val="11"/>
      <color theme="1"/>
      <name val="Calibri"/>
      <family val="2"/>
      <scheme val="minor"/>
    </font>
    <font>
      <b/>
      <sz val="10"/>
      <name val="Calibri"/>
      <family val="2"/>
      <scheme val="minor"/>
    </font>
    <font>
      <b/>
      <sz val="14"/>
      <color indexed="55"/>
      <name val="Calibri"/>
      <family val="2"/>
      <scheme val="minor"/>
    </font>
    <font>
      <b/>
      <sz val="12"/>
      <name val="Calibri"/>
      <family val="2"/>
      <scheme val="minor"/>
    </font>
    <font>
      <b/>
      <sz val="14"/>
      <color theme="1"/>
      <name val="Calibri"/>
      <family val="2"/>
      <scheme val="minor"/>
    </font>
    <font>
      <b/>
      <sz val="10"/>
      <color theme="1"/>
      <name val="Calibri"/>
      <family val="2"/>
      <scheme val="minor"/>
    </font>
    <font>
      <sz val="11"/>
      <color rgb="FFFF0000"/>
      <name val="Calibri"/>
      <family val="2"/>
      <scheme val="minor"/>
    </font>
    <font>
      <sz val="12"/>
      <color rgb="FFFF0000"/>
      <name val="Calibri"/>
      <family val="2"/>
      <scheme val="minor"/>
    </font>
    <font>
      <b/>
      <sz val="11"/>
      <color rgb="FFFF0000"/>
      <name val="Calibri"/>
      <family val="2"/>
      <scheme val="minor"/>
    </font>
    <font>
      <b/>
      <sz val="16"/>
      <color theme="1"/>
      <name val="Calibri"/>
      <family val="2"/>
      <scheme val="minor"/>
    </font>
    <font>
      <sz val="9"/>
      <color rgb="FF000000"/>
      <name val="Arial"/>
      <family val="2"/>
    </font>
    <font>
      <b/>
      <sz val="11"/>
      <name val="Calibri"/>
      <family val="2"/>
      <scheme val="minor"/>
    </font>
    <font>
      <b/>
      <sz val="14"/>
      <name val="Calibri"/>
      <family val="2"/>
    </font>
    <font>
      <sz val="8"/>
      <color theme="1"/>
      <name val="Arial"/>
      <family val="2"/>
    </font>
    <font>
      <sz val="11"/>
      <color rgb="FF008FC9"/>
      <name val="Calibri"/>
      <family val="2"/>
      <scheme val="minor"/>
    </font>
    <font>
      <b/>
      <sz val="16"/>
      <color theme="0"/>
      <name val="Calibri"/>
      <family val="2"/>
      <scheme val="minor"/>
    </font>
    <font>
      <b/>
      <sz val="14"/>
      <color theme="0"/>
      <name val="Calibri"/>
      <family val="2"/>
      <scheme val="minor"/>
    </font>
    <font>
      <b/>
      <sz val="16"/>
      <name val="Calibri"/>
      <family val="2"/>
    </font>
    <font>
      <sz val="10"/>
      <color rgb="FF382E2C"/>
      <name val="Calibri"/>
      <family val="2"/>
    </font>
    <font>
      <sz val="10"/>
      <color theme="0"/>
      <name val="Calibri"/>
      <family val="2"/>
    </font>
    <font>
      <sz val="18"/>
      <name val="Calibri"/>
      <family val="2"/>
      <scheme val="minor"/>
    </font>
    <font>
      <sz val="11"/>
      <color theme="0"/>
      <name val="Calibri"/>
      <family val="2"/>
    </font>
    <font>
      <sz val="10"/>
      <color rgb="FF0070B8"/>
      <name val="Calibri"/>
      <family val="2"/>
      <scheme val="minor"/>
    </font>
    <font>
      <sz val="11"/>
      <color theme="1"/>
      <name val="Arial"/>
      <family val="2"/>
    </font>
    <font>
      <b/>
      <sz val="10"/>
      <color rgb="FF000000"/>
      <name val="Calibri"/>
      <family val="2"/>
      <scheme val="minor"/>
    </font>
    <font>
      <b/>
      <sz val="9"/>
      <color rgb="FF005BAD"/>
      <name val="Calibri"/>
      <family val="2"/>
    </font>
    <font>
      <sz val="18"/>
      <color rgb="FFFF0000"/>
      <name val="Calibri"/>
      <family val="2"/>
      <scheme val="minor"/>
    </font>
    <font>
      <b/>
      <sz val="16"/>
      <color rgb="FF643289"/>
      <name val="Calibri"/>
      <family val="2"/>
    </font>
    <font>
      <sz val="12"/>
      <color theme="0"/>
      <name val="Calibri"/>
      <family val="2"/>
      <scheme val="minor"/>
    </font>
    <font>
      <b/>
      <sz val="18"/>
      <color rgb="FF143050"/>
      <name val="Calibri"/>
      <family val="2"/>
      <scheme val="minor"/>
    </font>
    <font>
      <sz val="10"/>
      <color rgb="FF143050"/>
      <name val="Calibri"/>
      <family val="2"/>
    </font>
    <font>
      <sz val="11"/>
      <color rgb="FF143050"/>
      <name val="Calibri"/>
      <family val="2"/>
    </font>
    <font>
      <sz val="8"/>
      <color rgb="FF143050"/>
      <name val="Arial"/>
      <family val="2"/>
    </font>
    <font>
      <sz val="11"/>
      <color rgb="FF143050"/>
      <name val="Calibri"/>
      <family val="2"/>
      <scheme val="minor"/>
    </font>
    <font>
      <sz val="10"/>
      <color rgb="FFFF0000"/>
      <name val="Calibri"/>
      <family val="2"/>
    </font>
    <font>
      <sz val="16"/>
      <color theme="0"/>
      <name val="Calibri"/>
      <family val="2"/>
      <scheme val="minor"/>
    </font>
    <font>
      <sz val="12"/>
      <name val="Calibri"/>
      <family val="2"/>
    </font>
    <font>
      <b/>
      <sz val="11"/>
      <name val="Calibri"/>
      <family val="2"/>
    </font>
    <font>
      <b/>
      <sz val="10"/>
      <color theme="0"/>
      <name val="Calibri"/>
      <family val="2"/>
      <scheme val="minor"/>
    </font>
    <font>
      <b/>
      <sz val="10"/>
      <color rgb="FF808080"/>
      <name val="Calibri"/>
      <family val="2"/>
    </font>
    <font>
      <b/>
      <sz val="10"/>
      <color rgb="FF143050"/>
      <name val="Calibri"/>
      <family val="2"/>
      <scheme val="minor"/>
    </font>
    <font>
      <b/>
      <sz val="11"/>
      <color theme="0"/>
      <name val="Calibri"/>
      <family val="2"/>
      <scheme val="minor"/>
    </font>
    <font>
      <sz val="11"/>
      <color theme="4" tint="0.79998168889431442"/>
      <name val="Calibri"/>
      <family val="2"/>
      <scheme val="minor"/>
    </font>
    <font>
      <u/>
      <sz val="11"/>
      <color theme="10"/>
      <name val="Calibri"/>
      <family val="2"/>
      <scheme val="minor"/>
    </font>
    <font>
      <b/>
      <sz val="9"/>
      <color theme="4" tint="-0.249977111117893"/>
      <name val="Calibri"/>
      <family val="2"/>
    </font>
    <font>
      <sz val="8"/>
      <color theme="4" tint="-0.249977111117893"/>
      <name val="Calibri"/>
      <family val="2"/>
      <scheme val="minor"/>
    </font>
    <font>
      <sz val="11"/>
      <color theme="4" tint="0.59999389629810485"/>
      <name val="Calibri"/>
      <family val="2"/>
      <scheme val="minor"/>
    </font>
    <font>
      <sz val="10"/>
      <color rgb="FF008FC9"/>
      <name val="Calibri"/>
      <family val="2"/>
      <scheme val="minor"/>
    </font>
    <font>
      <b/>
      <sz val="16"/>
      <color theme="8" tint="-0.499984740745262"/>
      <name val="Calibri"/>
      <family val="2"/>
      <scheme val="minor"/>
    </font>
    <font>
      <sz val="8"/>
      <color rgb="FFFF0000"/>
      <name val="Calibri"/>
      <family val="2"/>
    </font>
    <font>
      <b/>
      <sz val="12"/>
      <color rgb="FFFF0000"/>
      <name val="Calibri"/>
      <family val="2"/>
    </font>
    <font>
      <b/>
      <sz val="18"/>
      <color theme="8" tint="-0.499984740745262"/>
      <name val="Calibri"/>
      <family val="2"/>
      <scheme val="minor"/>
    </font>
    <font>
      <sz val="11"/>
      <color theme="8" tint="0.79998168889431442"/>
      <name val="Calibri"/>
      <family val="2"/>
      <scheme val="minor"/>
    </font>
    <font>
      <sz val="9"/>
      <color rgb="FF143050"/>
      <name val="Calibri"/>
      <family val="2"/>
      <scheme val="minor"/>
    </font>
    <font>
      <sz val="9"/>
      <color rgb="FF008FC9"/>
      <name val="Calibri"/>
      <family val="2"/>
      <scheme val="minor"/>
    </font>
    <font>
      <sz val="9"/>
      <color theme="3" tint="-0.249977111117893"/>
      <name val="Calibri"/>
      <family val="2"/>
      <scheme val="minor"/>
    </font>
    <font>
      <sz val="18"/>
      <color theme="8" tint="0.79998168889431442"/>
      <name val="Calibri"/>
      <family val="2"/>
      <scheme val="minor"/>
    </font>
    <font>
      <sz val="11"/>
      <color rgb="FF00B050"/>
      <name val="Calibri"/>
      <family val="2"/>
      <scheme val="minor"/>
    </font>
    <font>
      <sz val="11"/>
      <color theme="4"/>
      <name val="Calibri"/>
      <family val="2"/>
      <scheme val="minor"/>
    </font>
    <font>
      <sz val="11"/>
      <color theme="5"/>
      <name val="Calibri"/>
      <family val="2"/>
      <scheme val="minor"/>
    </font>
    <font>
      <sz val="11"/>
      <color theme="0" tint="-0.14999847407452621"/>
      <name val="Calibri"/>
      <family val="2"/>
      <scheme val="minor"/>
    </font>
    <font>
      <b/>
      <sz val="12"/>
      <color rgb="FF382E2C"/>
      <name val="Calibri"/>
      <family val="2"/>
      <scheme val="minor"/>
    </font>
    <font>
      <sz val="9"/>
      <color theme="1"/>
      <name val="Calibri"/>
      <family val="2"/>
      <scheme val="minor"/>
    </font>
    <font>
      <sz val="9"/>
      <name val="Calibri"/>
      <family val="2"/>
      <scheme val="minor"/>
    </font>
    <font>
      <b/>
      <sz val="10"/>
      <color theme="1"/>
      <name val="Arial"/>
      <family val="2"/>
    </font>
    <font>
      <b/>
      <sz val="11"/>
      <color rgb="FF007AB8"/>
      <name val="Calibri"/>
      <family val="2"/>
    </font>
    <font>
      <b/>
      <sz val="10"/>
      <color rgb="FF382E2C"/>
      <name val="Calibri"/>
      <family val="2"/>
    </font>
    <font>
      <sz val="18"/>
      <color rgb="FF005B94"/>
      <name val="Calibri"/>
      <family val="2"/>
      <scheme val="minor"/>
    </font>
    <font>
      <sz val="10"/>
      <color rgb="FF143050"/>
      <name val="Calibri"/>
      <family val="2"/>
      <scheme val="minor"/>
    </font>
    <font>
      <sz val="8"/>
      <color theme="1"/>
      <name val="Calibri"/>
      <family val="2"/>
    </font>
    <font>
      <sz val="11"/>
      <color rgb="FF382E2C"/>
      <name val="Calibri"/>
      <family val="2"/>
    </font>
    <font>
      <sz val="11"/>
      <color rgb="FF382E2C"/>
      <name val="Arial"/>
      <family val="2"/>
    </font>
    <font>
      <sz val="10.5"/>
      <color theme="1"/>
      <name val="Calibri"/>
      <family val="2"/>
      <scheme val="minor"/>
    </font>
    <font>
      <b/>
      <sz val="12"/>
      <color theme="3" tint="-0.499984740745262"/>
      <name val="Calibri"/>
      <family val="2"/>
    </font>
    <font>
      <sz val="11"/>
      <color theme="3" tint="-0.499984740745262"/>
      <name val="Calibri"/>
      <family val="2"/>
      <scheme val="minor"/>
    </font>
    <font>
      <sz val="10"/>
      <color theme="3" tint="-0.499984740745262"/>
      <name val="Calibri"/>
      <family val="2"/>
    </font>
    <font>
      <sz val="14"/>
      <color theme="1"/>
      <name val="Calibri"/>
      <family val="2"/>
      <scheme val="minor"/>
    </font>
    <font>
      <sz val="14"/>
      <color theme="3" tint="-0.499984740745262"/>
      <name val="Calibri"/>
      <family val="2"/>
      <scheme val="minor"/>
    </font>
    <font>
      <sz val="8"/>
      <color rgb="FF000000"/>
      <name val="Tahoma"/>
      <family val="2"/>
    </font>
    <font>
      <b/>
      <sz val="11"/>
      <color indexed="8"/>
      <name val="Calibri"/>
      <family val="2"/>
    </font>
    <font>
      <i/>
      <sz val="10"/>
      <color indexed="8"/>
      <name val="Calibri"/>
      <family val="2"/>
    </font>
    <font>
      <b/>
      <sz val="11"/>
      <color rgb="FF143050"/>
      <name val="Calibri"/>
      <family val="2"/>
    </font>
    <font>
      <sz val="10"/>
      <color theme="4" tint="-0.249977111117893"/>
      <name val="Calibri"/>
      <family val="2"/>
      <scheme val="minor"/>
    </font>
    <font>
      <sz val="11"/>
      <color indexed="8"/>
      <name val="Calibri"/>
      <family val="2"/>
      <scheme val="minor"/>
    </font>
    <font>
      <i/>
      <sz val="8"/>
      <color indexed="8"/>
      <name val="Calibri"/>
      <family val="2"/>
    </font>
    <font>
      <sz val="11"/>
      <color theme="6" tint="-0.249977111117893"/>
      <name val="Calibri"/>
      <family val="2"/>
      <scheme val="minor"/>
    </font>
    <font>
      <sz val="8"/>
      <color rgb="FF000000"/>
      <name val="Segoe UI"/>
      <family val="2"/>
    </font>
    <font>
      <b/>
      <sz val="10"/>
      <color theme="0"/>
      <name val="Arial"/>
      <family val="2"/>
    </font>
    <font>
      <b/>
      <u/>
      <sz val="8"/>
      <color theme="1"/>
      <name val="Calibri"/>
      <family val="2"/>
      <scheme val="minor"/>
    </font>
    <font>
      <b/>
      <sz val="18"/>
      <color theme="0"/>
      <name val="Calibri"/>
      <family val="2"/>
      <scheme val="minor"/>
    </font>
    <font>
      <sz val="9"/>
      <color theme="0"/>
      <name val="Calibri"/>
      <family val="2"/>
      <scheme val="minor"/>
    </font>
    <font>
      <i/>
      <sz val="10"/>
      <color rgb="FFFF0000"/>
      <name val="Calibri"/>
      <family val="2"/>
      <scheme val="minor"/>
    </font>
    <font>
      <b/>
      <i/>
      <sz val="10"/>
      <name val="Arial"/>
      <family val="2"/>
    </font>
    <font>
      <sz val="12"/>
      <color theme="0"/>
      <name val="Calibri"/>
      <family val="2"/>
    </font>
    <font>
      <sz val="20"/>
      <color theme="0"/>
      <name val="Calibri"/>
      <family val="2"/>
    </font>
    <font>
      <sz val="14"/>
      <color theme="0"/>
      <name val="Calibri"/>
      <family val="2"/>
      <scheme val="minor"/>
    </font>
    <font>
      <u/>
      <sz val="10"/>
      <color theme="4" tint="-0.249977111117893"/>
      <name val="Calibri"/>
      <family val="2"/>
      <scheme val="minor"/>
    </font>
    <font>
      <u/>
      <sz val="11"/>
      <color theme="4" tint="-0.249977111117893"/>
      <name val="Calibri"/>
      <family val="2"/>
      <scheme val="minor"/>
    </font>
    <font>
      <sz val="18"/>
      <color theme="8" tint="-0.499984740745262"/>
      <name val="Calibri"/>
      <family val="2"/>
      <scheme val="minor"/>
    </font>
    <font>
      <sz val="11"/>
      <color theme="8" tint="-0.499984740745262"/>
      <name val="Calibri"/>
      <family val="2"/>
      <scheme val="minor"/>
    </font>
    <font>
      <b/>
      <sz val="10.5"/>
      <color theme="1"/>
      <name val="Calibri"/>
      <family val="2"/>
      <scheme val="minor"/>
    </font>
    <font>
      <sz val="11"/>
      <color theme="1"/>
      <name val="Calibri"/>
      <family val="2"/>
    </font>
    <font>
      <b/>
      <sz val="14"/>
      <color rgb="FFFF0000"/>
      <name val="Calibri"/>
      <family val="2"/>
      <scheme val="minor"/>
    </font>
  </fonts>
  <fills count="81">
    <fill>
      <patternFill patternType="none"/>
    </fill>
    <fill>
      <patternFill patternType="gray125"/>
    </fill>
    <fill>
      <patternFill patternType="solid">
        <fgColor indexed="31"/>
        <bgColor indexed="64"/>
      </patternFill>
    </fill>
    <fill>
      <patternFill patternType="solid">
        <fgColor indexed="13"/>
        <bgColor indexed="64"/>
      </patternFill>
    </fill>
    <fill>
      <patternFill patternType="solid">
        <fgColor indexed="43"/>
        <bgColor indexed="64"/>
      </patternFill>
    </fill>
    <fill>
      <patternFill patternType="solid">
        <fgColor indexed="8"/>
        <bgColor indexed="64"/>
      </patternFill>
    </fill>
    <fill>
      <patternFill patternType="solid">
        <fgColor theme="4"/>
      </patternFill>
    </fill>
    <fill>
      <patternFill patternType="solid">
        <fgColor rgb="FFFFFFCC"/>
      </patternFill>
    </fill>
    <fill>
      <patternFill patternType="solid">
        <fgColor rgb="FFFFFF00"/>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43"/>
      </patternFill>
    </fill>
    <fill>
      <patternFill patternType="gray0625">
        <fgColor indexed="9"/>
      </patternFill>
    </fill>
    <fill>
      <patternFill patternType="solid">
        <fgColor indexed="61"/>
        <bgColor indexed="64"/>
      </patternFill>
    </fill>
    <fill>
      <patternFill patternType="solid">
        <fgColor indexed="23"/>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DCE6F2"/>
        <bgColor indexed="64"/>
      </patternFill>
    </fill>
    <fill>
      <patternFill patternType="solid">
        <fgColor rgb="FF002451"/>
        <bgColor indexed="64"/>
      </patternFill>
    </fill>
    <fill>
      <patternFill patternType="solid">
        <fgColor theme="3" tint="-0.249977111117893"/>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rgb="FFE5F2F7"/>
        <bgColor indexed="64"/>
      </patternFill>
    </fill>
    <fill>
      <patternFill patternType="solid">
        <fgColor rgb="FF002E5F"/>
        <bgColor indexed="64"/>
      </patternFill>
    </fill>
    <fill>
      <patternFill patternType="solid">
        <fgColor rgb="FFFFC000"/>
        <bgColor indexed="64"/>
      </patternFill>
    </fill>
    <fill>
      <patternFill patternType="solid">
        <fgColor rgb="FF8E3189"/>
        <bgColor indexed="64"/>
      </patternFill>
    </fill>
    <fill>
      <patternFill patternType="solid">
        <fgColor rgb="FFFDE1B9"/>
        <bgColor indexed="64"/>
      </patternFill>
    </fill>
    <fill>
      <patternFill patternType="solid">
        <fgColor rgb="FFFF0000"/>
        <bgColor indexed="64"/>
      </patternFill>
    </fill>
    <fill>
      <patternFill patternType="solid">
        <fgColor theme="8" tint="0.79998168889431442"/>
        <bgColor indexed="64"/>
      </patternFill>
    </fill>
    <fill>
      <patternFill patternType="solid">
        <fgColor theme="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rgb="FF376092"/>
        <bgColor indexed="64"/>
      </patternFill>
    </fill>
    <fill>
      <patternFill patternType="solid">
        <fgColor theme="8" tint="-0.499984740745262"/>
        <bgColor indexed="64"/>
      </patternFill>
    </fill>
    <fill>
      <patternFill patternType="solid">
        <fgColor rgb="FFC9DAF8"/>
        <bgColor rgb="FFC9DAF8"/>
      </patternFill>
    </fill>
    <fill>
      <patternFill patternType="solid">
        <fgColor theme="4" tint="-0.249977111117893"/>
        <bgColor indexed="64"/>
      </patternFill>
    </fill>
    <fill>
      <patternFill patternType="solid">
        <fgColor theme="9" tint="0.39997558519241921"/>
        <bgColor indexed="64"/>
      </patternFill>
    </fill>
    <fill>
      <patternFill patternType="solid">
        <fgColor theme="1"/>
        <bgColor indexed="64"/>
      </patternFill>
    </fill>
    <fill>
      <patternFill patternType="solid">
        <fgColor theme="4" tint="0.79998168889431442"/>
        <bgColor rgb="FFC9DAF8"/>
      </patternFill>
    </fill>
    <fill>
      <patternFill patternType="solid">
        <fgColor theme="3" tint="-0.499984740745262"/>
        <bgColor indexed="64"/>
      </patternFill>
    </fill>
    <fill>
      <patternFill patternType="solid">
        <fgColor theme="0" tint="-0.249977111117893"/>
        <bgColor indexed="64"/>
      </patternFill>
    </fill>
    <fill>
      <patternFill patternType="solid">
        <fgColor theme="2" tint="-0.749992370372631"/>
        <bgColor indexed="64"/>
      </patternFill>
    </fill>
    <fill>
      <patternFill patternType="solid">
        <fgColor rgb="FFFFFF00"/>
        <bgColor rgb="FFC9DAF8"/>
      </patternFill>
    </fill>
    <fill>
      <patternFill patternType="solid">
        <fgColor rgb="FFD2D2D2"/>
        <bgColor indexed="64"/>
      </patternFill>
    </fill>
    <fill>
      <patternFill patternType="solid">
        <fgColor rgb="FFDAEEF3"/>
        <bgColor indexed="64"/>
      </patternFill>
    </fill>
    <fill>
      <patternFill patternType="solid">
        <fgColor rgb="FF808080"/>
        <bgColor indexed="64"/>
      </patternFill>
    </fill>
    <fill>
      <patternFill patternType="solid">
        <fgColor rgb="FFF79646"/>
        <bgColor indexed="64"/>
      </patternFill>
    </fill>
    <fill>
      <patternFill patternType="solid">
        <fgColor rgb="FFFABF8F"/>
        <bgColor indexed="64"/>
      </patternFill>
    </fill>
    <fill>
      <patternFill patternType="solid">
        <fgColor rgb="FF1BB09A"/>
        <bgColor indexed="64"/>
      </patternFill>
    </fill>
    <fill>
      <patternFill patternType="solid">
        <fgColor theme="0"/>
        <bgColor rgb="FF8DB3E2"/>
      </patternFill>
    </fill>
    <fill>
      <patternFill patternType="solid">
        <fgColor rgb="FF2B5464"/>
        <bgColor indexed="64"/>
      </patternFill>
    </fill>
    <fill>
      <patternFill patternType="solid">
        <fgColor rgb="FF9EB3BE"/>
        <bgColor indexed="64"/>
      </patternFill>
    </fill>
    <fill>
      <patternFill patternType="solid">
        <fgColor rgb="FFB5D5E5"/>
        <bgColor indexed="64"/>
      </patternFill>
    </fill>
    <fill>
      <patternFill patternType="solid">
        <fgColor rgb="FFFF00FF"/>
        <bgColor indexed="64"/>
      </patternFill>
    </fill>
    <fill>
      <patternFill patternType="solid">
        <fgColor rgb="FFD5A6BD"/>
        <bgColor indexed="64"/>
      </patternFill>
    </fill>
    <fill>
      <patternFill patternType="solid">
        <fgColor rgb="FFFAFAFA"/>
        <bgColor indexed="64"/>
      </patternFill>
    </fill>
  </fills>
  <borders count="137">
    <border>
      <left/>
      <right/>
      <top/>
      <bottom/>
      <diagonal/>
    </border>
    <border>
      <left/>
      <right style="thin">
        <color indexed="64"/>
      </right>
      <top/>
      <bottom/>
      <diagonal/>
    </border>
    <border>
      <left/>
      <right/>
      <top/>
      <bottom style="hair">
        <color indexed="55"/>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bottom style="dotted">
        <color rgb="FF002451"/>
      </bottom>
      <diagonal/>
    </border>
    <border>
      <left/>
      <right/>
      <top/>
      <bottom style="thin">
        <color theme="0"/>
      </bottom>
      <diagonal/>
    </border>
    <border>
      <left/>
      <right/>
      <top style="dotted">
        <color rgb="FF002451"/>
      </top>
      <bottom style="dotted">
        <color rgb="FF002451"/>
      </bottom>
      <diagonal/>
    </border>
    <border>
      <left/>
      <right/>
      <top style="thin">
        <color rgb="FF002451"/>
      </top>
      <bottom style="dotted">
        <color rgb="FF002451"/>
      </bottom>
      <diagonal/>
    </border>
    <border>
      <left/>
      <right style="dotted">
        <color rgb="FF002451"/>
      </right>
      <top style="thin">
        <color rgb="FF002451"/>
      </top>
      <bottom style="dotted">
        <color rgb="FF002451"/>
      </bottom>
      <diagonal/>
    </border>
    <border>
      <left style="dotted">
        <color rgb="FF002451"/>
      </left>
      <right style="dotted">
        <color rgb="FF002451"/>
      </right>
      <top style="thin">
        <color rgb="FF002451"/>
      </top>
      <bottom style="dotted">
        <color rgb="FF002451"/>
      </bottom>
      <diagonal/>
    </border>
    <border>
      <left/>
      <right style="medium">
        <color indexed="64"/>
      </right>
      <top/>
      <bottom/>
      <diagonal/>
    </border>
    <border>
      <left/>
      <right/>
      <top style="thin">
        <color rgb="FF002451"/>
      </top>
      <bottom/>
      <diagonal/>
    </border>
    <border>
      <left/>
      <right style="dotted">
        <color rgb="FF002451"/>
      </right>
      <top style="thin">
        <color rgb="FF002451"/>
      </top>
      <bottom/>
      <diagonal/>
    </border>
    <border>
      <left style="thin">
        <color indexed="64"/>
      </left>
      <right/>
      <top style="thin">
        <color indexed="64"/>
      </top>
      <bottom/>
      <diagonal/>
    </border>
    <border>
      <left style="thin">
        <color indexed="64"/>
      </left>
      <right style="thin">
        <color indexed="64"/>
      </right>
      <top/>
      <bottom style="thin">
        <color auto="1"/>
      </bottom>
      <diagonal/>
    </border>
    <border>
      <left style="thin">
        <color indexed="64"/>
      </left>
      <right style="thin">
        <color indexed="64"/>
      </right>
      <top style="thin">
        <color auto="1"/>
      </top>
      <bottom style="thin">
        <color auto="1"/>
      </bottom>
      <diagonal/>
    </border>
    <border>
      <left/>
      <right style="dotted">
        <color rgb="FF002451"/>
      </right>
      <top style="thin">
        <color indexed="64"/>
      </top>
      <bottom/>
      <diagonal/>
    </border>
    <border>
      <left/>
      <right/>
      <top/>
      <bottom style="thin">
        <color indexed="64"/>
      </bottom>
      <diagonal/>
    </border>
    <border>
      <left style="thin">
        <color indexed="64"/>
      </left>
      <right style="thin">
        <color indexed="64"/>
      </right>
      <top style="thin">
        <color auto="1"/>
      </top>
      <bottom style="thin">
        <color auto="1"/>
      </bottom>
      <diagonal/>
    </border>
    <border>
      <left/>
      <right style="dotted">
        <color rgb="FF002451"/>
      </right>
      <top style="thin">
        <color auto="1"/>
      </top>
      <bottom style="thin">
        <color auto="1"/>
      </bottom>
      <diagonal/>
    </border>
    <border>
      <left style="thin">
        <color indexed="64"/>
      </left>
      <right style="thin">
        <color indexed="64"/>
      </right>
      <top style="thin">
        <color auto="1"/>
      </top>
      <bottom/>
      <diagonal/>
    </border>
    <border>
      <left/>
      <right/>
      <top/>
      <bottom style="hair">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right/>
      <top style="thin">
        <color indexed="64"/>
      </top>
      <bottom/>
      <diagonal/>
    </border>
    <border>
      <left/>
      <right style="thin">
        <color indexed="64"/>
      </right>
      <top/>
      <bottom style="dotted">
        <color auto="1"/>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dotted">
        <color auto="1"/>
      </bottom>
      <diagonal/>
    </border>
    <border>
      <left/>
      <right/>
      <top/>
      <bottom style="dotted">
        <color theme="0"/>
      </bottom>
      <diagonal/>
    </border>
    <border>
      <left/>
      <right/>
      <top/>
      <bottom style="dotted">
        <color theme="3" tint="-0.499984740745262"/>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style="thin">
        <color indexed="64"/>
      </top>
      <bottom style="dotted">
        <color auto="1"/>
      </bottom>
      <diagonal/>
    </border>
    <border>
      <left/>
      <right style="thin">
        <color indexed="64"/>
      </right>
      <top style="dotted">
        <color auto="1"/>
      </top>
      <bottom style="dotted">
        <color auto="1"/>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thin">
        <color theme="1" tint="0.34998626667073579"/>
      </top>
      <bottom style="thin">
        <color theme="1" tint="0.34998626667073579"/>
      </bottom>
      <diagonal/>
    </border>
    <border>
      <left/>
      <right/>
      <top style="medium">
        <color theme="2" tint="-0.499984740745262"/>
      </top>
      <bottom style="medium">
        <color theme="2" tint="-0.499984740745262"/>
      </bottom>
      <diagonal/>
    </border>
    <border>
      <left/>
      <right/>
      <top style="thin">
        <color indexed="64"/>
      </top>
      <bottom/>
      <diagonal/>
    </border>
    <border>
      <left/>
      <right/>
      <top style="thin">
        <color theme="8" tint="0.39994506668294322"/>
      </top>
      <bottom style="thin">
        <color auto="1"/>
      </bottom>
      <diagonal/>
    </border>
    <border>
      <left style="thin">
        <color indexed="64"/>
      </left>
      <right style="thin">
        <color indexed="64"/>
      </right>
      <top/>
      <bottom style="thin">
        <color auto="1"/>
      </bottom>
      <diagonal/>
    </border>
    <border>
      <left style="thin">
        <color indexed="64"/>
      </left>
      <right/>
      <top/>
      <bottom style="thin">
        <color indexed="64"/>
      </bottom>
      <diagonal/>
    </border>
    <border>
      <left/>
      <right style="dotted">
        <color rgb="FF002451"/>
      </right>
      <top/>
      <bottom style="thin">
        <color auto="1"/>
      </bottom>
      <diagonal/>
    </border>
    <border>
      <left/>
      <right style="thin">
        <color indexed="64"/>
      </right>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top/>
      <bottom style="dotted">
        <color auto="1"/>
      </bottom>
      <diagonal/>
    </border>
    <border>
      <left/>
      <right/>
      <top/>
      <bottom style="thin">
        <color indexed="64"/>
      </bottom>
      <diagonal/>
    </border>
    <border>
      <left style="thin">
        <color indexed="64"/>
      </left>
      <right style="thin">
        <color indexed="64"/>
      </right>
      <top style="thin">
        <color auto="1"/>
      </top>
      <bottom style="thin">
        <color auto="1"/>
      </bottom>
      <diagonal/>
    </border>
    <border>
      <left/>
      <right/>
      <top/>
      <bottom style="thick">
        <color theme="0"/>
      </bottom>
      <diagonal/>
    </border>
    <border>
      <left/>
      <right/>
      <top style="thick">
        <color theme="0"/>
      </top>
      <bottom style="thick">
        <color theme="0"/>
      </bottom>
      <diagonal/>
    </border>
    <border>
      <left/>
      <right/>
      <top style="thick">
        <color theme="0"/>
      </top>
      <bottom style="thin">
        <color theme="3" tint="0.79998168889431442"/>
      </bottom>
      <diagonal/>
    </border>
    <border>
      <left style="medium">
        <color indexed="64"/>
      </left>
      <right style="dotted">
        <color indexed="64"/>
      </right>
      <top/>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right style="thin">
        <color indexed="64"/>
      </right>
      <top style="thin">
        <color auto="1"/>
      </top>
      <bottom style="dotted">
        <color theme="0"/>
      </bottom>
      <diagonal/>
    </border>
    <border>
      <left style="thin">
        <color indexed="64"/>
      </left>
      <right style="dotted">
        <color theme="0"/>
      </right>
      <top style="thin">
        <color auto="1"/>
      </top>
      <bottom style="dotted">
        <color theme="0"/>
      </bottom>
      <diagonal/>
    </border>
    <border>
      <left style="dotted">
        <color theme="0"/>
      </left>
      <right style="thin">
        <color indexed="64"/>
      </right>
      <top style="thin">
        <color auto="1"/>
      </top>
      <bottom style="dotted">
        <color theme="0"/>
      </bottom>
      <diagonal/>
    </border>
    <border>
      <left style="thin">
        <color indexed="64"/>
      </left>
      <right style="dotted">
        <color indexed="64"/>
      </right>
      <top style="dotted">
        <color theme="0"/>
      </top>
      <bottom style="dotted">
        <color auto="1"/>
      </bottom>
      <diagonal/>
    </border>
    <border>
      <left style="dotted">
        <color indexed="64"/>
      </left>
      <right style="thin">
        <color indexed="64"/>
      </right>
      <top style="dotted">
        <color theme="0"/>
      </top>
      <bottom style="dotted">
        <color auto="1"/>
      </bottom>
      <diagonal/>
    </border>
    <border>
      <left style="thin">
        <color indexed="64"/>
      </left>
      <right style="dotted">
        <color indexed="64"/>
      </right>
      <top/>
      <bottom style="dotted">
        <color auto="1"/>
      </bottom>
      <diagonal/>
    </border>
    <border>
      <left style="dotted">
        <color indexed="64"/>
      </left>
      <right style="thin">
        <color indexed="64"/>
      </right>
      <top/>
      <bottom style="dotted">
        <color auto="1"/>
      </bottom>
      <diagonal/>
    </border>
    <border>
      <left style="thin">
        <color indexed="64"/>
      </left>
      <right style="dotted">
        <color indexed="64"/>
      </right>
      <top style="thin">
        <color auto="1"/>
      </top>
      <bottom style="dotted">
        <color theme="0"/>
      </bottom>
      <diagonal/>
    </border>
    <border>
      <left style="dotted">
        <color indexed="64"/>
      </left>
      <right style="thin">
        <color indexed="64"/>
      </right>
      <top style="thin">
        <color auto="1"/>
      </top>
      <bottom style="dotted">
        <color theme="0"/>
      </bottom>
      <diagonal/>
    </border>
    <border>
      <left/>
      <right/>
      <top style="thin">
        <color theme="1" tint="0.499984740745262"/>
      </top>
      <bottom style="thin">
        <color theme="1" tint="0.499984740745262"/>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right/>
      <top style="dotted">
        <color auto="1"/>
      </top>
      <bottom/>
      <diagonal/>
    </border>
    <border>
      <left style="dotted">
        <color rgb="FF002451"/>
      </left>
      <right style="dotted">
        <color rgb="FF002451"/>
      </right>
      <top style="thin">
        <color indexed="64"/>
      </top>
      <bottom/>
      <diagonal/>
    </border>
    <border>
      <left/>
      <right/>
      <top style="thin">
        <color theme="1" tint="0.499984740745262"/>
      </top>
      <bottom style="thin">
        <color auto="1"/>
      </bottom>
      <diagonal/>
    </border>
    <border>
      <left/>
      <right/>
      <top style="thin">
        <color theme="1" tint="0.34998626667073579"/>
      </top>
      <bottom style="thin">
        <color indexed="64"/>
      </bottom>
      <diagonal/>
    </border>
    <border>
      <left/>
      <right/>
      <top/>
      <bottom style="medium">
        <color theme="2" tint="-0.499984740745262"/>
      </bottom>
      <diagonal/>
    </border>
    <border>
      <left/>
      <right style="thin">
        <color theme="0"/>
      </right>
      <top style="hair">
        <color rgb="FF002451"/>
      </top>
      <bottom style="thin">
        <color theme="0"/>
      </bottom>
      <diagonal/>
    </border>
    <border>
      <left style="dotted">
        <color indexed="64"/>
      </left>
      <right/>
      <top style="medium">
        <color indexed="64"/>
      </top>
      <bottom/>
      <diagonal/>
    </border>
    <border>
      <left/>
      <right style="dotted">
        <color indexed="64"/>
      </right>
      <top style="medium">
        <color indexed="64"/>
      </top>
      <bottom/>
      <diagonal/>
    </border>
    <border>
      <left style="dotted">
        <color auto="1"/>
      </left>
      <right/>
      <top/>
      <bottom/>
      <diagonal/>
    </border>
    <border>
      <left/>
      <right style="dotted">
        <color auto="1"/>
      </right>
      <top/>
      <bottom/>
      <diagonal/>
    </border>
    <border>
      <left style="dotted">
        <color indexed="64"/>
      </left>
      <right/>
      <top/>
      <bottom style="medium">
        <color indexed="64"/>
      </bottom>
      <diagonal/>
    </border>
    <border>
      <left/>
      <right style="dotted">
        <color indexed="64"/>
      </right>
      <top/>
      <bottom style="medium">
        <color indexed="64"/>
      </bottom>
      <diagonal/>
    </border>
    <border>
      <left style="medium">
        <color indexed="64"/>
      </left>
      <right style="dotted">
        <color indexed="64"/>
      </right>
      <top style="medium">
        <color indexed="64"/>
      </top>
      <bottom/>
      <diagonal/>
    </border>
    <border>
      <left/>
      <right style="thin">
        <color indexed="64"/>
      </right>
      <top style="dotted">
        <color auto="1"/>
      </top>
      <bottom style="thin">
        <color auto="1"/>
      </bottom>
      <diagonal/>
    </border>
    <border>
      <left style="thin">
        <color indexed="64"/>
      </left>
      <right style="dotted">
        <color indexed="64"/>
      </right>
      <top/>
      <bottom style="thin">
        <color auto="1"/>
      </bottom>
      <diagonal/>
    </border>
    <border>
      <left style="dotted">
        <color indexed="64"/>
      </left>
      <right style="thin">
        <color indexed="64"/>
      </right>
      <top/>
      <bottom style="thin">
        <color auto="1"/>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style="dotted">
        <color auto="1"/>
      </right>
      <top/>
      <bottom style="thin">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top/>
      <bottom style="dotted">
        <color auto="1"/>
      </bottom>
      <diagonal/>
    </border>
    <border>
      <left style="thin">
        <color indexed="64"/>
      </left>
      <right style="thin">
        <color indexed="64"/>
      </right>
      <top/>
      <bottom style="dotted">
        <color auto="1"/>
      </bottom>
      <diagonal/>
    </border>
    <border>
      <left style="thin">
        <color indexed="64"/>
      </left>
      <right/>
      <top style="dotted">
        <color auto="1"/>
      </top>
      <bottom style="dotted">
        <color auto="1"/>
      </bottom>
      <diagonal/>
    </border>
    <border>
      <left style="thin">
        <color indexed="64"/>
      </left>
      <right style="thin">
        <color indexed="64"/>
      </right>
      <top style="dotted">
        <color auto="1"/>
      </top>
      <bottom style="dotted">
        <color auto="1"/>
      </bottom>
      <diagonal/>
    </border>
    <border>
      <left style="thin">
        <color indexed="64"/>
      </left>
      <right/>
      <top style="dotted">
        <color auto="1"/>
      </top>
      <bottom style="thin">
        <color indexed="64"/>
      </bottom>
      <diagonal/>
    </border>
    <border>
      <left style="thin">
        <color indexed="64"/>
      </left>
      <right style="thin">
        <color indexed="64"/>
      </right>
      <top style="dotted">
        <color auto="1"/>
      </top>
      <bottom style="thin">
        <color indexed="64"/>
      </bottom>
      <diagonal/>
    </border>
    <border>
      <left style="thin">
        <color indexed="64"/>
      </left>
      <right style="dotted">
        <color auto="1"/>
      </right>
      <top style="dotted">
        <color auto="1"/>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top style="thin">
        <color indexed="64"/>
      </top>
      <bottom style="dotted">
        <color theme="0"/>
      </bottom>
      <diagonal/>
    </border>
    <border>
      <left style="thin">
        <color indexed="64"/>
      </left>
      <right style="thin">
        <color indexed="64"/>
      </right>
      <top style="thin">
        <color indexed="64"/>
      </top>
      <bottom style="dotted">
        <color auto="1"/>
      </bottom>
      <diagonal/>
    </border>
    <border>
      <left style="dotted">
        <color indexed="64"/>
      </left>
      <right style="dotted">
        <color indexed="64"/>
      </right>
      <top/>
      <bottom style="dotted">
        <color indexed="64"/>
      </bottom>
      <diagonal/>
    </border>
    <border>
      <left style="thin">
        <color indexed="64"/>
      </left>
      <right/>
      <top style="dotted">
        <color theme="0"/>
      </top>
      <bottom style="dotted">
        <color theme="0"/>
      </bottom>
      <diagonal/>
    </border>
    <border>
      <left/>
      <right style="medium">
        <color indexed="64"/>
      </right>
      <top/>
      <bottom style="medium">
        <color indexed="64"/>
      </bottom>
      <diagonal/>
    </border>
    <border>
      <left/>
      <right style="thin">
        <color rgb="FF000000"/>
      </right>
      <top/>
      <bottom style="thin">
        <color rgb="FF000000"/>
      </bottom>
      <diagonal/>
    </border>
    <border>
      <left/>
      <right/>
      <top style="thin">
        <color indexed="64"/>
      </top>
      <bottom style="thin">
        <color theme="3" tint="0.79998168889431442"/>
      </bottom>
      <diagonal/>
    </border>
    <border>
      <left/>
      <right/>
      <top style="thin">
        <color theme="3" tint="0.79998168889431442"/>
      </top>
      <bottom style="thin">
        <color theme="3" tint="0.79998168889431442"/>
      </bottom>
      <diagonal/>
    </border>
    <border>
      <left style="thin">
        <color rgb="FF0070C0"/>
      </left>
      <right style="thin">
        <color rgb="FF0070C0"/>
      </right>
      <top style="thin">
        <color rgb="FF0070C0"/>
      </top>
      <bottom/>
      <diagonal/>
    </border>
    <border>
      <left style="thin">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style="thin">
        <color rgb="FF0070C0"/>
      </left>
      <right style="thin">
        <color rgb="FF0070C0"/>
      </right>
      <top/>
      <bottom/>
      <diagonal/>
    </border>
    <border>
      <left style="thin">
        <color rgb="FF0070C0"/>
      </left>
      <right style="thin">
        <color rgb="FF0070C0"/>
      </right>
      <top/>
      <bottom style="thin">
        <color rgb="FF0070C0"/>
      </bottom>
      <diagonal/>
    </border>
    <border>
      <left style="medium">
        <color rgb="FFCCCCCC"/>
      </left>
      <right style="medium">
        <color rgb="FFCCCCCC"/>
      </right>
      <top style="medium">
        <color rgb="FFCCCCCC"/>
      </top>
      <bottom style="medium">
        <color rgb="FFCCCCCC"/>
      </bottom>
      <diagonal/>
    </border>
  </borders>
  <cellStyleXfs count="186">
    <xf numFmtId="0" fontId="0" fillId="0" borderId="0"/>
    <xf numFmtId="0" fontId="14" fillId="0" borderId="0"/>
    <xf numFmtId="0" fontId="14" fillId="0" borderId="0"/>
    <xf numFmtId="3" fontId="22" fillId="0" borderId="0" applyFont="0" applyProtection="0"/>
    <xf numFmtId="172" fontId="22" fillId="0" borderId="0" applyFont="0" applyProtection="0"/>
    <xf numFmtId="169" fontId="22" fillId="0" borderId="0" applyFont="0" applyProtection="0"/>
    <xf numFmtId="2" fontId="22" fillId="0" borderId="0" applyFont="0" applyProtection="0"/>
    <xf numFmtId="1" fontId="23" fillId="0" borderId="0" applyFont="0"/>
    <xf numFmtId="0" fontId="14" fillId="0" borderId="0"/>
    <xf numFmtId="0" fontId="15" fillId="0" borderId="0"/>
    <xf numFmtId="0" fontId="14" fillId="0" borderId="0">
      <alignment horizontal="left" wrapText="1"/>
    </xf>
    <xf numFmtId="0" fontId="14" fillId="0" borderId="0">
      <protection locked="0"/>
    </xf>
    <xf numFmtId="0" fontId="15" fillId="0" borderId="0"/>
    <xf numFmtId="0" fontId="14" fillId="0" borderId="0">
      <alignment horizontal="left" wrapText="1"/>
    </xf>
    <xf numFmtId="0" fontId="14" fillId="0" borderId="0"/>
    <xf numFmtId="0" fontId="14" fillId="0" borderId="0"/>
    <xf numFmtId="0" fontId="14" fillId="0" borderId="0"/>
    <xf numFmtId="0" fontId="16" fillId="0" borderId="0" applyNumberFormat="0" applyFill="0" applyBorder="0" applyAlignment="0" applyProtection="0"/>
    <xf numFmtId="0" fontId="14" fillId="0" borderId="0"/>
    <xf numFmtId="0" fontId="14" fillId="0" borderId="0"/>
    <xf numFmtId="168" fontId="14" fillId="0" borderId="0" applyFont="0" applyFill="0" applyBorder="0" applyAlignment="0" applyProtection="0"/>
    <xf numFmtId="0" fontId="36" fillId="6" borderId="0" applyNumberFormat="0" applyBorder="0" applyAlignment="0" applyProtection="0"/>
    <xf numFmtId="0" fontId="14" fillId="0" borderId="0" applyNumberFormat="0" applyFill="0" applyBorder="0" applyAlignment="0" applyProtection="0"/>
    <xf numFmtId="167" fontId="14" fillId="0" borderId="0" applyFont="0" applyFill="0" applyBorder="0" applyAlignment="0" applyProtection="0"/>
    <xf numFmtId="167" fontId="35" fillId="0" borderId="0" applyFont="0" applyFill="0" applyBorder="0" applyAlignment="0" applyProtection="0"/>
    <xf numFmtId="167" fontId="1" fillId="0" borderId="0" applyFont="0" applyFill="0" applyBorder="0" applyAlignment="0" applyProtection="0"/>
    <xf numFmtId="167" fontId="14" fillId="0" borderId="0" applyFont="0" applyFill="0" applyBorder="0" applyAlignment="0" applyProtection="0"/>
    <xf numFmtId="171" fontId="14" fillId="0" borderId="0" applyFont="0" applyFill="0" applyBorder="0" applyAlignment="0" applyProtection="0"/>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17" fillId="0" borderId="0" applyNumberFormat="0" applyFill="0" applyBorder="0" applyAlignment="0" applyProtection="0">
      <alignment vertical="top"/>
      <protection locked="0"/>
    </xf>
    <xf numFmtId="165" fontId="25" fillId="0" borderId="0" applyFont="0" applyFill="0" applyBorder="0" applyAlignment="0" applyProtection="0"/>
    <xf numFmtId="164" fontId="14" fillId="0" borderId="0" applyFont="0" applyFill="0" applyBorder="0" applyAlignment="0" applyProtection="0"/>
    <xf numFmtId="173" fontId="25" fillId="0" borderId="0" applyFont="0" applyFill="0" applyBorder="0" applyAlignment="0" applyProtection="0"/>
    <xf numFmtId="174" fontId="25" fillId="0" borderId="0" applyFont="0" applyFill="0" applyBorder="0" applyAlignment="0" applyProtection="0"/>
    <xf numFmtId="175" fontId="26" fillId="0" borderId="0" applyFill="0" applyBorder="0" applyProtection="0">
      <alignment horizontal="right" vertical="center"/>
    </xf>
    <xf numFmtId="176" fontId="26" fillId="0" borderId="0" applyFill="0" applyBorder="0" applyProtection="0">
      <alignment horizontal="right" vertical="center"/>
    </xf>
    <xf numFmtId="0" fontId="27" fillId="0" borderId="0"/>
    <xf numFmtId="0" fontId="14" fillId="0" borderId="0">
      <alignment horizontal="left" wrapText="1"/>
    </xf>
    <xf numFmtId="0" fontId="35" fillId="0" borderId="0"/>
    <xf numFmtId="0" fontId="35" fillId="0" borderId="0"/>
    <xf numFmtId="0" fontId="14" fillId="0" borderId="0"/>
    <xf numFmtId="0" fontId="14" fillId="0" borderId="0"/>
    <xf numFmtId="0" fontId="19" fillId="0" borderId="0"/>
    <xf numFmtId="0" fontId="14" fillId="0" borderId="0"/>
    <xf numFmtId="0" fontId="28" fillId="0" borderId="0"/>
    <xf numFmtId="0" fontId="1" fillId="7" borderId="6" applyNumberFormat="0" applyFont="0" applyAlignment="0" applyProtection="0"/>
    <xf numFmtId="177" fontId="25" fillId="2" borderId="0"/>
    <xf numFmtId="9" fontId="14" fillId="0" borderId="0" applyFont="0" applyFill="0" applyBorder="0" applyAlignment="0" applyProtection="0"/>
    <xf numFmtId="9" fontId="29" fillId="0" borderId="0" applyFont="0" applyFill="0" applyBorder="0" applyAlignment="0" applyProtection="0"/>
    <xf numFmtId="0" fontId="25" fillId="0" borderId="0" applyNumberFormat="0" applyFont="0" applyBorder="0" applyAlignment="0"/>
    <xf numFmtId="0" fontId="16" fillId="0" borderId="0" applyNumberFormat="0" applyFill="0" applyBorder="0" applyAlignment="0" applyProtection="0"/>
    <xf numFmtId="0" fontId="14" fillId="0" borderId="0"/>
    <xf numFmtId="0" fontId="30" fillId="0" borderId="0"/>
    <xf numFmtId="0" fontId="14" fillId="0" borderId="1"/>
    <xf numFmtId="0" fontId="39"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3" fillId="0" borderId="0"/>
    <xf numFmtId="167" fontId="35" fillId="0" borderId="0" applyFont="0" applyFill="0" applyBorder="0" applyAlignment="0" applyProtection="0"/>
    <xf numFmtId="166" fontId="35" fillId="0" borderId="0" applyFont="0" applyFill="0" applyBorder="0" applyAlignment="0" applyProtection="0"/>
    <xf numFmtId="178" fontId="44" fillId="0" borderId="0" applyNumberFormat="0">
      <alignment vertical="center"/>
    </xf>
    <xf numFmtId="0" fontId="45" fillId="0" borderId="0" applyNumberFormat="0">
      <alignment horizontal="left"/>
    </xf>
    <xf numFmtId="0" fontId="46" fillId="0" borderId="0"/>
    <xf numFmtId="0" fontId="14" fillId="0" borderId="0"/>
    <xf numFmtId="0" fontId="47" fillId="0" borderId="0"/>
    <xf numFmtId="0" fontId="41" fillId="0" borderId="0" applyNumberFormat="0" applyFill="0" applyBorder="0" applyAlignment="0" applyProtection="0"/>
    <xf numFmtId="165" fontId="48" fillId="0" borderId="0" applyFont="0" applyFill="0" applyBorder="0" applyAlignment="0" applyProtection="0"/>
    <xf numFmtId="179" fontId="49" fillId="0" borderId="0" applyFont="0" applyFill="0" applyBorder="0" applyAlignment="0" applyProtection="0"/>
    <xf numFmtId="0" fontId="50" fillId="0" borderId="0">
      <alignment vertical="center"/>
    </xf>
    <xf numFmtId="0" fontId="14" fillId="0" borderId="0">
      <alignment horizontal="left" wrapText="1"/>
    </xf>
    <xf numFmtId="0" fontId="14" fillId="0" borderId="0">
      <alignment horizontal="left" wrapText="1"/>
    </xf>
    <xf numFmtId="0" fontId="15" fillId="0" borderId="0">
      <protection locked="0"/>
    </xf>
    <xf numFmtId="0" fontId="14" fillId="0" borderId="0">
      <protection locked="0"/>
    </xf>
    <xf numFmtId="0" fontId="14" fillId="0" borderId="0">
      <alignment horizontal="left" wrapText="1"/>
    </xf>
    <xf numFmtId="0" fontId="14" fillId="0" borderId="0">
      <alignment horizontal="left" wrapText="1"/>
    </xf>
    <xf numFmtId="38" fontId="53" fillId="0" borderId="0" applyFon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5" fillId="0" borderId="0">
      <protection locked="0"/>
    </xf>
    <xf numFmtId="0" fontId="14" fillId="0" borderId="0">
      <protection locked="0"/>
    </xf>
    <xf numFmtId="0" fontId="14" fillId="0" borderId="0">
      <protection locked="0"/>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protection locked="0"/>
    </xf>
    <xf numFmtId="0" fontId="14" fillId="0" borderId="0">
      <protection locked="0"/>
    </xf>
    <xf numFmtId="0" fontId="14" fillId="0" borderId="0">
      <alignment horizontal="left" wrapText="1"/>
    </xf>
    <xf numFmtId="0" fontId="14" fillId="0" borderId="0">
      <alignment horizontal="left" wrapText="1"/>
    </xf>
    <xf numFmtId="0" fontId="15" fillId="0" borderId="0">
      <protection locked="0"/>
    </xf>
    <xf numFmtId="0" fontId="14" fillId="0" borderId="0"/>
    <xf numFmtId="0" fontId="14" fillId="0" borderId="0">
      <protection locked="0"/>
    </xf>
    <xf numFmtId="0" fontId="15" fillId="0" borderId="0"/>
    <xf numFmtId="0" fontId="54" fillId="0" borderId="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20" fillId="22"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5" fillId="13" borderId="0" applyNumberFormat="0" applyBorder="0" applyAlignment="0" applyProtection="0"/>
    <xf numFmtId="0" fontId="56" fillId="26" borderId="7" applyNumberFormat="0" applyAlignment="0" applyProtection="0"/>
    <xf numFmtId="0" fontId="57" fillId="27" borderId="8" applyNumberFormat="0" applyAlignment="0" applyProtection="0"/>
    <xf numFmtId="167" fontId="14" fillId="0" borderId="0" applyFont="0" applyFill="0" applyBorder="0" applyAlignment="0" applyProtection="0"/>
    <xf numFmtId="180" fontId="14" fillId="0" borderId="0" applyFont="0" applyFill="0" applyBorder="0" applyAlignment="0" applyProtection="0"/>
    <xf numFmtId="0" fontId="58" fillId="0" borderId="0" applyNumberFormat="0" applyFill="0" applyBorder="0" applyAlignment="0" applyProtection="0"/>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59" fillId="14" borderId="0" applyNumberFormat="0" applyBorder="0" applyAlignment="0" applyProtection="0"/>
    <xf numFmtId="0" fontId="60" fillId="0" borderId="9" applyNumberFormat="0" applyFill="0" applyAlignment="0" applyProtection="0"/>
    <xf numFmtId="0" fontId="61" fillId="0" borderId="10" applyNumberFormat="0" applyFill="0" applyAlignment="0" applyProtection="0"/>
    <xf numFmtId="0" fontId="62" fillId="0" borderId="11" applyNumberFormat="0" applyFill="0" applyAlignment="0" applyProtection="0"/>
    <xf numFmtId="0" fontId="62" fillId="0" borderId="0" applyNumberFormat="0" applyFill="0" applyBorder="0" applyAlignment="0" applyProtection="0"/>
    <xf numFmtId="0" fontId="63" fillId="17" borderId="7" applyNumberFormat="0" applyAlignment="0" applyProtection="0"/>
    <xf numFmtId="0" fontId="64" fillId="0" borderId="12" applyNumberFormat="0" applyFill="0" applyAlignment="0" applyProtection="0"/>
    <xf numFmtId="0" fontId="65" fillId="28" borderId="0" applyNumberFormat="0" applyBorder="0" applyAlignment="0" applyProtection="0"/>
    <xf numFmtId="0" fontId="35" fillId="0" borderId="0"/>
    <xf numFmtId="0" fontId="35" fillId="0" borderId="0"/>
    <xf numFmtId="0" fontId="35" fillId="0" borderId="0"/>
    <xf numFmtId="0" fontId="35" fillId="0" borderId="0"/>
    <xf numFmtId="0" fontId="66" fillId="0" borderId="0"/>
    <xf numFmtId="0" fontId="35" fillId="0" borderId="0"/>
    <xf numFmtId="0" fontId="14" fillId="0" borderId="0"/>
    <xf numFmtId="0" fontId="35" fillId="0" borderId="0"/>
    <xf numFmtId="0" fontId="67" fillId="26" borderId="13" applyNumberFormat="0" applyAlignment="0" applyProtection="0"/>
    <xf numFmtId="0" fontId="14" fillId="0" borderId="0"/>
    <xf numFmtId="0" fontId="15" fillId="0" borderId="0">
      <protection locked="0"/>
    </xf>
    <xf numFmtId="0" fontId="68" fillId="0" borderId="0" applyFill="0" applyAlignment="0">
      <alignment horizontal="left"/>
      <protection locked="0"/>
    </xf>
    <xf numFmtId="181" fontId="69" fillId="29" borderId="0" applyNumberFormat="0" applyBorder="0">
      <protection locked="0"/>
    </xf>
    <xf numFmtId="0" fontId="34" fillId="0" borderId="0" applyNumberFormat="0" applyFill="0" applyBorder="0" applyAlignment="0" applyProtection="0"/>
    <xf numFmtId="0" fontId="70" fillId="0" borderId="0"/>
    <xf numFmtId="0" fontId="23" fillId="30" borderId="14" applyNumberFormat="0" applyFont="0" applyAlignment="0">
      <alignment horizontal="left"/>
      <protection locked="0"/>
    </xf>
    <xf numFmtId="0" fontId="21" fillId="3" borderId="14">
      <alignment horizontal="left"/>
      <protection locked="0"/>
    </xf>
    <xf numFmtId="0" fontId="71" fillId="31" borderId="0" applyFont="0" applyAlignment="0">
      <alignment horizontal="left"/>
      <protection locked="0"/>
    </xf>
    <xf numFmtId="0" fontId="76" fillId="0" borderId="0"/>
    <xf numFmtId="0" fontId="77" fillId="0" borderId="0" applyNumberFormat="0" applyFill="0" applyBorder="0" applyAlignment="0" applyProtection="0">
      <alignment vertical="top"/>
      <protection locked="0"/>
    </xf>
    <xf numFmtId="167" fontId="14" fillId="0" borderId="0" applyFont="0" applyFill="0" applyBorder="0" applyAlignment="0" applyProtection="0"/>
    <xf numFmtId="0" fontId="14" fillId="0" borderId="0"/>
    <xf numFmtId="0" fontId="35" fillId="0" borderId="0"/>
    <xf numFmtId="182" fontId="35" fillId="0" borderId="0" applyFont="0" applyFill="0" applyBorder="0" applyAlignment="0" applyProtection="0"/>
    <xf numFmtId="0" fontId="79" fillId="0" borderId="0"/>
    <xf numFmtId="0" fontId="29" fillId="0" borderId="0"/>
    <xf numFmtId="0" fontId="29" fillId="0" borderId="0"/>
    <xf numFmtId="0" fontId="76" fillId="0" borderId="0"/>
    <xf numFmtId="0" fontId="14" fillId="0" borderId="0"/>
    <xf numFmtId="0" fontId="14" fillId="0" borderId="0"/>
    <xf numFmtId="0" fontId="14" fillId="0" borderId="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9" fontId="35" fillId="0" borderId="0" applyFont="0" applyFill="0" applyBorder="0" applyAlignment="0" applyProtection="0"/>
    <xf numFmtId="0" fontId="79" fillId="0" borderId="0"/>
    <xf numFmtId="0" fontId="77" fillId="0" borderId="0" applyNumberFormat="0" applyFill="0" applyBorder="0" applyAlignment="0" applyProtection="0">
      <alignment vertical="top"/>
      <protection locked="0"/>
    </xf>
    <xf numFmtId="0" fontId="14" fillId="0" borderId="0"/>
    <xf numFmtId="0" fontId="14" fillId="0" borderId="0"/>
    <xf numFmtId="0" fontId="79" fillId="0" borderId="0"/>
    <xf numFmtId="0" fontId="159" fillId="0" borderId="0" applyNumberFormat="0" applyFill="0" applyBorder="0" applyAlignment="0" applyProtection="0"/>
  </cellStyleXfs>
  <cellXfs count="1187">
    <xf numFmtId="0" fontId="0" fillId="0" borderId="0" xfId="0"/>
    <xf numFmtId="0" fontId="3" fillId="0" borderId="0" xfId="0" applyFont="1"/>
    <xf numFmtId="0" fontId="3" fillId="0" borderId="0" xfId="0" applyFont="1" applyAlignment="1">
      <alignment horizontal="right"/>
    </xf>
    <xf numFmtId="0" fontId="2" fillId="0" borderId="0" xfId="0" applyFont="1"/>
    <xf numFmtId="0" fontId="4" fillId="0" borderId="0" xfId="0" applyFont="1"/>
    <xf numFmtId="0" fontId="5" fillId="0" borderId="0" xfId="0" applyFont="1"/>
    <xf numFmtId="0" fontId="2" fillId="0" borderId="0" xfId="0" applyFont="1" applyAlignment="1">
      <alignment horizontal="left"/>
    </xf>
    <xf numFmtId="0" fontId="3" fillId="0" borderId="3" xfId="0" applyFont="1" applyBorder="1"/>
    <xf numFmtId="0" fontId="4" fillId="0" borderId="4" xfId="0" applyFont="1" applyBorder="1" applyAlignment="1">
      <alignment horizontal="left"/>
    </xf>
    <xf numFmtId="0" fontId="2" fillId="0" borderId="4" xfId="0" applyFont="1" applyBorder="1" applyAlignment="1">
      <alignment horizontal="left"/>
    </xf>
    <xf numFmtId="0" fontId="2" fillId="0" borderId="4" xfId="0" applyFont="1" applyBorder="1"/>
    <xf numFmtId="0" fontId="34" fillId="0" borderId="0" xfId="0" applyFont="1"/>
    <xf numFmtId="0" fontId="20" fillId="5" borderId="0" xfId="0" applyFont="1" applyFill="1"/>
    <xf numFmtId="0" fontId="0" fillId="0" borderId="0" xfId="0" applyAlignment="1">
      <alignment horizontal="right"/>
    </xf>
    <xf numFmtId="169" fontId="0" fillId="0" borderId="0" xfId="0" applyNumberFormat="1"/>
    <xf numFmtId="0" fontId="31" fillId="0" borderId="0" xfId="0" applyFont="1"/>
    <xf numFmtId="0" fontId="11" fillId="0" borderId="0" xfId="0" applyFont="1" applyAlignment="1">
      <alignment horizontal="left"/>
    </xf>
    <xf numFmtId="0" fontId="0" fillId="0" borderId="0" xfId="0" applyAlignment="1">
      <alignment horizontal="left"/>
    </xf>
    <xf numFmtId="0" fontId="2" fillId="0" borderId="0" xfId="0" applyFont="1" applyAlignment="1">
      <alignment horizontal="right"/>
    </xf>
    <xf numFmtId="1" fontId="2" fillId="0" borderId="0" xfId="0" applyNumberFormat="1" applyFont="1"/>
    <xf numFmtId="169" fontId="2" fillId="0" borderId="0" xfId="0" applyNumberFormat="1" applyFont="1"/>
    <xf numFmtId="0" fontId="38" fillId="0" borderId="0" xfId="0" applyFont="1"/>
    <xf numFmtId="0" fontId="52" fillId="0" borderId="0" xfId="0" applyFont="1"/>
    <xf numFmtId="0" fontId="2" fillId="10" borderId="0" xfId="0" applyFont="1" applyFill="1"/>
    <xf numFmtId="0" fontId="6" fillId="0" borderId="0" xfId="0" applyFont="1" applyProtection="1">
      <protection locked="0"/>
    </xf>
    <xf numFmtId="0" fontId="6" fillId="3" borderId="0" xfId="0" applyFont="1" applyFill="1" applyProtection="1">
      <protection locked="0"/>
    </xf>
    <xf numFmtId="0" fontId="2" fillId="0" borderId="0" xfId="0" applyFont="1" applyProtection="1">
      <protection locked="0"/>
    </xf>
    <xf numFmtId="0" fontId="2" fillId="0" borderId="0" xfId="44" applyFont="1" applyProtection="1">
      <protection locked="0"/>
    </xf>
    <xf numFmtId="0" fontId="12" fillId="0" borderId="0" xfId="0" applyFont="1" applyProtection="1">
      <protection locked="0"/>
    </xf>
    <xf numFmtId="0" fontId="8" fillId="0" borderId="0" xfId="0" applyFont="1" applyAlignment="1" applyProtection="1">
      <alignment horizontal="right"/>
      <protection locked="0"/>
    </xf>
    <xf numFmtId="0" fontId="33" fillId="0" borderId="0" xfId="0" applyFont="1" applyProtection="1">
      <protection locked="0"/>
    </xf>
    <xf numFmtId="0" fontId="0" fillId="0" borderId="0" xfId="0" applyProtection="1">
      <protection locked="0"/>
    </xf>
    <xf numFmtId="0" fontId="52" fillId="0" borderId="0" xfId="0" applyFont="1" applyProtection="1">
      <protection locked="0"/>
    </xf>
    <xf numFmtId="9" fontId="52" fillId="0" borderId="0" xfId="0" applyNumberFormat="1" applyFont="1" applyProtection="1">
      <protection locked="0"/>
    </xf>
    <xf numFmtId="0" fontId="40" fillId="0" borderId="0" xfId="0" applyFont="1" applyProtection="1">
      <protection locked="0"/>
    </xf>
    <xf numFmtId="0" fontId="73" fillId="33" borderId="0" xfId="0" applyFont="1" applyFill="1" applyAlignment="1">
      <alignment vertical="center" wrapText="1"/>
    </xf>
    <xf numFmtId="0" fontId="0" fillId="8" borderId="0" xfId="0" applyFill="1"/>
    <xf numFmtId="0" fontId="2" fillId="8" borderId="0" xfId="0" applyFont="1" applyFill="1"/>
    <xf numFmtId="0" fontId="37" fillId="0" borderId="0" xfId="0" applyFont="1" applyProtection="1">
      <protection locked="0"/>
    </xf>
    <xf numFmtId="0" fontId="7" fillId="0" borderId="0" xfId="0" applyFont="1" applyProtection="1">
      <protection locked="0"/>
    </xf>
    <xf numFmtId="0" fontId="8" fillId="0" borderId="0" xfId="0" applyFont="1" applyProtection="1">
      <protection locked="0"/>
    </xf>
    <xf numFmtId="0" fontId="3" fillId="0" borderId="0" xfId="0" applyFont="1" applyProtection="1">
      <protection locked="0"/>
    </xf>
    <xf numFmtId="0" fontId="14" fillId="0" borderId="0" xfId="0" applyFont="1" applyProtection="1">
      <protection locked="0"/>
    </xf>
    <xf numFmtId="0" fontId="81" fillId="0" borderId="0" xfId="0" applyFont="1"/>
    <xf numFmtId="0" fontId="82" fillId="0" borderId="0" xfId="0" applyFont="1"/>
    <xf numFmtId="0" fontId="74" fillId="0" borderId="0" xfId="0" applyFont="1"/>
    <xf numFmtId="0" fontId="80" fillId="0" borderId="0" xfId="0" applyFont="1"/>
    <xf numFmtId="0" fontId="88" fillId="0" borderId="0" xfId="0" applyFont="1"/>
    <xf numFmtId="0" fontId="0" fillId="0" borderId="0" xfId="0" applyAlignment="1">
      <alignment vertical="center"/>
    </xf>
    <xf numFmtId="0" fontId="0" fillId="0" borderId="0" xfId="0" applyAlignment="1">
      <alignment vertical="top"/>
    </xf>
    <xf numFmtId="0" fontId="88" fillId="0" borderId="0" xfId="0" applyFont="1" applyAlignment="1">
      <alignment horizontal="left" vertical="top"/>
    </xf>
    <xf numFmtId="0" fontId="0" fillId="0" borderId="23" xfId="0" applyBorder="1" applyAlignment="1">
      <alignment vertical="center"/>
    </xf>
    <xf numFmtId="0" fontId="91" fillId="0" borderId="0" xfId="0" applyFont="1" applyAlignment="1">
      <alignment horizontal="center" vertical="center" wrapText="1"/>
    </xf>
    <xf numFmtId="1" fontId="90" fillId="36" borderId="0" xfId="0" applyNumberFormat="1" applyFont="1" applyFill="1" applyAlignment="1">
      <alignment horizontal="center" vertical="center"/>
    </xf>
    <xf numFmtId="0" fontId="2" fillId="0" borderId="22" xfId="0" applyFont="1" applyBorder="1"/>
    <xf numFmtId="0" fontId="78" fillId="38" borderId="0" xfId="0" applyFont="1" applyFill="1" applyAlignment="1">
      <alignment horizontal="center" vertical="center" wrapText="1"/>
    </xf>
    <xf numFmtId="0" fontId="90" fillId="38" borderId="0" xfId="0" applyFont="1" applyFill="1" applyAlignment="1">
      <alignment horizontal="center" vertical="center"/>
    </xf>
    <xf numFmtId="1" fontId="78" fillId="38" borderId="0" xfId="0" applyNumberFormat="1" applyFont="1" applyFill="1" applyAlignment="1">
      <alignment horizontal="center" vertical="center" wrapText="1"/>
    </xf>
    <xf numFmtId="0" fontId="97" fillId="0" borderId="0" xfId="0" applyFont="1" applyProtection="1">
      <protection locked="0"/>
    </xf>
    <xf numFmtId="0" fontId="98" fillId="0" borderId="0" xfId="0" applyFont="1" applyProtection="1">
      <protection locked="0"/>
    </xf>
    <xf numFmtId="0" fontId="87" fillId="32" borderId="0" xfId="0" applyFont="1" applyFill="1" applyAlignment="1">
      <alignment horizontal="right" vertical="center" wrapText="1"/>
    </xf>
    <xf numFmtId="0" fontId="73" fillId="32" borderId="0" xfId="0" applyFont="1" applyFill="1" applyAlignment="1">
      <alignment horizontal="right" vertical="center" wrapText="1"/>
    </xf>
    <xf numFmtId="0" fontId="0" fillId="0" borderId="0" xfId="0" quotePrefix="1" applyProtection="1">
      <protection locked="0"/>
    </xf>
    <xf numFmtId="0" fontId="0" fillId="0" borderId="0" xfId="0" applyAlignment="1">
      <alignment horizontal="left" vertical="center"/>
    </xf>
    <xf numFmtId="0" fontId="0" fillId="0" borderId="0" xfId="0" applyAlignment="1">
      <alignment horizontal="left" vertical="top"/>
    </xf>
    <xf numFmtId="0" fontId="105" fillId="0" borderId="0" xfId="0" applyFont="1"/>
    <xf numFmtId="0" fontId="2" fillId="3" borderId="0" xfId="0" applyFont="1" applyFill="1" applyProtection="1">
      <protection locked="0"/>
    </xf>
    <xf numFmtId="0" fontId="106" fillId="0" borderId="0" xfId="0" applyFont="1" applyAlignment="1">
      <alignment vertical="center"/>
    </xf>
    <xf numFmtId="0" fontId="83" fillId="9" borderId="0" xfId="0" applyFont="1" applyFill="1"/>
    <xf numFmtId="0" fontId="36" fillId="0" borderId="0" xfId="0" applyFont="1"/>
    <xf numFmtId="170" fontId="78" fillId="39" borderId="30" xfId="0" applyNumberFormat="1" applyFont="1" applyFill="1" applyBorder="1" applyAlignment="1">
      <alignment horizontal="center" vertical="center" wrapText="1"/>
    </xf>
    <xf numFmtId="0" fontId="78" fillId="39" borderId="31" xfId="0" applyFont="1" applyFill="1" applyBorder="1" applyAlignment="1">
      <alignment horizontal="center" vertical="center" wrapText="1"/>
    </xf>
    <xf numFmtId="0" fontId="106" fillId="0" borderId="0" xfId="0" applyFont="1" applyAlignment="1">
      <alignment horizontal="left" vertical="center" indent="1"/>
    </xf>
    <xf numFmtId="0" fontId="105" fillId="0" borderId="0" xfId="0" applyFont="1" applyAlignment="1">
      <alignment horizontal="left" indent="1"/>
    </xf>
    <xf numFmtId="170" fontId="96" fillId="39" borderId="30" xfId="0" applyNumberFormat="1" applyFont="1" applyFill="1" applyBorder="1" applyAlignment="1">
      <alignment horizontal="left" vertical="center" wrapText="1" indent="1"/>
    </xf>
    <xf numFmtId="0" fontId="36" fillId="0" borderId="0" xfId="0" applyFont="1" applyAlignment="1">
      <alignment horizontal="left" indent="1"/>
    </xf>
    <xf numFmtId="0" fontId="0" fillId="0" borderId="0" xfId="0" applyAlignment="1">
      <alignment horizontal="left" vertical="center" indent="1"/>
    </xf>
    <xf numFmtId="0" fontId="0" fillId="0" borderId="0" xfId="0" applyAlignment="1">
      <alignment horizontal="left" vertical="top" indent="1"/>
    </xf>
    <xf numFmtId="0" fontId="0" fillId="0" borderId="0" xfId="0" applyAlignment="1">
      <alignment horizontal="left" indent="1"/>
    </xf>
    <xf numFmtId="0" fontId="88" fillId="0" borderId="0" xfId="0" applyFont="1" applyAlignment="1">
      <alignment horizontal="left" vertical="top" indent="1"/>
    </xf>
    <xf numFmtId="0" fontId="90" fillId="36" borderId="0" xfId="0" applyFont="1" applyFill="1" applyAlignment="1">
      <alignment horizontal="right" vertical="center"/>
    </xf>
    <xf numFmtId="0" fontId="94" fillId="11" borderId="0" xfId="0" applyFont="1" applyFill="1"/>
    <xf numFmtId="0" fontId="123" fillId="11" borderId="0" xfId="0" applyFont="1" applyFill="1" applyAlignment="1">
      <alignment horizontal="left" vertical="top" wrapText="1" indent="1"/>
    </xf>
    <xf numFmtId="0" fontId="123" fillId="11" borderId="0" xfId="0" applyFont="1" applyFill="1" applyAlignment="1">
      <alignment horizontal="left" vertical="top" wrapText="1"/>
    </xf>
    <xf numFmtId="0" fontId="123" fillId="11" borderId="0" xfId="0" applyFont="1" applyFill="1" applyAlignment="1">
      <alignment horizontal="center" vertical="center" wrapText="1"/>
    </xf>
    <xf numFmtId="0" fontId="0" fillId="8" borderId="0" xfId="0" applyFill="1" applyProtection="1">
      <protection locked="0"/>
    </xf>
    <xf numFmtId="0" fontId="122" fillId="11" borderId="0" xfId="0" applyFont="1" applyFill="1" applyAlignment="1">
      <alignment vertical="top"/>
    </xf>
    <xf numFmtId="0" fontId="0" fillId="9" borderId="0" xfId="0" applyFill="1" applyAlignment="1">
      <alignment vertical="top"/>
    </xf>
    <xf numFmtId="0" fontId="51" fillId="11" borderId="0" xfId="0" applyFont="1" applyFill="1" applyAlignment="1">
      <alignment vertical="top"/>
    </xf>
    <xf numFmtId="0" fontId="2" fillId="43" borderId="0" xfId="0" applyFont="1" applyFill="1"/>
    <xf numFmtId="0" fontId="129" fillId="0" borderId="0" xfId="0" applyFont="1"/>
    <xf numFmtId="0" fontId="3" fillId="0" borderId="0" xfId="0" applyFont="1" applyAlignment="1">
      <alignment horizontal="left"/>
    </xf>
    <xf numFmtId="169" fontId="2" fillId="0" borderId="0" xfId="0" applyNumberFormat="1" applyFont="1" applyAlignment="1">
      <alignment horizontal="right"/>
    </xf>
    <xf numFmtId="9" fontId="2" fillId="0" borderId="0" xfId="0" applyNumberFormat="1" applyFont="1"/>
    <xf numFmtId="0" fontId="20" fillId="0" borderId="0" xfId="0" applyFont="1"/>
    <xf numFmtId="170" fontId="131" fillId="45" borderId="35" xfId="0" applyNumberFormat="1" applyFont="1" applyFill="1" applyBorder="1" applyAlignment="1">
      <alignment horizontal="left" vertical="center" wrapText="1" indent="1"/>
    </xf>
    <xf numFmtId="170" fontId="132" fillId="45" borderId="35" xfId="0" applyNumberFormat="1" applyFont="1" applyFill="1" applyBorder="1" applyAlignment="1">
      <alignment horizontal="center" vertical="center" wrapText="1"/>
    </xf>
    <xf numFmtId="0" fontId="132" fillId="45" borderId="31" xfId="0" applyFont="1" applyFill="1" applyBorder="1" applyAlignment="1">
      <alignment horizontal="center" vertical="center" wrapText="1"/>
    </xf>
    <xf numFmtId="0" fontId="78" fillId="38" borderId="0" xfId="0" applyFont="1" applyFill="1" applyAlignment="1">
      <alignment horizontal="center" vertical="center"/>
    </xf>
    <xf numFmtId="0" fontId="138" fillId="0" borderId="0" xfId="0" applyFont="1" applyAlignment="1">
      <alignment vertical="top"/>
    </xf>
    <xf numFmtId="0" fontId="122" fillId="0" borderId="25" xfId="0" applyFont="1" applyBorder="1" applyAlignment="1">
      <alignment horizontal="left" vertical="center" indent="1"/>
    </xf>
    <xf numFmtId="170" fontId="124" fillId="0" borderId="27" xfId="179" applyNumberFormat="1" applyFont="1" applyBorder="1" applyAlignment="1">
      <alignment horizontal="right" vertical="center" indent="1"/>
    </xf>
    <xf numFmtId="0" fontId="122" fillId="0" borderId="0" xfId="0" applyFont="1" applyAlignment="1">
      <alignment vertical="top"/>
    </xf>
    <xf numFmtId="0" fontId="122" fillId="0" borderId="18" xfId="0" applyFont="1" applyBorder="1" applyAlignment="1">
      <alignment horizontal="right" vertical="center"/>
    </xf>
    <xf numFmtId="0" fontId="2" fillId="0" borderId="0" xfId="0" applyFont="1" applyAlignment="1" applyProtection="1">
      <alignment horizontal="right"/>
      <protection locked="0"/>
    </xf>
    <xf numFmtId="0" fontId="3" fillId="38" borderId="35" xfId="0" applyFont="1" applyFill="1" applyBorder="1"/>
    <xf numFmtId="0" fontId="2" fillId="38" borderId="35" xfId="0" applyFont="1" applyFill="1" applyBorder="1"/>
    <xf numFmtId="0" fontId="19" fillId="0" borderId="3" xfId="0" applyFont="1" applyBorder="1" applyAlignment="1">
      <alignment horizontal="left"/>
    </xf>
    <xf numFmtId="0" fontId="0" fillId="0" borderId="44" xfId="0" applyBorder="1"/>
    <xf numFmtId="0" fontId="0" fillId="0" borderId="45" xfId="0" applyBorder="1"/>
    <xf numFmtId="0" fontId="19" fillId="0" borderId="4" xfId="0" applyFont="1" applyBorder="1" applyAlignment="1">
      <alignment horizontal="left"/>
    </xf>
    <xf numFmtId="0" fontId="2" fillId="0" borderId="44" xfId="0" applyFont="1" applyBorder="1"/>
    <xf numFmtId="0" fontId="2" fillId="0" borderId="47" xfId="0" applyFont="1" applyBorder="1"/>
    <xf numFmtId="1" fontId="6" fillId="0" borderId="0" xfId="0" applyNumberFormat="1" applyFont="1" applyProtection="1">
      <protection locked="0"/>
    </xf>
    <xf numFmtId="0" fontId="2" fillId="0" borderId="0" xfId="0" applyFont="1" applyAlignment="1">
      <alignment horizontal="left" vertical="top"/>
    </xf>
    <xf numFmtId="0" fontId="0" fillId="0" borderId="0" xfId="0" applyAlignment="1">
      <alignment horizontal="center"/>
    </xf>
    <xf numFmtId="0" fontId="2" fillId="0" borderId="49" xfId="0" applyFont="1" applyBorder="1"/>
    <xf numFmtId="170" fontId="0" fillId="0" borderId="0" xfId="179" applyNumberFormat="1" applyFont="1"/>
    <xf numFmtId="169" fontId="108" fillId="9" borderId="0" xfId="0" applyNumberFormat="1" applyFont="1" applyFill="1"/>
    <xf numFmtId="169" fontId="108" fillId="0" borderId="19" xfId="0" applyNumberFormat="1" applyFont="1" applyBorder="1" applyAlignment="1">
      <alignment vertical="center"/>
    </xf>
    <xf numFmtId="169" fontId="108" fillId="0" borderId="20" xfId="0" applyNumberFormat="1" applyFont="1" applyBorder="1" applyAlignment="1">
      <alignment vertical="center"/>
    </xf>
    <xf numFmtId="169" fontId="108" fillId="34" borderId="21" xfId="0" applyNumberFormat="1" applyFont="1" applyFill="1" applyBorder="1" applyAlignment="1">
      <alignment vertical="center"/>
    </xf>
    <xf numFmtId="169" fontId="108" fillId="0" borderId="26" xfId="0" applyNumberFormat="1" applyFont="1" applyBorder="1" applyAlignment="1">
      <alignment horizontal="left" vertical="center" indent="1"/>
    </xf>
    <xf numFmtId="169" fontId="108" fillId="0" borderId="28" xfId="0" applyNumberFormat="1" applyFont="1" applyBorder="1" applyAlignment="1">
      <alignment horizontal="right" vertical="center" indent="1"/>
    </xf>
    <xf numFmtId="169" fontId="108" fillId="0" borderId="0" xfId="0" applyNumberFormat="1" applyFont="1"/>
    <xf numFmtId="0" fontId="143" fillId="0" borderId="0" xfId="0" applyFont="1" applyProtection="1">
      <protection locked="0"/>
    </xf>
    <xf numFmtId="0" fontId="38" fillId="0" borderId="0" xfId="0" applyFont="1" applyAlignment="1">
      <alignment horizontal="center" vertical="center"/>
    </xf>
    <xf numFmtId="2" fontId="0" fillId="0" borderId="0" xfId="0" applyNumberFormat="1"/>
    <xf numFmtId="2" fontId="20" fillId="5" borderId="0" xfId="0" applyNumberFormat="1" applyFont="1" applyFill="1"/>
    <xf numFmtId="0" fontId="0" fillId="49" borderId="0" xfId="0" applyFill="1"/>
    <xf numFmtId="0" fontId="3" fillId="0" borderId="0" xfId="0" applyFont="1" applyAlignment="1">
      <alignment horizontal="center"/>
    </xf>
    <xf numFmtId="0" fontId="2" fillId="0" borderId="0" xfId="0" applyFont="1" applyAlignment="1">
      <alignment horizontal="center"/>
    </xf>
    <xf numFmtId="0" fontId="106" fillId="0" borderId="0" xfId="0" applyFont="1" applyAlignment="1" applyProtection="1">
      <alignment vertical="center"/>
      <protection hidden="1"/>
    </xf>
    <xf numFmtId="0" fontId="109" fillId="0" borderId="0" xfId="0" applyFont="1" applyAlignment="1" applyProtection="1">
      <alignment vertical="center"/>
      <protection hidden="1"/>
    </xf>
    <xf numFmtId="0" fontId="104" fillId="0" borderId="0" xfId="0" applyFont="1" applyProtection="1">
      <protection hidden="1"/>
    </xf>
    <xf numFmtId="0" fontId="105" fillId="0" borderId="0" xfId="0" applyFont="1" applyProtection="1">
      <protection hidden="1"/>
    </xf>
    <xf numFmtId="0" fontId="105" fillId="0" borderId="0" xfId="0" applyFont="1" applyAlignment="1" applyProtection="1">
      <alignment wrapText="1"/>
      <protection hidden="1"/>
    </xf>
    <xf numFmtId="0" fontId="110" fillId="0" borderId="0" xfId="47" applyFont="1" applyProtection="1">
      <protection hidden="1"/>
    </xf>
    <xf numFmtId="17" fontId="111" fillId="0" borderId="0" xfId="47" quotePrefix="1" applyNumberFormat="1" applyFont="1" applyAlignment="1" applyProtection="1">
      <alignment horizontal="left"/>
      <protection hidden="1"/>
    </xf>
    <xf numFmtId="0" fontId="112" fillId="0" borderId="0" xfId="47" applyFont="1" applyAlignment="1" applyProtection="1">
      <alignment horizontal="left"/>
      <protection hidden="1"/>
    </xf>
    <xf numFmtId="0" fontId="113" fillId="0" borderId="0" xfId="47" applyFont="1" applyAlignment="1" applyProtection="1">
      <alignment horizontal="left"/>
      <protection hidden="1"/>
    </xf>
    <xf numFmtId="0" fontId="114" fillId="0" borderId="0" xfId="35" applyFont="1" applyAlignment="1" applyProtection="1">
      <alignment horizontal="left"/>
      <protection hidden="1"/>
    </xf>
    <xf numFmtId="0" fontId="111" fillId="0" borderId="0" xfId="47" applyFont="1" applyAlignment="1" applyProtection="1">
      <alignment horizontal="right"/>
      <protection hidden="1"/>
    </xf>
    <xf numFmtId="17" fontId="111" fillId="0" borderId="0" xfId="47" quotePrefix="1" applyNumberFormat="1" applyFont="1" applyAlignment="1" applyProtection="1">
      <alignment horizontal="right"/>
      <protection hidden="1"/>
    </xf>
    <xf numFmtId="0" fontId="115" fillId="0" borderId="0" xfId="0" applyFont="1" applyProtection="1">
      <protection hidden="1"/>
    </xf>
    <xf numFmtId="0" fontId="84" fillId="0" borderId="0" xfId="47" applyFont="1" applyProtection="1">
      <protection hidden="1"/>
    </xf>
    <xf numFmtId="0" fontId="116" fillId="0" borderId="0" xfId="0" applyFont="1" applyProtection="1">
      <protection hidden="1"/>
    </xf>
    <xf numFmtId="0" fontId="117" fillId="0" borderId="0" xfId="47" applyFont="1" applyAlignment="1" applyProtection="1">
      <alignment horizontal="center" vertical="center"/>
      <protection hidden="1"/>
    </xf>
    <xf numFmtId="0" fontId="116" fillId="0" borderId="0" xfId="0" applyFont="1" applyAlignment="1" applyProtection="1">
      <alignment horizontal="left"/>
      <protection hidden="1"/>
    </xf>
    <xf numFmtId="0" fontId="115" fillId="0" borderId="0" xfId="0" applyFont="1" applyAlignment="1" applyProtection="1">
      <alignment vertical="top"/>
      <protection hidden="1"/>
    </xf>
    <xf numFmtId="0" fontId="115" fillId="0" borderId="0" xfId="0" applyFont="1" applyAlignment="1" applyProtection="1">
      <alignment horizontal="left"/>
      <protection hidden="1"/>
    </xf>
    <xf numFmtId="0" fontId="110" fillId="0" borderId="0" xfId="47" applyFont="1" applyAlignment="1" applyProtection="1">
      <alignment vertical="top"/>
      <protection hidden="1"/>
    </xf>
    <xf numFmtId="0" fontId="0" fillId="0" borderId="0" xfId="0" applyAlignment="1" applyProtection="1">
      <alignment vertical="top"/>
      <protection hidden="1"/>
    </xf>
    <xf numFmtId="0" fontId="118" fillId="0" borderId="0" xfId="47" applyFont="1" applyAlignment="1" applyProtection="1">
      <alignment vertical="top"/>
      <protection hidden="1"/>
    </xf>
    <xf numFmtId="0" fontId="120" fillId="0" borderId="0" xfId="0" applyFont="1" applyProtection="1">
      <protection hidden="1"/>
    </xf>
    <xf numFmtId="0" fontId="36" fillId="0" borderId="0" xfId="0" applyFont="1" applyProtection="1">
      <protection hidden="1"/>
    </xf>
    <xf numFmtId="0" fontId="35" fillId="0" borderId="0" xfId="0" applyFont="1" applyProtection="1">
      <protection hidden="1"/>
    </xf>
    <xf numFmtId="0" fontId="0" fillId="0" borderId="0" xfId="0" applyProtection="1">
      <protection hidden="1"/>
    </xf>
    <xf numFmtId="0" fontId="130" fillId="44" borderId="0" xfId="0" applyFont="1" applyFill="1" applyAlignment="1" applyProtection="1">
      <alignment vertical="center"/>
      <protection hidden="1"/>
    </xf>
    <xf numFmtId="0" fontId="35" fillId="11" borderId="0" xfId="0" applyFont="1" applyFill="1" applyProtection="1">
      <protection hidden="1"/>
    </xf>
    <xf numFmtId="0" fontId="36" fillId="11" borderId="0" xfId="0" applyFont="1" applyFill="1" applyProtection="1">
      <protection hidden="1"/>
    </xf>
    <xf numFmtId="0" fontId="38" fillId="0" borderId="0" xfId="0" applyFont="1" applyAlignment="1" applyProtection="1">
      <alignment horizontal="left" vertical="top" wrapText="1"/>
      <protection hidden="1"/>
    </xf>
    <xf numFmtId="0" fontId="35" fillId="0" borderId="0" xfId="0" applyFont="1" applyAlignment="1" applyProtection="1">
      <alignment wrapText="1"/>
      <protection hidden="1"/>
    </xf>
    <xf numFmtId="0" fontId="35" fillId="0" borderId="0" xfId="0" applyFont="1" applyAlignment="1" applyProtection="1">
      <alignment vertical="top" wrapText="1"/>
      <protection hidden="1"/>
    </xf>
    <xf numFmtId="0" fontId="52" fillId="0" borderId="0" xfId="0" applyFont="1" applyProtection="1">
      <protection hidden="1"/>
    </xf>
    <xf numFmtId="0" fontId="103" fillId="0" borderId="0" xfId="0" applyFont="1" applyProtection="1">
      <protection hidden="1"/>
    </xf>
    <xf numFmtId="0" fontId="38" fillId="0" borderId="0" xfId="0" applyFont="1" applyProtection="1">
      <protection hidden="1"/>
    </xf>
    <xf numFmtId="0" fontId="36" fillId="0" borderId="0" xfId="0" applyFont="1" applyAlignment="1" applyProtection="1">
      <alignment horizontal="center"/>
      <protection hidden="1"/>
    </xf>
    <xf numFmtId="0" fontId="36" fillId="0" borderId="0" xfId="0" applyFont="1" applyAlignment="1" applyProtection="1">
      <alignment horizontal="center" vertical="top" wrapText="1"/>
      <protection hidden="1"/>
    </xf>
    <xf numFmtId="0" fontId="51" fillId="0" borderId="0" xfId="0" applyFont="1" applyAlignment="1" applyProtection="1">
      <alignment horizontal="center" vertical="top" wrapText="1"/>
      <protection hidden="1"/>
    </xf>
    <xf numFmtId="0" fontId="136" fillId="0" borderId="0" xfId="0" applyFont="1" applyAlignment="1" applyProtection="1">
      <alignment vertical="center"/>
      <protection hidden="1"/>
    </xf>
    <xf numFmtId="0" fontId="130" fillId="37" borderId="0" xfId="0" applyFont="1" applyFill="1" applyAlignment="1" applyProtection="1">
      <alignment vertical="center"/>
      <protection hidden="1"/>
    </xf>
    <xf numFmtId="0" fontId="130" fillId="37" borderId="0" xfId="0" applyFont="1" applyFill="1" applyAlignment="1" applyProtection="1">
      <alignment horizontal="center" vertical="center"/>
      <protection hidden="1"/>
    </xf>
    <xf numFmtId="0" fontId="100" fillId="0" borderId="0" xfId="0" applyFont="1" applyProtection="1">
      <protection hidden="1"/>
    </xf>
    <xf numFmtId="0" fontId="84" fillId="0" borderId="0" xfId="0" applyFont="1" applyProtection="1">
      <protection hidden="1"/>
    </xf>
    <xf numFmtId="0" fontId="142" fillId="0" borderId="0" xfId="0" applyFont="1" applyAlignment="1" applyProtection="1">
      <alignment vertical="center"/>
      <protection hidden="1"/>
    </xf>
    <xf numFmtId="0" fontId="36" fillId="0" borderId="0" xfId="0" applyFont="1" applyAlignment="1" applyProtection="1">
      <alignment horizontal="left" vertical="top" wrapText="1"/>
      <protection hidden="1"/>
    </xf>
    <xf numFmtId="0" fontId="122" fillId="0" borderId="0" xfId="0" applyFont="1" applyProtection="1">
      <protection hidden="1"/>
    </xf>
    <xf numFmtId="0" fontId="36" fillId="0" borderId="0" xfId="0" applyFont="1" applyAlignment="1" applyProtection="1">
      <alignment wrapText="1"/>
      <protection hidden="1"/>
    </xf>
    <xf numFmtId="0" fontId="36" fillId="0" borderId="0" xfId="0" applyFont="1" applyAlignment="1" applyProtection="1">
      <alignment vertical="center"/>
      <protection hidden="1"/>
    </xf>
    <xf numFmtId="0" fontId="128" fillId="0" borderId="0" xfId="46" applyFont="1" applyAlignment="1" applyProtection="1">
      <alignment vertical="center"/>
      <protection hidden="1"/>
    </xf>
    <xf numFmtId="0" fontId="133" fillId="0" borderId="0" xfId="46" applyFont="1" applyAlignment="1" applyProtection="1">
      <alignment vertical="center"/>
      <protection hidden="1"/>
    </xf>
    <xf numFmtId="0" fontId="9" fillId="0" borderId="0" xfId="0" applyFont="1" applyProtection="1">
      <protection hidden="1"/>
    </xf>
    <xf numFmtId="0" fontId="135" fillId="0" borderId="0" xfId="0" applyFont="1" applyProtection="1">
      <protection hidden="1"/>
    </xf>
    <xf numFmtId="0" fontId="137" fillId="0" borderId="0" xfId="0" applyFont="1" applyAlignment="1" applyProtection="1">
      <alignment horizontal="left" vertical="top" wrapText="1"/>
      <protection hidden="1"/>
    </xf>
    <xf numFmtId="0" fontId="19" fillId="0" borderId="0" xfId="0" applyFont="1" applyProtection="1">
      <protection hidden="1"/>
    </xf>
    <xf numFmtId="0" fontId="10" fillId="0" borderId="0" xfId="0" applyFont="1" applyAlignment="1" applyProtection="1">
      <alignment vertical="top" wrapText="1"/>
      <protection hidden="1"/>
    </xf>
    <xf numFmtId="0" fontId="134" fillId="0" borderId="0" xfId="0" applyFont="1" applyProtection="1">
      <protection hidden="1"/>
    </xf>
    <xf numFmtId="0" fontId="38" fillId="0" borderId="0" xfId="0" applyFont="1" applyAlignment="1" applyProtection="1">
      <alignment wrapText="1"/>
      <protection hidden="1"/>
    </xf>
    <xf numFmtId="0" fontId="75" fillId="0" borderId="0" xfId="0" applyFont="1" applyProtection="1">
      <protection hidden="1"/>
    </xf>
    <xf numFmtId="0" fontId="32" fillId="0" borderId="0" xfId="0" applyFont="1" applyAlignment="1" applyProtection="1">
      <alignment horizontal="left" vertical="top" wrapText="1"/>
      <protection hidden="1"/>
    </xf>
    <xf numFmtId="0" fontId="9" fillId="0" borderId="0" xfId="0" applyFont="1" applyAlignment="1" applyProtection="1">
      <alignment horizontal="left" vertical="top"/>
      <protection hidden="1"/>
    </xf>
    <xf numFmtId="0" fontId="38" fillId="0" borderId="0" xfId="0" applyFont="1" applyAlignment="1" applyProtection="1">
      <alignment vertical="top" wrapText="1"/>
      <protection hidden="1"/>
    </xf>
    <xf numFmtId="1" fontId="9" fillId="0" borderId="0" xfId="0" applyNumberFormat="1" applyFont="1" applyProtection="1">
      <protection hidden="1"/>
    </xf>
    <xf numFmtId="0" fontId="88" fillId="0" borderId="0" xfId="0" applyFont="1" applyProtection="1">
      <protection hidden="1"/>
    </xf>
    <xf numFmtId="0" fontId="72" fillId="0" borderId="0" xfId="0" applyFont="1" applyAlignment="1" applyProtection="1">
      <alignment vertical="center"/>
      <protection hidden="1"/>
    </xf>
    <xf numFmtId="0" fontId="95" fillId="0" borderId="0" xfId="0" applyFont="1" applyAlignment="1" applyProtection="1">
      <alignment vertical="center"/>
      <protection hidden="1"/>
    </xf>
    <xf numFmtId="0" fontId="35" fillId="0" borderId="0" xfId="0" applyFont="1" applyAlignment="1" applyProtection="1">
      <alignment vertical="center"/>
      <protection hidden="1"/>
    </xf>
    <xf numFmtId="0" fontId="88" fillId="0" borderId="0" xfId="0" applyFont="1" applyAlignment="1" applyProtection="1">
      <alignment vertical="center"/>
      <protection hidden="1"/>
    </xf>
    <xf numFmtId="0" fontId="107" fillId="0" borderId="0" xfId="0" applyFont="1" applyAlignment="1" applyProtection="1">
      <alignment horizontal="right" vertical="center" indent="1"/>
      <protection hidden="1"/>
    </xf>
    <xf numFmtId="0" fontId="89" fillId="0" borderId="0" xfId="0" applyFont="1" applyAlignment="1" applyProtection="1">
      <alignment vertical="top" wrapText="1"/>
      <protection hidden="1"/>
    </xf>
    <xf numFmtId="0" fontId="103" fillId="0" borderId="0" xfId="0" applyFont="1" applyAlignment="1" applyProtection="1">
      <alignment vertical="center"/>
      <protection hidden="1"/>
    </xf>
    <xf numFmtId="0" fontId="103" fillId="0" borderId="0" xfId="0" applyFont="1" applyAlignment="1" applyProtection="1">
      <alignment horizontal="right" vertical="center" indent="1"/>
      <protection hidden="1"/>
    </xf>
    <xf numFmtId="0" fontId="89" fillId="0" borderId="0" xfId="0" applyFont="1" applyAlignment="1" applyProtection="1">
      <alignment vertical="center" wrapText="1"/>
      <protection hidden="1"/>
    </xf>
    <xf numFmtId="1" fontId="89" fillId="0" borderId="0" xfId="0" applyNumberFormat="1" applyFont="1" applyAlignment="1" applyProtection="1">
      <alignment vertical="center" wrapText="1"/>
      <protection hidden="1"/>
    </xf>
    <xf numFmtId="2" fontId="88" fillId="0" borderId="0" xfId="0" applyNumberFormat="1" applyFont="1" applyProtection="1">
      <protection hidden="1"/>
    </xf>
    <xf numFmtId="0" fontId="35" fillId="0" borderId="0" xfId="0" applyFont="1" applyAlignment="1" applyProtection="1">
      <alignment horizontal="left" indent="1"/>
      <protection hidden="1"/>
    </xf>
    <xf numFmtId="0" fontId="130" fillId="37" borderId="0" xfId="0" applyFont="1" applyFill="1" applyAlignment="1" applyProtection="1">
      <alignment horizontal="center" vertical="center" wrapText="1"/>
      <protection hidden="1"/>
    </xf>
    <xf numFmtId="0" fontId="83" fillId="9" borderId="0" xfId="0" applyFont="1" applyFill="1" applyProtection="1">
      <protection hidden="1"/>
    </xf>
    <xf numFmtId="1" fontId="78" fillId="38" borderId="0" xfId="0" applyNumberFormat="1" applyFont="1" applyFill="1" applyAlignment="1" applyProtection="1">
      <alignment horizontal="center" vertical="center" wrapText="1"/>
      <protection hidden="1"/>
    </xf>
    <xf numFmtId="0" fontId="78" fillId="38" borderId="0" xfId="0" applyFont="1" applyFill="1" applyAlignment="1" applyProtection="1">
      <alignment horizontal="center" vertical="center" wrapText="1"/>
      <protection hidden="1"/>
    </xf>
    <xf numFmtId="0" fontId="78" fillId="38" borderId="0" xfId="0" applyFont="1" applyFill="1" applyAlignment="1" applyProtection="1">
      <alignment horizontal="center" vertical="center"/>
      <protection hidden="1"/>
    </xf>
    <xf numFmtId="0" fontId="83" fillId="0" borderId="0" xfId="0" applyFont="1" applyAlignment="1" applyProtection="1">
      <alignment horizontal="center"/>
      <protection hidden="1"/>
    </xf>
    <xf numFmtId="0" fontId="0" fillId="9" borderId="0" xfId="0" applyFill="1" applyProtection="1">
      <protection hidden="1"/>
    </xf>
    <xf numFmtId="0" fontId="92" fillId="0" borderId="19" xfId="0" applyFont="1" applyBorder="1" applyAlignment="1" applyProtection="1">
      <alignment vertical="center"/>
      <protection hidden="1"/>
    </xf>
    <xf numFmtId="0" fontId="92" fillId="0" borderId="20" xfId="0" applyFont="1" applyBorder="1" applyAlignment="1" applyProtection="1">
      <alignment vertical="center"/>
      <protection hidden="1"/>
    </xf>
    <xf numFmtId="0" fontId="92" fillId="34" borderId="21" xfId="0" applyFont="1" applyFill="1" applyBorder="1" applyAlignment="1" applyProtection="1">
      <alignment vertical="center"/>
      <protection hidden="1"/>
    </xf>
    <xf numFmtId="0" fontId="92" fillId="0" borderId="0" xfId="0" applyFont="1" applyProtection="1">
      <protection hidden="1"/>
    </xf>
    <xf numFmtId="0" fontId="0" fillId="0" borderId="23" xfId="0" applyBorder="1" applyAlignment="1" applyProtection="1">
      <alignment vertical="center"/>
      <protection hidden="1"/>
    </xf>
    <xf numFmtId="0" fontId="0" fillId="0" borderId="24" xfId="0" applyBorder="1" applyAlignment="1" applyProtection="1">
      <alignment vertical="center"/>
      <protection hidden="1"/>
    </xf>
    <xf numFmtId="0" fontId="18" fillId="0" borderId="0" xfId="0" applyFont="1" applyProtection="1">
      <protection hidden="1"/>
    </xf>
    <xf numFmtId="0" fontId="18" fillId="0" borderId="0" xfId="0" applyFont="1" applyAlignment="1" applyProtection="1">
      <alignment vertical="center" wrapText="1"/>
      <protection hidden="1"/>
    </xf>
    <xf numFmtId="0" fontId="18" fillId="0" borderId="0" xfId="0" applyFont="1" applyAlignment="1" applyProtection="1">
      <alignment vertical="center"/>
      <protection hidden="1"/>
    </xf>
    <xf numFmtId="0" fontId="10" fillId="0" borderId="0" xfId="0" applyFont="1" applyAlignment="1" applyProtection="1">
      <alignment vertical="center"/>
      <protection hidden="1"/>
    </xf>
    <xf numFmtId="0" fontId="75" fillId="0" borderId="0" xfId="0" applyFont="1" applyAlignment="1" applyProtection="1">
      <alignment vertical="center"/>
      <protection hidden="1"/>
    </xf>
    <xf numFmtId="0" fontId="127" fillId="0" borderId="0" xfId="0" applyFont="1" applyAlignment="1" applyProtection="1">
      <alignment horizontal="left" vertical="center" readingOrder="1"/>
      <protection hidden="1"/>
    </xf>
    <xf numFmtId="0" fontId="146" fillId="0" borderId="0" xfId="0" applyFont="1" applyAlignment="1" applyProtection="1">
      <alignment vertical="center"/>
      <protection hidden="1"/>
    </xf>
    <xf numFmtId="0" fontId="147" fillId="4" borderId="2" xfId="0" applyFont="1" applyFill="1" applyBorder="1" applyAlignment="1" applyProtection="1">
      <alignment horizontal="center" vertical="center"/>
      <protection locked="0" hidden="1"/>
    </xf>
    <xf numFmtId="0" fontId="146" fillId="0" borderId="2" xfId="0" applyFont="1" applyBorder="1" applyAlignment="1" applyProtection="1">
      <alignment vertical="center"/>
      <protection hidden="1"/>
    </xf>
    <xf numFmtId="0" fontId="148" fillId="0" borderId="2" xfId="0" applyFont="1" applyBorder="1" applyAlignment="1" applyProtection="1">
      <alignment vertical="center"/>
      <protection hidden="1"/>
    </xf>
    <xf numFmtId="0" fontId="149" fillId="0" borderId="0" xfId="0" applyFont="1" applyAlignment="1" applyProtection="1">
      <alignment horizontal="left" vertical="center" readingOrder="1"/>
      <protection hidden="1"/>
    </xf>
    <xf numFmtId="0" fontId="149" fillId="0" borderId="0" xfId="0" applyFont="1" applyAlignment="1" applyProtection="1">
      <alignment vertical="center"/>
      <protection hidden="1"/>
    </xf>
    <xf numFmtId="0" fontId="149" fillId="0" borderId="0" xfId="0" applyFont="1" applyProtection="1">
      <protection hidden="1"/>
    </xf>
    <xf numFmtId="0" fontId="1" fillId="0" borderId="0" xfId="0" applyFont="1" applyAlignment="1" applyProtection="1">
      <alignment vertical="center" wrapText="1"/>
      <protection hidden="1"/>
    </xf>
    <xf numFmtId="0" fontId="1" fillId="0" borderId="0" xfId="0" applyFont="1" applyAlignment="1" applyProtection="1">
      <alignment vertical="center"/>
      <protection hidden="1"/>
    </xf>
    <xf numFmtId="0" fontId="9" fillId="0" borderId="0" xfId="0" applyFont="1"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top" wrapText="1"/>
      <protection hidden="1"/>
    </xf>
    <xf numFmtId="0" fontId="32" fillId="47" borderId="2" xfId="0" applyFont="1" applyFill="1" applyBorder="1" applyAlignment="1" applyProtection="1">
      <alignment vertical="center" wrapText="1"/>
      <protection hidden="1"/>
    </xf>
    <xf numFmtId="0" fontId="1" fillId="47" borderId="2" xfId="0" applyFont="1" applyFill="1" applyBorder="1" applyAlignment="1" applyProtection="1">
      <alignment horizontal="center" vertical="center" wrapText="1"/>
      <protection hidden="1"/>
    </xf>
    <xf numFmtId="0" fontId="9" fillId="47" borderId="2" xfId="0" applyFont="1" applyFill="1" applyBorder="1" applyAlignment="1" applyProtection="1">
      <alignment vertical="center" wrapText="1"/>
      <protection hidden="1"/>
    </xf>
    <xf numFmtId="0" fontId="13" fillId="47" borderId="2" xfId="0" applyFont="1" applyFill="1" applyBorder="1" applyAlignment="1" applyProtection="1">
      <alignment vertical="center" wrapText="1"/>
      <protection hidden="1"/>
    </xf>
    <xf numFmtId="0" fontId="0" fillId="0" borderId="0" xfId="0" applyAlignment="1" applyProtection="1">
      <alignment vertical="top" wrapText="1"/>
      <protection hidden="1"/>
    </xf>
    <xf numFmtId="0" fontId="32" fillId="0" borderId="2" xfId="0" applyFont="1" applyBorder="1" applyAlignment="1" applyProtection="1">
      <alignment vertical="center" wrapText="1"/>
      <protection hidden="1"/>
    </xf>
    <xf numFmtId="0" fontId="1" fillId="4" borderId="2" xfId="0" applyFont="1" applyFill="1" applyBorder="1" applyAlignment="1" applyProtection="1">
      <alignment horizontal="center" vertical="center"/>
      <protection locked="0" hidden="1"/>
    </xf>
    <xf numFmtId="0" fontId="9" fillId="0" borderId="0" xfId="0" applyFont="1" applyAlignment="1" applyProtection="1">
      <alignment vertical="center" wrapText="1"/>
      <protection hidden="1"/>
    </xf>
    <xf numFmtId="0" fontId="122" fillId="0" borderId="0" xfId="0" applyFont="1" applyAlignment="1" applyProtection="1">
      <alignment vertical="center"/>
      <protection hidden="1"/>
    </xf>
    <xf numFmtId="0" fontId="150" fillId="0" borderId="0" xfId="0" applyFont="1" applyProtection="1">
      <protection hidden="1"/>
    </xf>
    <xf numFmtId="0" fontId="6" fillId="0" borderId="35" xfId="0" applyFont="1" applyBorder="1" applyProtection="1">
      <protection locked="0"/>
    </xf>
    <xf numFmtId="0" fontId="0" fillId="0" borderId="32" xfId="0" applyBorder="1" applyAlignment="1" applyProtection="1">
      <alignment horizontal="left" vertical="center" indent="1"/>
      <protection hidden="1"/>
    </xf>
    <xf numFmtId="0" fontId="0" fillId="0" borderId="0" xfId="0" applyAlignment="1" applyProtection="1">
      <alignment horizontal="right" indent="1"/>
      <protection hidden="1"/>
    </xf>
    <xf numFmtId="0" fontId="2" fillId="0" borderId="46" xfId="0" applyFont="1" applyBorder="1"/>
    <xf numFmtId="0" fontId="89" fillId="0" borderId="0" xfId="0" applyFont="1" applyProtection="1">
      <protection hidden="1"/>
    </xf>
    <xf numFmtId="0" fontId="51" fillId="0" borderId="0" xfId="0" applyFont="1" applyProtection="1">
      <protection hidden="1"/>
    </xf>
    <xf numFmtId="0" fontId="72" fillId="0" borderId="0" xfId="0" applyFont="1" applyAlignment="1" applyProtection="1">
      <alignment wrapText="1"/>
      <protection hidden="1"/>
    </xf>
    <xf numFmtId="0" fontId="35" fillId="0" borderId="0" xfId="0" applyFont="1" applyAlignment="1" applyProtection="1">
      <alignment horizontal="center" wrapText="1"/>
      <protection hidden="1"/>
    </xf>
    <xf numFmtId="1" fontId="89" fillId="0" borderId="16" xfId="0" applyNumberFormat="1" applyFont="1" applyBorder="1" applyAlignment="1" applyProtection="1">
      <alignment horizontal="left" vertical="center" wrapText="1" indent="1"/>
      <protection hidden="1"/>
    </xf>
    <xf numFmtId="169" fontId="89" fillId="0" borderId="16" xfId="0" applyNumberFormat="1" applyFont="1" applyBorder="1" applyAlignment="1" applyProtection="1">
      <alignment horizontal="right" vertical="center" wrapText="1" indent="1"/>
      <protection hidden="1"/>
    </xf>
    <xf numFmtId="0" fontId="130" fillId="37" borderId="0" xfId="0" applyFont="1" applyFill="1" applyAlignment="1" applyProtection="1">
      <alignment horizontal="right" vertical="center" indent="1"/>
      <protection hidden="1"/>
    </xf>
    <xf numFmtId="0" fontId="38" fillId="11" borderId="0" xfId="0" applyFont="1" applyFill="1" applyProtection="1">
      <protection hidden="1"/>
    </xf>
    <xf numFmtId="0" fontId="0" fillId="0" borderId="48" xfId="0" applyBorder="1"/>
    <xf numFmtId="2" fontId="0" fillId="0" borderId="45" xfId="0" applyNumberFormat="1" applyBorder="1"/>
    <xf numFmtId="2" fontId="0" fillId="0" borderId="46" xfId="0" applyNumberFormat="1" applyBorder="1"/>
    <xf numFmtId="2" fontId="51" fillId="0" borderId="0" xfId="0" applyNumberFormat="1" applyFont="1" applyProtection="1">
      <protection hidden="1"/>
    </xf>
    <xf numFmtId="0" fontId="6" fillId="0" borderId="0" xfId="0" applyFont="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122" fillId="0" borderId="28" xfId="0" applyFont="1" applyBorder="1" applyAlignment="1">
      <alignment horizontal="right" vertical="center" indent="1"/>
    </xf>
    <xf numFmtId="0" fontId="138" fillId="0" borderId="0" xfId="0" applyFont="1" applyAlignment="1">
      <alignment horizontal="center" vertical="top"/>
    </xf>
    <xf numFmtId="0" fontId="105" fillId="0" borderId="0" xfId="0" applyFont="1" applyAlignment="1">
      <alignment horizontal="center"/>
    </xf>
    <xf numFmtId="0" fontId="36" fillId="0" borderId="0" xfId="0" applyFont="1" applyAlignment="1">
      <alignment horizontal="center"/>
    </xf>
    <xf numFmtId="1" fontId="94" fillId="11" borderId="0" xfId="0" applyNumberFormat="1" applyFont="1" applyFill="1" applyAlignment="1">
      <alignment horizontal="center"/>
    </xf>
    <xf numFmtId="0" fontId="122" fillId="0" borderId="18" xfId="0"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vertical="top"/>
    </xf>
    <xf numFmtId="1" fontId="88" fillId="0" borderId="0" xfId="0" applyNumberFormat="1" applyFont="1" applyAlignment="1">
      <alignment horizontal="center"/>
    </xf>
    <xf numFmtId="0" fontId="154" fillId="0" borderId="0" xfId="0" applyFont="1" applyAlignment="1" applyProtection="1">
      <alignment vertical="top" wrapText="1"/>
      <protection hidden="1"/>
    </xf>
    <xf numFmtId="0" fontId="38" fillId="0" borderId="0" xfId="0" applyFont="1" applyAlignment="1">
      <alignment horizontal="right" vertical="top"/>
    </xf>
    <xf numFmtId="0" fontId="0" fillId="50" borderId="36" xfId="0" applyFill="1" applyBorder="1" applyProtection="1">
      <protection hidden="1"/>
    </xf>
    <xf numFmtId="0" fontId="136" fillId="0" borderId="0" xfId="0" applyFont="1" applyAlignment="1" applyProtection="1">
      <alignment horizontal="right" vertical="center" indent="1"/>
      <protection hidden="1"/>
    </xf>
    <xf numFmtId="0" fontId="0" fillId="50" borderId="36" xfId="0" applyFill="1" applyBorder="1" applyAlignment="1" applyProtection="1">
      <alignment horizontal="right" indent="1"/>
      <protection hidden="1"/>
    </xf>
    <xf numFmtId="0" fontId="18" fillId="0" borderId="0" xfId="0" applyFont="1" applyAlignment="1" applyProtection="1">
      <alignment horizontal="right" vertical="center" indent="1"/>
      <protection hidden="1"/>
    </xf>
    <xf numFmtId="170" fontId="147" fillId="0" borderId="2" xfId="0" applyNumberFormat="1" applyFont="1" applyBorder="1" applyAlignment="1" applyProtection="1">
      <alignment horizontal="right" vertical="center" indent="1"/>
      <protection hidden="1"/>
    </xf>
    <xf numFmtId="0" fontId="1" fillId="0" borderId="0" xfId="0" applyFont="1" applyAlignment="1" applyProtection="1">
      <alignment horizontal="right" vertical="center" indent="1"/>
      <protection hidden="1"/>
    </xf>
    <xf numFmtId="170" fontId="1" fillId="47" borderId="2" xfId="0" applyNumberFormat="1" applyFont="1" applyFill="1" applyBorder="1" applyAlignment="1" applyProtection="1">
      <alignment horizontal="right" vertical="center" wrapText="1" indent="1"/>
      <protection hidden="1"/>
    </xf>
    <xf numFmtId="0" fontId="9" fillId="0" borderId="0" xfId="0" applyFont="1" applyAlignment="1" applyProtection="1">
      <alignment horizontal="right" vertical="center" indent="1"/>
      <protection hidden="1"/>
    </xf>
    <xf numFmtId="0" fontId="156" fillId="0" borderId="0" xfId="0" applyFont="1" applyAlignment="1">
      <alignment horizontal="left" vertical="center"/>
    </xf>
    <xf numFmtId="0" fontId="51" fillId="0" borderId="0" xfId="0" applyFont="1" applyAlignment="1" applyProtection="1">
      <alignment vertical="center"/>
      <protection hidden="1"/>
    </xf>
    <xf numFmtId="0" fontId="9" fillId="0" borderId="0" xfId="0" applyFont="1" applyAlignment="1" applyProtection="1">
      <alignment horizontal="center"/>
      <protection hidden="1"/>
    </xf>
    <xf numFmtId="169" fontId="0" fillId="0" borderId="35" xfId="0" applyNumberFormat="1" applyBorder="1"/>
    <xf numFmtId="1" fontId="83" fillId="0" borderId="35" xfId="179" applyNumberFormat="1" applyFont="1" applyBorder="1" applyAlignment="1">
      <alignment horizontal="center" vertical="center"/>
    </xf>
    <xf numFmtId="0" fontId="102" fillId="0" borderId="0" xfId="0" applyFont="1" applyAlignment="1" applyProtection="1">
      <alignment vertical="top" wrapText="1"/>
      <protection hidden="1"/>
    </xf>
    <xf numFmtId="0" fontId="0" fillId="0" borderId="47" xfId="0" applyBorder="1"/>
    <xf numFmtId="0" fontId="126" fillId="0" borderId="33" xfId="0" applyFont="1" applyBorder="1" applyAlignment="1">
      <alignment vertical="center" wrapText="1"/>
    </xf>
    <xf numFmtId="0" fontId="2" fillId="46" borderId="0" xfId="0" applyFont="1" applyFill="1"/>
    <xf numFmtId="0" fontId="2" fillId="0" borderId="3" xfId="0" applyFont="1" applyBorder="1"/>
    <xf numFmtId="0" fontId="0" fillId="0" borderId="4" xfId="0" applyBorder="1"/>
    <xf numFmtId="0" fontId="2" fillId="0" borderId="0" xfId="0" applyFont="1" applyAlignment="1">
      <alignment horizontal="center" vertical="center"/>
    </xf>
    <xf numFmtId="0" fontId="6" fillId="8" borderId="0" xfId="0" applyFont="1" applyFill="1" applyProtection="1">
      <protection locked="0"/>
    </xf>
    <xf numFmtId="0" fontId="130" fillId="52" borderId="0" xfId="0" applyFont="1" applyFill="1" applyAlignment="1" applyProtection="1">
      <alignment vertical="center"/>
      <protection hidden="1"/>
    </xf>
    <xf numFmtId="0" fontId="158" fillId="9" borderId="0" xfId="0" applyFont="1" applyFill="1" applyProtection="1">
      <protection hidden="1"/>
    </xf>
    <xf numFmtId="0" fontId="159" fillId="0" borderId="0" xfId="185" applyAlignment="1">
      <alignment horizontal="left" vertical="center" indent="5"/>
    </xf>
    <xf numFmtId="0" fontId="6" fillId="37" borderId="0" xfId="0" applyFont="1" applyFill="1" applyProtection="1">
      <protection locked="0"/>
    </xf>
    <xf numFmtId="169" fontId="108" fillId="0" borderId="45" xfId="0" applyNumberFormat="1" applyFont="1" applyBorder="1"/>
    <xf numFmtId="0" fontId="0" fillId="0" borderId="49" xfId="0" applyBorder="1"/>
    <xf numFmtId="169" fontId="108" fillId="0" borderId="44" xfId="0" applyNumberFormat="1" applyFont="1" applyBorder="1"/>
    <xf numFmtId="0" fontId="0" fillId="0" borderId="3" xfId="0" applyBorder="1"/>
    <xf numFmtId="0" fontId="2" fillId="0" borderId="5" xfId="0" applyFont="1" applyBorder="1"/>
    <xf numFmtId="0" fontId="78" fillId="0" borderId="0" xfId="47" applyFont="1" applyProtection="1">
      <protection hidden="1"/>
    </xf>
    <xf numFmtId="0" fontId="2" fillId="0" borderId="55" xfId="0" applyFont="1" applyBorder="1"/>
    <xf numFmtId="0" fontId="83" fillId="46" borderId="0" xfId="0" applyFont="1" applyFill="1" applyAlignment="1">
      <alignment horizontal="center" vertical="center"/>
    </xf>
    <xf numFmtId="0" fontId="3" fillId="8" borderId="3" xfId="0" applyFont="1" applyFill="1" applyBorder="1" applyAlignment="1">
      <alignment horizontal="center" vertical="center"/>
    </xf>
    <xf numFmtId="0" fontId="2" fillId="8" borderId="0" xfId="0" applyFont="1" applyFill="1" applyProtection="1">
      <protection locked="0"/>
    </xf>
    <xf numFmtId="0" fontId="2" fillId="46" borderId="0" xfId="0" applyFont="1" applyFill="1" applyProtection="1">
      <protection locked="0"/>
    </xf>
    <xf numFmtId="0" fontId="140" fillId="46" borderId="0" xfId="0" applyFont="1" applyFill="1"/>
    <xf numFmtId="0" fontId="83" fillId="46" borderId="0" xfId="0" applyFont="1" applyFill="1"/>
    <xf numFmtId="0" fontId="162" fillId="52" borderId="0" xfId="0" applyFont="1" applyFill="1" applyAlignment="1" applyProtection="1">
      <alignment vertical="center"/>
      <protection hidden="1"/>
    </xf>
    <xf numFmtId="0" fontId="6" fillId="53" borderId="5" xfId="0" applyFont="1" applyFill="1" applyBorder="1" applyProtection="1">
      <protection locked="0"/>
    </xf>
    <xf numFmtId="0" fontId="94" fillId="0" borderId="0" xfId="0" applyFont="1" applyAlignment="1" applyProtection="1">
      <alignment vertical="center"/>
      <protection hidden="1"/>
    </xf>
    <xf numFmtId="0" fontId="163" fillId="37" borderId="0" xfId="0" applyFont="1" applyFill="1" applyAlignment="1" applyProtection="1">
      <alignment vertical="center"/>
      <protection hidden="1"/>
    </xf>
    <xf numFmtId="169" fontId="108" fillId="0" borderId="0" xfId="0" applyNumberFormat="1" applyFont="1" applyBorder="1" applyAlignment="1">
      <alignment horizontal="left" vertical="center" indent="1"/>
    </xf>
    <xf numFmtId="169" fontId="108" fillId="0" borderId="0" xfId="0" applyNumberFormat="1" applyFont="1" applyBorder="1" applyAlignment="1">
      <alignment horizontal="center" vertical="center"/>
    </xf>
    <xf numFmtId="169" fontId="108" fillId="0" borderId="0" xfId="0" applyNumberFormat="1" applyFont="1" applyBorder="1" applyAlignment="1">
      <alignment horizontal="right" vertical="center" indent="1"/>
    </xf>
    <xf numFmtId="169" fontId="108" fillId="0" borderId="0" xfId="0" applyNumberFormat="1" applyFont="1" applyBorder="1"/>
    <xf numFmtId="183" fontId="108" fillId="0" borderId="15" xfId="0" applyNumberFormat="1" applyFont="1" applyBorder="1" applyAlignment="1">
      <alignment horizontal="center" vertical="center"/>
    </xf>
    <xf numFmtId="0" fontId="145" fillId="9" borderId="0" xfId="0" applyFont="1" applyFill="1" applyAlignment="1" applyProtection="1">
      <alignment horizontal="left" vertical="center" indent="1"/>
      <protection hidden="1"/>
    </xf>
    <xf numFmtId="0" fontId="0" fillId="0" borderId="49" xfId="0" applyBorder="1" applyAlignment="1">
      <alignment horizontal="left"/>
    </xf>
    <xf numFmtId="0" fontId="36" fillId="36" borderId="22" xfId="0" applyFont="1" applyFill="1" applyBorder="1"/>
    <xf numFmtId="0" fontId="2" fillId="0" borderId="0" xfId="0" applyFont="1" applyAlignment="1" applyProtection="1">
      <alignment wrapText="1"/>
      <protection locked="0"/>
    </xf>
    <xf numFmtId="0" fontId="130" fillId="37" borderId="58" xfId="0" applyFont="1" applyFill="1" applyBorder="1" applyAlignment="1" applyProtection="1">
      <alignment vertical="center"/>
      <protection hidden="1"/>
    </xf>
    <xf numFmtId="0" fontId="157" fillId="35" borderId="0" xfId="0" applyFont="1" applyFill="1" applyAlignment="1">
      <alignment vertical="center" wrapText="1"/>
    </xf>
    <xf numFmtId="0" fontId="1" fillId="0" borderId="0" xfId="0" applyFont="1" applyAlignment="1">
      <alignment vertical="center"/>
    </xf>
    <xf numFmtId="0" fontId="0" fillId="0" borderId="0" xfId="0" applyFont="1" applyAlignment="1">
      <alignment vertical="center"/>
    </xf>
    <xf numFmtId="9" fontId="0" fillId="0" borderId="0" xfId="0" applyNumberFormat="1"/>
    <xf numFmtId="0" fontId="130" fillId="37" borderId="58" xfId="0" applyFont="1" applyFill="1" applyBorder="1" applyAlignment="1" applyProtection="1">
      <alignment vertical="center" wrapText="1"/>
      <protection hidden="1"/>
    </xf>
    <xf numFmtId="0" fontId="6" fillId="0" borderId="0" xfId="0" applyFont="1" applyFill="1" applyProtection="1">
      <protection locked="0"/>
    </xf>
    <xf numFmtId="0" fontId="2" fillId="0" borderId="0" xfId="0" applyFont="1" applyFill="1" applyProtection="1">
      <protection locked="0"/>
    </xf>
    <xf numFmtId="0" fontId="0" fillId="0" borderId="47" xfId="0" quotePrefix="1" applyBorder="1"/>
    <xf numFmtId="1" fontId="36" fillId="36" borderId="22" xfId="0" quotePrefix="1" applyNumberFormat="1" applyFont="1" applyFill="1" applyBorder="1"/>
    <xf numFmtId="0" fontId="163" fillId="54" borderId="0" xfId="0" applyFont="1" applyFill="1" applyAlignment="1" applyProtection="1">
      <alignment horizontal="center" vertical="center" wrapText="1"/>
      <protection hidden="1"/>
    </xf>
    <xf numFmtId="0" fontId="163" fillId="54" borderId="0" xfId="0" applyFont="1" applyFill="1" applyAlignment="1" applyProtection="1">
      <alignment vertical="center"/>
      <protection hidden="1"/>
    </xf>
    <xf numFmtId="0" fontId="167" fillId="0" borderId="0" xfId="0" applyFont="1" applyAlignment="1" applyProtection="1">
      <alignment vertical="center"/>
      <protection hidden="1"/>
    </xf>
    <xf numFmtId="0" fontId="164" fillId="0" borderId="0" xfId="0" applyFont="1" applyAlignment="1" applyProtection="1">
      <alignment vertical="center"/>
      <protection hidden="1"/>
    </xf>
    <xf numFmtId="1" fontId="154" fillId="0" borderId="0" xfId="0" applyNumberFormat="1" applyFont="1" applyAlignment="1" applyProtection="1">
      <alignment vertical="center" wrapText="1"/>
      <protection hidden="1"/>
    </xf>
    <xf numFmtId="0" fontId="149" fillId="50" borderId="60" xfId="0" applyFont="1" applyFill="1" applyBorder="1" applyAlignment="1" applyProtection="1">
      <alignment horizontal="center" vertical="center" wrapText="1"/>
      <protection hidden="1"/>
    </xf>
    <xf numFmtId="0" fontId="149" fillId="50" borderId="60" xfId="0" applyFont="1" applyFill="1" applyBorder="1" applyAlignment="1" applyProtection="1">
      <alignment vertical="center"/>
      <protection hidden="1"/>
    </xf>
    <xf numFmtId="0" fontId="169" fillId="50" borderId="36" xfId="0" applyFont="1" applyFill="1" applyBorder="1" applyAlignment="1" applyProtection="1">
      <alignment vertical="center"/>
      <protection hidden="1"/>
    </xf>
    <xf numFmtId="0" fontId="169" fillId="50" borderId="36" xfId="0" applyFont="1" applyFill="1" applyBorder="1" applyAlignment="1" applyProtection="1">
      <alignment horizontal="left" vertical="center" indent="1"/>
      <protection hidden="1"/>
    </xf>
    <xf numFmtId="0" fontId="170" fillId="44" borderId="0" xfId="0" applyFont="1" applyFill="1" applyAlignment="1" applyProtection="1">
      <alignment horizontal="left" vertical="center" indent="1"/>
      <protection hidden="1"/>
    </xf>
    <xf numFmtId="0" fontId="171" fillId="54" borderId="57" xfId="0" applyFont="1" applyFill="1" applyBorder="1" applyAlignment="1" applyProtection="1">
      <alignment horizontal="left" vertical="center" indent="1"/>
      <protection hidden="1"/>
    </xf>
    <xf numFmtId="0" fontId="169" fillId="50" borderId="60" xfId="0" applyFont="1" applyFill="1" applyBorder="1" applyAlignment="1" applyProtection="1">
      <alignment horizontal="left" vertical="center" indent="1"/>
      <protection hidden="1"/>
    </xf>
    <xf numFmtId="0" fontId="170" fillId="37" borderId="0" xfId="0" applyFont="1" applyFill="1" applyAlignment="1" applyProtection="1">
      <alignment horizontal="left" vertical="center" indent="1"/>
      <protection hidden="1"/>
    </xf>
    <xf numFmtId="0" fontId="171" fillId="54" borderId="0" xfId="0" applyFont="1" applyFill="1" applyAlignment="1" applyProtection="1">
      <alignment horizontal="left" vertical="center" indent="1"/>
      <protection hidden="1"/>
    </xf>
    <xf numFmtId="0" fontId="0" fillId="0" borderId="0" xfId="0" applyAlignment="1">
      <alignment horizontal="center"/>
    </xf>
    <xf numFmtId="0" fontId="154" fillId="42" borderId="0" xfId="0" applyFont="1" applyFill="1" applyAlignment="1">
      <alignment horizontal="left" vertical="top" wrapText="1"/>
    </xf>
    <xf numFmtId="0" fontId="138" fillId="0" borderId="0" xfId="0" applyFont="1" applyAlignment="1">
      <alignment horizontal="right" vertical="top"/>
    </xf>
    <xf numFmtId="0" fontId="105" fillId="0" borderId="0" xfId="0" applyFont="1" applyAlignment="1">
      <alignment horizontal="right"/>
    </xf>
    <xf numFmtId="0" fontId="36" fillId="0" borderId="0" xfId="0" applyFont="1" applyAlignment="1">
      <alignment horizontal="right"/>
    </xf>
    <xf numFmtId="0" fontId="94" fillId="11" borderId="0" xfId="0" applyFont="1" applyFill="1" applyAlignment="1">
      <alignment horizontal="right"/>
    </xf>
    <xf numFmtId="0" fontId="0" fillId="0" borderId="0" xfId="0" applyAlignment="1">
      <alignment horizontal="right" vertical="center"/>
    </xf>
    <xf numFmtId="0" fontId="0" fillId="0" borderId="0" xfId="0" applyAlignment="1">
      <alignment horizontal="right" vertical="top"/>
    </xf>
    <xf numFmtId="0" fontId="88" fillId="0" borderId="0" xfId="0" applyFont="1" applyAlignment="1">
      <alignment horizontal="right"/>
    </xf>
    <xf numFmtId="0" fontId="104" fillId="0" borderId="0" xfId="0" applyFont="1" applyAlignment="1">
      <alignment horizontal="center"/>
    </xf>
    <xf numFmtId="0" fontId="94" fillId="11" borderId="0" xfId="0" applyFont="1" applyFill="1" applyAlignment="1">
      <alignment horizontal="center"/>
    </xf>
    <xf numFmtId="0" fontId="88" fillId="0" borderId="0" xfId="0" applyFont="1" applyAlignment="1">
      <alignment horizontal="center"/>
    </xf>
    <xf numFmtId="0" fontId="122" fillId="0" borderId="0" xfId="0" applyFont="1" applyAlignment="1">
      <alignment horizontal="center" vertical="center"/>
    </xf>
    <xf numFmtId="0" fontId="38" fillId="37" borderId="0" xfId="0" applyFont="1" applyFill="1"/>
    <xf numFmtId="1" fontId="36" fillId="0" borderId="0" xfId="0" applyNumberFormat="1" applyFont="1" applyFill="1" applyBorder="1"/>
    <xf numFmtId="0" fontId="0" fillId="0" borderId="0" xfId="0"/>
    <xf numFmtId="169" fontId="0" fillId="0" borderId="0" xfId="0" applyNumberFormat="1" applyAlignment="1">
      <alignment horizontal="left"/>
    </xf>
    <xf numFmtId="0" fontId="130" fillId="41" borderId="0" xfId="0" applyFont="1" applyFill="1" applyAlignment="1" applyProtection="1">
      <alignment vertical="center"/>
      <protection hidden="1"/>
    </xf>
    <xf numFmtId="0" fontId="158" fillId="37" borderId="0" xfId="0" applyFont="1" applyFill="1" applyProtection="1">
      <protection hidden="1"/>
    </xf>
    <xf numFmtId="0" fontId="6" fillId="41" borderId="0" xfId="0" applyFont="1" applyFill="1" applyProtection="1">
      <protection locked="0"/>
    </xf>
    <xf numFmtId="0" fontId="132" fillId="41" borderId="34" xfId="0" applyFont="1" applyFill="1" applyBorder="1" applyAlignment="1" applyProtection="1">
      <alignment horizontal="left" vertical="center"/>
      <protection hidden="1"/>
    </xf>
    <xf numFmtId="0" fontId="78" fillId="41" borderId="34" xfId="0" applyFont="1" applyFill="1" applyBorder="1" applyAlignment="1" applyProtection="1">
      <alignment horizontal="left" vertical="center"/>
      <protection hidden="1"/>
    </xf>
    <xf numFmtId="0" fontId="78" fillId="41" borderId="34" xfId="0" applyFont="1" applyFill="1" applyBorder="1" applyAlignment="1" applyProtection="1">
      <alignment horizontal="right" vertical="center" indent="1"/>
      <protection hidden="1"/>
    </xf>
    <xf numFmtId="0" fontId="6" fillId="42" borderId="0" xfId="0" applyFont="1" applyFill="1" applyProtection="1">
      <protection locked="0"/>
    </xf>
    <xf numFmtId="184" fontId="2" fillId="0" borderId="0" xfId="0" applyNumberFormat="1" applyFont="1"/>
    <xf numFmtId="185" fontId="2" fillId="0" borderId="0" xfId="0" applyNumberFormat="1" applyFont="1"/>
    <xf numFmtId="0" fontId="32" fillId="41" borderId="36" xfId="0" applyFont="1" applyFill="1" applyBorder="1" applyAlignment="1" applyProtection="1">
      <alignment vertical="center"/>
      <protection hidden="1"/>
    </xf>
    <xf numFmtId="0" fontId="32" fillId="41" borderId="29" xfId="0" applyFont="1" applyFill="1" applyBorder="1" applyAlignment="1" applyProtection="1">
      <alignment vertical="center"/>
      <protection hidden="1"/>
    </xf>
    <xf numFmtId="0" fontId="0" fillId="0" borderId="0" xfId="0" applyFill="1" applyAlignment="1">
      <alignment vertical="center"/>
    </xf>
    <xf numFmtId="183" fontId="108" fillId="0" borderId="15" xfId="0" applyNumberFormat="1" applyFont="1" applyBorder="1" applyAlignment="1">
      <alignment horizontal="left" vertical="center" indent="1"/>
    </xf>
    <xf numFmtId="0" fontId="162" fillId="0" borderId="0" xfId="0" applyFont="1" applyProtection="1">
      <protection hidden="1"/>
    </xf>
    <xf numFmtId="0" fontId="158" fillId="0" borderId="0" xfId="0" applyFont="1" applyProtection="1">
      <protection hidden="1"/>
    </xf>
    <xf numFmtId="0" fontId="130" fillId="44" borderId="59" xfId="0" applyFont="1" applyFill="1" applyBorder="1" applyAlignment="1" applyProtection="1">
      <alignment vertical="center"/>
      <protection hidden="1"/>
    </xf>
    <xf numFmtId="170" fontId="131" fillId="58" borderId="61" xfId="0" applyNumberFormat="1" applyFont="1" applyFill="1" applyBorder="1" applyAlignment="1" applyProtection="1">
      <alignment horizontal="left" vertical="center" wrapText="1" indent="1"/>
      <protection hidden="1"/>
    </xf>
    <xf numFmtId="0" fontId="93" fillId="55" borderId="61" xfId="0" applyFont="1" applyFill="1" applyBorder="1" applyAlignment="1" applyProtection="1">
      <alignment horizontal="left" vertical="center" indent="1"/>
      <protection hidden="1"/>
    </xf>
    <xf numFmtId="170" fontId="36" fillId="58" borderId="62" xfId="0" applyNumberFormat="1" applyFont="1" applyFill="1" applyBorder="1" applyAlignment="1" applyProtection="1">
      <alignment horizontal="center" vertical="center" wrapText="1"/>
      <protection hidden="1"/>
    </xf>
    <xf numFmtId="0" fontId="0" fillId="0" borderId="0" xfId="0" applyAlignment="1" applyProtection="1">
      <alignment wrapText="1"/>
      <protection hidden="1"/>
    </xf>
    <xf numFmtId="0" fontId="103" fillId="0" borderId="17" xfId="0" applyFont="1" applyBorder="1" applyAlignment="1" applyProtection="1">
      <alignment vertical="center"/>
      <protection hidden="1"/>
    </xf>
    <xf numFmtId="169" fontId="89" fillId="0" borderId="52" xfId="0" applyNumberFormat="1" applyFont="1" applyBorder="1" applyAlignment="1" applyProtection="1">
      <alignment horizontal="right" vertical="center" indent="1"/>
      <protection hidden="1"/>
    </xf>
    <xf numFmtId="1" fontId="89" fillId="0" borderId="40" xfId="0" applyNumberFormat="1" applyFont="1" applyBorder="1" applyAlignment="1" applyProtection="1">
      <alignment horizontal="right" vertical="center" indent="1"/>
      <protection hidden="1"/>
    </xf>
    <xf numFmtId="0" fontId="176" fillId="41" borderId="0" xfId="0" applyFont="1" applyFill="1" applyAlignment="1" applyProtection="1">
      <alignment vertical="center"/>
      <protection hidden="1"/>
    </xf>
    <xf numFmtId="0" fontId="109" fillId="41" borderId="0" xfId="0" applyFont="1" applyFill="1" applyAlignment="1" applyProtection="1">
      <alignment vertical="center"/>
      <protection hidden="1"/>
    </xf>
    <xf numFmtId="0" fontId="88" fillId="0" borderId="0" xfId="0" applyFont="1" applyAlignment="1" applyProtection="1">
      <alignment horizontal="right" vertical="center"/>
      <protection hidden="1"/>
    </xf>
    <xf numFmtId="0" fontId="0" fillId="0" borderId="70" xfId="0" applyBorder="1"/>
    <xf numFmtId="0" fontId="136" fillId="0" borderId="0" xfId="0" applyFont="1" applyFill="1" applyAlignment="1" applyProtection="1">
      <alignment vertical="center"/>
      <protection hidden="1"/>
    </xf>
    <xf numFmtId="0" fontId="0" fillId="0" borderId="0" xfId="0" applyFill="1" applyProtection="1">
      <protection hidden="1"/>
    </xf>
    <xf numFmtId="0" fontId="130" fillId="0" borderId="0" xfId="0" applyFont="1" applyFill="1" applyAlignment="1" applyProtection="1">
      <alignment vertical="center"/>
      <protection hidden="1"/>
    </xf>
    <xf numFmtId="0" fontId="130" fillId="0" borderId="0" xfId="0" applyFont="1" applyFill="1" applyAlignment="1" applyProtection="1">
      <alignment vertical="center" wrapText="1"/>
      <protection hidden="1"/>
    </xf>
    <xf numFmtId="0" fontId="102" fillId="0" borderId="0" xfId="0" applyFont="1" applyFill="1" applyAlignment="1" applyProtection="1">
      <alignment vertical="top" wrapText="1"/>
      <protection hidden="1"/>
    </xf>
    <xf numFmtId="0" fontId="102" fillId="0" borderId="0" xfId="0" applyFont="1" applyFill="1" applyAlignment="1" applyProtection="1">
      <alignment horizontal="left" vertical="top" wrapText="1"/>
      <protection hidden="1"/>
    </xf>
    <xf numFmtId="0" fontId="101" fillId="0" borderId="0" xfId="0" applyFont="1" applyFill="1" applyProtection="1">
      <protection hidden="1"/>
    </xf>
    <xf numFmtId="0" fontId="100" fillId="0" borderId="0" xfId="0" applyFont="1" applyFill="1" applyProtection="1">
      <protection hidden="1"/>
    </xf>
    <xf numFmtId="169" fontId="100" fillId="0" borderId="0" xfId="0" applyNumberFormat="1" applyFont="1" applyFill="1" applyAlignment="1" applyProtection="1">
      <alignment horizontal="left" indent="3"/>
      <protection hidden="1"/>
    </xf>
    <xf numFmtId="0" fontId="149" fillId="50" borderId="65" xfId="0" applyFont="1" applyFill="1" applyBorder="1" applyAlignment="1" applyProtection="1">
      <alignment vertical="center"/>
      <protection hidden="1"/>
    </xf>
    <xf numFmtId="0" fontId="179" fillId="55" borderId="15" xfId="0" applyFont="1" applyFill="1" applyBorder="1" applyAlignment="1" applyProtection="1">
      <alignment horizontal="center" vertical="center" wrapText="1"/>
      <protection hidden="1"/>
    </xf>
    <xf numFmtId="170" fontId="178" fillId="0" borderId="35" xfId="179" applyNumberFormat="1" applyFont="1" applyBorder="1" applyAlignment="1" applyProtection="1">
      <alignment horizontal="center" vertical="center" wrapText="1"/>
      <protection hidden="1"/>
    </xf>
    <xf numFmtId="0" fontId="135" fillId="36" borderId="0" xfId="0" applyFont="1" applyFill="1" applyAlignment="1">
      <alignment horizontal="left" vertical="top" wrapText="1"/>
    </xf>
    <xf numFmtId="0" fontId="0" fillId="0" borderId="59" xfId="0" applyBorder="1" applyProtection="1">
      <protection hidden="1"/>
    </xf>
    <xf numFmtId="0" fontId="0" fillId="0" borderId="59" xfId="0" applyBorder="1" applyAlignment="1" applyProtection="1">
      <alignment wrapText="1"/>
      <protection hidden="1"/>
    </xf>
    <xf numFmtId="0" fontId="0" fillId="0" borderId="0" xfId="0" applyAlignment="1" applyProtection="1">
      <alignment horizontal="center"/>
      <protection hidden="1"/>
    </xf>
    <xf numFmtId="0" fontId="0" fillId="0" borderId="0" xfId="0" applyAlignment="1">
      <alignment horizontal="center"/>
    </xf>
    <xf numFmtId="0" fontId="109" fillId="41" borderId="0" xfId="0" applyFont="1" applyFill="1" applyAlignment="1" applyProtection="1">
      <alignment horizontal="left" vertical="center" indent="1"/>
      <protection hidden="1"/>
    </xf>
    <xf numFmtId="0" fontId="136" fillId="0" borderId="0" xfId="0" applyFont="1" applyAlignment="1" applyProtection="1">
      <alignment horizontal="left" vertical="top" wrapText="1"/>
      <protection hidden="1"/>
    </xf>
    <xf numFmtId="0" fontId="35" fillId="0" borderId="0" xfId="0" applyFont="1" applyAlignment="1" applyProtection="1">
      <alignment horizontal="left" indent="2"/>
      <protection hidden="1"/>
    </xf>
    <xf numFmtId="0" fontId="149" fillId="48" borderId="59" xfId="0" applyFont="1" applyFill="1" applyBorder="1" applyAlignment="1" applyProtection="1">
      <alignment vertical="center"/>
      <protection hidden="1"/>
    </xf>
    <xf numFmtId="0" fontId="9" fillId="0" borderId="0" xfId="0" applyFont="1" applyAlignment="1" applyProtection="1">
      <alignment horizontal="left" indent="1"/>
      <protection hidden="1"/>
    </xf>
    <xf numFmtId="0" fontId="9" fillId="0" borderId="0" xfId="0" applyFont="1" applyAlignment="1" applyProtection="1">
      <alignment horizontal="left" indent="2"/>
      <protection hidden="1"/>
    </xf>
    <xf numFmtId="0" fontId="19" fillId="0" borderId="0" xfId="0" applyFont="1" applyAlignment="1" applyProtection="1">
      <alignment horizontal="left" vertical="top" wrapText="1"/>
      <protection hidden="1"/>
    </xf>
    <xf numFmtId="0" fontId="10" fillId="0" borderId="0" xfId="0" applyFont="1" applyAlignment="1" applyProtection="1">
      <alignment horizontal="left" vertical="top" wrapText="1" indent="1"/>
      <protection hidden="1"/>
    </xf>
    <xf numFmtId="0" fontId="10" fillId="0" borderId="0" xfId="0" applyFont="1" applyAlignment="1" applyProtection="1">
      <alignment horizontal="left" vertical="top" wrapText="1" indent="2"/>
      <protection hidden="1"/>
    </xf>
    <xf numFmtId="0" fontId="19" fillId="0" borderId="0" xfId="0" applyFont="1" applyAlignment="1" applyProtection="1">
      <alignment horizontal="left" indent="1"/>
      <protection hidden="1"/>
    </xf>
    <xf numFmtId="0" fontId="19" fillId="0" borderId="0" xfId="0" applyFont="1" applyAlignment="1" applyProtection="1">
      <alignment horizontal="left" indent="2"/>
      <protection hidden="1"/>
    </xf>
    <xf numFmtId="0" fontId="103" fillId="0" borderId="0" xfId="0" applyFont="1" applyAlignment="1" applyProtection="1">
      <alignment horizontal="left" vertical="top"/>
      <protection hidden="1"/>
    </xf>
    <xf numFmtId="0" fontId="94" fillId="0" borderId="0" xfId="0" applyFont="1" applyAlignment="1" applyProtection="1">
      <alignment horizontal="left" vertical="top"/>
      <protection hidden="1"/>
    </xf>
    <xf numFmtId="0" fontId="182" fillId="0" borderId="0" xfId="0" applyFont="1" applyAlignment="1" applyProtection="1">
      <alignment vertical="top" wrapText="1"/>
      <protection hidden="1"/>
    </xf>
    <xf numFmtId="0" fontId="135" fillId="0" borderId="0" xfId="0" applyFont="1" applyAlignment="1" applyProtection="1">
      <alignment horizontal="left" vertical="top" wrapText="1"/>
      <protection hidden="1"/>
    </xf>
    <xf numFmtId="0" fontId="94" fillId="0" borderId="0" xfId="0" applyFont="1" applyProtection="1">
      <protection hidden="1"/>
    </xf>
    <xf numFmtId="169" fontId="134" fillId="0" borderId="0" xfId="0" applyNumberFormat="1" applyFont="1" applyAlignment="1" applyProtection="1">
      <alignment horizontal="left" indent="1"/>
      <protection hidden="1"/>
    </xf>
    <xf numFmtId="0" fontId="94" fillId="0" borderId="0" xfId="0" applyFont="1" applyAlignment="1" applyProtection="1">
      <alignment horizontal="center" vertical="top" wrapText="1"/>
      <protection hidden="1"/>
    </xf>
    <xf numFmtId="0" fontId="135" fillId="0" borderId="0" xfId="0" applyFont="1" applyAlignment="1" applyProtection="1">
      <alignment horizontal="center" vertical="top" wrapText="1"/>
      <protection hidden="1"/>
    </xf>
    <xf numFmtId="0" fontId="121" fillId="0" borderId="0" xfId="0" applyFont="1" applyAlignment="1" applyProtection="1">
      <alignment vertical="top" wrapText="1"/>
      <protection hidden="1"/>
    </xf>
    <xf numFmtId="0" fontId="103" fillId="0" borderId="41" xfId="0" applyFont="1" applyBorder="1" applyProtection="1">
      <protection hidden="1"/>
    </xf>
    <xf numFmtId="1" fontId="134" fillId="0" borderId="42" xfId="0" applyNumberFormat="1" applyFont="1" applyBorder="1" applyAlignment="1" applyProtection="1">
      <alignment horizontal="left" vertical="center"/>
      <protection hidden="1"/>
    </xf>
    <xf numFmtId="0" fontId="182" fillId="0" borderId="0" xfId="0" applyFont="1" applyAlignment="1" applyProtection="1">
      <alignment vertical="center" wrapText="1"/>
      <protection hidden="1"/>
    </xf>
    <xf numFmtId="0" fontId="38" fillId="0" borderId="0" xfId="0" applyFont="1" applyAlignment="1">
      <alignment horizontal="left" vertical="top" wrapText="1"/>
    </xf>
    <xf numFmtId="0" fontId="0" fillId="41" borderId="0" xfId="0" applyFill="1"/>
    <xf numFmtId="0" fontId="0" fillId="41" borderId="0" xfId="0" applyFill="1" applyAlignment="1">
      <alignment horizontal="left" indent="1"/>
    </xf>
    <xf numFmtId="0" fontId="83" fillId="0" borderId="0" xfId="0" applyFont="1" applyAlignment="1" applyProtection="1">
      <alignment vertical="top" wrapText="1"/>
      <protection hidden="1"/>
    </xf>
    <xf numFmtId="0" fontId="127" fillId="0" borderId="0" xfId="0" applyFont="1" applyAlignment="1" applyProtection="1">
      <alignment vertical="top" wrapText="1"/>
      <protection hidden="1"/>
    </xf>
    <xf numFmtId="0" fontId="36" fillId="39" borderId="0" xfId="0" applyFont="1" applyFill="1" applyProtection="1">
      <protection hidden="1"/>
    </xf>
    <xf numFmtId="0" fontId="35" fillId="39" borderId="0" xfId="0" applyFont="1" applyFill="1" applyProtection="1">
      <protection hidden="1"/>
    </xf>
    <xf numFmtId="0" fontId="36" fillId="39" borderId="0" xfId="0" applyFont="1" applyFill="1" applyAlignment="1" applyProtection="1">
      <alignment horizontal="center"/>
      <protection hidden="1"/>
    </xf>
    <xf numFmtId="0" fontId="130" fillId="44" borderId="0" xfId="0" applyFont="1" applyFill="1" applyAlignment="1" applyProtection="1">
      <alignment horizontal="left" vertical="center" indent="1"/>
      <protection hidden="1"/>
    </xf>
    <xf numFmtId="0" fontId="36" fillId="44" borderId="0" xfId="0" applyFont="1" applyFill="1" applyAlignment="1" applyProtection="1">
      <alignment horizontal="center" vertical="center"/>
      <protection hidden="1"/>
    </xf>
    <xf numFmtId="0" fontId="36" fillId="11" borderId="0" xfId="0" applyFont="1" applyFill="1" applyAlignment="1" applyProtection="1">
      <alignment horizontal="center"/>
      <protection hidden="1"/>
    </xf>
    <xf numFmtId="0" fontId="51" fillId="0" borderId="0" xfId="0" applyFont="1" applyAlignment="1" applyProtection="1">
      <alignment horizontal="center"/>
      <protection hidden="1"/>
    </xf>
    <xf numFmtId="0" fontId="127" fillId="41" borderId="71" xfId="0" applyFont="1" applyFill="1" applyBorder="1" applyAlignment="1" applyProtection="1">
      <alignment horizontal="left" vertical="center" indent="1"/>
      <protection hidden="1"/>
    </xf>
    <xf numFmtId="0" fontId="108" fillId="41" borderId="71" xfId="0" applyFont="1" applyFill="1" applyBorder="1" applyAlignment="1" applyProtection="1">
      <alignment vertical="center"/>
      <protection hidden="1"/>
    </xf>
    <xf numFmtId="2" fontId="108" fillId="41" borderId="71" xfId="0" applyNumberFormat="1" applyFont="1" applyFill="1" applyBorder="1" applyAlignment="1" applyProtection="1">
      <alignment vertical="center"/>
      <protection hidden="1"/>
    </xf>
    <xf numFmtId="0" fontId="38" fillId="37" borderId="72" xfId="0" applyFont="1" applyFill="1" applyBorder="1" applyAlignment="1" applyProtection="1">
      <alignment horizontal="left" vertical="center" indent="2"/>
      <protection hidden="1"/>
    </xf>
    <xf numFmtId="0" fontId="93" fillId="37" borderId="72" xfId="0" applyFont="1" applyFill="1" applyBorder="1" applyAlignment="1" applyProtection="1">
      <alignment vertical="center"/>
      <protection hidden="1"/>
    </xf>
    <xf numFmtId="0" fontId="93" fillId="41" borderId="73" xfId="0" applyFont="1" applyFill="1" applyBorder="1" applyAlignment="1" applyProtection="1">
      <alignment horizontal="left" vertical="center" indent="2"/>
      <protection hidden="1"/>
    </xf>
    <xf numFmtId="0" fontId="93" fillId="41" borderId="73" xfId="0" applyFont="1" applyFill="1" applyBorder="1" applyAlignment="1" applyProtection="1">
      <alignment vertical="center"/>
      <protection hidden="1"/>
    </xf>
    <xf numFmtId="2" fontId="0" fillId="0" borderId="38" xfId="0" applyNumberFormat="1" applyBorder="1"/>
    <xf numFmtId="2" fontId="0" fillId="0" borderId="59" xfId="0" applyNumberFormat="1" applyBorder="1"/>
    <xf numFmtId="2" fontId="0" fillId="0" borderId="51" xfId="0" applyNumberFormat="1" applyBorder="1"/>
    <xf numFmtId="2" fontId="0" fillId="0" borderId="43" xfId="0" applyNumberFormat="1" applyBorder="1"/>
    <xf numFmtId="2" fontId="0" fillId="0" borderId="1" xfId="0" applyNumberFormat="1" applyBorder="1"/>
    <xf numFmtId="0" fontId="0" fillId="52" borderId="0" xfId="0" applyFill="1"/>
    <xf numFmtId="0" fontId="0" fillId="60" borderId="0" xfId="0" applyFill="1"/>
    <xf numFmtId="0" fontId="0" fillId="11" borderId="0" xfId="0" applyFill="1"/>
    <xf numFmtId="0" fontId="0" fillId="61" borderId="0" xfId="0" applyFill="1"/>
    <xf numFmtId="0" fontId="0" fillId="61" borderId="0" xfId="0" applyFill="1" applyAlignment="1">
      <alignment horizontal="right"/>
    </xf>
    <xf numFmtId="169" fontId="0" fillId="61" borderId="0" xfId="0" applyNumberFormat="1" applyFill="1"/>
    <xf numFmtId="2" fontId="0" fillId="61" borderId="43" xfId="0" applyNumberFormat="1" applyFill="1" applyBorder="1"/>
    <xf numFmtId="2" fontId="0" fillId="61" borderId="0" xfId="0" applyNumberFormat="1" applyFill="1"/>
    <xf numFmtId="2" fontId="0" fillId="61" borderId="1" xfId="0" applyNumberFormat="1" applyFill="1" applyBorder="1"/>
    <xf numFmtId="2" fontId="20" fillId="5" borderId="43" xfId="0" applyNumberFormat="1" applyFont="1" applyFill="1" applyBorder="1"/>
    <xf numFmtId="2" fontId="20" fillId="5" borderId="1" xfId="0" applyNumberFormat="1" applyFont="1" applyFill="1" applyBorder="1"/>
    <xf numFmtId="0" fontId="32" fillId="8" borderId="5" xfId="0" applyFont="1" applyFill="1" applyBorder="1" applyAlignment="1">
      <alignment horizontal="left" vertical="top" wrapText="1"/>
    </xf>
    <xf numFmtId="0" fontId="0" fillId="0" borderId="0" xfId="0" applyAlignment="1">
      <alignment horizontal="center"/>
    </xf>
    <xf numFmtId="0" fontId="183" fillId="0" borderId="0" xfId="0" applyFont="1" applyAlignment="1" applyProtection="1">
      <alignment vertical="center"/>
      <protection hidden="1"/>
    </xf>
    <xf numFmtId="0" fontId="78" fillId="0" borderId="0" xfId="46" applyFont="1" applyAlignment="1" applyProtection="1">
      <alignment vertical="center"/>
      <protection hidden="1"/>
    </xf>
    <xf numFmtId="0" fontId="78" fillId="0" borderId="0" xfId="46" applyFont="1" applyProtection="1">
      <protection hidden="1"/>
    </xf>
    <xf numFmtId="0" fontId="88" fillId="0" borderId="0" xfId="0" applyFont="1" applyAlignment="1" applyProtection="1">
      <alignment horizontal="right" indent="2"/>
      <protection hidden="1"/>
    </xf>
    <xf numFmtId="0" fontId="107" fillId="0" borderId="0" xfId="0" applyFont="1" applyAlignment="1" applyProtection="1">
      <alignment horizontal="left" vertical="center" indent="1"/>
      <protection hidden="1"/>
    </xf>
    <xf numFmtId="2" fontId="88" fillId="0" borderId="0" xfId="0" applyNumberFormat="1" applyFont="1" applyAlignment="1" applyProtection="1">
      <alignment vertical="center"/>
      <protection hidden="1"/>
    </xf>
    <xf numFmtId="0" fontId="103" fillId="0" borderId="17" xfId="0" applyFont="1" applyBorder="1" applyProtection="1">
      <protection hidden="1"/>
    </xf>
    <xf numFmtId="1" fontId="89" fillId="0" borderId="53" xfId="0" applyNumberFormat="1" applyFont="1" applyBorder="1" applyAlignment="1" applyProtection="1">
      <alignment horizontal="left" vertical="top" wrapText="1"/>
      <protection hidden="1"/>
    </xf>
    <xf numFmtId="169" fontId="89" fillId="0" borderId="68" xfId="0" applyNumberFormat="1" applyFont="1" applyBorder="1" applyAlignment="1" applyProtection="1">
      <alignment horizontal="right" vertical="center" indent="1"/>
      <protection hidden="1"/>
    </xf>
    <xf numFmtId="1" fontId="89" fillId="0" borderId="37" xfId="0" applyNumberFormat="1" applyFont="1" applyBorder="1" applyAlignment="1" applyProtection="1">
      <alignment horizontal="right" vertical="center" indent="1"/>
      <protection hidden="1"/>
    </xf>
    <xf numFmtId="0" fontId="35" fillId="0" borderId="0" xfId="0" applyFont="1" applyAlignment="1" applyProtection="1">
      <alignment horizontal="right" indent="2"/>
      <protection hidden="1"/>
    </xf>
    <xf numFmtId="2" fontId="0" fillId="0" borderId="70" xfId="0" applyNumberFormat="1" applyBorder="1"/>
    <xf numFmtId="0" fontId="51" fillId="0" borderId="0" xfId="0" applyFont="1"/>
    <xf numFmtId="1" fontId="51" fillId="0" borderId="0" xfId="0" applyNumberFormat="1" applyFont="1" applyAlignment="1" applyProtection="1">
      <alignment vertical="center" wrapText="1"/>
      <protection hidden="1"/>
    </xf>
    <xf numFmtId="0" fontId="92" fillId="41" borderId="38" xfId="0" applyFont="1" applyFill="1" applyBorder="1" applyAlignment="1" applyProtection="1">
      <alignment vertical="center"/>
      <protection hidden="1"/>
    </xf>
    <xf numFmtId="0" fontId="121" fillId="41" borderId="62" xfId="0" applyFont="1" applyFill="1" applyBorder="1" applyAlignment="1" applyProtection="1">
      <alignment vertical="center"/>
      <protection hidden="1"/>
    </xf>
    <xf numFmtId="0" fontId="52" fillId="41" borderId="62" xfId="0" applyFont="1" applyFill="1" applyBorder="1" applyAlignment="1" applyProtection="1">
      <alignment horizontal="right" vertical="center" wrapText="1" indent="1"/>
      <protection hidden="1"/>
    </xf>
    <xf numFmtId="0" fontId="52" fillId="41" borderId="64" xfId="0" applyFont="1" applyFill="1" applyBorder="1" applyAlignment="1" applyProtection="1">
      <alignment horizontal="center" vertical="center"/>
      <protection hidden="1"/>
    </xf>
    <xf numFmtId="169" fontId="103" fillId="41" borderId="71" xfId="0" applyNumberFormat="1" applyFont="1" applyFill="1" applyBorder="1" applyAlignment="1" applyProtection="1">
      <alignment horizontal="center" vertical="center"/>
      <protection hidden="1"/>
    </xf>
    <xf numFmtId="2" fontId="84" fillId="41" borderId="71" xfId="0" applyNumberFormat="1" applyFont="1" applyFill="1" applyBorder="1" applyAlignment="1" applyProtection="1">
      <alignment horizontal="right" vertical="center" indent="2"/>
      <protection hidden="1"/>
    </xf>
    <xf numFmtId="0" fontId="84" fillId="37" borderId="72" xfId="0" applyFont="1" applyFill="1" applyBorder="1" applyAlignment="1" applyProtection="1">
      <alignment horizontal="right" vertical="center" indent="2"/>
      <protection hidden="1"/>
    </xf>
    <xf numFmtId="0" fontId="93" fillId="41" borderId="73" xfId="0" applyFont="1" applyFill="1" applyBorder="1" applyAlignment="1" applyProtection="1">
      <alignment horizontal="right" vertical="center" indent="2"/>
      <protection hidden="1"/>
    </xf>
    <xf numFmtId="0" fontId="85" fillId="37" borderId="69" xfId="0" applyFont="1" applyFill="1" applyBorder="1" applyAlignment="1" applyProtection="1">
      <alignment vertical="center"/>
      <protection hidden="1"/>
    </xf>
    <xf numFmtId="0" fontId="85" fillId="37" borderId="62" xfId="0" applyFont="1" applyFill="1" applyBorder="1" applyAlignment="1" applyProtection="1">
      <alignment vertical="center"/>
      <protection hidden="1"/>
    </xf>
    <xf numFmtId="0" fontId="36" fillId="0" borderId="0" xfId="0" applyFont="1" applyFill="1" applyProtection="1">
      <protection hidden="1"/>
    </xf>
    <xf numFmtId="0" fontId="35" fillId="0" borderId="0" xfId="0" applyFont="1" applyFill="1" applyProtection="1">
      <protection hidden="1"/>
    </xf>
    <xf numFmtId="0" fontId="38" fillId="0" borderId="0" xfId="0" applyFont="1" applyFill="1" applyProtection="1">
      <protection hidden="1"/>
    </xf>
    <xf numFmtId="0" fontId="88" fillId="0" borderId="0" xfId="0" applyFont="1" applyFill="1" applyProtection="1">
      <protection hidden="1"/>
    </xf>
    <xf numFmtId="0" fontId="84" fillId="0" borderId="0" xfId="0" applyFont="1" applyFill="1" applyProtection="1">
      <protection hidden="1"/>
    </xf>
    <xf numFmtId="0" fontId="72" fillId="0" borderId="0" xfId="0" applyFont="1" applyFill="1" applyProtection="1">
      <protection hidden="1"/>
    </xf>
    <xf numFmtId="0" fontId="103" fillId="0" borderId="0" xfId="0" applyFont="1" applyFill="1" applyProtection="1">
      <protection hidden="1"/>
    </xf>
    <xf numFmtId="0" fontId="95" fillId="0" borderId="0" xfId="0" applyFont="1" applyFill="1" applyAlignment="1" applyProtection="1">
      <alignment vertical="center"/>
      <protection hidden="1"/>
    </xf>
    <xf numFmtId="0" fontId="177" fillId="0" borderId="0" xfId="0" applyFont="1" applyFill="1" applyAlignment="1" applyProtection="1">
      <alignment vertical="center" wrapText="1"/>
      <protection hidden="1"/>
    </xf>
    <xf numFmtId="0" fontId="93" fillId="0" borderId="0" xfId="0" applyFont="1" applyFill="1" applyAlignment="1" applyProtection="1">
      <alignment vertical="center"/>
      <protection hidden="1"/>
    </xf>
    <xf numFmtId="0" fontId="38" fillId="37" borderId="72" xfId="0" applyFont="1" applyFill="1" applyBorder="1" applyAlignment="1" applyProtection="1">
      <alignment horizontal="left" vertical="center" wrapText="1" indent="2"/>
      <protection hidden="1"/>
    </xf>
    <xf numFmtId="0" fontId="0" fillId="0" borderId="0" xfId="0" applyAlignment="1" applyProtection="1">
      <alignment horizontal="right" indent="2"/>
      <protection hidden="1"/>
    </xf>
    <xf numFmtId="169" fontId="103" fillId="37" borderId="71" xfId="0" applyNumberFormat="1" applyFont="1" applyFill="1" applyBorder="1" applyAlignment="1" applyProtection="1">
      <alignment horizontal="center" vertical="center"/>
      <protection hidden="1"/>
    </xf>
    <xf numFmtId="169" fontId="72" fillId="0" borderId="71" xfId="0" applyNumberFormat="1" applyFont="1" applyBorder="1" applyAlignment="1" applyProtection="1">
      <alignment horizontal="center" vertical="center"/>
      <protection hidden="1"/>
    </xf>
    <xf numFmtId="169" fontId="0" fillId="0" borderId="0" xfId="0" applyNumberFormat="1" applyAlignment="1" applyProtection="1">
      <alignment horizontal="center"/>
      <protection hidden="1"/>
    </xf>
    <xf numFmtId="0" fontId="84" fillId="37" borderId="69" xfId="0" applyFont="1" applyFill="1" applyBorder="1" applyAlignment="1" applyProtection="1">
      <alignment horizontal="center" vertical="center"/>
      <protection hidden="1"/>
    </xf>
    <xf numFmtId="0" fontId="84" fillId="37" borderId="64" xfId="0" applyFont="1" applyFill="1" applyBorder="1" applyAlignment="1" applyProtection="1">
      <alignment horizontal="center" vertical="center"/>
      <protection hidden="1"/>
    </xf>
    <xf numFmtId="0" fontId="184" fillId="50" borderId="65" xfId="0" applyFont="1" applyFill="1" applyBorder="1" applyAlignment="1" applyProtection="1">
      <alignment vertical="center"/>
      <protection hidden="1"/>
    </xf>
    <xf numFmtId="0" fontId="164" fillId="51" borderId="0" xfId="0" applyFont="1" applyFill="1" applyAlignment="1" applyProtection="1">
      <alignment horizontal="left" vertical="center" indent="1"/>
      <protection hidden="1"/>
    </xf>
    <xf numFmtId="0" fontId="168" fillId="51" borderId="0" xfId="0" applyFont="1" applyFill="1" applyProtection="1">
      <protection hidden="1"/>
    </xf>
    <xf numFmtId="0" fontId="172" fillId="51" borderId="0" xfId="0" applyFont="1" applyFill="1" applyAlignment="1" applyProtection="1">
      <alignment vertical="center"/>
      <protection hidden="1"/>
    </xf>
    <xf numFmtId="0" fontId="103" fillId="0" borderId="0" xfId="0" applyFont="1" applyAlignment="1" applyProtection="1">
      <alignment vertical="top" wrapText="1"/>
      <protection hidden="1"/>
    </xf>
    <xf numFmtId="0" fontId="122" fillId="0" borderId="28" xfId="0" applyNumberFormat="1" applyFont="1" applyBorder="1" applyAlignment="1">
      <alignment horizontal="right" vertical="center" indent="1"/>
    </xf>
    <xf numFmtId="0" fontId="0" fillId="37" borderId="0" xfId="0" applyFill="1" applyAlignment="1">
      <alignment vertical="center"/>
    </xf>
    <xf numFmtId="0" fontId="78" fillId="41" borderId="67" xfId="0" applyFont="1" applyFill="1" applyBorder="1" applyAlignment="1" applyProtection="1">
      <alignment vertical="center"/>
      <protection hidden="1"/>
    </xf>
    <xf numFmtId="0" fontId="78" fillId="41" borderId="65" xfId="0" applyFont="1" applyFill="1" applyBorder="1" applyAlignment="1" applyProtection="1">
      <alignment vertical="center"/>
      <protection hidden="1"/>
    </xf>
    <xf numFmtId="0" fontId="78" fillId="41" borderId="66" xfId="0" applyFont="1" applyFill="1" applyBorder="1" applyAlignment="1" applyProtection="1">
      <alignment vertical="center"/>
      <protection hidden="1"/>
    </xf>
    <xf numFmtId="0" fontId="2" fillId="51" borderId="0" xfId="0" applyFont="1" applyFill="1" applyProtection="1">
      <protection locked="0"/>
    </xf>
    <xf numFmtId="0" fontId="185" fillId="62" borderId="0" xfId="0" applyFont="1" applyFill="1" applyProtection="1">
      <protection locked="0"/>
    </xf>
    <xf numFmtId="0" fontId="2" fillId="58" borderId="0" xfId="0" applyFont="1" applyFill="1" applyProtection="1">
      <protection locked="0"/>
    </xf>
    <xf numFmtId="0" fontId="2" fillId="11" borderId="0" xfId="0" applyFont="1" applyFill="1" applyProtection="1">
      <protection locked="0"/>
    </xf>
    <xf numFmtId="0" fontId="109" fillId="11" borderId="0" xfId="0" applyFont="1" applyFill="1" applyAlignment="1" applyProtection="1">
      <alignment vertical="center"/>
      <protection hidden="1"/>
    </xf>
    <xf numFmtId="0" fontId="1" fillId="4" borderId="2" xfId="0" applyFont="1" applyFill="1" applyBorder="1" applyAlignment="1" applyProtection="1">
      <alignment horizontal="center" vertical="center"/>
      <protection hidden="1"/>
    </xf>
    <xf numFmtId="0" fontId="135" fillId="36" borderId="0" xfId="0" applyFont="1" applyFill="1" applyAlignment="1">
      <alignment horizontal="center" vertical="top" wrapText="1"/>
    </xf>
    <xf numFmtId="0" fontId="154" fillId="42" borderId="0" xfId="0" applyFont="1" applyFill="1" applyAlignment="1">
      <alignment horizontal="center" vertical="top" wrapText="1"/>
    </xf>
    <xf numFmtId="0" fontId="180" fillId="59" borderId="0" xfId="0" applyFont="1" applyFill="1" applyBorder="1" applyAlignment="1">
      <alignment horizontal="left" vertical="center" wrapText="1"/>
    </xf>
    <xf numFmtId="0" fontId="76" fillId="0" borderId="0" xfId="0" applyFont="1" applyBorder="1" applyAlignment="1">
      <alignment horizontal="left" vertical="center" wrapText="1"/>
    </xf>
    <xf numFmtId="0" fontId="6" fillId="0" borderId="0" xfId="0" applyFont="1" applyAlignment="1">
      <alignment horizontal="right" vertical="center"/>
    </xf>
    <xf numFmtId="0" fontId="6" fillId="0" borderId="0" xfId="0" applyFont="1" applyAlignment="1">
      <alignment vertical="center"/>
    </xf>
    <xf numFmtId="0" fontId="2" fillId="0" borderId="0" xfId="0" applyFont="1" applyAlignment="1">
      <alignment vertical="center"/>
    </xf>
    <xf numFmtId="0" fontId="7" fillId="0" borderId="0" xfId="0" applyFont="1" applyAlignment="1">
      <alignment horizontal="right" vertical="center"/>
    </xf>
    <xf numFmtId="0" fontId="0" fillId="0" borderId="48" xfId="0" applyBorder="1" applyAlignment="1">
      <alignment vertical="center"/>
    </xf>
    <xf numFmtId="0" fontId="6" fillId="0" borderId="50" xfId="0" applyFont="1" applyBorder="1" applyAlignment="1">
      <alignment vertical="center"/>
    </xf>
    <xf numFmtId="0" fontId="125" fillId="40" borderId="0" xfId="0" applyFont="1" applyFill="1" applyAlignment="1">
      <alignment horizontal="left" vertical="center" wrapText="1"/>
    </xf>
    <xf numFmtId="0" fontId="180" fillId="59" borderId="0" xfId="0" applyFont="1" applyFill="1" applyAlignment="1">
      <alignment horizontal="left" vertical="center"/>
    </xf>
    <xf numFmtId="0" fontId="154" fillId="42" borderId="0" xfId="0" applyFont="1" applyFill="1" applyAlignment="1">
      <alignment horizontal="right" vertical="center" wrapText="1"/>
    </xf>
    <xf numFmtId="0" fontId="3" fillId="0" borderId="0" xfId="0" applyFont="1" applyAlignment="1">
      <alignment horizontal="right" vertical="center"/>
    </xf>
    <xf numFmtId="0" fontId="76" fillId="9" borderId="0" xfId="0" applyFont="1" applyFill="1" applyBorder="1" applyAlignment="1">
      <alignment horizontal="left" vertical="center" wrapText="1"/>
    </xf>
    <xf numFmtId="0" fontId="180" fillId="63" borderId="0" xfId="0" applyFont="1" applyFill="1" applyBorder="1" applyAlignment="1">
      <alignment horizontal="left" vertical="center" wrapText="1"/>
    </xf>
    <xf numFmtId="0" fontId="76" fillId="0" borderId="0" xfId="0" applyFont="1" applyBorder="1" applyAlignment="1">
      <alignment horizontal="left" vertical="center"/>
    </xf>
    <xf numFmtId="0" fontId="80" fillId="0" borderId="0" xfId="0" applyFont="1" applyAlignment="1">
      <alignment horizontal="right" vertical="center" wrapText="1"/>
    </xf>
    <xf numFmtId="0" fontId="85" fillId="0" borderId="0" xfId="0" applyFont="1" applyAlignment="1">
      <alignment vertical="center" wrapText="1"/>
    </xf>
    <xf numFmtId="0" fontId="4" fillId="0" borderId="0" xfId="0" applyFont="1" applyAlignment="1">
      <alignment vertical="center"/>
    </xf>
    <xf numFmtId="0" fontId="37" fillId="0" borderId="0" xfId="0" applyFont="1" applyAlignment="1">
      <alignment vertical="center"/>
    </xf>
    <xf numFmtId="0" fontId="86"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vertical="center"/>
    </xf>
    <xf numFmtId="0" fontId="2" fillId="0" borderId="0" xfId="0" applyFont="1" applyAlignment="1">
      <alignment horizontal="right" vertical="center"/>
    </xf>
    <xf numFmtId="0" fontId="4" fillId="9" borderId="0" xfId="0" applyFont="1" applyFill="1" applyAlignment="1">
      <alignment horizontal="right" vertical="center"/>
    </xf>
    <xf numFmtId="0" fontId="6" fillId="9" borderId="0" xfId="0" applyFont="1" applyFill="1" applyAlignment="1">
      <alignment vertical="center"/>
    </xf>
    <xf numFmtId="0" fontId="2" fillId="9" borderId="0" xfId="0" applyFont="1" applyFill="1" applyAlignment="1">
      <alignment vertical="center"/>
    </xf>
    <xf numFmtId="0" fontId="87" fillId="32" borderId="0" xfId="0" applyFont="1" applyFill="1" applyAlignment="1">
      <alignment vertical="center" wrapText="1"/>
    </xf>
    <xf numFmtId="0" fontId="36" fillId="32" borderId="0" xfId="0" applyFont="1" applyFill="1" applyAlignment="1">
      <alignment horizontal="right" vertical="center"/>
    </xf>
    <xf numFmtId="0" fontId="139" fillId="0" borderId="0" xfId="0" applyFont="1" applyAlignment="1">
      <alignment vertical="center"/>
    </xf>
    <xf numFmtId="0" fontId="36" fillId="33" borderId="0" xfId="0" applyFont="1" applyFill="1" applyAlignment="1">
      <alignment horizontal="right" vertical="center"/>
    </xf>
    <xf numFmtId="0" fontId="6" fillId="51" borderId="0" xfId="0" applyFont="1" applyFill="1" applyAlignment="1">
      <alignment horizontal="right" vertical="center"/>
    </xf>
    <xf numFmtId="0" fontId="6" fillId="51" borderId="0" xfId="0" applyFont="1" applyFill="1" applyAlignment="1">
      <alignment vertical="center"/>
    </xf>
    <xf numFmtId="0" fontId="153" fillId="0" borderId="0" xfId="0" applyFont="1" applyAlignment="1">
      <alignment vertical="center"/>
    </xf>
    <xf numFmtId="0" fontId="0" fillId="0" borderId="0" xfId="0" applyAlignment="1">
      <alignment horizontal="center"/>
    </xf>
    <xf numFmtId="0" fontId="0" fillId="0" borderId="0" xfId="0" applyAlignment="1">
      <alignment horizontal="center"/>
    </xf>
    <xf numFmtId="0" fontId="0" fillId="0" borderId="48" xfId="0" applyBorder="1" applyAlignment="1">
      <alignment horizontal="center"/>
    </xf>
    <xf numFmtId="0" fontId="36" fillId="60" borderId="0" xfId="0" applyFont="1" applyFill="1" applyAlignment="1">
      <alignment horizontal="left"/>
    </xf>
    <xf numFmtId="0" fontId="92" fillId="0" borderId="43" xfId="0" applyFont="1" applyBorder="1" applyProtection="1">
      <protection hidden="1"/>
    </xf>
    <xf numFmtId="0" fontId="0" fillId="0" borderId="43" xfId="0" applyBorder="1" applyProtection="1">
      <protection hidden="1"/>
    </xf>
    <xf numFmtId="0" fontId="0" fillId="0" borderId="25" xfId="0" applyFont="1" applyBorder="1" applyAlignment="1">
      <alignment horizontal="left" vertical="center" indent="1"/>
    </xf>
    <xf numFmtId="0" fontId="83" fillId="51" borderId="75" xfId="0" applyFont="1" applyFill="1" applyBorder="1" applyAlignment="1">
      <alignment vertical="center"/>
    </xf>
    <xf numFmtId="0" fontId="0" fillId="0" borderId="76" xfId="0" applyBorder="1" applyAlignment="1">
      <alignment horizontal="right" vertical="center"/>
    </xf>
    <xf numFmtId="1" fontId="186" fillId="0" borderId="42" xfId="0" applyNumberFormat="1" applyFont="1" applyBorder="1" applyAlignment="1" applyProtection="1">
      <alignment horizontal="left" vertical="center" indent="1"/>
      <protection hidden="1"/>
    </xf>
    <xf numFmtId="0" fontId="0" fillId="0" borderId="0" xfId="0" applyFont="1" applyAlignment="1" applyProtection="1">
      <alignment vertical="center"/>
      <protection hidden="1"/>
    </xf>
    <xf numFmtId="1" fontId="186" fillId="0" borderId="42" xfId="0" applyNumberFormat="1" applyFont="1" applyBorder="1" applyAlignment="1" applyProtection="1">
      <alignment horizontal="left" vertical="center" indent="2"/>
      <protection hidden="1"/>
    </xf>
    <xf numFmtId="1" fontId="186" fillId="0" borderId="42" xfId="0" applyNumberFormat="1" applyFont="1" applyBorder="1" applyAlignment="1" applyProtection="1">
      <alignment horizontal="right" vertical="center"/>
      <protection hidden="1"/>
    </xf>
    <xf numFmtId="1" fontId="186" fillId="0" borderId="42" xfId="0" applyNumberFormat="1" applyFont="1" applyBorder="1" applyAlignment="1" applyProtection="1">
      <alignment horizontal="left" vertical="center"/>
      <protection hidden="1"/>
    </xf>
    <xf numFmtId="0" fontId="186" fillId="0" borderId="42" xfId="0" applyFont="1" applyBorder="1" applyAlignment="1" applyProtection="1">
      <alignment horizontal="right" vertical="center"/>
      <protection hidden="1"/>
    </xf>
    <xf numFmtId="0" fontId="6" fillId="0" borderId="0" xfId="0" applyFont="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0" xfId="0" applyFont="1" applyAlignment="1" applyProtection="1">
      <alignment horizontal="left" vertical="center"/>
      <protection locked="0"/>
    </xf>
    <xf numFmtId="0" fontId="160" fillId="0" borderId="0" xfId="0" applyFont="1" applyAlignment="1" applyProtection="1">
      <alignment horizontal="left" vertical="center"/>
      <protection locked="0"/>
    </xf>
    <xf numFmtId="0" fontId="155" fillId="0" borderId="0" xfId="0" applyFont="1" applyAlignment="1" applyProtection="1">
      <alignment horizontal="left" vertical="center"/>
      <protection locked="0"/>
    </xf>
    <xf numFmtId="0" fontId="6" fillId="0" borderId="0" xfId="0" applyFont="1" applyAlignment="1" applyProtection="1">
      <alignment horizontal="left" vertical="center"/>
      <protection locked="0"/>
    </xf>
    <xf numFmtId="0" fontId="141" fillId="0" borderId="0" xfId="0" applyFont="1" applyAlignment="1" applyProtection="1">
      <alignment horizontal="left" vertical="center"/>
      <protection locked="0"/>
    </xf>
    <xf numFmtId="0" fontId="161" fillId="0" borderId="0" xfId="0" applyFont="1" applyAlignment="1">
      <alignment horizontal="left" vertical="center"/>
    </xf>
    <xf numFmtId="0" fontId="4" fillId="0" borderId="0" xfId="0" applyFont="1" applyAlignment="1" applyProtection="1">
      <alignment horizontal="left" vertical="center"/>
      <protection locked="0"/>
    </xf>
    <xf numFmtId="0" fontId="98" fillId="0" borderId="0" xfId="0" applyFont="1" applyAlignment="1" applyProtection="1">
      <alignment horizontal="left" vertical="center"/>
      <protection locked="0"/>
    </xf>
    <xf numFmtId="0" fontId="165" fillId="56" borderId="0" xfId="0" applyFont="1" applyFill="1" applyAlignment="1" applyProtection="1">
      <alignment horizontal="left" vertical="center"/>
      <protection locked="0"/>
    </xf>
    <xf numFmtId="0" fontId="166" fillId="56" borderId="0" xfId="0" applyFont="1" applyFill="1" applyAlignment="1" applyProtection="1">
      <alignment horizontal="left" vertical="center"/>
      <protection locked="0"/>
    </xf>
    <xf numFmtId="0" fontId="4" fillId="0" borderId="0" xfId="0" applyFont="1" applyAlignment="1">
      <alignment horizontal="center"/>
    </xf>
    <xf numFmtId="0" fontId="135" fillId="64" borderId="0" xfId="0" applyFont="1" applyFill="1" applyAlignment="1">
      <alignment horizontal="center" vertical="center"/>
    </xf>
    <xf numFmtId="0" fontId="0" fillId="0" borderId="0" xfId="0" applyAlignment="1"/>
    <xf numFmtId="0" fontId="0" fillId="0" borderId="0" xfId="0" applyAlignment="1">
      <alignment horizontal="center"/>
    </xf>
    <xf numFmtId="0" fontId="110" fillId="0" borderId="0" xfId="47" applyFont="1" applyFill="1" applyProtection="1">
      <protection hidden="1"/>
    </xf>
    <xf numFmtId="0" fontId="0" fillId="9" borderId="0" xfId="0" applyFill="1"/>
    <xf numFmtId="0" fontId="0" fillId="39" borderId="0" xfId="0" applyFill="1"/>
    <xf numFmtId="0" fontId="151" fillId="55" borderId="0" xfId="0" applyFont="1" applyFill="1" applyAlignment="1" applyProtection="1">
      <alignment vertical="center"/>
      <protection hidden="1"/>
    </xf>
    <xf numFmtId="0" fontId="2" fillId="0" borderId="1" xfId="0" applyFont="1" applyBorder="1" applyAlignment="1">
      <alignment horizontal="center"/>
    </xf>
    <xf numFmtId="0" fontId="136" fillId="0" borderId="0" xfId="0" applyFont="1" applyAlignment="1" applyProtection="1">
      <alignment horizontal="center" vertical="center"/>
      <protection hidden="1"/>
    </xf>
    <xf numFmtId="0" fontId="0" fillId="50" borderId="36" xfId="0" applyFill="1" applyBorder="1" applyAlignment="1" applyProtection="1">
      <alignment horizontal="center"/>
      <protection hidden="1"/>
    </xf>
    <xf numFmtId="0" fontId="84" fillId="0" borderId="0" xfId="0" applyFont="1" applyAlignment="1" applyProtection="1">
      <alignment horizontal="center"/>
      <protection hidden="1"/>
    </xf>
    <xf numFmtId="0" fontId="101" fillId="0" borderId="0" xfId="0" applyFont="1" applyAlignment="1" applyProtection="1">
      <alignment horizontal="center"/>
      <protection hidden="1"/>
    </xf>
    <xf numFmtId="0" fontId="102" fillId="0" borderId="0" xfId="0" applyFont="1" applyAlignment="1" applyProtection="1">
      <alignment horizontal="center" vertical="top" wrapText="1"/>
      <protection hidden="1"/>
    </xf>
    <xf numFmtId="0" fontId="18" fillId="0" borderId="0" xfId="0" applyFont="1" applyAlignment="1" applyProtection="1">
      <alignment horizontal="center"/>
      <protection hidden="1"/>
    </xf>
    <xf numFmtId="0" fontId="10" fillId="0" borderId="0" xfId="0" applyFont="1" applyAlignment="1" applyProtection="1">
      <alignment horizontal="center" vertical="center"/>
      <protection hidden="1"/>
    </xf>
    <xf numFmtId="0" fontId="146"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0" fontId="9" fillId="0" borderId="0" xfId="0" applyFont="1" applyAlignment="1" applyProtection="1">
      <alignment horizontal="center" vertical="top" wrapText="1"/>
      <protection hidden="1"/>
    </xf>
    <xf numFmtId="1" fontId="9" fillId="0" borderId="0" xfId="0" applyNumberFormat="1" applyFont="1" applyAlignment="1" applyProtection="1">
      <alignment horizontal="center" vertical="top" wrapText="1"/>
      <protection hidden="1"/>
    </xf>
    <xf numFmtId="0" fontId="0" fillId="0" borderId="0" xfId="0" applyAlignment="1">
      <alignment horizontal="center"/>
    </xf>
    <xf numFmtId="0" fontId="0" fillId="0" borderId="0" xfId="0" applyAlignment="1">
      <alignment horizontal="center"/>
    </xf>
    <xf numFmtId="1" fontId="89" fillId="0" borderId="37" xfId="0" applyNumberFormat="1" applyFont="1" applyBorder="1" applyAlignment="1" applyProtection="1">
      <alignment horizontal="left" vertical="top" wrapText="1"/>
      <protection hidden="1"/>
    </xf>
    <xf numFmtId="1" fontId="36" fillId="55" borderId="77" xfId="0" applyNumberFormat="1" applyFont="1" applyFill="1" applyBorder="1" applyAlignment="1" applyProtection="1">
      <alignment horizontal="left" vertical="center" wrapText="1"/>
      <protection hidden="1"/>
    </xf>
    <xf numFmtId="0" fontId="88" fillId="0" borderId="0" xfId="0" applyFont="1" applyAlignment="1" applyProtection="1">
      <alignment horizontal="right" indent="1"/>
      <protection hidden="1"/>
    </xf>
    <xf numFmtId="0" fontId="0" fillId="0" borderId="0" xfId="0" applyAlignment="1">
      <alignment wrapText="1"/>
    </xf>
    <xf numFmtId="0" fontId="83" fillId="0" borderId="0" xfId="0" applyFont="1"/>
    <xf numFmtId="0" fontId="120" fillId="65" borderId="34" xfId="0" applyFont="1" applyFill="1" applyBorder="1" applyAlignment="1" applyProtection="1">
      <alignment horizontal="left" vertical="center"/>
      <protection hidden="1"/>
    </xf>
    <xf numFmtId="0" fontId="120" fillId="65" borderId="34" xfId="0" applyFont="1" applyFill="1" applyBorder="1" applyAlignment="1" applyProtection="1">
      <alignment horizontal="right" vertical="center" indent="1"/>
      <protection hidden="1"/>
    </xf>
    <xf numFmtId="0" fontId="6" fillId="66" borderId="0" xfId="0" applyFont="1" applyFill="1" applyProtection="1">
      <protection locked="0"/>
    </xf>
    <xf numFmtId="169" fontId="168" fillId="51" borderId="0" xfId="0" applyNumberFormat="1" applyFont="1" applyFill="1" applyProtection="1">
      <protection hidden="1"/>
    </xf>
    <xf numFmtId="169" fontId="176" fillId="41" borderId="0" xfId="0" applyNumberFormat="1" applyFont="1" applyFill="1" applyAlignment="1" applyProtection="1">
      <alignment vertical="center"/>
      <protection hidden="1"/>
    </xf>
    <xf numFmtId="169" fontId="158" fillId="37" borderId="0" xfId="0" applyNumberFormat="1" applyFont="1" applyFill="1" applyProtection="1">
      <protection hidden="1"/>
    </xf>
    <xf numFmtId="169" fontId="130" fillId="41" borderId="0" xfId="0" applyNumberFormat="1" applyFont="1" applyFill="1" applyAlignment="1" applyProtection="1">
      <alignment vertical="center"/>
      <protection hidden="1"/>
    </xf>
    <xf numFmtId="169" fontId="149" fillId="50" borderId="60" xfId="0" applyNumberFormat="1" applyFont="1" applyFill="1" applyBorder="1" applyAlignment="1" applyProtection="1">
      <alignment vertical="center"/>
      <protection hidden="1"/>
    </xf>
    <xf numFmtId="169" fontId="130" fillId="37" borderId="0" xfId="0" applyNumberFormat="1" applyFont="1" applyFill="1" applyAlignment="1" applyProtection="1">
      <alignment vertical="center"/>
      <protection hidden="1"/>
    </xf>
    <xf numFmtId="169" fontId="163" fillId="54" borderId="0" xfId="0" applyNumberFormat="1" applyFont="1" applyFill="1" applyAlignment="1" applyProtection="1">
      <alignment vertical="center"/>
      <protection hidden="1"/>
    </xf>
    <xf numFmtId="169" fontId="130" fillId="37" borderId="58" xfId="0" applyNumberFormat="1" applyFont="1" applyFill="1" applyBorder="1" applyAlignment="1" applyProtection="1">
      <alignment vertical="center"/>
      <protection hidden="1"/>
    </xf>
    <xf numFmtId="169" fontId="144" fillId="58" borderId="63" xfId="0" applyNumberFormat="1" applyFont="1" applyFill="1" applyBorder="1" applyAlignment="1" applyProtection="1">
      <alignment horizontal="center" vertical="center" textRotation="64" wrapText="1"/>
      <protection hidden="1"/>
    </xf>
    <xf numFmtId="169" fontId="0" fillId="0" borderId="28" xfId="0" applyNumberFormat="1" applyBorder="1" applyAlignment="1" applyProtection="1">
      <alignment horizontal="right" vertical="center" indent="1"/>
      <protection hidden="1"/>
    </xf>
    <xf numFmtId="169" fontId="0" fillId="0" borderId="59" xfId="0" applyNumberFormat="1" applyBorder="1" applyProtection="1">
      <protection hidden="1"/>
    </xf>
    <xf numFmtId="169" fontId="0" fillId="0" borderId="0" xfId="0" applyNumberFormat="1" applyProtection="1">
      <protection hidden="1"/>
    </xf>
    <xf numFmtId="0" fontId="0" fillId="0" borderId="0" xfId="0" applyAlignment="1">
      <alignment horizontal="center"/>
    </xf>
    <xf numFmtId="0" fontId="0" fillId="0" borderId="0" xfId="0" applyAlignment="1">
      <alignment horizontal="center"/>
    </xf>
    <xf numFmtId="169" fontId="186" fillId="0" borderId="42" xfId="0" applyNumberFormat="1" applyFont="1" applyBorder="1" applyAlignment="1" applyProtection="1">
      <alignment horizontal="right" vertical="center" indent="1"/>
      <protection hidden="1"/>
    </xf>
    <xf numFmtId="1" fontId="187" fillId="0" borderId="42" xfId="0" applyNumberFormat="1" applyFont="1" applyBorder="1" applyAlignment="1" applyProtection="1">
      <alignment horizontal="left" vertical="center" indent="1"/>
      <protection hidden="1"/>
    </xf>
    <xf numFmtId="0" fontId="185" fillId="0" borderId="0" xfId="0" applyFont="1" applyAlignment="1">
      <alignment horizontal="left"/>
    </xf>
    <xf numFmtId="0" fontId="38" fillId="0" borderId="0" xfId="0" applyFont="1" applyAlignment="1"/>
    <xf numFmtId="0" fontId="188" fillId="0" borderId="0" xfId="0" applyFont="1" applyAlignment="1" applyProtection="1">
      <alignment vertical="top" wrapText="1"/>
      <protection hidden="1"/>
    </xf>
    <xf numFmtId="0" fontId="2" fillId="51" borderId="35" xfId="0" applyFont="1" applyFill="1" applyBorder="1" applyAlignment="1">
      <alignment horizontal="center" vertical="center"/>
    </xf>
    <xf numFmtId="0" fontId="2" fillId="8" borderId="35" xfId="0" applyFont="1" applyFill="1" applyBorder="1" applyAlignment="1">
      <alignment horizontal="center" vertical="center"/>
    </xf>
    <xf numFmtId="0" fontId="2" fillId="46" borderId="35" xfId="0" applyFont="1" applyFill="1" applyBorder="1" applyAlignment="1">
      <alignment horizontal="center" vertical="center"/>
    </xf>
    <xf numFmtId="0" fontId="0" fillId="0" borderId="49" xfId="0" applyBorder="1" applyAlignment="1">
      <alignment horizontal="center" vertical="center"/>
    </xf>
    <xf numFmtId="0" fontId="2" fillId="8" borderId="70" xfId="0" applyFont="1" applyFill="1" applyBorder="1" applyAlignment="1">
      <alignment horizontal="center" vertical="center"/>
    </xf>
    <xf numFmtId="1"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189" fillId="0" borderId="0" xfId="0" applyFont="1" applyAlignment="1" applyProtection="1">
      <alignment horizontal="right" indent="1"/>
      <protection hidden="1"/>
    </xf>
    <xf numFmtId="0" fontId="190" fillId="0" borderId="0" xfId="0" applyFont="1" applyProtection="1">
      <protection hidden="1"/>
    </xf>
    <xf numFmtId="0" fontId="192" fillId="0" borderId="0" xfId="0" applyFont="1" applyProtection="1">
      <protection hidden="1"/>
    </xf>
    <xf numFmtId="0" fontId="193" fillId="0" borderId="0" xfId="0" applyFont="1" applyProtection="1">
      <protection hidden="1"/>
    </xf>
    <xf numFmtId="0" fontId="103" fillId="0" borderId="0" xfId="0" applyFont="1" applyAlignment="1">
      <alignment vertical="center"/>
    </xf>
    <xf numFmtId="0" fontId="149" fillId="50" borderId="59" xfId="0" applyFont="1" applyFill="1" applyBorder="1" applyAlignment="1" applyProtection="1">
      <alignment vertical="center"/>
      <protection hidden="1"/>
    </xf>
    <xf numFmtId="4" fontId="0" fillId="0" borderId="0" xfId="0" applyNumberFormat="1"/>
    <xf numFmtId="0" fontId="195" fillId="0" borderId="0" xfId="0" applyFont="1"/>
    <xf numFmtId="0" fontId="92" fillId="37" borderId="65" xfId="0" applyFont="1" applyFill="1" applyBorder="1" applyAlignment="1">
      <alignment vertical="center"/>
    </xf>
    <xf numFmtId="0" fontId="196" fillId="0" borderId="0" xfId="0" applyFont="1" applyAlignment="1" applyProtection="1">
      <alignment horizontal="center" vertical="top"/>
      <protection hidden="1"/>
    </xf>
    <xf numFmtId="0" fontId="92" fillId="0" borderId="0" xfId="0" applyFont="1" applyAlignment="1">
      <alignment vertical="center"/>
    </xf>
    <xf numFmtId="0" fontId="120" fillId="0" borderId="0" xfId="0" applyFont="1" applyAlignment="1">
      <alignment horizontal="center" vertical="center"/>
    </xf>
    <xf numFmtId="0" fontId="92" fillId="0" borderId="0" xfId="0" applyFont="1"/>
    <xf numFmtId="0" fontId="0" fillId="37" borderId="89" xfId="0" applyFill="1" applyBorder="1" applyAlignment="1">
      <alignment horizontal="left" vertical="center"/>
    </xf>
    <xf numFmtId="0" fontId="0" fillId="37" borderId="89" xfId="0" applyFill="1" applyBorder="1" applyAlignment="1">
      <alignment vertical="center"/>
    </xf>
    <xf numFmtId="2" fontId="0" fillId="37" borderId="89" xfId="0" applyNumberFormat="1" applyFill="1" applyBorder="1" applyAlignment="1">
      <alignment vertical="center"/>
    </xf>
    <xf numFmtId="0" fontId="0" fillId="37" borderId="89" xfId="0" applyFill="1" applyBorder="1" applyAlignment="1">
      <alignment horizontal="right" vertical="center"/>
    </xf>
    <xf numFmtId="0" fontId="0" fillId="37" borderId="90" xfId="0" applyFill="1" applyBorder="1" applyAlignment="1">
      <alignment horizontal="left" vertical="center"/>
    </xf>
    <xf numFmtId="0" fontId="0" fillId="37" borderId="90" xfId="0" applyFill="1" applyBorder="1" applyAlignment="1">
      <alignment vertical="center"/>
    </xf>
    <xf numFmtId="2" fontId="0" fillId="37" borderId="90" xfId="0" applyNumberFormat="1" applyFill="1" applyBorder="1" applyAlignment="1">
      <alignment vertical="center"/>
    </xf>
    <xf numFmtId="0" fontId="0" fillId="37" borderId="90" xfId="0" applyFill="1" applyBorder="1" applyAlignment="1">
      <alignment horizontal="right" vertical="center"/>
    </xf>
    <xf numFmtId="0" fontId="0" fillId="37" borderId="88" xfId="0" applyFill="1" applyBorder="1" applyAlignment="1">
      <alignment horizontal="left" vertical="center"/>
    </xf>
    <xf numFmtId="0" fontId="0" fillId="37" borderId="88" xfId="0" applyFill="1" applyBorder="1" applyAlignment="1">
      <alignment vertical="center"/>
    </xf>
    <xf numFmtId="2" fontId="0" fillId="37" borderId="88" xfId="0" applyNumberFormat="1" applyFill="1" applyBorder="1" applyAlignment="1">
      <alignment vertical="center"/>
    </xf>
    <xf numFmtId="0" fontId="0" fillId="37" borderId="88" xfId="0" applyFill="1" applyBorder="1" applyAlignment="1">
      <alignment horizontal="right" vertical="center"/>
    </xf>
    <xf numFmtId="0" fontId="0" fillId="37" borderId="87" xfId="0" applyFill="1" applyBorder="1" applyAlignment="1">
      <alignment horizontal="left" vertical="center"/>
    </xf>
    <xf numFmtId="0" fontId="0" fillId="37" borderId="87" xfId="0" applyFill="1" applyBorder="1" applyAlignment="1">
      <alignment vertical="center"/>
    </xf>
    <xf numFmtId="2" fontId="0" fillId="37" borderId="87" xfId="0" applyNumberFormat="1" applyFill="1" applyBorder="1" applyAlignment="1">
      <alignment vertical="center"/>
    </xf>
    <xf numFmtId="0" fontId="0" fillId="37" borderId="87" xfId="0" applyFill="1" applyBorder="1" applyAlignment="1">
      <alignment horizontal="right" vertical="center"/>
    </xf>
    <xf numFmtId="0" fontId="0" fillId="50" borderId="59" xfId="0" applyFill="1" applyBorder="1" applyProtection="1">
      <protection hidden="1"/>
    </xf>
    <xf numFmtId="0" fontId="0" fillId="50" borderId="59" xfId="0" applyFill="1" applyBorder="1" applyAlignment="1" applyProtection="1">
      <alignment horizontal="right" indent="1"/>
      <protection hidden="1"/>
    </xf>
    <xf numFmtId="170" fontId="0" fillId="0" borderId="0" xfId="179" applyNumberFormat="1" applyFont="1" applyAlignment="1">
      <alignment wrapText="1"/>
    </xf>
    <xf numFmtId="0" fontId="0" fillId="0" borderId="0" xfId="0" applyAlignment="1">
      <alignment horizontal="left" wrapText="1"/>
    </xf>
    <xf numFmtId="0" fontId="83" fillId="0" borderId="0" xfId="0" applyFont="1" applyAlignment="1">
      <alignment horizontal="center" wrapText="1"/>
    </xf>
    <xf numFmtId="0" fontId="0" fillId="0" borderId="0" xfId="0" applyAlignment="1">
      <alignment horizontal="center"/>
    </xf>
    <xf numFmtId="0" fontId="169" fillId="50" borderId="59" xfId="0" applyFont="1" applyFill="1" applyBorder="1" applyAlignment="1" applyProtection="1">
      <alignment vertical="center"/>
      <protection hidden="1"/>
    </xf>
    <xf numFmtId="0" fontId="170" fillId="37" borderId="0" xfId="0" applyFont="1" applyFill="1" applyAlignment="1" applyProtection="1">
      <alignment vertical="center"/>
      <protection hidden="1"/>
    </xf>
    <xf numFmtId="0" fontId="163" fillId="54" borderId="86" xfId="0" applyFont="1" applyFill="1" applyBorder="1" applyAlignment="1" applyProtection="1">
      <alignment vertical="center"/>
      <protection hidden="1"/>
    </xf>
    <xf numFmtId="0" fontId="171" fillId="54" borderId="86" xfId="0" applyFont="1" applyFill="1" applyBorder="1" applyAlignment="1" applyProtection="1">
      <alignment vertical="center"/>
      <protection hidden="1"/>
    </xf>
    <xf numFmtId="0" fontId="163" fillId="54" borderId="86" xfId="0" applyFont="1" applyFill="1" applyBorder="1" applyAlignment="1" applyProtection="1">
      <alignment horizontal="right" vertical="center"/>
      <protection hidden="1"/>
    </xf>
    <xf numFmtId="0" fontId="163" fillId="54" borderId="86" xfId="0" applyFont="1" applyFill="1" applyBorder="1" applyAlignment="1" applyProtection="1">
      <alignment horizontal="center" vertical="center"/>
      <protection hidden="1"/>
    </xf>
    <xf numFmtId="0" fontId="86" fillId="32" borderId="65" xfId="0" applyFont="1" applyFill="1" applyBorder="1" applyAlignment="1">
      <alignment vertical="center"/>
    </xf>
    <xf numFmtId="0" fontId="36" fillId="32" borderId="65" xfId="0" applyFont="1" applyFill="1" applyBorder="1" applyAlignment="1">
      <alignment vertical="center"/>
    </xf>
    <xf numFmtId="0" fontId="0" fillId="0" borderId="87" xfId="0" applyBorder="1" applyAlignment="1">
      <alignment horizontal="left" indent="1"/>
    </xf>
    <xf numFmtId="2" fontId="0" fillId="0" borderId="87" xfId="0" applyNumberFormat="1" applyBorder="1" applyAlignment="1">
      <alignment horizontal="right" indent="1"/>
    </xf>
    <xf numFmtId="0" fontId="0" fillId="0" borderId="88" xfId="0" applyBorder="1" applyAlignment="1">
      <alignment horizontal="left" indent="1"/>
    </xf>
    <xf numFmtId="2" fontId="0" fillId="0" borderId="88" xfId="0" applyNumberFormat="1" applyBorder="1" applyAlignment="1">
      <alignment horizontal="right" indent="1"/>
    </xf>
    <xf numFmtId="183" fontId="0" fillId="0" borderId="0" xfId="0" applyNumberFormat="1"/>
    <xf numFmtId="0" fontId="0" fillId="0" borderId="43" xfId="0" applyBorder="1"/>
    <xf numFmtId="0" fontId="83" fillId="0" borderId="48" xfId="0" applyFont="1" applyBorder="1"/>
    <xf numFmtId="0" fontId="0" fillId="0" borderId="67" xfId="0" applyBorder="1"/>
    <xf numFmtId="0" fontId="197" fillId="0" borderId="2" xfId="0" applyFont="1" applyBorder="1" applyAlignment="1" applyProtection="1">
      <alignment vertical="center" wrapText="1"/>
      <protection hidden="1"/>
    </xf>
    <xf numFmtId="0" fontId="0" fillId="0" borderId="0" xfId="0" applyAlignment="1">
      <alignment horizontal="center"/>
    </xf>
    <xf numFmtId="0" fontId="9" fillId="37" borderId="0" xfId="0" applyFont="1" applyFill="1" applyProtection="1">
      <protection hidden="1"/>
    </xf>
    <xf numFmtId="0" fontId="19" fillId="37" borderId="0" xfId="0" applyFont="1" applyFill="1" applyProtection="1">
      <protection hidden="1"/>
    </xf>
    <xf numFmtId="0" fontId="103" fillId="37" borderId="0" xfId="0" applyFont="1" applyFill="1" applyAlignment="1" applyProtection="1">
      <alignment vertical="center"/>
      <protection hidden="1"/>
    </xf>
    <xf numFmtId="0" fontId="36" fillId="37" borderId="70" xfId="0" applyFont="1" applyFill="1" applyBorder="1"/>
    <xf numFmtId="0" fontId="0" fillId="0" borderId="0" xfId="0" applyAlignment="1">
      <alignment horizontal="center"/>
    </xf>
    <xf numFmtId="169" fontId="0" fillId="0" borderId="91" xfId="0" applyNumberFormat="1" applyBorder="1" applyAlignment="1" applyProtection="1">
      <alignment horizontal="right" vertical="center" indent="1"/>
      <protection hidden="1"/>
    </xf>
    <xf numFmtId="0" fontId="0" fillId="0" borderId="0" xfId="0" applyAlignment="1">
      <alignment horizontal="center"/>
    </xf>
    <xf numFmtId="0" fontId="145" fillId="51" borderId="0" xfId="0" applyFont="1" applyFill="1" applyAlignment="1" applyProtection="1">
      <alignment horizontal="left" vertical="center" indent="1"/>
      <protection hidden="1"/>
    </xf>
    <xf numFmtId="0" fontId="136" fillId="51" borderId="0" xfId="0" applyFont="1" applyFill="1" applyAlignment="1" applyProtection="1">
      <alignment vertical="center"/>
      <protection hidden="1"/>
    </xf>
    <xf numFmtId="0" fontId="136" fillId="51" borderId="0" xfId="0" applyFont="1" applyFill="1" applyAlignment="1" applyProtection="1">
      <alignment horizontal="right" vertical="center" indent="1"/>
      <protection hidden="1"/>
    </xf>
    <xf numFmtId="0" fontId="38" fillId="51" borderId="0" xfId="0" applyFont="1" applyFill="1" applyProtection="1">
      <protection hidden="1"/>
    </xf>
    <xf numFmtId="0" fontId="169" fillId="50" borderId="65" xfId="0" applyFont="1" applyFill="1" applyBorder="1" applyAlignment="1" applyProtection="1">
      <alignment vertical="center"/>
      <protection hidden="1"/>
    </xf>
    <xf numFmtId="0" fontId="149" fillId="50" borderId="65" xfId="0" applyFont="1" applyFill="1" applyBorder="1" applyAlignment="1" applyProtection="1">
      <alignment horizontal="right" vertical="center" indent="1"/>
      <protection hidden="1"/>
    </xf>
    <xf numFmtId="0" fontId="163" fillId="54" borderId="92" xfId="0" applyFont="1" applyFill="1" applyBorder="1" applyAlignment="1" applyProtection="1">
      <alignment vertical="center"/>
      <protection hidden="1"/>
    </xf>
    <xf numFmtId="0" fontId="171" fillId="54" borderId="93" xfId="0" applyFont="1" applyFill="1" applyBorder="1" applyAlignment="1" applyProtection="1">
      <alignment horizontal="left" vertical="center" indent="1"/>
      <protection hidden="1"/>
    </xf>
    <xf numFmtId="0" fontId="163" fillId="54" borderId="92" xfId="0" applyFont="1" applyFill="1" applyBorder="1" applyAlignment="1" applyProtection="1">
      <alignment horizontal="right" vertical="center"/>
      <protection hidden="1"/>
    </xf>
    <xf numFmtId="0" fontId="198" fillId="54" borderId="92" xfId="0" applyFont="1" applyFill="1" applyBorder="1" applyAlignment="1" applyProtection="1">
      <alignment vertical="center"/>
      <protection hidden="1"/>
    </xf>
    <xf numFmtId="0" fontId="130" fillId="37" borderId="94" xfId="0" applyFont="1" applyFill="1" applyBorder="1" applyAlignment="1" applyProtection="1">
      <alignment vertical="center"/>
      <protection hidden="1"/>
    </xf>
    <xf numFmtId="0" fontId="130" fillId="37" borderId="94" xfId="0" applyFont="1" applyFill="1" applyBorder="1" applyAlignment="1" applyProtection="1">
      <alignment horizontal="right" vertical="center" indent="1"/>
      <protection hidden="1"/>
    </xf>
    <xf numFmtId="0" fontId="102" fillId="0" borderId="0" xfId="0" applyFont="1" applyAlignment="1" applyProtection="1">
      <alignment horizontal="right" vertical="top" wrapText="1" indent="1"/>
      <protection hidden="1"/>
    </xf>
    <xf numFmtId="169" fontId="35" fillId="0" borderId="0" xfId="0" applyNumberFormat="1" applyFont="1" applyAlignment="1" applyProtection="1">
      <alignment horizontal="right" indent="1"/>
      <protection hidden="1"/>
    </xf>
    <xf numFmtId="0" fontId="199" fillId="0" borderId="0" xfId="0" quotePrefix="1" applyFont="1" applyAlignment="1" applyProtection="1">
      <alignment wrapText="1"/>
      <protection hidden="1"/>
    </xf>
    <xf numFmtId="169" fontId="199" fillId="0" borderId="0" xfId="0" quotePrefix="1" applyNumberFormat="1" applyFont="1" applyAlignment="1" applyProtection="1">
      <alignment horizontal="right" wrapText="1" indent="1"/>
      <protection hidden="1"/>
    </xf>
    <xf numFmtId="0" fontId="72" fillId="0" borderId="0" xfId="0" applyFont="1" applyAlignment="1" applyProtection="1">
      <alignment horizontal="center" vertical="center"/>
      <protection hidden="1"/>
    </xf>
    <xf numFmtId="1" fontId="95" fillId="0" borderId="0" xfId="0" applyNumberFormat="1" applyFont="1" applyAlignment="1" applyProtection="1">
      <alignment horizontal="center" vertical="center"/>
      <protection hidden="1"/>
    </xf>
    <xf numFmtId="1" fontId="95" fillId="0" borderId="43" xfId="0" applyNumberFormat="1" applyFont="1" applyBorder="1" applyAlignment="1" applyProtection="1">
      <alignment horizontal="center" vertical="center"/>
      <protection hidden="1"/>
    </xf>
    <xf numFmtId="0" fontId="72" fillId="0" borderId="43" xfId="0" applyFont="1" applyBorder="1" applyAlignment="1" applyProtection="1">
      <alignment horizontal="center" vertical="center"/>
      <protection hidden="1"/>
    </xf>
    <xf numFmtId="0" fontId="95" fillId="0" borderId="0" xfId="0" applyFont="1" applyAlignment="1" applyProtection="1">
      <alignment horizontal="center" vertical="center"/>
      <protection hidden="1"/>
    </xf>
    <xf numFmtId="0" fontId="0" fillId="0" borderId="0" xfId="0" applyAlignment="1">
      <alignment horizontal="right" indent="1"/>
    </xf>
    <xf numFmtId="1" fontId="89" fillId="0" borderId="0" xfId="0" applyNumberFormat="1" applyFont="1" applyProtection="1">
      <protection hidden="1"/>
    </xf>
    <xf numFmtId="1" fontId="84" fillId="0" borderId="0" xfId="0" applyNumberFormat="1" applyFont="1" applyProtection="1">
      <protection hidden="1"/>
    </xf>
    <xf numFmtId="0" fontId="103" fillId="0" borderId="95" xfId="0" applyFont="1" applyBorder="1" applyProtection="1">
      <protection hidden="1"/>
    </xf>
    <xf numFmtId="1" fontId="84" fillId="0" borderId="16" xfId="0" applyNumberFormat="1" applyFont="1" applyBorder="1" applyAlignment="1" applyProtection="1">
      <alignment horizontal="right" vertical="center"/>
      <protection hidden="1"/>
    </xf>
    <xf numFmtId="1" fontId="84" fillId="0" borderId="16" xfId="0" applyNumberFormat="1" applyFont="1" applyBorder="1" applyAlignment="1" applyProtection="1">
      <alignment vertical="center"/>
      <protection hidden="1"/>
    </xf>
    <xf numFmtId="169" fontId="84" fillId="0" borderId="16" xfId="0" applyNumberFormat="1" applyFont="1" applyBorder="1" applyAlignment="1" applyProtection="1">
      <alignment horizontal="right" vertical="center" indent="1"/>
      <protection hidden="1"/>
    </xf>
    <xf numFmtId="1" fontId="35" fillId="0" borderId="0" xfId="0" applyNumberFormat="1" applyFont="1" applyProtection="1">
      <protection hidden="1"/>
    </xf>
    <xf numFmtId="1" fontId="84" fillId="0" borderId="16" xfId="0" applyNumberFormat="1" applyFont="1" applyBorder="1" applyAlignment="1" applyProtection="1">
      <alignment horizontal="left" vertical="center"/>
      <protection hidden="1"/>
    </xf>
    <xf numFmtId="1" fontId="89" fillId="0" borderId="16" xfId="0" applyNumberFormat="1" applyFont="1" applyBorder="1" applyAlignment="1" applyProtection="1">
      <alignment horizontal="right" vertical="center"/>
      <protection hidden="1"/>
    </xf>
    <xf numFmtId="169" fontId="89" fillId="0" borderId="16" xfId="0" applyNumberFormat="1" applyFont="1" applyBorder="1" applyAlignment="1" applyProtection="1">
      <alignment horizontal="right" vertical="center" indent="1"/>
      <protection hidden="1"/>
    </xf>
    <xf numFmtId="1" fontId="89" fillId="0" borderId="16" xfId="0" applyNumberFormat="1" applyFont="1" applyBorder="1" applyAlignment="1" applyProtection="1">
      <alignment vertical="center"/>
      <protection hidden="1"/>
    </xf>
    <xf numFmtId="169" fontId="88" fillId="0" borderId="0" xfId="0" applyNumberFormat="1" applyFont="1" applyAlignment="1" applyProtection="1">
      <alignment horizontal="right" indent="1"/>
      <protection hidden="1"/>
    </xf>
    <xf numFmtId="169" fontId="94" fillId="0" borderId="0" xfId="0" applyNumberFormat="1" applyFont="1" applyAlignment="1" applyProtection="1">
      <alignment horizontal="right" indent="1"/>
      <protection hidden="1"/>
    </xf>
    <xf numFmtId="169" fontId="51" fillId="0" borderId="0" xfId="0" applyNumberFormat="1" applyFont="1" applyAlignment="1" applyProtection="1">
      <alignment horizontal="right" indent="1"/>
      <protection hidden="1"/>
    </xf>
    <xf numFmtId="0" fontId="2" fillId="8" borderId="44" xfId="0" applyFont="1" applyFill="1" applyBorder="1"/>
    <xf numFmtId="0" fontId="2" fillId="8" borderId="45" xfId="0" applyFont="1" applyFill="1" applyBorder="1"/>
    <xf numFmtId="0" fontId="2" fillId="8" borderId="96" xfId="0" applyFont="1" applyFill="1" applyBorder="1"/>
    <xf numFmtId="0" fontId="2" fillId="8" borderId="97" xfId="0" applyFont="1" applyFill="1" applyBorder="1"/>
    <xf numFmtId="0" fontId="2" fillId="8" borderId="46" xfId="0" applyFont="1" applyFill="1" applyBorder="1"/>
    <xf numFmtId="0" fontId="2" fillId="0" borderId="61" xfId="0" applyFont="1" applyBorder="1" applyAlignment="1">
      <alignment horizontal="right"/>
    </xf>
    <xf numFmtId="0" fontId="2" fillId="8" borderId="47" xfId="0" applyFont="1" applyFill="1" applyBorder="1"/>
    <xf numFmtId="0" fontId="2" fillId="8" borderId="98" xfId="0" applyFont="1" applyFill="1" applyBorder="1"/>
    <xf numFmtId="0" fontId="2" fillId="8" borderId="99" xfId="0" applyFont="1" applyFill="1" applyBorder="1"/>
    <xf numFmtId="0" fontId="2" fillId="8" borderId="22" xfId="0" applyFont="1" applyFill="1" applyBorder="1"/>
    <xf numFmtId="0" fontId="2" fillId="0" borderId="70" xfId="0" applyFont="1" applyBorder="1" applyAlignment="1">
      <alignment horizontal="right"/>
    </xf>
    <xf numFmtId="0" fontId="2" fillId="0" borderId="44" xfId="0" applyFont="1" applyBorder="1" applyAlignment="1">
      <alignment horizontal="right"/>
    </xf>
    <xf numFmtId="0" fontId="2" fillId="0" borderId="45" xfId="0" applyFont="1" applyBorder="1"/>
    <xf numFmtId="169" fontId="2" fillId="0" borderId="45" xfId="0" applyNumberFormat="1" applyFont="1" applyBorder="1"/>
    <xf numFmtId="169" fontId="2" fillId="8" borderId="46" xfId="0" applyNumberFormat="1" applyFont="1" applyFill="1" applyBorder="1"/>
    <xf numFmtId="169" fontId="2" fillId="8" borderId="47" xfId="0" applyNumberFormat="1" applyFont="1" applyFill="1" applyBorder="1"/>
    <xf numFmtId="169" fontId="2" fillId="8" borderId="0" xfId="0" applyNumberFormat="1" applyFont="1" applyFill="1"/>
    <xf numFmtId="1" fontId="2" fillId="8" borderId="98" xfId="0" applyNumberFormat="1" applyFont="1" applyFill="1" applyBorder="1"/>
    <xf numFmtId="1" fontId="2" fillId="8" borderId="99" xfId="0" applyNumberFormat="1" applyFont="1" applyFill="1" applyBorder="1"/>
    <xf numFmtId="1" fontId="2" fillId="8" borderId="0" xfId="0" applyNumberFormat="1" applyFont="1" applyFill="1"/>
    <xf numFmtId="169" fontId="2" fillId="8" borderId="22" xfId="0" applyNumberFormat="1" applyFont="1" applyFill="1" applyBorder="1"/>
    <xf numFmtId="0" fontId="2" fillId="0" borderId="3" xfId="0" applyFont="1" applyBorder="1" applyAlignment="1">
      <alignment horizontal="right"/>
    </xf>
    <xf numFmtId="169" fontId="2" fillId="8" borderId="98" xfId="0" applyNumberFormat="1" applyFont="1" applyFill="1" applyBorder="1"/>
    <xf numFmtId="169" fontId="2" fillId="8" borderId="99" xfId="0" applyNumberFormat="1" applyFont="1" applyFill="1" applyBorder="1"/>
    <xf numFmtId="0" fontId="2" fillId="0" borderId="47" xfId="0" applyFont="1" applyBorder="1" applyAlignment="1">
      <alignment horizontal="right"/>
    </xf>
    <xf numFmtId="0" fontId="2" fillId="0" borderId="4" xfId="0" applyFont="1" applyBorder="1" applyAlignment="1">
      <alignment horizontal="right"/>
    </xf>
    <xf numFmtId="0" fontId="2" fillId="39" borderId="5" xfId="0" applyFont="1" applyFill="1" applyBorder="1" applyAlignment="1">
      <alignment horizontal="right"/>
    </xf>
    <xf numFmtId="0" fontId="2" fillId="0" borderId="49" xfId="0" applyFont="1" applyBorder="1" applyAlignment="1">
      <alignment horizontal="left"/>
    </xf>
    <xf numFmtId="1" fontId="2" fillId="0" borderId="49" xfId="0" applyNumberFormat="1" applyFont="1" applyBorder="1"/>
    <xf numFmtId="0" fontId="2" fillId="0" borderId="48" xfId="0" applyFont="1" applyBorder="1" applyAlignment="1">
      <alignment horizontal="right"/>
    </xf>
    <xf numFmtId="169" fontId="2" fillId="0" borderId="49" xfId="0" applyNumberFormat="1" applyFont="1" applyBorder="1"/>
    <xf numFmtId="169" fontId="2" fillId="8" borderId="50" xfId="0" applyNumberFormat="1" applyFont="1" applyFill="1" applyBorder="1"/>
    <xf numFmtId="169" fontId="2" fillId="8" borderId="55" xfId="0" applyNumberFormat="1" applyFont="1" applyFill="1" applyBorder="1"/>
    <xf numFmtId="169" fontId="2" fillId="8" borderId="56" xfId="0" applyNumberFormat="1" applyFont="1" applyFill="1" applyBorder="1"/>
    <xf numFmtId="1" fontId="2" fillId="8" borderId="100" xfId="0" applyNumberFormat="1" applyFont="1" applyFill="1" applyBorder="1"/>
    <xf numFmtId="1" fontId="2" fillId="8" borderId="101" xfId="0" applyNumberFormat="1" applyFont="1" applyFill="1" applyBorder="1"/>
    <xf numFmtId="0" fontId="2" fillId="0" borderId="54" xfId="0" applyFont="1" applyBorder="1" applyAlignment="1">
      <alignment horizontal="right"/>
    </xf>
    <xf numFmtId="169" fontId="2" fillId="8" borderId="100" xfId="0" applyNumberFormat="1" applyFont="1" applyFill="1" applyBorder="1"/>
    <xf numFmtId="1" fontId="2" fillId="8" borderId="56" xfId="0" applyNumberFormat="1" applyFont="1" applyFill="1" applyBorder="1"/>
    <xf numFmtId="0" fontId="200" fillId="0" borderId="0" xfId="0" applyFont="1" applyAlignment="1">
      <alignment horizontal="right"/>
    </xf>
    <xf numFmtId="0" fontId="200" fillId="0" borderId="0" xfId="0" applyFont="1" applyAlignment="1">
      <alignment horizontal="left"/>
    </xf>
    <xf numFmtId="2" fontId="94" fillId="0" borderId="0" xfId="0" applyNumberFormat="1" applyFont="1" applyAlignment="1" applyProtection="1">
      <alignment horizontal="right" indent="1"/>
      <protection hidden="1"/>
    </xf>
    <xf numFmtId="2" fontId="94" fillId="0" borderId="0" xfId="0" applyNumberFormat="1" applyFont="1" applyProtection="1">
      <protection hidden="1"/>
    </xf>
    <xf numFmtId="2" fontId="122" fillId="0" borderId="0" xfId="0" applyNumberFormat="1" applyFont="1" applyProtection="1">
      <protection hidden="1"/>
    </xf>
    <xf numFmtId="169" fontId="0" fillId="8" borderId="0" xfId="0" applyNumberFormat="1" applyFill="1"/>
    <xf numFmtId="0" fontId="20" fillId="8" borderId="0" xfId="0" applyFont="1" applyFill="1"/>
    <xf numFmtId="0" fontId="130" fillId="41" borderId="0" xfId="0" applyFont="1" applyFill="1" applyAlignment="1" applyProtection="1">
      <alignment horizontal="right" vertical="center"/>
      <protection hidden="1"/>
    </xf>
    <xf numFmtId="0" fontId="158" fillId="37" borderId="0" xfId="0" applyFont="1" applyFill="1" applyAlignment="1" applyProtection="1">
      <alignment horizontal="right"/>
      <protection hidden="1"/>
    </xf>
    <xf numFmtId="0" fontId="149" fillId="50" borderId="65" xfId="0" applyFont="1" applyFill="1" applyBorder="1" applyAlignment="1" applyProtection="1">
      <alignment horizontal="right" vertical="center"/>
      <protection hidden="1"/>
    </xf>
    <xf numFmtId="0" fontId="130" fillId="37" borderId="0" xfId="0" applyFont="1" applyFill="1" applyAlignment="1" applyProtection="1">
      <alignment horizontal="right" vertical="center"/>
      <protection hidden="1"/>
    </xf>
    <xf numFmtId="0" fontId="171" fillId="54" borderId="57" xfId="0" applyFont="1" applyFill="1" applyBorder="1" applyAlignment="1" applyProtection="1">
      <alignment horizontal="right" vertical="center" indent="1"/>
      <protection hidden="1"/>
    </xf>
    <xf numFmtId="0" fontId="171" fillId="54" borderId="57" xfId="0" applyFont="1" applyFill="1" applyBorder="1" applyAlignment="1" applyProtection="1">
      <alignment horizontal="right" vertical="center"/>
      <protection hidden="1"/>
    </xf>
    <xf numFmtId="0" fontId="52" fillId="41" borderId="62" xfId="0" applyFont="1" applyFill="1" applyBorder="1" applyAlignment="1" applyProtection="1">
      <alignment horizontal="right" vertical="center" wrapText="1"/>
      <protection hidden="1"/>
    </xf>
    <xf numFmtId="169" fontId="89" fillId="0" borderId="68" xfId="0" applyNumberFormat="1" applyFont="1" applyBorder="1" applyAlignment="1" applyProtection="1">
      <alignment horizontal="right" vertical="center"/>
      <protection hidden="1"/>
    </xf>
    <xf numFmtId="0" fontId="151" fillId="55" borderId="0" xfId="0" applyFont="1" applyFill="1" applyAlignment="1" applyProtection="1">
      <alignment horizontal="right" vertical="center" indent="1"/>
      <protection hidden="1"/>
    </xf>
    <xf numFmtId="0" fontId="36" fillId="0" borderId="0" xfId="0" applyFont="1" applyAlignment="1" applyProtection="1">
      <alignment horizontal="right" wrapText="1" indent="1"/>
      <protection hidden="1"/>
    </xf>
    <xf numFmtId="0" fontId="130" fillId="41" borderId="0" xfId="0" applyFont="1" applyFill="1" applyAlignment="1" applyProtection="1">
      <alignment horizontal="right" vertical="center" indent="1"/>
      <protection hidden="1"/>
    </xf>
    <xf numFmtId="0" fontId="158" fillId="37" borderId="0" xfId="0" applyFont="1" applyFill="1" applyAlignment="1" applyProtection="1">
      <alignment horizontal="right" indent="1"/>
      <protection hidden="1"/>
    </xf>
    <xf numFmtId="0" fontId="87" fillId="0" borderId="0" xfId="0" applyFont="1" applyAlignment="1" applyProtection="1">
      <alignment horizontal="right" indent="1"/>
      <protection hidden="1"/>
    </xf>
    <xf numFmtId="169" fontId="36" fillId="55" borderId="78" xfId="0" applyNumberFormat="1" applyFont="1" applyFill="1" applyBorder="1" applyAlignment="1" applyProtection="1">
      <alignment horizontal="right" vertical="center" indent="1"/>
      <protection hidden="1"/>
    </xf>
    <xf numFmtId="169" fontId="89" fillId="0" borderId="80" xfId="0" applyNumberFormat="1" applyFont="1" applyBorder="1" applyAlignment="1" applyProtection="1">
      <alignment horizontal="right" vertical="center" indent="1"/>
      <protection hidden="1"/>
    </xf>
    <xf numFmtId="169" fontId="89" fillId="0" borderId="82" xfId="0" applyNumberFormat="1" applyFont="1" applyBorder="1" applyAlignment="1" applyProtection="1">
      <alignment horizontal="right" vertical="center" indent="1"/>
      <protection hidden="1"/>
    </xf>
    <xf numFmtId="2" fontId="88" fillId="0" borderId="0" xfId="0" applyNumberFormat="1" applyFont="1" applyAlignment="1" applyProtection="1">
      <alignment horizontal="right" indent="1"/>
      <protection hidden="1"/>
    </xf>
    <xf numFmtId="0" fontId="36" fillId="0" borderId="0" xfId="0" applyFont="1" applyAlignment="1" applyProtection="1">
      <alignment horizontal="right"/>
      <protection hidden="1"/>
    </xf>
    <xf numFmtId="0" fontId="88" fillId="0" borderId="0" xfId="0" applyFont="1" applyAlignment="1" applyProtection="1">
      <alignment horizontal="right"/>
      <protection hidden="1"/>
    </xf>
    <xf numFmtId="0" fontId="36" fillId="0" borderId="0" xfId="0" applyFont="1" applyAlignment="1" applyProtection="1">
      <alignment horizontal="right" indent="1"/>
      <protection hidden="1"/>
    </xf>
    <xf numFmtId="2" fontId="51" fillId="0" borderId="0" xfId="0" applyNumberFormat="1" applyFont="1" applyAlignment="1" applyProtection="1">
      <alignment horizontal="right" indent="1"/>
      <protection hidden="1"/>
    </xf>
    <xf numFmtId="169" fontId="36" fillId="55" borderId="84" xfId="0" applyNumberFormat="1" applyFont="1" applyFill="1" applyBorder="1" applyAlignment="1" applyProtection="1">
      <alignment horizontal="right" vertical="center" indent="1"/>
      <protection hidden="1"/>
    </xf>
    <xf numFmtId="0" fontId="51" fillId="0" borderId="0" xfId="0" applyFont="1" applyAlignment="1" applyProtection="1">
      <alignment horizontal="right"/>
      <protection hidden="1"/>
    </xf>
    <xf numFmtId="0" fontId="51" fillId="0" borderId="0" xfId="0" applyFont="1" applyAlignment="1" applyProtection="1">
      <alignment horizontal="right" indent="1"/>
      <protection hidden="1"/>
    </xf>
    <xf numFmtId="0" fontId="52" fillId="41" borderId="64" xfId="0" applyFont="1" applyFill="1" applyBorder="1" applyAlignment="1" applyProtection="1">
      <alignment horizontal="right" vertical="center" indent="1"/>
      <protection hidden="1"/>
    </xf>
    <xf numFmtId="1" fontId="36" fillId="55" borderId="79" xfId="0" applyNumberFormat="1" applyFont="1" applyFill="1" applyBorder="1" applyAlignment="1" applyProtection="1">
      <alignment horizontal="right" vertical="center" indent="1"/>
      <protection hidden="1"/>
    </xf>
    <xf numFmtId="1" fontId="89" fillId="0" borderId="81" xfId="0" applyNumberFormat="1" applyFont="1" applyBorder="1" applyAlignment="1" applyProtection="1">
      <alignment horizontal="right" vertical="center" indent="1"/>
      <protection hidden="1"/>
    </xf>
    <xf numFmtId="1" fontId="89" fillId="0" borderId="83" xfId="0" applyNumberFormat="1" applyFont="1" applyBorder="1" applyAlignment="1" applyProtection="1">
      <alignment horizontal="right" vertical="center" indent="1"/>
      <protection hidden="1"/>
    </xf>
    <xf numFmtId="1" fontId="36" fillId="55" borderId="85" xfId="0" applyNumberFormat="1" applyFont="1" applyFill="1" applyBorder="1" applyAlignment="1" applyProtection="1">
      <alignment horizontal="right" vertical="center" indent="1"/>
      <protection hidden="1"/>
    </xf>
    <xf numFmtId="169" fontId="89" fillId="0" borderId="52" xfId="0" applyNumberFormat="1" applyFont="1" applyBorder="1" applyAlignment="1" applyProtection="1">
      <alignment horizontal="right" vertical="center"/>
      <protection hidden="1"/>
    </xf>
    <xf numFmtId="0" fontId="76" fillId="8" borderId="0" xfId="0" applyFont="1" applyFill="1" applyBorder="1" applyAlignment="1">
      <alignment horizontal="left" vertical="top"/>
    </xf>
    <xf numFmtId="0" fontId="76" fillId="8" borderId="0" xfId="0" applyFont="1" applyFill="1" applyBorder="1" applyAlignment="1">
      <alignment horizontal="left" vertical="top" wrapText="1"/>
    </xf>
    <xf numFmtId="1" fontId="2" fillId="0" borderId="0" xfId="0" applyNumberFormat="1" applyFont="1" applyAlignment="1">
      <alignment horizontal="center" vertical="center"/>
    </xf>
    <xf numFmtId="0" fontId="0" fillId="0" borderId="0" xfId="0" applyFill="1" applyAlignment="1">
      <alignment horizontal="center" vertical="center"/>
    </xf>
    <xf numFmtId="1" fontId="0" fillId="0" borderId="0" xfId="0" applyNumberFormat="1" applyAlignment="1">
      <alignment horizontal="center" vertical="center"/>
    </xf>
    <xf numFmtId="0" fontId="2" fillId="0" borderId="0" xfId="0" applyFont="1" applyFill="1" applyAlignment="1">
      <alignment horizontal="center" vertical="center"/>
    </xf>
    <xf numFmtId="0" fontId="2" fillId="0" borderId="49" xfId="0" applyFont="1" applyBorder="1" applyAlignment="1">
      <alignment horizontal="center" vertical="center"/>
    </xf>
    <xf numFmtId="0" fontId="2" fillId="0" borderId="49" xfId="0" applyFont="1" applyFill="1" applyBorder="1" applyAlignment="1">
      <alignment horizontal="center" vertical="center"/>
    </xf>
    <xf numFmtId="0" fontId="0" fillId="0" borderId="0" xfId="0" applyAlignment="1">
      <alignment horizontal="center"/>
    </xf>
    <xf numFmtId="0" fontId="165" fillId="8" borderId="0" xfId="0" applyFont="1" applyFill="1"/>
    <xf numFmtId="0" fontId="0" fillId="0" borderId="0" xfId="0" applyAlignment="1">
      <alignment horizontal="center"/>
    </xf>
    <xf numFmtId="0" fontId="180" fillId="67" borderId="0" xfId="0" applyFont="1" applyFill="1" applyBorder="1" applyAlignment="1">
      <alignment horizontal="left" vertical="top" wrapText="1"/>
    </xf>
    <xf numFmtId="0" fontId="180" fillId="67" borderId="0" xfId="0" applyFont="1" applyFill="1" applyBorder="1" applyAlignment="1">
      <alignment horizontal="center" vertical="top" wrapText="1"/>
    </xf>
    <xf numFmtId="0" fontId="76" fillId="8" borderId="0" xfId="0" applyFont="1" applyFill="1" applyBorder="1" applyAlignment="1">
      <alignment horizontal="center" vertical="top" wrapText="1"/>
    </xf>
    <xf numFmtId="0" fontId="76" fillId="8" borderId="0" xfId="0" applyFont="1" applyFill="1" applyBorder="1" applyAlignment="1">
      <alignment horizontal="center" vertical="top"/>
    </xf>
    <xf numFmtId="0" fontId="180" fillId="0" borderId="0" xfId="0" applyFont="1" applyFill="1" applyBorder="1" applyAlignment="1">
      <alignment horizontal="left" vertical="top" wrapText="1"/>
    </xf>
    <xf numFmtId="0" fontId="180" fillId="0" borderId="0" xfId="0" applyFont="1" applyFill="1" applyBorder="1" applyAlignment="1">
      <alignment horizontal="center" vertical="top" wrapText="1"/>
    </xf>
    <xf numFmtId="0" fontId="76" fillId="0" borderId="0" xfId="0" applyFont="1" applyFill="1" applyBorder="1" applyAlignment="1">
      <alignment horizontal="left" vertical="top" wrapText="1"/>
    </xf>
    <xf numFmtId="0" fontId="76" fillId="0" borderId="0" xfId="0" applyFont="1" applyFill="1" applyBorder="1" applyAlignment="1">
      <alignment horizontal="center" vertical="top" wrapText="1"/>
    </xf>
    <xf numFmtId="0" fontId="76" fillId="0" borderId="0" xfId="0" applyFont="1" applyFill="1" applyBorder="1" applyAlignment="1">
      <alignment horizontal="left" vertical="top"/>
    </xf>
    <xf numFmtId="0" fontId="76" fillId="0" borderId="0" xfId="0" applyFont="1" applyFill="1" applyBorder="1" applyAlignment="1">
      <alignment horizontal="center" vertical="top"/>
    </xf>
    <xf numFmtId="0" fontId="76" fillId="67" borderId="0" xfId="0" applyFont="1" applyFill="1" applyBorder="1" applyAlignment="1">
      <alignment horizontal="left" vertical="top" wrapText="1"/>
    </xf>
    <xf numFmtId="0" fontId="76" fillId="67" borderId="0" xfId="0" applyFont="1" applyFill="1" applyBorder="1" applyAlignment="1">
      <alignment horizontal="center" vertical="top" wrapText="1"/>
    </xf>
    <xf numFmtId="0" fontId="0" fillId="0" borderId="0" xfId="0" applyFont="1"/>
    <xf numFmtId="0" fontId="0" fillId="0" borderId="0" xfId="0" applyAlignment="1">
      <alignment horizontal="center"/>
    </xf>
    <xf numFmtId="0" fontId="135" fillId="36" borderId="45" xfId="0" applyFont="1" applyFill="1" applyBorder="1" applyAlignment="1">
      <alignment horizontal="left" vertical="top" wrapText="1"/>
    </xf>
    <xf numFmtId="0" fontId="135" fillId="36" borderId="46" xfId="0" applyFont="1" applyFill="1" applyBorder="1" applyAlignment="1">
      <alignment horizontal="left" vertical="top" wrapText="1"/>
    </xf>
    <xf numFmtId="0" fontId="154" fillId="42" borderId="0" xfId="0" applyFont="1" applyFill="1" applyBorder="1" applyAlignment="1">
      <alignment horizontal="center" vertical="top" wrapText="1"/>
    </xf>
    <xf numFmtId="0" fontId="154" fillId="42" borderId="22" xfId="0" applyFont="1" applyFill="1" applyBorder="1" applyAlignment="1">
      <alignment horizontal="center" vertical="top" wrapText="1"/>
    </xf>
    <xf numFmtId="0" fontId="180" fillId="0" borderId="22" xfId="0" applyFont="1" applyFill="1" applyBorder="1" applyAlignment="1">
      <alignment horizontal="left" vertical="top" wrapText="1"/>
    </xf>
    <xf numFmtId="0" fontId="76" fillId="0" borderId="22" xfId="0" applyFont="1" applyFill="1" applyBorder="1" applyAlignment="1">
      <alignment horizontal="left" vertical="top" wrapText="1"/>
    </xf>
    <xf numFmtId="0" fontId="76" fillId="0" borderId="22" xfId="0" applyFont="1" applyFill="1" applyBorder="1" applyAlignment="1">
      <alignment horizontal="left" vertical="top"/>
    </xf>
    <xf numFmtId="0" fontId="0" fillId="0" borderId="0" xfId="0" applyBorder="1" applyAlignment="1">
      <alignment horizontal="left"/>
    </xf>
    <xf numFmtId="0" fontId="0" fillId="0" borderId="22" xfId="0" applyBorder="1" applyAlignment="1">
      <alignment horizontal="left"/>
    </xf>
    <xf numFmtId="0" fontId="135" fillId="36" borderId="102" xfId="0" applyFont="1" applyFill="1" applyBorder="1" applyAlignment="1">
      <alignment horizontal="left" vertical="top" wrapText="1"/>
    </xf>
    <xf numFmtId="0" fontId="154" fillId="42" borderId="74" xfId="0" applyFont="1" applyFill="1" applyBorder="1" applyAlignment="1">
      <alignment horizontal="center" vertical="top" wrapText="1"/>
    </xf>
    <xf numFmtId="0" fontId="180" fillId="0" borderId="74" xfId="0" applyFont="1" applyFill="1" applyBorder="1" applyAlignment="1">
      <alignment horizontal="left" vertical="top" wrapText="1"/>
    </xf>
    <xf numFmtId="0" fontId="76" fillId="0" borderId="74" xfId="0" applyFont="1" applyFill="1" applyBorder="1" applyAlignment="1">
      <alignment horizontal="left" vertical="top" wrapText="1"/>
    </xf>
    <xf numFmtId="0" fontId="76" fillId="0" borderId="74" xfId="0" applyFont="1" applyFill="1" applyBorder="1" applyAlignment="1">
      <alignment horizontal="left" vertical="top"/>
    </xf>
    <xf numFmtId="0" fontId="0" fillId="0" borderId="74" xfId="0" applyBorder="1" applyAlignment="1">
      <alignment horizontal="left"/>
    </xf>
    <xf numFmtId="0" fontId="117" fillId="0" borderId="0" xfId="0" applyFont="1" applyFill="1" applyAlignment="1">
      <alignment horizontal="left" vertical="top" wrapText="1"/>
    </xf>
    <xf numFmtId="0" fontId="21" fillId="0" borderId="0" xfId="0" applyFont="1" applyFill="1" applyBorder="1" applyAlignment="1">
      <alignment horizontal="left" vertical="top" wrapText="1"/>
    </xf>
    <xf numFmtId="0" fontId="14" fillId="0" borderId="0" xfId="0" applyFont="1" applyFill="1" applyBorder="1" applyAlignment="1">
      <alignment horizontal="left" vertical="top" wrapText="1"/>
    </xf>
    <xf numFmtId="0" fontId="14" fillId="0" borderId="0" xfId="0" applyFont="1" applyFill="1" applyBorder="1" applyAlignment="1">
      <alignment horizontal="left" vertical="top"/>
    </xf>
    <xf numFmtId="0" fontId="38" fillId="0" borderId="0" xfId="0" applyFont="1" applyFill="1" applyAlignment="1">
      <alignment vertical="center"/>
    </xf>
    <xf numFmtId="0" fontId="203" fillId="58" borderId="0" xfId="0" applyFont="1" applyFill="1" applyBorder="1" applyAlignment="1">
      <alignment horizontal="left" vertical="top" wrapText="1"/>
    </xf>
    <xf numFmtId="0" fontId="203" fillId="55" borderId="0" xfId="0" applyFont="1" applyFill="1" applyBorder="1" applyAlignment="1">
      <alignment horizontal="left" vertical="top" wrapText="1"/>
    </xf>
    <xf numFmtId="0" fontId="139" fillId="0" borderId="0" xfId="0" applyFont="1" applyFill="1" applyBorder="1" applyAlignment="1">
      <alignment horizontal="left" vertical="top" wrapText="1"/>
    </xf>
    <xf numFmtId="0" fontId="204" fillId="0" borderId="0" xfId="0" applyFont="1"/>
    <xf numFmtId="0" fontId="52" fillId="37" borderId="0" xfId="0" applyFont="1" applyFill="1" applyAlignment="1">
      <alignment wrapText="1"/>
    </xf>
    <xf numFmtId="0" fontId="81" fillId="0" borderId="0" xfId="0" applyFont="1" applyAlignment="1">
      <alignment horizontal="center"/>
    </xf>
    <xf numFmtId="169" fontId="74" fillId="0" borderId="0" xfId="0" applyNumberFormat="1" applyFont="1"/>
    <xf numFmtId="0" fontId="52" fillId="0" borderId="45" xfId="0" applyFont="1" applyBorder="1"/>
    <xf numFmtId="0" fontId="52" fillId="0" borderId="56" xfId="0" applyFont="1" applyBorder="1"/>
    <xf numFmtId="0" fontId="52" fillId="0" borderId="0" xfId="0" applyFont="1" applyBorder="1"/>
    <xf numFmtId="0" fontId="52" fillId="0" borderId="44" xfId="0" applyFont="1" applyBorder="1"/>
    <xf numFmtId="0" fontId="52" fillId="0" borderId="47" xfId="0" applyFont="1" applyBorder="1"/>
    <xf numFmtId="0" fontId="205" fillId="60" borderId="0" xfId="0" applyFont="1" applyFill="1" applyAlignment="1" applyProtection="1">
      <alignment horizontal="left" vertical="center" indent="1"/>
      <protection hidden="1"/>
    </xf>
    <xf numFmtId="0" fontId="109" fillId="60" borderId="0" xfId="0" applyFont="1" applyFill="1" applyAlignment="1" applyProtection="1">
      <alignment vertical="center"/>
      <protection hidden="1"/>
    </xf>
    <xf numFmtId="0" fontId="36" fillId="60" borderId="0" xfId="0" applyFont="1" applyFill="1"/>
    <xf numFmtId="0" fontId="149" fillId="69" borderId="65" xfId="0" applyFont="1" applyFill="1" applyBorder="1" applyAlignment="1" applyProtection="1">
      <alignment vertical="center"/>
      <protection hidden="1"/>
    </xf>
    <xf numFmtId="0" fontId="38" fillId="0" borderId="0" xfId="0" applyFont="1" applyAlignment="1" applyProtection="1">
      <alignment vertical="center"/>
      <protection hidden="1"/>
    </xf>
    <xf numFmtId="0" fontId="130" fillId="37" borderId="0" xfId="0" applyFont="1" applyFill="1" applyAlignment="1" applyProtection="1">
      <alignment vertical="center" wrapText="1"/>
      <protection hidden="1"/>
    </xf>
    <xf numFmtId="0" fontId="163" fillId="53" borderId="86" xfId="0" applyFont="1" applyFill="1" applyBorder="1" applyAlignment="1" applyProtection="1">
      <alignment vertical="center"/>
      <protection hidden="1"/>
    </xf>
    <xf numFmtId="0" fontId="103" fillId="53" borderId="86" xfId="0" applyFont="1" applyFill="1" applyBorder="1" applyAlignment="1">
      <alignment vertical="center"/>
    </xf>
    <xf numFmtId="0" fontId="163" fillId="53" borderId="86" xfId="0" applyFont="1" applyFill="1" applyBorder="1" applyAlignment="1" applyProtection="1">
      <alignment vertical="center" wrapText="1"/>
      <protection hidden="1"/>
    </xf>
    <xf numFmtId="0" fontId="103" fillId="53" borderId="86" xfId="0" applyFont="1" applyFill="1" applyBorder="1" applyAlignment="1" applyProtection="1">
      <alignment vertical="center"/>
      <protection hidden="1"/>
    </xf>
    <xf numFmtId="0" fontId="84" fillId="0" borderId="0" xfId="0" applyFont="1" applyAlignment="1" applyProtection="1">
      <alignment vertical="center"/>
      <protection hidden="1"/>
    </xf>
    <xf numFmtId="0" fontId="35" fillId="0" borderId="0" xfId="0" applyFont="1" applyAlignment="1" applyProtection="1">
      <alignment horizontal="left" vertical="top"/>
      <protection hidden="1"/>
    </xf>
    <xf numFmtId="0" fontId="78" fillId="71" borderId="59" xfId="0" applyFont="1" applyFill="1" applyBorder="1" applyAlignment="1" applyProtection="1">
      <alignment horizontal="left" vertical="center"/>
      <protection hidden="1"/>
    </xf>
    <xf numFmtId="0" fontId="78" fillId="71" borderId="69" xfId="0" applyFont="1" applyFill="1" applyBorder="1" applyAlignment="1" applyProtection="1">
      <alignment horizontal="left" vertical="center"/>
      <protection hidden="1"/>
    </xf>
    <xf numFmtId="0" fontId="35" fillId="0" borderId="43" xfId="0" applyFont="1" applyBorder="1" applyProtection="1">
      <protection hidden="1"/>
    </xf>
    <xf numFmtId="0" fontId="121" fillId="0" borderId="15" xfId="0" applyFont="1" applyBorder="1" applyAlignment="1" applyProtection="1">
      <alignment vertical="top"/>
      <protection hidden="1"/>
    </xf>
    <xf numFmtId="0" fontId="121" fillId="0" borderId="38" xfId="0" applyFont="1" applyBorder="1" applyAlignment="1" applyProtection="1">
      <alignment vertical="top"/>
      <protection hidden="1"/>
    </xf>
    <xf numFmtId="0" fontId="121" fillId="0" borderId="59" xfId="0" applyFont="1" applyBorder="1" applyAlignment="1" applyProtection="1">
      <alignment vertical="top"/>
      <protection hidden="1"/>
    </xf>
    <xf numFmtId="0" fontId="121" fillId="0" borderId="51" xfId="0" applyFont="1" applyBorder="1" applyAlignment="1" applyProtection="1">
      <alignment vertical="top"/>
      <protection hidden="1"/>
    </xf>
    <xf numFmtId="0" fontId="121" fillId="0" borderId="76" xfId="0" applyFont="1" applyBorder="1" applyAlignment="1" applyProtection="1">
      <alignment vertical="top"/>
      <protection hidden="1"/>
    </xf>
    <xf numFmtId="0" fontId="121" fillId="0" borderId="112" xfId="0" applyFont="1" applyBorder="1" applyAlignment="1" applyProtection="1">
      <alignment vertical="top"/>
      <protection hidden="1"/>
    </xf>
    <xf numFmtId="0" fontId="121" fillId="0" borderId="113" xfId="0" applyFont="1" applyBorder="1" applyAlignment="1" applyProtection="1">
      <alignment vertical="top"/>
      <protection hidden="1"/>
    </xf>
    <xf numFmtId="0" fontId="120" fillId="0" borderId="114" xfId="0" applyFont="1" applyBorder="1" applyAlignment="1" applyProtection="1">
      <alignment horizontal="left" vertical="center"/>
      <protection hidden="1"/>
    </xf>
    <xf numFmtId="169" fontId="92" fillId="0" borderId="115" xfId="0" applyNumberFormat="1" applyFont="1" applyBorder="1" applyAlignment="1" applyProtection="1">
      <alignment horizontal="center" vertical="center"/>
      <protection hidden="1"/>
    </xf>
    <xf numFmtId="169" fontId="92" fillId="0" borderId="52" xfId="0" applyNumberFormat="1" applyFont="1" applyBorder="1" applyAlignment="1" applyProtection="1">
      <alignment horizontal="center" vertical="center"/>
      <protection hidden="1"/>
    </xf>
    <xf numFmtId="169" fontId="92" fillId="0" borderId="87" xfId="0" applyNumberFormat="1" applyFont="1" applyBorder="1" applyAlignment="1" applyProtection="1">
      <alignment horizontal="center" vertical="center"/>
      <protection hidden="1"/>
    </xf>
    <xf numFmtId="169" fontId="92" fillId="0" borderId="40" xfId="0" applyNumberFormat="1" applyFont="1" applyBorder="1" applyAlignment="1" applyProtection="1">
      <alignment horizontal="center" vertical="center"/>
      <protection hidden="1"/>
    </xf>
    <xf numFmtId="169" fontId="92" fillId="0" borderId="76" xfId="0" applyNumberFormat="1" applyFont="1" applyBorder="1" applyAlignment="1" applyProtection="1">
      <alignment horizontal="center" vertical="center"/>
      <protection hidden="1"/>
    </xf>
    <xf numFmtId="169" fontId="92" fillId="0" borderId="112" xfId="0" applyNumberFormat="1" applyFont="1" applyBorder="1" applyAlignment="1" applyProtection="1">
      <alignment horizontal="center" vertical="center"/>
      <protection hidden="1"/>
    </xf>
    <xf numFmtId="169" fontId="92" fillId="0" borderId="113" xfId="0" applyNumberFormat="1" applyFont="1" applyBorder="1" applyAlignment="1" applyProtection="1">
      <alignment horizontal="center" vertical="center"/>
      <protection hidden="1"/>
    </xf>
    <xf numFmtId="0" fontId="0" fillId="0" borderId="0" xfId="0" applyAlignment="1" applyProtection="1">
      <alignment vertical="center"/>
      <protection hidden="1"/>
    </xf>
    <xf numFmtId="1" fontId="38" fillId="0" borderId="0" xfId="0" applyNumberFormat="1" applyFont="1" applyAlignment="1" applyProtection="1">
      <alignment vertical="center"/>
      <protection hidden="1"/>
    </xf>
    <xf numFmtId="0" fontId="72" fillId="0" borderId="88" xfId="0" applyFont="1" applyBorder="1" applyAlignment="1" applyProtection="1">
      <alignment horizontal="left" vertical="center" indent="1"/>
      <protection hidden="1"/>
    </xf>
    <xf numFmtId="169" fontId="35" fillId="0" borderId="117" xfId="0" applyNumberFormat="1" applyFont="1" applyBorder="1" applyAlignment="1" applyProtection="1">
      <alignment horizontal="center" vertical="center"/>
      <protection hidden="1"/>
    </xf>
    <xf numFmtId="169" fontId="35" fillId="0" borderId="116" xfId="0" applyNumberFormat="1" applyFont="1" applyBorder="1" applyAlignment="1" applyProtection="1">
      <alignment horizontal="center" vertical="center"/>
      <protection hidden="1"/>
    </xf>
    <xf numFmtId="169" fontId="35" fillId="0" borderId="88" xfId="0" applyNumberFormat="1" applyFont="1" applyBorder="1" applyAlignment="1" applyProtection="1">
      <alignment horizontal="center" vertical="center"/>
      <protection hidden="1"/>
    </xf>
    <xf numFmtId="169" fontId="35" fillId="0" borderId="53" xfId="0" applyNumberFormat="1" applyFont="1" applyBorder="1" applyAlignment="1" applyProtection="1">
      <alignment horizontal="center" vertical="center"/>
      <protection hidden="1"/>
    </xf>
    <xf numFmtId="169" fontId="35" fillId="0" borderId="76" xfId="0" applyNumberFormat="1" applyFont="1" applyBorder="1" applyAlignment="1" applyProtection="1">
      <alignment horizontal="center" vertical="center"/>
      <protection hidden="1"/>
    </xf>
    <xf numFmtId="169" fontId="35" fillId="0" borderId="112" xfId="0" applyNumberFormat="1" applyFont="1" applyBorder="1" applyAlignment="1" applyProtection="1">
      <alignment horizontal="center" vertical="center"/>
      <protection hidden="1"/>
    </xf>
    <xf numFmtId="169" fontId="35" fillId="0" borderId="113" xfId="0" applyNumberFormat="1" applyFont="1" applyBorder="1" applyAlignment="1" applyProtection="1">
      <alignment horizontal="center" vertical="center"/>
      <protection hidden="1"/>
    </xf>
    <xf numFmtId="0" fontId="72" fillId="0" borderId="89" xfId="0" applyFont="1" applyBorder="1" applyAlignment="1" applyProtection="1">
      <alignment horizontal="left" vertical="center" indent="1"/>
      <protection hidden="1"/>
    </xf>
    <xf numFmtId="169" fontId="35" fillId="0" borderId="119" xfId="0" applyNumberFormat="1" applyFont="1" applyBorder="1" applyAlignment="1" applyProtection="1">
      <alignment horizontal="center" vertical="center"/>
      <protection hidden="1"/>
    </xf>
    <xf numFmtId="169" fontId="35" fillId="0" borderId="118" xfId="0" applyNumberFormat="1" applyFont="1" applyBorder="1" applyAlignment="1" applyProtection="1">
      <alignment horizontal="center" vertical="center"/>
      <protection hidden="1"/>
    </xf>
    <xf numFmtId="169" fontId="35" fillId="0" borderId="89" xfId="0" applyNumberFormat="1" applyFont="1" applyBorder="1" applyAlignment="1" applyProtection="1">
      <alignment horizontal="center" vertical="center"/>
      <protection hidden="1"/>
    </xf>
    <xf numFmtId="0" fontId="122" fillId="0" borderId="0" xfId="0" applyFont="1"/>
    <xf numFmtId="0" fontId="36" fillId="0" borderId="59" xfId="0" applyFont="1" applyBorder="1" applyProtection="1">
      <protection hidden="1"/>
    </xf>
    <xf numFmtId="0" fontId="35" fillId="0" borderId="69" xfId="0" applyFont="1" applyBorder="1" applyProtection="1">
      <protection hidden="1"/>
    </xf>
    <xf numFmtId="0" fontId="78" fillId="37" borderId="38" xfId="0" applyFont="1" applyFill="1" applyBorder="1" applyAlignment="1" applyProtection="1">
      <alignment horizontal="left" vertical="center"/>
      <protection hidden="1"/>
    </xf>
    <xf numFmtId="0" fontId="78" fillId="72" borderId="59" xfId="0" applyFont="1" applyFill="1" applyBorder="1" applyAlignment="1" applyProtection="1">
      <alignment horizontal="left" vertical="center"/>
      <protection hidden="1"/>
    </xf>
    <xf numFmtId="0" fontId="78" fillId="37" borderId="62" xfId="0" applyFont="1" applyFill="1" applyBorder="1" applyAlignment="1" applyProtection="1">
      <alignment horizontal="left" vertical="center"/>
      <protection hidden="1"/>
    </xf>
    <xf numFmtId="0" fontId="78" fillId="72" borderId="69" xfId="0" applyFont="1" applyFill="1" applyBorder="1" applyAlignment="1" applyProtection="1">
      <alignment horizontal="left" vertical="center"/>
      <protection hidden="1"/>
    </xf>
    <xf numFmtId="0" fontId="0" fillId="68" borderId="123" xfId="0" applyFill="1" applyBorder="1" applyAlignment="1" applyProtection="1">
      <alignment horizontal="left" wrapText="1"/>
      <protection hidden="1"/>
    </xf>
    <xf numFmtId="1" fontId="102" fillId="0" borderId="37" xfId="0" applyNumberFormat="1" applyFont="1" applyBorder="1" applyAlignment="1" applyProtection="1">
      <alignment horizontal="left" vertical="center" wrapText="1" indent="1"/>
      <protection hidden="1"/>
    </xf>
    <xf numFmtId="1" fontId="102" fillId="0" borderId="114" xfId="0" applyNumberFormat="1" applyFont="1" applyBorder="1" applyAlignment="1" applyProtection="1">
      <alignment horizontal="left" vertical="center" indent="1"/>
      <protection hidden="1"/>
    </xf>
    <xf numFmtId="169" fontId="102" fillId="0" borderId="124" xfId="0" applyNumberFormat="1" applyFont="1" applyBorder="1" applyAlignment="1" applyProtection="1">
      <alignment horizontal="center" vertical="center"/>
      <protection hidden="1"/>
    </xf>
    <xf numFmtId="169" fontId="102" fillId="0" borderId="68" xfId="0" applyNumberFormat="1" applyFont="1" applyBorder="1" applyAlignment="1" applyProtection="1">
      <alignment horizontal="right" vertical="center" indent="1"/>
      <protection hidden="1"/>
    </xf>
    <xf numFmtId="169" fontId="102" fillId="0" borderId="114" xfId="0" applyNumberFormat="1" applyFont="1" applyBorder="1" applyAlignment="1" applyProtection="1">
      <alignment horizontal="right" vertical="center" indent="1"/>
      <protection hidden="1"/>
    </xf>
    <xf numFmtId="169" fontId="102" fillId="0" borderId="37" xfId="0" applyNumberFormat="1" applyFont="1" applyBorder="1" applyAlignment="1" applyProtection="1">
      <alignment horizontal="right" vertical="center" indent="1"/>
      <protection hidden="1"/>
    </xf>
    <xf numFmtId="169" fontId="102" fillId="0" borderId="82" xfId="0" applyNumberFormat="1" applyFont="1" applyBorder="1" applyAlignment="1" applyProtection="1">
      <alignment horizontal="right" vertical="center" indent="1"/>
      <protection hidden="1"/>
    </xf>
    <xf numFmtId="169" fontId="102" fillId="0" borderId="125" xfId="0" applyNumberFormat="1" applyFont="1" applyBorder="1" applyAlignment="1" applyProtection="1">
      <alignment horizontal="right" vertical="center" indent="1"/>
      <protection hidden="1"/>
    </xf>
    <xf numFmtId="169" fontId="102" fillId="0" borderId="83" xfId="0" applyNumberFormat="1" applyFont="1" applyBorder="1" applyAlignment="1" applyProtection="1">
      <alignment horizontal="right" vertical="center" indent="1"/>
      <protection hidden="1"/>
    </xf>
    <xf numFmtId="0" fontId="0" fillId="68" borderId="126" xfId="0" applyFill="1" applyBorder="1" applyAlignment="1" applyProtection="1">
      <alignment horizontal="left" wrapText="1"/>
      <protection hidden="1"/>
    </xf>
    <xf numFmtId="169" fontId="102" fillId="0" borderId="115" xfId="0" applyNumberFormat="1" applyFont="1" applyBorder="1" applyAlignment="1" applyProtection="1">
      <alignment horizontal="center" vertical="center"/>
      <protection hidden="1"/>
    </xf>
    <xf numFmtId="169" fontId="102" fillId="0" borderId="116" xfId="0" applyNumberFormat="1" applyFont="1" applyBorder="1" applyAlignment="1" applyProtection="1">
      <alignment horizontal="right" vertical="center" indent="1"/>
      <protection hidden="1"/>
    </xf>
    <xf numFmtId="169" fontId="102" fillId="0" borderId="88" xfId="0" applyNumberFormat="1" applyFont="1" applyBorder="1" applyAlignment="1" applyProtection="1">
      <alignment horizontal="right" vertical="center" indent="1"/>
      <protection hidden="1"/>
    </xf>
    <xf numFmtId="169" fontId="102" fillId="0" borderId="53" xfId="0" applyNumberFormat="1" applyFont="1" applyBorder="1" applyAlignment="1" applyProtection="1">
      <alignment horizontal="right" vertical="center" indent="1"/>
      <protection hidden="1"/>
    </xf>
    <xf numFmtId="169" fontId="102" fillId="0" borderId="76" xfId="0" applyNumberFormat="1" applyFont="1" applyBorder="1" applyAlignment="1" applyProtection="1">
      <alignment horizontal="right" vertical="center" indent="1"/>
      <protection hidden="1"/>
    </xf>
    <xf numFmtId="169" fontId="102" fillId="0" borderId="112" xfId="0" applyNumberFormat="1" applyFont="1" applyBorder="1" applyAlignment="1" applyProtection="1">
      <alignment horizontal="right" vertical="center" indent="1"/>
      <protection hidden="1"/>
    </xf>
    <xf numFmtId="169" fontId="102" fillId="0" borderId="113" xfId="0" applyNumberFormat="1" applyFont="1" applyBorder="1" applyAlignment="1" applyProtection="1">
      <alignment horizontal="right" vertical="center" indent="1"/>
      <protection hidden="1"/>
    </xf>
    <xf numFmtId="0" fontId="35" fillId="0" borderId="0" xfId="0" applyFont="1" applyAlignment="1" applyProtection="1">
      <alignment horizontal="right" wrapText="1"/>
      <protection hidden="1"/>
    </xf>
    <xf numFmtId="0" fontId="34" fillId="0" borderId="3" xfId="0" applyFont="1" applyBorder="1"/>
    <xf numFmtId="0" fontId="0" fillId="0" borderId="54" xfId="0" applyBorder="1"/>
    <xf numFmtId="0" fontId="34" fillId="0" borderId="0" xfId="0" applyFont="1" applyAlignment="1">
      <alignment horizontal="left" vertical="top" wrapText="1"/>
    </xf>
    <xf numFmtId="0" fontId="0" fillId="0" borderId="46" xfId="0" applyBorder="1"/>
    <xf numFmtId="0" fontId="0" fillId="73" borderId="4" xfId="0" applyFill="1" applyBorder="1"/>
    <xf numFmtId="0" fontId="0" fillId="73" borderId="47" xfId="0" applyFill="1" applyBorder="1"/>
    <xf numFmtId="0" fontId="0" fillId="73" borderId="0" xfId="0" applyFill="1"/>
    <xf numFmtId="0" fontId="0" fillId="73" borderId="22" xfId="0" applyFill="1" applyBorder="1"/>
    <xf numFmtId="0" fontId="0" fillId="0" borderId="22" xfId="0" applyBorder="1"/>
    <xf numFmtId="169" fontId="0" fillId="0" borderId="4" xfId="0" applyNumberFormat="1" applyBorder="1"/>
    <xf numFmtId="169" fontId="0" fillId="0" borderId="47" xfId="0" applyNumberFormat="1" applyBorder="1"/>
    <xf numFmtId="169" fontId="0" fillId="0" borderId="22" xfId="0" applyNumberFormat="1" applyBorder="1"/>
    <xf numFmtId="169" fontId="0" fillId="0" borderId="54" xfId="0" applyNumberFormat="1" applyBorder="1"/>
    <xf numFmtId="169" fontId="0" fillId="0" borderId="55" xfId="0" applyNumberFormat="1" applyBorder="1"/>
    <xf numFmtId="169" fontId="0" fillId="0" borderId="56" xfId="0" applyNumberFormat="1" applyBorder="1"/>
    <xf numFmtId="169" fontId="0" fillId="0" borderId="127" xfId="0" applyNumberFormat="1" applyBorder="1"/>
    <xf numFmtId="0" fontId="10" fillId="0" borderId="0" xfId="0" applyFont="1"/>
    <xf numFmtId="0" fontId="9" fillId="0" borderId="0" xfId="0" applyFont="1"/>
    <xf numFmtId="0" fontId="9" fillId="8" borderId="0" xfId="0" applyFont="1" applyFill="1"/>
    <xf numFmtId="0" fontId="9" fillId="0" borderId="5" xfId="0" applyFont="1" applyBorder="1"/>
    <xf numFmtId="0" fontId="103" fillId="0" borderId="0" xfId="0" applyFont="1"/>
    <xf numFmtId="0" fontId="121" fillId="40" borderId="0" xfId="0" applyFont="1" applyFill="1" applyAlignment="1">
      <alignment vertical="top" wrapText="1"/>
    </xf>
    <xf numFmtId="0" fontId="208" fillId="65" borderId="65" xfId="0" applyFont="1" applyFill="1" applyBorder="1" applyAlignment="1">
      <alignment vertical="center" wrapText="1"/>
    </xf>
    <xf numFmtId="0" fontId="75" fillId="74" borderId="128" xfId="0" applyFont="1" applyFill="1" applyBorder="1" applyAlignment="1">
      <alignment vertical="top"/>
    </xf>
    <xf numFmtId="0" fontId="0" fillId="0" borderId="0" xfId="0" applyFill="1"/>
    <xf numFmtId="0" fontId="154" fillId="0" borderId="0" xfId="0" applyFont="1" applyFill="1" applyAlignment="1">
      <alignment horizontal="center" vertical="top" wrapText="1"/>
    </xf>
    <xf numFmtId="0" fontId="0" fillId="0" borderId="0" xfId="0" applyFont="1" applyFill="1"/>
    <xf numFmtId="0" fontId="209" fillId="36" borderId="0" xfId="0" applyFont="1" applyFill="1" applyAlignment="1">
      <alignment horizontal="left" vertical="top" wrapText="1"/>
    </xf>
    <xf numFmtId="0" fontId="76" fillId="0" borderId="0" xfId="0" applyFont="1" applyFill="1" applyBorder="1" applyAlignment="1">
      <alignment horizontal="center" vertical="center" wrapText="1"/>
    </xf>
    <xf numFmtId="0" fontId="76" fillId="0" borderId="0" xfId="0" applyFont="1" applyFill="1" applyBorder="1" applyAlignment="1">
      <alignment horizontal="center" vertical="center"/>
    </xf>
    <xf numFmtId="0" fontId="36" fillId="60" borderId="0" xfId="0" applyFont="1" applyFill="1" applyAlignment="1">
      <alignment horizontal="center" vertical="center"/>
    </xf>
    <xf numFmtId="0" fontId="72" fillId="0" borderId="0" xfId="0" applyFont="1"/>
    <xf numFmtId="0" fontId="209" fillId="36" borderId="0" xfId="0" applyFont="1" applyFill="1" applyAlignment="1">
      <alignment horizontal="center" vertical="center" wrapText="1"/>
    </xf>
    <xf numFmtId="0" fontId="211" fillId="60" borderId="0" xfId="0" applyFont="1" applyFill="1" applyAlignment="1">
      <alignment horizontal="left" vertical="center"/>
    </xf>
    <xf numFmtId="0" fontId="210" fillId="36" borderId="0" xfId="0" applyFont="1" applyFill="1" applyAlignment="1">
      <alignment horizontal="center" vertical="top" wrapText="1"/>
    </xf>
    <xf numFmtId="0" fontId="154" fillId="42" borderId="0" xfId="0" applyFont="1" applyFill="1" applyAlignment="1">
      <alignment horizontal="left" vertical="center" wrapText="1"/>
    </xf>
    <xf numFmtId="0" fontId="149" fillId="50" borderId="59" xfId="0" applyFont="1" applyFill="1" applyBorder="1" applyAlignment="1" applyProtection="1">
      <alignment horizontal="left" vertical="center" indent="1"/>
      <protection hidden="1"/>
    </xf>
    <xf numFmtId="0" fontId="36" fillId="50" borderId="59" xfId="0" applyFont="1" applyFill="1" applyBorder="1" applyAlignment="1" applyProtection="1">
      <alignment vertical="center"/>
      <protection hidden="1"/>
    </xf>
    <xf numFmtId="0" fontId="149" fillId="50" borderId="59" xfId="0" applyFont="1" applyFill="1" applyBorder="1" applyAlignment="1" applyProtection="1">
      <alignment horizontal="right" vertical="center"/>
      <protection hidden="1"/>
    </xf>
    <xf numFmtId="0" fontId="36" fillId="44" borderId="0" xfId="0" applyFont="1" applyFill="1" applyAlignment="1" applyProtection="1">
      <alignment vertical="center"/>
      <protection hidden="1"/>
    </xf>
    <xf numFmtId="0" fontId="130" fillId="44" borderId="0" xfId="0" applyFont="1" applyFill="1" applyAlignment="1" applyProtection="1">
      <alignment horizontal="right" vertical="center"/>
      <protection hidden="1"/>
    </xf>
    <xf numFmtId="0" fontId="35" fillId="11" borderId="0" xfId="0" applyFont="1" applyFill="1" applyAlignment="1" applyProtection="1">
      <alignment horizontal="right"/>
      <protection hidden="1"/>
    </xf>
    <xf numFmtId="0" fontId="78" fillId="0" borderId="0" xfId="0" applyFont="1" applyAlignment="1" applyProtection="1">
      <alignment vertical="top"/>
      <protection hidden="1"/>
    </xf>
    <xf numFmtId="0" fontId="86" fillId="0" borderId="0" xfId="0" applyFont="1" applyAlignment="1" applyProtection="1">
      <alignment horizontal="right" vertical="center"/>
      <protection hidden="1"/>
    </xf>
    <xf numFmtId="0" fontId="85" fillId="0" borderId="0" xfId="0" applyFont="1" applyAlignment="1" applyProtection="1">
      <alignment horizontal="right" vertical="center"/>
      <protection hidden="1"/>
    </xf>
    <xf numFmtId="0" fontId="85" fillId="0" borderId="0" xfId="0" applyFont="1" applyAlignment="1" applyProtection="1">
      <alignment horizontal="right" vertical="center" indent="1"/>
      <protection hidden="1"/>
    </xf>
    <xf numFmtId="0" fontId="117" fillId="0" borderId="0" xfId="0" applyFont="1" applyAlignment="1" applyProtection="1">
      <alignment horizontal="center" vertical="center" wrapText="1"/>
      <protection hidden="1"/>
    </xf>
    <xf numFmtId="0" fontId="93" fillId="72" borderId="130" xfId="0" applyFont="1" applyFill="1" applyBorder="1" applyAlignment="1" applyProtection="1">
      <alignment horizontal="left" vertical="center" indent="1"/>
      <protection hidden="1"/>
    </xf>
    <xf numFmtId="0" fontId="93" fillId="72" borderId="130" xfId="0" applyFont="1" applyFill="1" applyBorder="1" applyAlignment="1" applyProtection="1">
      <alignment vertical="center"/>
      <protection hidden="1"/>
    </xf>
    <xf numFmtId="169" fontId="144" fillId="72" borderId="130" xfId="0" applyNumberFormat="1" applyFont="1" applyFill="1" applyBorder="1" applyAlignment="1" applyProtection="1">
      <alignment horizontal="right" vertical="center"/>
      <protection hidden="1"/>
    </xf>
    <xf numFmtId="0" fontId="93" fillId="72" borderId="130" xfId="0" applyFont="1" applyFill="1" applyBorder="1" applyAlignment="1" applyProtection="1">
      <alignment horizontal="right" vertical="center"/>
      <protection hidden="1"/>
    </xf>
    <xf numFmtId="169" fontId="93" fillId="72" borderId="130" xfId="0" applyNumberFormat="1" applyFont="1" applyFill="1" applyBorder="1" applyAlignment="1" applyProtection="1">
      <alignment horizontal="right" vertical="center" indent="1"/>
      <protection hidden="1"/>
    </xf>
    <xf numFmtId="0" fontId="93" fillId="72" borderId="130" xfId="0" applyFont="1" applyFill="1" applyBorder="1" applyAlignment="1" applyProtection="1">
      <alignment horizontal="right" vertical="center" indent="1"/>
      <protection hidden="1"/>
    </xf>
    <xf numFmtId="169" fontId="93" fillId="72" borderId="130" xfId="0" applyNumberFormat="1" applyFont="1" applyFill="1" applyBorder="1" applyAlignment="1" applyProtection="1">
      <alignment horizontal="right" vertical="center" indent="4"/>
      <protection hidden="1"/>
    </xf>
    <xf numFmtId="0" fontId="177" fillId="0" borderId="0" xfId="0" applyFont="1" applyAlignment="1" applyProtection="1">
      <alignment vertical="center" wrapText="1"/>
      <protection hidden="1"/>
    </xf>
    <xf numFmtId="0" fontId="93" fillId="0" borderId="0" xfId="0" applyFont="1" applyAlignment="1" applyProtection="1">
      <alignment vertical="center"/>
      <protection hidden="1"/>
    </xf>
    <xf numFmtId="0" fontId="212" fillId="0" borderId="0" xfId="0" applyFont="1" applyAlignment="1" applyProtection="1">
      <alignment horizontal="left" vertical="center" indent="2"/>
      <protection hidden="1"/>
    </xf>
    <xf numFmtId="169" fontId="51" fillId="0" borderId="0" xfId="0" applyNumberFormat="1" applyFont="1" applyAlignment="1" applyProtection="1">
      <alignment horizontal="right" vertical="center"/>
      <protection hidden="1"/>
    </xf>
    <xf numFmtId="0" fontId="84" fillId="0" borderId="0" xfId="0" applyFont="1" applyAlignment="1" applyProtection="1">
      <alignment horizontal="right" vertical="center"/>
      <protection hidden="1"/>
    </xf>
    <xf numFmtId="169" fontId="84" fillId="0" borderId="0" xfId="0" applyNumberFormat="1" applyFont="1" applyAlignment="1" applyProtection="1">
      <alignment horizontal="right" vertical="center" indent="1"/>
      <protection hidden="1"/>
    </xf>
    <xf numFmtId="0" fontId="84" fillId="0" borderId="0" xfId="0" applyFont="1" applyAlignment="1" applyProtection="1">
      <alignment horizontal="right" vertical="center" indent="1"/>
      <protection hidden="1"/>
    </xf>
    <xf numFmtId="0" fontId="84" fillId="0" borderId="0" xfId="0" applyFont="1" applyAlignment="1" applyProtection="1">
      <alignment horizontal="right" vertical="center" indent="4"/>
      <protection hidden="1"/>
    </xf>
    <xf numFmtId="169" fontId="89" fillId="0" borderId="0" xfId="0" applyNumberFormat="1" applyFont="1" applyAlignment="1" applyProtection="1">
      <alignment horizontal="left" vertical="center"/>
      <protection hidden="1"/>
    </xf>
    <xf numFmtId="0" fontId="212" fillId="0" borderId="0" xfId="0" applyFont="1" applyAlignment="1" applyProtection="1">
      <alignment horizontal="left" vertical="center" wrapText="1" indent="2"/>
      <protection hidden="1"/>
    </xf>
    <xf numFmtId="0" fontId="213" fillId="0" borderId="0" xfId="0" applyFont="1" applyAlignment="1" applyProtection="1">
      <alignment horizontal="left" vertical="center" indent="2"/>
      <protection hidden="1"/>
    </xf>
    <xf numFmtId="169" fontId="36" fillId="0" borderId="0" xfId="0" applyNumberFormat="1" applyFont="1" applyAlignment="1" applyProtection="1">
      <alignment horizontal="right" vertical="center"/>
      <protection hidden="1"/>
    </xf>
    <xf numFmtId="0" fontId="38" fillId="0" borderId="0" xfId="0" applyFont="1" applyAlignment="1" applyProtection="1">
      <alignment horizontal="right" vertical="center"/>
      <protection hidden="1"/>
    </xf>
    <xf numFmtId="169" fontId="38" fillId="0" borderId="0" xfId="0" applyNumberFormat="1" applyFont="1" applyAlignment="1" applyProtection="1">
      <alignment horizontal="right" vertical="center" indent="1"/>
      <protection hidden="1"/>
    </xf>
    <xf numFmtId="0" fontId="38" fillId="0" borderId="0" xfId="0" applyFont="1" applyAlignment="1" applyProtection="1">
      <alignment horizontal="right" vertical="center" indent="1"/>
      <protection hidden="1"/>
    </xf>
    <xf numFmtId="0" fontId="38" fillId="0" borderId="0" xfId="0" applyFont="1" applyAlignment="1" applyProtection="1">
      <alignment horizontal="right" vertical="center" indent="4"/>
      <protection hidden="1"/>
    </xf>
    <xf numFmtId="0" fontId="93" fillId="0" borderId="0" xfId="0" applyFont="1" applyAlignment="1" applyProtection="1">
      <alignment horizontal="left" vertical="center" indent="1"/>
      <protection hidden="1"/>
    </xf>
    <xf numFmtId="169" fontId="144" fillId="0" borderId="0" xfId="0" applyNumberFormat="1" applyFont="1" applyAlignment="1" applyProtection="1">
      <alignment horizontal="right" vertical="center"/>
      <protection hidden="1"/>
    </xf>
    <xf numFmtId="0" fontId="93" fillId="0" borderId="0" xfId="0" applyFont="1" applyAlignment="1" applyProtection="1">
      <alignment horizontal="right" vertical="center"/>
      <protection hidden="1"/>
    </xf>
    <xf numFmtId="0" fontId="72" fillId="0" borderId="0" xfId="0" applyFont="1" applyAlignment="1" applyProtection="1">
      <alignment horizontal="right" vertical="center"/>
      <protection hidden="1"/>
    </xf>
    <xf numFmtId="0" fontId="36" fillId="0" borderId="0" xfId="0" applyFont="1" applyAlignment="1" applyProtection="1">
      <alignment vertical="top" wrapText="1"/>
      <protection hidden="1"/>
    </xf>
    <xf numFmtId="0" fontId="83" fillId="0" borderId="44" xfId="0" applyFont="1" applyBorder="1"/>
    <xf numFmtId="0" fontId="0" fillId="0" borderId="47" xfId="0" applyBorder="1" applyAlignment="1">
      <alignment vertical="top"/>
    </xf>
    <xf numFmtId="0" fontId="0" fillId="0" borderId="22" xfId="0" applyBorder="1" applyAlignment="1">
      <alignment vertical="top"/>
    </xf>
    <xf numFmtId="0" fontId="38" fillId="0" borderId="0" xfId="0" applyFont="1" applyAlignment="1">
      <alignment vertical="center"/>
    </xf>
    <xf numFmtId="0" fontId="2" fillId="0" borderId="70" xfId="0" applyFont="1" applyBorder="1"/>
    <xf numFmtId="0" fontId="0" fillId="0" borderId="0" xfId="0" applyFill="1" applyAlignment="1">
      <alignment horizontal="left"/>
    </xf>
    <xf numFmtId="0" fontId="76" fillId="58" borderId="0" xfId="0" applyFont="1" applyFill="1" applyBorder="1" applyAlignment="1">
      <alignment horizontal="left" vertical="top" wrapText="1"/>
    </xf>
    <xf numFmtId="0" fontId="0" fillId="51" borderId="0" xfId="0" applyFill="1"/>
    <xf numFmtId="0" fontId="214" fillId="51" borderId="0" xfId="0" applyFont="1" applyFill="1" applyAlignment="1">
      <alignment vertical="center"/>
    </xf>
    <xf numFmtId="0" fontId="164" fillId="51" borderId="0" xfId="0" applyFont="1" applyFill="1" applyAlignment="1">
      <alignment vertical="center"/>
    </xf>
    <xf numFmtId="0" fontId="215" fillId="51" borderId="0" xfId="0" applyFont="1" applyFill="1"/>
    <xf numFmtId="0" fontId="109" fillId="0" borderId="0" xfId="0" applyFont="1" applyAlignment="1">
      <alignment vertical="center"/>
    </xf>
    <xf numFmtId="0" fontId="35" fillId="0" borderId="0" xfId="0" applyFont="1"/>
    <xf numFmtId="0" fontId="35" fillId="0" borderId="0" xfId="0" applyFont="1" applyAlignment="1">
      <alignment wrapText="1"/>
    </xf>
    <xf numFmtId="0" fontId="88" fillId="0" borderId="0" xfId="0" applyFont="1" applyAlignment="1">
      <alignment vertical="center"/>
    </xf>
    <xf numFmtId="2" fontId="88" fillId="0" borderId="0" xfId="0" applyNumberFormat="1" applyFont="1"/>
    <xf numFmtId="0" fontId="88" fillId="0" borderId="0" xfId="0" applyFont="1" applyAlignment="1">
      <alignment horizontal="right" indent="2"/>
    </xf>
    <xf numFmtId="0" fontId="78" fillId="0" borderId="0" xfId="46" applyFont="1" applyAlignment="1">
      <alignment horizontal="left"/>
    </xf>
    <xf numFmtId="0" fontId="84" fillId="0" borderId="0" xfId="47" applyFont="1"/>
    <xf numFmtId="17" fontId="111" fillId="0" borderId="0" xfId="47" quotePrefix="1" applyNumberFormat="1" applyFont="1" applyAlignment="1">
      <alignment horizontal="left"/>
    </xf>
    <xf numFmtId="0" fontId="112" fillId="0" borderId="0" xfId="47" applyFont="1" applyAlignment="1">
      <alignment horizontal="left"/>
    </xf>
    <xf numFmtId="0" fontId="96" fillId="0" borderId="0" xfId="46" applyFont="1" applyAlignment="1">
      <alignment horizontal="left"/>
    </xf>
    <xf numFmtId="0" fontId="113" fillId="0" borderId="0" xfId="47" applyFont="1" applyAlignment="1">
      <alignment horizontal="left"/>
    </xf>
    <xf numFmtId="0" fontId="127" fillId="0" borderId="132" xfId="47" applyFont="1" applyBorder="1" applyAlignment="1">
      <alignment horizontal="right" vertical="center" indent="1"/>
    </xf>
    <xf numFmtId="0" fontId="0" fillId="0" borderId="133" xfId="0" applyBorder="1" applyAlignment="1">
      <alignment horizontal="left" vertical="center" indent="1"/>
    </xf>
    <xf numFmtId="0" fontId="127" fillId="51" borderId="132" xfId="47" applyFont="1" applyFill="1" applyBorder="1" applyAlignment="1">
      <alignment horizontal="right" vertical="center" indent="1"/>
    </xf>
    <xf numFmtId="0" fontId="0" fillId="51" borderId="133" xfId="0" applyFill="1" applyBorder="1" applyAlignment="1">
      <alignment horizontal="left" vertical="center" indent="1"/>
    </xf>
    <xf numFmtId="17" fontId="111" fillId="0" borderId="0" xfId="47" quotePrefix="1" applyNumberFormat="1" applyFont="1" applyAlignment="1">
      <alignment horizontal="right"/>
    </xf>
    <xf numFmtId="0" fontId="120" fillId="0" borderId="0" xfId="0" applyFont="1"/>
    <xf numFmtId="0" fontId="38" fillId="41" borderId="0" xfId="0" applyFont="1" applyFill="1" applyAlignment="1" applyProtection="1">
      <alignment vertical="center"/>
      <protection hidden="1"/>
    </xf>
    <xf numFmtId="0" fontId="38" fillId="37" borderId="0" xfId="0" applyFont="1" applyFill="1" applyProtection="1">
      <protection hidden="1"/>
    </xf>
    <xf numFmtId="0" fontId="38" fillId="50" borderId="65" xfId="0" applyFont="1" applyFill="1" applyBorder="1" applyAlignment="1" applyProtection="1">
      <alignment vertical="center"/>
      <protection hidden="1"/>
    </xf>
    <xf numFmtId="0" fontId="38" fillId="37" borderId="0" xfId="0" applyFont="1" applyFill="1" applyAlignment="1" applyProtection="1">
      <alignment vertical="center"/>
      <protection hidden="1"/>
    </xf>
    <xf numFmtId="0" fontId="84" fillId="54" borderId="92" xfId="0" applyFont="1" applyFill="1" applyBorder="1" applyAlignment="1" applyProtection="1">
      <alignment vertical="center"/>
      <protection hidden="1"/>
    </xf>
    <xf numFmtId="0" fontId="38" fillId="37" borderId="94" xfId="0" applyFont="1" applyFill="1" applyBorder="1" applyAlignment="1" applyProtection="1">
      <alignment vertical="center"/>
      <protection hidden="1"/>
    </xf>
    <xf numFmtId="1" fontId="93" fillId="0" borderId="0" xfId="0" applyNumberFormat="1" applyFont="1" applyAlignment="1" applyProtection="1">
      <alignment horizontal="center" vertical="center"/>
      <protection hidden="1"/>
    </xf>
    <xf numFmtId="1" fontId="38" fillId="0" borderId="0" xfId="0" applyNumberFormat="1" applyFont="1" applyProtection="1">
      <protection hidden="1"/>
    </xf>
    <xf numFmtId="2" fontId="84" fillId="0" borderId="0" xfId="0" applyNumberFormat="1" applyFont="1" applyProtection="1">
      <protection hidden="1"/>
    </xf>
    <xf numFmtId="0" fontId="78" fillId="65" borderId="129" xfId="0" applyFont="1" applyFill="1" applyBorder="1" applyAlignment="1" applyProtection="1">
      <alignment vertical="center"/>
      <protection hidden="1"/>
    </xf>
    <xf numFmtId="0" fontId="108" fillId="65" borderId="129" xfId="0" applyFont="1" applyFill="1" applyBorder="1" applyAlignment="1" applyProtection="1">
      <alignment vertical="center"/>
      <protection hidden="1"/>
    </xf>
    <xf numFmtId="2" fontId="108" fillId="65" borderId="129" xfId="0" applyNumberFormat="1" applyFont="1" applyFill="1" applyBorder="1" applyAlignment="1" applyProtection="1">
      <alignment vertical="center"/>
      <protection hidden="1"/>
    </xf>
    <xf numFmtId="0" fontId="108" fillId="65" borderId="129" xfId="0" applyFont="1" applyFill="1" applyBorder="1" applyAlignment="1" applyProtection="1">
      <alignment horizontal="right" vertical="center"/>
      <protection hidden="1"/>
    </xf>
    <xf numFmtId="169" fontId="108" fillId="65" borderId="129" xfId="0" applyNumberFormat="1" applyFont="1" applyFill="1" applyBorder="1" applyAlignment="1" applyProtection="1">
      <alignment horizontal="right" vertical="center" indent="1"/>
      <protection hidden="1"/>
    </xf>
    <xf numFmtId="0" fontId="108" fillId="65" borderId="129" xfId="0" applyFont="1" applyFill="1" applyBorder="1" applyAlignment="1" applyProtection="1">
      <alignment horizontal="right" vertical="center" indent="1"/>
      <protection hidden="1"/>
    </xf>
    <xf numFmtId="0" fontId="108" fillId="65" borderId="129" xfId="0" applyFont="1" applyFill="1" applyBorder="1" applyAlignment="1" applyProtection="1">
      <alignment horizontal="right" vertical="center" indent="4"/>
      <protection hidden="1"/>
    </xf>
    <xf numFmtId="0" fontId="0" fillId="0" borderId="0" xfId="0" applyAlignment="1">
      <alignment horizontal="center"/>
    </xf>
    <xf numFmtId="0" fontId="0" fillId="0" borderId="0" xfId="0" applyAlignment="1">
      <alignment horizontal="center"/>
    </xf>
    <xf numFmtId="0" fontId="154" fillId="42" borderId="0" xfId="0" applyFont="1" applyFill="1" applyAlignment="1">
      <alignment horizontal="center" vertical="center" wrapText="1"/>
    </xf>
    <xf numFmtId="0" fontId="0" fillId="0" borderId="0" xfId="0" applyAlignment="1">
      <alignment horizontal="center"/>
    </xf>
    <xf numFmtId="0" fontId="135" fillId="36" borderId="45" xfId="0" applyFont="1" applyFill="1" applyBorder="1" applyAlignment="1">
      <alignment horizontal="center" vertical="top" wrapText="1"/>
    </xf>
    <xf numFmtId="0" fontId="76" fillId="58" borderId="0" xfId="0" applyFont="1" applyFill="1" applyBorder="1" applyAlignment="1">
      <alignment horizontal="center" vertical="top" wrapText="1"/>
    </xf>
    <xf numFmtId="0" fontId="0" fillId="0" borderId="0" xfId="0" applyBorder="1" applyAlignment="1">
      <alignment horizontal="center"/>
    </xf>
    <xf numFmtId="0" fontId="76" fillId="0" borderId="136" xfId="0" applyFont="1" applyBorder="1" applyAlignment="1">
      <alignment horizontal="center" wrapText="1"/>
    </xf>
    <xf numFmtId="0" fontId="76" fillId="49" borderId="136" xfId="0" applyFont="1" applyFill="1" applyBorder="1" applyAlignment="1">
      <alignment horizontal="center" wrapText="1"/>
    </xf>
    <xf numFmtId="183" fontId="108" fillId="0" borderId="0" xfId="0" applyNumberFormat="1" applyFont="1" applyBorder="1" applyAlignment="1">
      <alignment horizontal="left" vertical="center" indent="1"/>
    </xf>
    <xf numFmtId="183" fontId="108" fillId="0" borderId="0" xfId="0" applyNumberFormat="1" applyFont="1" applyBorder="1" applyAlignment="1">
      <alignment horizontal="center" vertical="center"/>
    </xf>
    <xf numFmtId="0" fontId="217" fillId="0" borderId="136" xfId="0" applyFont="1" applyBorder="1" applyAlignment="1">
      <alignment wrapText="1"/>
    </xf>
    <xf numFmtId="0" fontId="76" fillId="78" borderId="136" xfId="0" applyFont="1" applyFill="1" applyBorder="1" applyAlignment="1">
      <alignment horizontal="center" wrapText="1"/>
    </xf>
    <xf numFmtId="0" fontId="76" fillId="11" borderId="0" xfId="0" applyFont="1" applyFill="1" applyBorder="1" applyAlignment="1">
      <alignment horizontal="left" vertical="top" wrapText="1"/>
    </xf>
    <xf numFmtId="0" fontId="76" fillId="11" borderId="136" xfId="0" applyFont="1" applyFill="1" applyBorder="1" applyAlignment="1">
      <alignment horizontal="center" wrapText="1"/>
    </xf>
    <xf numFmtId="0" fontId="76" fillId="79" borderId="136" xfId="0" applyFont="1" applyFill="1" applyBorder="1" applyAlignment="1">
      <alignment horizontal="center" wrapText="1"/>
    </xf>
    <xf numFmtId="0" fontId="76" fillId="80" borderId="136" xfId="0" applyFont="1" applyFill="1" applyBorder="1" applyAlignment="1">
      <alignment horizontal="center" wrapText="1"/>
    </xf>
    <xf numFmtId="0" fontId="76" fillId="80" borderId="0" xfId="0" applyFont="1" applyFill="1" applyBorder="1" applyAlignment="1">
      <alignment horizontal="left" vertical="top" wrapText="1"/>
    </xf>
    <xf numFmtId="0" fontId="218" fillId="0" borderId="0" xfId="47" applyFont="1" applyProtection="1">
      <protection hidden="1"/>
    </xf>
    <xf numFmtId="0" fontId="76" fillId="80" borderId="136" xfId="0" applyFont="1" applyFill="1" applyBorder="1" applyAlignment="1">
      <alignment vertical="top" wrapText="1"/>
    </xf>
    <xf numFmtId="0" fontId="0" fillId="0" borderId="0" xfId="0" applyAlignment="1">
      <alignment horizontal="center"/>
    </xf>
    <xf numFmtId="0" fontId="119" fillId="0" borderId="0" xfId="47" applyFont="1" applyAlignment="1" applyProtection="1">
      <alignment horizontal="left"/>
      <protection locked="0" hidden="1"/>
    </xf>
    <xf numFmtId="0" fontId="154" fillId="75" borderId="134" xfId="47" applyFont="1" applyFill="1" applyBorder="1" applyAlignment="1">
      <alignment horizontal="center" vertical="center" wrapText="1"/>
    </xf>
    <xf numFmtId="0" fontId="117" fillId="76" borderId="131" xfId="47" applyFont="1" applyFill="1" applyBorder="1" applyAlignment="1">
      <alignment horizontal="center" vertical="center" wrapText="1"/>
    </xf>
    <xf numFmtId="0" fontId="117" fillId="76" borderId="134" xfId="47" applyFont="1" applyFill="1" applyBorder="1" applyAlignment="1">
      <alignment horizontal="center" vertical="center" wrapText="1"/>
    </xf>
    <xf numFmtId="0" fontId="117" fillId="77" borderId="131" xfId="47" applyFont="1" applyFill="1" applyBorder="1" applyAlignment="1">
      <alignment horizontal="center" vertical="center" wrapText="1"/>
    </xf>
    <xf numFmtId="0" fontId="117" fillId="77" borderId="135" xfId="47" applyFont="1" applyFill="1" applyBorder="1" applyAlignment="1">
      <alignment horizontal="center" vertical="center" wrapText="1"/>
    </xf>
    <xf numFmtId="0" fontId="85" fillId="0" borderId="0" xfId="47" applyFont="1" applyAlignment="1" applyProtection="1">
      <alignment horizontal="left"/>
      <protection locked="0"/>
    </xf>
    <xf numFmtId="0" fontId="85" fillId="41" borderId="67" xfId="0" applyFont="1" applyFill="1" applyBorder="1" applyAlignment="1" applyProtection="1">
      <alignment horizontal="center" vertical="center" wrapText="1"/>
      <protection hidden="1"/>
    </xf>
    <xf numFmtId="0" fontId="85" fillId="41" borderId="65" xfId="0" applyFont="1" applyFill="1" applyBorder="1" applyAlignment="1" applyProtection="1">
      <alignment horizontal="center" vertical="center" wrapText="1"/>
      <protection hidden="1"/>
    </xf>
    <xf numFmtId="0" fontId="93" fillId="41" borderId="67" xfId="0" applyFont="1" applyFill="1" applyBorder="1" applyAlignment="1" applyProtection="1">
      <alignment horizontal="center" vertical="center" wrapText="1"/>
      <protection hidden="1"/>
    </xf>
    <xf numFmtId="0" fontId="93" fillId="41" borderId="65" xfId="0" applyFont="1" applyFill="1" applyBorder="1" applyAlignment="1" applyProtection="1">
      <alignment horizontal="center" vertical="center" wrapText="1"/>
      <protection hidden="1"/>
    </xf>
    <xf numFmtId="0" fontId="93" fillId="41" borderId="66" xfId="0" applyFont="1" applyFill="1" applyBorder="1" applyAlignment="1" applyProtection="1">
      <alignment horizontal="center" vertical="center" wrapText="1"/>
      <protection hidden="1"/>
    </xf>
    <xf numFmtId="0" fontId="181" fillId="0" borderId="0" xfId="0" applyFont="1" applyAlignment="1" applyProtection="1">
      <alignment horizontal="left" vertical="top" wrapText="1" indent="1"/>
      <protection hidden="1"/>
    </xf>
    <xf numFmtId="0" fontId="135" fillId="57" borderId="59" xfId="0" applyFont="1" applyFill="1" applyBorder="1" applyAlignment="1" applyProtection="1">
      <alignment horizontal="center" vertical="center" wrapText="1"/>
      <protection hidden="1"/>
    </xf>
    <xf numFmtId="0" fontId="135" fillId="57" borderId="69" xfId="0" applyFont="1" applyFill="1" applyBorder="1" applyAlignment="1" applyProtection="1">
      <alignment horizontal="center" vertical="center" wrapText="1"/>
      <protection hidden="1"/>
    </xf>
    <xf numFmtId="0" fontId="135" fillId="34" borderId="32" xfId="0" applyFont="1" applyFill="1" applyBorder="1" applyAlignment="1" applyProtection="1">
      <alignment horizontal="center" vertical="center" wrapText="1"/>
      <protection hidden="1"/>
    </xf>
    <xf numFmtId="0" fontId="135" fillId="34" borderId="61" xfId="0" applyFont="1" applyFill="1" applyBorder="1" applyAlignment="1" applyProtection="1">
      <alignment horizontal="center" vertical="center" wrapText="1"/>
      <protection hidden="1"/>
    </xf>
    <xf numFmtId="0" fontId="188" fillId="0" borderId="0" xfId="0" applyFont="1" applyAlignment="1" applyProtection="1">
      <alignment horizontal="left" vertical="top" wrapText="1" indent="1"/>
      <protection hidden="1"/>
    </xf>
    <xf numFmtId="0" fontId="32" fillId="41" borderId="38" xfId="0" applyFont="1" applyFill="1" applyBorder="1" applyAlignment="1" applyProtection="1">
      <alignment horizontal="center" vertical="center"/>
      <protection hidden="1"/>
    </xf>
    <xf numFmtId="0" fontId="32" fillId="41" borderId="59" xfId="0" applyFont="1" applyFill="1" applyBorder="1" applyAlignment="1" applyProtection="1">
      <alignment horizontal="center" vertical="center"/>
      <protection hidden="1"/>
    </xf>
    <xf numFmtId="0" fontId="32" fillId="41" borderId="39" xfId="0" applyFont="1" applyFill="1" applyBorder="1" applyAlignment="1" applyProtection="1">
      <alignment horizontal="center" vertical="center"/>
      <protection hidden="1"/>
    </xf>
    <xf numFmtId="0" fontId="32" fillId="41" borderId="29" xfId="0" applyFont="1" applyFill="1" applyBorder="1" applyAlignment="1" applyProtection="1">
      <alignment horizontal="center" vertical="center"/>
      <protection hidden="1"/>
    </xf>
    <xf numFmtId="0" fontId="32" fillId="41" borderId="59" xfId="0" applyFont="1" applyFill="1" applyBorder="1" applyAlignment="1" applyProtection="1">
      <alignment horizontal="left" vertical="center" indent="1"/>
      <protection hidden="1"/>
    </xf>
    <xf numFmtId="0" fontId="32" fillId="41" borderId="29" xfId="0" applyFont="1" applyFill="1" applyBorder="1" applyAlignment="1" applyProtection="1">
      <alignment horizontal="left" vertical="center" indent="1"/>
      <protection hidden="1"/>
    </xf>
    <xf numFmtId="0" fontId="32" fillId="41" borderId="59" xfId="0" applyFont="1" applyFill="1" applyBorder="1" applyAlignment="1" applyProtection="1">
      <alignment horizontal="right" vertical="center" wrapText="1" indent="1"/>
      <protection hidden="1"/>
    </xf>
    <xf numFmtId="0" fontId="32" fillId="41" borderId="29" xfId="0" applyFont="1" applyFill="1" applyBorder="1" applyAlignment="1" applyProtection="1">
      <alignment horizontal="right" vertical="center" wrapText="1" indent="1"/>
      <protection hidden="1"/>
    </xf>
    <xf numFmtId="0" fontId="152" fillId="41" borderId="51" xfId="0" applyFont="1" applyFill="1" applyBorder="1" applyAlignment="1" applyProtection="1">
      <alignment horizontal="right" vertical="center" indent="1"/>
      <protection hidden="1"/>
    </xf>
    <xf numFmtId="0" fontId="152" fillId="41" borderId="64" xfId="0" applyFont="1" applyFill="1" applyBorder="1" applyAlignment="1" applyProtection="1">
      <alignment horizontal="right" vertical="center" indent="1"/>
      <protection hidden="1"/>
    </xf>
    <xf numFmtId="0" fontId="78" fillId="37" borderId="38" xfId="0" applyFont="1" applyFill="1" applyBorder="1" applyAlignment="1" applyProtection="1">
      <alignment horizontal="center" vertical="center"/>
      <protection hidden="1"/>
    </xf>
    <xf numFmtId="0" fontId="78" fillId="37" borderId="59" xfId="0" applyFont="1" applyFill="1" applyBorder="1" applyAlignment="1" applyProtection="1">
      <alignment horizontal="center" vertical="center"/>
      <protection hidden="1"/>
    </xf>
    <xf numFmtId="0" fontId="78" fillId="37" borderId="51" xfId="0" applyFont="1" applyFill="1" applyBorder="1" applyAlignment="1" applyProtection="1">
      <alignment horizontal="center" vertical="center"/>
      <protection hidden="1"/>
    </xf>
    <xf numFmtId="0" fontId="88" fillId="41" borderId="32" xfId="0" applyFont="1" applyFill="1" applyBorder="1" applyAlignment="1" applyProtection="1">
      <alignment horizontal="center"/>
      <protection hidden="1"/>
    </xf>
    <xf numFmtId="0" fontId="88" fillId="41" borderId="61" xfId="0" applyFont="1" applyFill="1" applyBorder="1" applyAlignment="1" applyProtection="1">
      <alignment horizontal="center"/>
      <protection hidden="1"/>
    </xf>
    <xf numFmtId="0" fontId="83" fillId="0" borderId="0" xfId="0" applyFont="1" applyAlignment="1" applyProtection="1">
      <alignment horizontal="left" vertical="center"/>
      <protection hidden="1"/>
    </xf>
    <xf numFmtId="0" fontId="127" fillId="0" borderId="0" xfId="46" applyFont="1" applyAlignment="1" applyProtection="1">
      <alignment horizontal="left" vertical="center" wrapText="1"/>
      <protection hidden="1"/>
    </xf>
    <xf numFmtId="0" fontId="120" fillId="41" borderId="51" xfId="0" applyFont="1" applyFill="1" applyBorder="1" applyAlignment="1" applyProtection="1">
      <alignment horizontal="left" vertical="center" wrapText="1"/>
      <protection hidden="1"/>
    </xf>
    <xf numFmtId="0" fontId="120" fillId="41" borderId="64" xfId="0" applyFont="1" applyFill="1" applyBorder="1" applyAlignment="1" applyProtection="1">
      <alignment horizontal="left" vertical="center" wrapText="1"/>
      <protection hidden="1"/>
    </xf>
    <xf numFmtId="0" fontId="174" fillId="44" borderId="67" xfId="0" applyFont="1" applyFill="1" applyBorder="1" applyAlignment="1" applyProtection="1">
      <alignment horizontal="center" vertical="center" wrapText="1"/>
      <protection hidden="1"/>
    </xf>
    <xf numFmtId="0" fontId="174" fillId="44" borderId="66" xfId="0" applyFont="1" applyFill="1" applyBorder="1" applyAlignment="1" applyProtection="1">
      <alignment horizontal="center" vertical="center" wrapText="1"/>
      <protection hidden="1"/>
    </xf>
    <xf numFmtId="0" fontId="175" fillId="44" borderId="67" xfId="0" applyFont="1" applyFill="1" applyBorder="1" applyAlignment="1" applyProtection="1">
      <alignment horizontal="center" vertical="center" wrapText="1"/>
      <protection hidden="1"/>
    </xf>
    <xf numFmtId="0" fontId="175" fillId="44" borderId="66" xfId="0" applyFont="1" applyFill="1" applyBorder="1" applyAlignment="1" applyProtection="1">
      <alignment horizontal="center" vertical="center" wrapText="1"/>
      <protection hidden="1"/>
    </xf>
    <xf numFmtId="0" fontId="173" fillId="44" borderId="67" xfId="0" applyFont="1" applyFill="1" applyBorder="1" applyAlignment="1" applyProtection="1">
      <alignment horizontal="center" vertical="center" wrapText="1"/>
      <protection hidden="1"/>
    </xf>
    <xf numFmtId="0" fontId="173" fillId="44" borderId="66" xfId="0" applyFont="1" applyFill="1" applyBorder="1" applyAlignment="1" applyProtection="1">
      <alignment horizontal="center" vertical="center" wrapText="1"/>
      <protection hidden="1"/>
    </xf>
    <xf numFmtId="0" fontId="201" fillId="44" borderId="67" xfId="0" applyFont="1" applyFill="1" applyBorder="1" applyAlignment="1" applyProtection="1">
      <alignment horizontal="center" vertical="center" wrapText="1"/>
      <protection hidden="1"/>
    </xf>
    <xf numFmtId="0" fontId="201" fillId="44" borderId="66" xfId="0" applyFont="1" applyFill="1" applyBorder="1" applyAlignment="1" applyProtection="1">
      <alignment horizontal="center" vertical="center" wrapText="1"/>
      <protection hidden="1"/>
    </xf>
    <xf numFmtId="0" fontId="0" fillId="0" borderId="69" xfId="0" applyBorder="1" applyAlignment="1" applyProtection="1">
      <alignment horizontal="right" vertical="top" wrapText="1" indent="4"/>
      <protection hidden="1"/>
    </xf>
    <xf numFmtId="0" fontId="132" fillId="70" borderId="38" xfId="0" applyFont="1" applyFill="1" applyBorder="1" applyAlignment="1" applyProtection="1">
      <alignment horizontal="right" vertical="center" indent="1"/>
      <protection hidden="1"/>
    </xf>
    <xf numFmtId="0" fontId="132" fillId="70" borderId="51" xfId="0" applyFont="1" applyFill="1" applyBorder="1" applyAlignment="1" applyProtection="1">
      <alignment horizontal="right" vertical="center" indent="1"/>
      <protection hidden="1"/>
    </xf>
    <xf numFmtId="0" fontId="132" fillId="70" borderId="62" xfId="0" applyFont="1" applyFill="1" applyBorder="1" applyAlignment="1" applyProtection="1">
      <alignment horizontal="right" vertical="center" indent="1"/>
      <protection hidden="1"/>
    </xf>
    <xf numFmtId="0" fontId="132" fillId="70" borderId="64" xfId="0" applyFont="1" applyFill="1" applyBorder="1" applyAlignment="1" applyProtection="1">
      <alignment horizontal="right" vertical="center" indent="1"/>
      <protection hidden="1"/>
    </xf>
    <xf numFmtId="0" fontId="206" fillId="60" borderId="32" xfId="0" applyFont="1" applyFill="1" applyBorder="1" applyAlignment="1" applyProtection="1">
      <alignment horizontal="center" vertical="center" wrapText="1"/>
      <protection hidden="1"/>
    </xf>
    <xf numFmtId="0" fontId="206" fillId="60" borderId="61" xfId="0" applyFont="1" applyFill="1" applyBorder="1" applyAlignment="1" applyProtection="1">
      <alignment horizontal="center" vertical="center" wrapText="1"/>
      <protection hidden="1"/>
    </xf>
    <xf numFmtId="0" fontId="74" fillId="39" borderId="32" xfId="0" applyFont="1" applyFill="1" applyBorder="1" applyAlignment="1" applyProtection="1">
      <alignment horizontal="center" vertical="center" wrapText="1"/>
      <protection hidden="1"/>
    </xf>
    <xf numFmtId="0" fontId="74" fillId="39" borderId="61" xfId="0" applyFont="1" applyFill="1" applyBorder="1" applyAlignment="1" applyProtection="1">
      <alignment horizontal="center" vertical="center" wrapText="1"/>
      <protection hidden="1"/>
    </xf>
    <xf numFmtId="0" fontId="179" fillId="52" borderId="106" xfId="0" applyFont="1" applyFill="1" applyBorder="1" applyAlignment="1" applyProtection="1">
      <alignment horizontal="center" vertical="center" wrapText="1"/>
      <protection hidden="1"/>
    </xf>
    <xf numFmtId="0" fontId="179" fillId="52" borderId="104" xfId="0" applyFont="1" applyFill="1" applyBorder="1" applyAlignment="1" applyProtection="1">
      <alignment horizontal="center" vertical="center" wrapText="1"/>
      <protection hidden="1"/>
    </xf>
    <xf numFmtId="0" fontId="72" fillId="0" borderId="116" xfId="0" applyFont="1" applyBorder="1" applyAlignment="1" applyProtection="1">
      <alignment horizontal="left" vertical="center" indent="2"/>
      <protection hidden="1"/>
    </xf>
    <xf numFmtId="0" fontId="72" fillId="0" borderId="53" xfId="0" applyFont="1" applyBorder="1" applyAlignment="1" applyProtection="1">
      <alignment horizontal="left" vertical="center" indent="2"/>
      <protection hidden="1"/>
    </xf>
    <xf numFmtId="0" fontId="179" fillId="52" borderId="107" xfId="0" applyFont="1" applyFill="1" applyBorder="1" applyAlignment="1" applyProtection="1">
      <alignment horizontal="center" vertical="center" wrapText="1"/>
      <protection hidden="1"/>
    </xf>
    <xf numFmtId="0" fontId="179" fillId="52" borderId="111" xfId="0" applyFont="1" applyFill="1" applyBorder="1" applyAlignment="1" applyProtection="1">
      <alignment horizontal="center" vertical="center" wrapText="1"/>
      <protection hidden="1"/>
    </xf>
    <xf numFmtId="0" fontId="179" fillId="52" borderId="108" xfId="0" applyFont="1" applyFill="1" applyBorder="1" applyAlignment="1" applyProtection="1">
      <alignment horizontal="center" vertical="center" wrapText="1"/>
      <protection hidden="1"/>
    </xf>
    <xf numFmtId="0" fontId="179" fillId="52" borderId="105" xfId="0" applyFont="1" applyFill="1" applyBorder="1" applyAlignment="1" applyProtection="1">
      <alignment horizontal="center" vertical="center" wrapText="1"/>
      <protection hidden="1"/>
    </xf>
    <xf numFmtId="0" fontId="179" fillId="9" borderId="75" xfId="0" applyFont="1" applyFill="1" applyBorder="1" applyAlignment="1" applyProtection="1">
      <alignment horizontal="center" vertical="center" wrapText="1"/>
      <protection hidden="1"/>
    </xf>
    <xf numFmtId="0" fontId="179" fillId="9" borderId="76" xfId="0" applyFont="1" applyFill="1" applyBorder="1" applyAlignment="1" applyProtection="1">
      <alignment horizontal="center" vertical="center" wrapText="1"/>
      <protection hidden="1"/>
    </xf>
    <xf numFmtId="0" fontId="74" fillId="37" borderId="75" xfId="0" applyFont="1" applyFill="1" applyBorder="1" applyAlignment="1" applyProtection="1">
      <alignment horizontal="center" vertical="center" wrapText="1"/>
      <protection hidden="1"/>
    </xf>
    <xf numFmtId="0" fontId="74" fillId="37" borderId="76" xfId="0" applyFont="1" applyFill="1" applyBorder="1" applyAlignment="1" applyProtection="1">
      <alignment horizontal="center" vertical="center" wrapText="1"/>
      <protection hidden="1"/>
    </xf>
    <xf numFmtId="0" fontId="74" fillId="37" borderId="109" xfId="0" applyFont="1" applyFill="1" applyBorder="1" applyAlignment="1" applyProtection="1">
      <alignment horizontal="center" vertical="center" wrapText="1"/>
      <protection hidden="1"/>
    </xf>
    <xf numFmtId="0" fontId="74" fillId="37" borderId="112" xfId="0" applyFont="1" applyFill="1" applyBorder="1" applyAlignment="1" applyProtection="1">
      <alignment horizontal="center" vertical="center" wrapText="1"/>
      <protection hidden="1"/>
    </xf>
    <xf numFmtId="0" fontId="74" fillId="37" borderId="110" xfId="0" applyFont="1" applyFill="1" applyBorder="1" applyAlignment="1" applyProtection="1">
      <alignment horizontal="center" vertical="center" wrapText="1"/>
      <protection hidden="1"/>
    </xf>
    <xf numFmtId="0" fontId="74" fillId="37" borderId="113" xfId="0" applyFont="1" applyFill="1" applyBorder="1" applyAlignment="1" applyProtection="1">
      <alignment horizontal="center" vertical="center" wrapText="1"/>
      <protection hidden="1"/>
    </xf>
    <xf numFmtId="0" fontId="120" fillId="0" borderId="52" xfId="0" applyFont="1" applyBorder="1" applyAlignment="1" applyProtection="1">
      <alignment horizontal="left" vertical="center" indent="1"/>
      <protection hidden="1"/>
    </xf>
    <xf numFmtId="0" fontId="120" fillId="0" borderId="40" xfId="0" applyFont="1" applyBorder="1" applyAlignment="1" applyProtection="1">
      <alignment horizontal="left" vertical="center" indent="1"/>
      <protection hidden="1"/>
    </xf>
    <xf numFmtId="0" fontId="179" fillId="9" borderId="109" xfId="0" applyFont="1" applyFill="1" applyBorder="1" applyAlignment="1" applyProtection="1">
      <alignment horizontal="center" vertical="center" wrapText="1"/>
      <protection hidden="1"/>
    </xf>
    <xf numFmtId="0" fontId="179" fillId="9" borderId="112" xfId="0" applyFont="1" applyFill="1" applyBorder="1" applyAlignment="1" applyProtection="1">
      <alignment horizontal="center" vertical="center" wrapText="1"/>
      <protection hidden="1"/>
    </xf>
    <xf numFmtId="0" fontId="179" fillId="9" borderId="110" xfId="0" applyFont="1" applyFill="1" applyBorder="1" applyAlignment="1" applyProtection="1">
      <alignment horizontal="center" vertical="center" wrapText="1"/>
      <protection hidden="1"/>
    </xf>
    <xf numFmtId="0" fontId="179" fillId="9" borderId="113" xfId="0" applyFont="1" applyFill="1" applyBorder="1" applyAlignment="1" applyProtection="1">
      <alignment horizontal="center" vertical="center" wrapText="1"/>
      <protection hidden="1"/>
    </xf>
    <xf numFmtId="0" fontId="72" fillId="0" borderId="118" xfId="0" applyFont="1" applyBorder="1" applyAlignment="1" applyProtection="1">
      <alignment horizontal="left" vertical="center" indent="2"/>
      <protection hidden="1"/>
    </xf>
    <xf numFmtId="0" fontId="72" fillId="0" borderId="103" xfId="0" applyFont="1" applyBorder="1" applyAlignment="1" applyProtection="1">
      <alignment horizontal="left" vertical="center" indent="2"/>
      <protection hidden="1"/>
    </xf>
    <xf numFmtId="0" fontId="207" fillId="0" borderId="59" xfId="0" applyFont="1" applyBorder="1" applyAlignment="1" applyProtection="1">
      <alignment horizontal="left" vertical="center" wrapText="1" indent="1"/>
      <protection hidden="1"/>
    </xf>
    <xf numFmtId="0" fontId="35" fillId="0" borderId="69" xfId="0" applyFont="1" applyBorder="1" applyAlignment="1" applyProtection="1">
      <alignment horizontal="center"/>
      <protection hidden="1"/>
    </xf>
    <xf numFmtId="0" fontId="78" fillId="37" borderId="51" xfId="0" applyFont="1" applyFill="1" applyBorder="1" applyAlignment="1" applyProtection="1">
      <alignment horizontal="left" vertical="center"/>
      <protection hidden="1"/>
    </xf>
    <xf numFmtId="0" fontId="78" fillId="37" borderId="64" xfId="0" applyFont="1" applyFill="1" applyBorder="1" applyAlignment="1" applyProtection="1">
      <alignment horizontal="left" vertical="center"/>
      <protection hidden="1"/>
    </xf>
    <xf numFmtId="0" fontId="74" fillId="37" borderId="120" xfId="0" applyFont="1" applyFill="1" applyBorder="1" applyAlignment="1" applyProtection="1">
      <alignment horizontal="center" vertical="center" wrapText="1"/>
      <protection hidden="1"/>
    </xf>
    <xf numFmtId="0" fontId="74" fillId="37" borderId="121" xfId="0" applyFont="1" applyFill="1" applyBorder="1" applyAlignment="1" applyProtection="1">
      <alignment horizontal="center" vertical="center" wrapText="1"/>
      <protection hidden="1"/>
    </xf>
    <xf numFmtId="0" fontId="74" fillId="37" borderId="122" xfId="0" applyFont="1" applyFill="1" applyBorder="1" applyAlignment="1" applyProtection="1">
      <alignment horizontal="center" vertical="center" wrapText="1"/>
      <protection hidden="1"/>
    </xf>
    <xf numFmtId="0" fontId="179" fillId="9" borderId="120" xfId="0" applyFont="1" applyFill="1" applyBorder="1" applyAlignment="1" applyProtection="1">
      <alignment horizontal="center" vertical="center" wrapText="1"/>
      <protection hidden="1"/>
    </xf>
    <xf numFmtId="0" fontId="179" fillId="9" borderId="121" xfId="0" applyFont="1" applyFill="1" applyBorder="1" applyAlignment="1" applyProtection="1">
      <alignment horizontal="center" vertical="center" wrapText="1"/>
      <protection hidden="1"/>
    </xf>
    <xf numFmtId="0" fontId="179" fillId="9" borderId="122" xfId="0" applyFont="1" applyFill="1" applyBorder="1" applyAlignment="1" applyProtection="1">
      <alignment horizontal="center" vertical="center" wrapText="1"/>
      <protection hidden="1"/>
    </xf>
    <xf numFmtId="0" fontId="189" fillId="0" borderId="0" xfId="0" applyFont="1" applyAlignment="1" applyProtection="1">
      <alignment horizontal="left" vertical="center" wrapText="1"/>
      <protection hidden="1"/>
    </xf>
    <xf numFmtId="0" fontId="189" fillId="0" borderId="0" xfId="0" applyFont="1" applyAlignment="1" applyProtection="1">
      <alignment horizontal="right" vertical="center" wrapText="1"/>
      <protection hidden="1"/>
    </xf>
    <xf numFmtId="0" fontId="191" fillId="0" borderId="0" xfId="0" applyFont="1" applyAlignment="1" applyProtection="1">
      <alignment horizontal="left" vertical="top" wrapText="1" indent="1"/>
      <protection hidden="1"/>
    </xf>
    <xf numFmtId="0" fontId="191" fillId="0" borderId="0" xfId="0" applyFont="1" applyAlignment="1" applyProtection="1">
      <alignment horizontal="right" vertical="top" wrapText="1" indent="1"/>
      <protection hidden="1"/>
    </xf>
    <xf numFmtId="2" fontId="189" fillId="0" borderId="0" xfId="0" applyNumberFormat="1" applyFont="1" applyAlignment="1" applyProtection="1">
      <alignment horizontal="right" indent="1"/>
      <protection hidden="1"/>
    </xf>
    <xf numFmtId="0" fontId="6" fillId="0" borderId="3"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2" fillId="0" borderId="48" xfId="0" applyFont="1" applyBorder="1" applyAlignment="1">
      <alignment horizontal="center"/>
    </xf>
    <xf numFmtId="0" fontId="2" fillId="0" borderId="49" xfId="0" applyFont="1" applyBorder="1" applyAlignment="1">
      <alignment horizontal="center"/>
    </xf>
    <xf numFmtId="0" fontId="2" fillId="0" borderId="50" xfId="0" applyFont="1" applyBorder="1" applyAlignment="1">
      <alignment horizontal="center"/>
    </xf>
    <xf numFmtId="0" fontId="0" fillId="0" borderId="0" xfId="0" applyAlignment="1">
      <alignment horizontal="center"/>
    </xf>
  </cellXfs>
  <cellStyles count="186">
    <cellStyle name=" 1" xfId="74"/>
    <cellStyle name=" 1 2" xfId="75"/>
    <cellStyle name="_x000a__x000a_JournalTemplate=C:\COMFO\CTALK\JOURSTD.TPL_x000a__x000a_LbStateAddress=3 3 0 251 1 89 2 311_x000a__x000a_LbStateJou" xfId="1"/>
    <cellStyle name="_x000d__x000a_JournalTemplate=C:\COMFO\CTALK\JOURSTD.TPL_x000d__x000a_LbStateAddress=3 3 0 251 1 89 2 311_x000d__x000a_LbStateJou" xfId="2"/>
    <cellStyle name="_x000d__x000a_JournalTemplate=C:\COMFO\CTALK\JOURSTD.TPL_x000d__x000a_LbStateAddress=3 3 0 251 1 89 2 311_x000d__x000a_LbStateJou 2" xfId="76"/>
    <cellStyle name="_x000d__x000a_JournalTemplate=C:\COMFO\CTALK\JOURSTD.TPL_x000d__x000a_LbStateAddress=3 3 0 251 1 89 2 311_x000d__x000a_LbStateJou 3" xfId="77"/>
    <cellStyle name="!Comma (0)" xfId="3"/>
    <cellStyle name="!Comma (1)" xfId="4"/>
    <cellStyle name="!Decimal (1)" xfId="5"/>
    <cellStyle name="!Decimal (2)" xfId="6"/>
    <cellStyle name="!Year" xfId="7"/>
    <cellStyle name="%" xfId="78"/>
    <cellStyle name="% 2" xfId="79"/>
    <cellStyle name="@_x000a_" xfId="80"/>
    <cellStyle name="_.csv]StatisticalData(1)" xfId="81"/>
    <cellStyle name="_.csv]StatisticalData(1) 2" xfId="82"/>
    <cellStyle name="_CFCO" xfId="83"/>
    <cellStyle name="_China_Hotspots_BER_SX" xfId="8"/>
    <cellStyle name="_CNWB" xfId="9"/>
    <cellStyle name="_CountryIndicators" xfId="10"/>
    <cellStyle name="_Data" xfId="11"/>
    <cellStyle name="_Data 2" xfId="84"/>
    <cellStyle name="_Data 3" xfId="85"/>
    <cellStyle name="_Data_1" xfId="86"/>
    <cellStyle name="_DOW_CHEMICAL_INTERNAL_0.93" xfId="12"/>
    <cellStyle name="_EGwb" xfId="87"/>
    <cellStyle name="_FinancialIndicators" xfId="13"/>
    <cellStyle name="_HCSV" xfId="88"/>
    <cellStyle name="_HCSV 2" xfId="89"/>
    <cellStyle name="_HSPE" xfId="90"/>
    <cellStyle name="_HSPE 2" xfId="91"/>
    <cellStyle name="_HSPE_1" xfId="92"/>
    <cellStyle name="_IFS1" xfId="14"/>
    <cellStyle name="_Industry workbook format" xfId="93"/>
    <cellStyle name="_INWB" xfId="94"/>
    <cellStyle name="_SAWB" xfId="95"/>
    <cellStyle name="_Sheet1" xfId="96"/>
    <cellStyle name="_Sheet1 2" xfId="97"/>
    <cellStyle name="_Sheet1 3" xfId="98"/>
    <cellStyle name="_Sheet1_1" xfId="99"/>
    <cellStyle name="_Summary" xfId="100"/>
    <cellStyle name="_Working" xfId="15"/>
    <cellStyle name="_XSection6" xfId="16"/>
    <cellStyle name="=C:\WINNT\SYSTEM32\COMMAND.COM" xfId="17"/>
    <cellStyle name="=C:\WINNT\SYSTEM32\COMMAND.COM 2" xfId="101"/>
    <cellStyle name="=C:\WINNT35\SYSTEM32\COMMAND.COM" xfId="102"/>
    <cellStyle name="0,0_x000a__x000a_NA_x000a__x000a_" xfId="18"/>
    <cellStyle name="0,0_x000d__x000a_NA_x000d__x000a_" xfId="19"/>
    <cellStyle name="1-1" xfId="65"/>
    <cellStyle name="20% - Accent1 2" xfId="103"/>
    <cellStyle name="20% - Accent2 2" xfId="104"/>
    <cellStyle name="20% - Accent3 2" xfId="105"/>
    <cellStyle name="20% - Accent4 2" xfId="106"/>
    <cellStyle name="20% - Accent5 2" xfId="107"/>
    <cellStyle name="20% - Accent6 2" xfId="108"/>
    <cellStyle name="40% - Accent1 2" xfId="109"/>
    <cellStyle name="40% - Accent2 2" xfId="110"/>
    <cellStyle name="40% - Accent3 2" xfId="111"/>
    <cellStyle name="40% - Accent4 2" xfId="112"/>
    <cellStyle name="40% - Accent5 2" xfId="113"/>
    <cellStyle name="40% - Accent6 2" xfId="114"/>
    <cellStyle name="60% - Accent1 2" xfId="115"/>
    <cellStyle name="60% - Accent2 2" xfId="116"/>
    <cellStyle name="60% - Accent3 2" xfId="117"/>
    <cellStyle name="60% - Accent4 2" xfId="118"/>
    <cellStyle name="60% - Accent5 2" xfId="119"/>
    <cellStyle name="60% - Accent6 2" xfId="120"/>
    <cellStyle name="A satisfied Microsoft Office user" xfId="20"/>
    <cellStyle name="Accent1 2" xfId="21"/>
    <cellStyle name="ANCLAS,REZONES Y SUS PARTES,DE FUNDICION,DE HIERRO O DE ACERO" xfId="22"/>
    <cellStyle name="Bad 2" xfId="121"/>
    <cellStyle name="body" xfId="157"/>
    <cellStyle name="Calculation 2" xfId="122"/>
    <cellStyle name="Check Cell 2" xfId="123"/>
    <cellStyle name="Comma 2" xfId="23"/>
    <cellStyle name="Comma 2 2" xfId="124"/>
    <cellStyle name="Comma 3" xfId="24"/>
    <cellStyle name="Comma 4" xfId="25"/>
    <cellStyle name="Comma 5" xfId="26"/>
    <cellStyle name="Comma 5 2" xfId="162"/>
    <cellStyle name="Comma 6" xfId="63"/>
    <cellStyle name="Comma 7" xfId="165"/>
    <cellStyle name="Currency 2" xfId="64"/>
    <cellStyle name="Dezimal_Energiekosten_test" xfId="125"/>
    <cellStyle name="Euro" xfId="27"/>
    <cellStyle name="Explanatory Text 2" xfId="126"/>
    <cellStyle name="F2" xfId="28"/>
    <cellStyle name="F2 2" xfId="127"/>
    <cellStyle name="F3" xfId="29"/>
    <cellStyle name="F3 2" xfId="128"/>
    <cellStyle name="F4" xfId="30"/>
    <cellStyle name="F4 2" xfId="129"/>
    <cellStyle name="F5" xfId="31"/>
    <cellStyle name="F5 2" xfId="130"/>
    <cellStyle name="F6" xfId="32"/>
    <cellStyle name="F6 2" xfId="131"/>
    <cellStyle name="F7" xfId="33"/>
    <cellStyle name="F7 2" xfId="132"/>
    <cellStyle name="F8" xfId="34"/>
    <cellStyle name="F8 2" xfId="133"/>
    <cellStyle name="foot left" xfId="66"/>
    <cellStyle name="Good 2" xfId="134"/>
    <cellStyle name="header" xfId="158"/>
    <cellStyle name="Heading 1 2" xfId="135"/>
    <cellStyle name="Heading 2 2" xfId="136"/>
    <cellStyle name="Heading 3 2" xfId="137"/>
    <cellStyle name="Heading 4 2" xfId="138"/>
    <cellStyle name="Hyperlink" xfId="185" builtinId="8"/>
    <cellStyle name="Hyperlink 2" xfId="35"/>
    <cellStyle name="Hyperlink 3" xfId="60"/>
    <cellStyle name="Hyperlink 4" xfId="61"/>
    <cellStyle name="Hyperlink 4 2" xfId="161"/>
    <cellStyle name="Hyperlink 5" xfId="181"/>
    <cellStyle name="Input 2" xfId="139"/>
    <cellStyle name="Linked Cell 2" xfId="140"/>
    <cellStyle name="Millares [0]_COLOC00" xfId="36"/>
    <cellStyle name="Millares_Apctasnacionles" xfId="37"/>
    <cellStyle name="Moneda [0]_COLOC00" xfId="38"/>
    <cellStyle name="Moneda_COLOC00" xfId="39"/>
    <cellStyle name="n1" xfId="40"/>
    <cellStyle name="n2" xfId="41"/>
    <cellStyle name="nav" xfId="159"/>
    <cellStyle name="Navadno_Vse BOP skupaj" xfId="42"/>
    <cellStyle name="Neutral 2" xfId="141"/>
    <cellStyle name="Normal" xfId="0" builtinId="0"/>
    <cellStyle name="Normal 10" xfId="142"/>
    <cellStyle name="Normal 10 3" xfId="182"/>
    <cellStyle name="Normal 11" xfId="143"/>
    <cellStyle name="Normal 11 2" xfId="184"/>
    <cellStyle name="Normal 12" xfId="144"/>
    <cellStyle name="Normal 13" xfId="145"/>
    <cellStyle name="Normal 14" xfId="146"/>
    <cellStyle name="Normal 15" xfId="147"/>
    <cellStyle name="Normal 16" xfId="166"/>
    <cellStyle name="Normal 17" xfId="167"/>
    <cellStyle name="Normal 19" xfId="183"/>
    <cellStyle name="Normal 2" xfId="43"/>
    <cellStyle name="Normal 2 2" xfId="44"/>
    <cellStyle name="Normal 2 3" xfId="67"/>
    <cellStyle name="Normal 2 4" xfId="68"/>
    <cellStyle name="Normal 2 5" xfId="168"/>
    <cellStyle name="Normal 2 6" xfId="180"/>
    <cellStyle name="Normal 3" xfId="45"/>
    <cellStyle name="Normal 3 2" xfId="46"/>
    <cellStyle name="Normal 3 2 2" xfId="163"/>
    <cellStyle name="Normal 4" xfId="47"/>
    <cellStyle name="Normal 4 2" xfId="169"/>
    <cellStyle name="Normal 5" xfId="48"/>
    <cellStyle name="Normal 6" xfId="49"/>
    <cellStyle name="Normal 6 2" xfId="148"/>
    <cellStyle name="Normal 6 3" xfId="170"/>
    <cellStyle name="Normal 6 3 2" xfId="171"/>
    <cellStyle name="Normal 6 4" xfId="172"/>
    <cellStyle name="Normal 7" xfId="69"/>
    <cellStyle name="Normal 7 2" xfId="160"/>
    <cellStyle name="Normal 8" xfId="62"/>
    <cellStyle name="Normal 8 2" xfId="164"/>
    <cellStyle name="Normal 9" xfId="149"/>
    <cellStyle name="Normalny_Arkusz1" xfId="50"/>
    <cellStyle name="Note 2" xfId="51"/>
    <cellStyle name="nPlode" xfId="52"/>
    <cellStyle name="Output 2" xfId="150"/>
    <cellStyle name="Percent" xfId="179" builtinId="5"/>
    <cellStyle name="Percent 2" xfId="53"/>
    <cellStyle name="Percent 3" xfId="54"/>
    <cellStyle name="sample" xfId="55"/>
    <cellStyle name="Separador de milhares 2" xfId="173"/>
    <cellStyle name="Separador de milhares 2 2" xfId="174"/>
    <cellStyle name="Separador de milhares 2 2 2" xfId="175"/>
    <cellStyle name="Separador de milhares 2 3" xfId="176"/>
    <cellStyle name="Standard_0 - Inhalt, Erläuterungen, Einheiten" xfId="151"/>
    <cellStyle name="Style 1" xfId="56"/>
    <cellStyle name="Style 1 2" xfId="57"/>
    <cellStyle name="Style 1 2 2" xfId="152"/>
    <cellStyle name="Title 2" xfId="70"/>
    <cellStyle name="top" xfId="153"/>
    <cellStyle name="Total intermediaire" xfId="154"/>
    <cellStyle name="Vírgula 2" xfId="177"/>
    <cellStyle name="Vírgula 3" xfId="178"/>
    <cellStyle name="Warning Text 2" xfId="155"/>
    <cellStyle name="콤마 [0]" xfId="71"/>
    <cellStyle name="콤마_아산" xfId="72"/>
    <cellStyle name="표준 46" xfId="73"/>
    <cellStyle name="常规_341-372刘苗 2_1999-2010 City Data(For London)full_RS" xfId="58"/>
    <cellStyle name="年資料" xfId="59"/>
    <cellStyle name="標準_gt3001" xfId="156"/>
  </cellStyles>
  <dxfs count="292">
    <dxf>
      <font>
        <b/>
        <i val="0"/>
        <color theme="1"/>
      </font>
      <numFmt numFmtId="0" formatCode="General"/>
      <fill>
        <patternFill>
          <bgColor theme="4" tint="0.39994506668294322"/>
        </patternFill>
      </fill>
    </dxf>
    <dxf>
      <font>
        <b/>
        <i val="0"/>
        <color theme="0"/>
      </font>
      <numFmt numFmtId="2" formatCode="0.00"/>
      <fill>
        <patternFill>
          <bgColor theme="4" tint="-0.24994659260841701"/>
        </patternFill>
      </fill>
      <border>
        <top style="thin">
          <color theme="2"/>
        </top>
        <bottom style="thin">
          <color theme="2"/>
        </bottom>
      </border>
    </dxf>
    <dxf>
      <fill>
        <patternFill>
          <bgColor theme="2"/>
        </patternFill>
      </fill>
    </dxf>
    <dxf>
      <font>
        <b val="0"/>
        <i/>
      </font>
      <fill>
        <patternFill patternType="none">
          <bgColor auto="1"/>
        </patternFill>
      </fill>
    </dxf>
    <dxf>
      <font>
        <b/>
        <i val="0"/>
        <color auto="1"/>
      </font>
      <numFmt numFmtId="2" formatCode="0.00"/>
      <fill>
        <patternFill>
          <bgColor theme="9" tint="0.59996337778862885"/>
        </patternFill>
      </fill>
    </dxf>
    <dxf>
      <font>
        <b/>
        <i val="0"/>
      </font>
      <numFmt numFmtId="2" formatCode="0.00"/>
      <fill>
        <patternFill>
          <bgColor theme="9" tint="0.79998168889431442"/>
        </patternFill>
      </fill>
      <border>
        <top style="thin">
          <color rgb="FF002451"/>
        </top>
        <bottom style="thin">
          <color rgb="FF002451"/>
        </bottom>
      </border>
    </dxf>
    <dxf>
      <fill>
        <patternFill>
          <bgColor theme="4" tint="0.79998168889431442"/>
        </patternFill>
      </fill>
    </dxf>
    <dxf>
      <font>
        <b val="0"/>
        <i/>
      </font>
      <fill>
        <patternFill patternType="none">
          <bgColor auto="1"/>
        </patternFill>
      </fill>
    </dxf>
    <dxf>
      <font>
        <color theme="0"/>
      </font>
      <fill>
        <patternFill>
          <bgColor theme="0"/>
        </patternFill>
      </fill>
      <border>
        <left style="thin">
          <color theme="0"/>
        </left>
        <right style="thin">
          <color theme="0"/>
        </right>
        <top style="thin">
          <color theme="0"/>
        </top>
        <bottom style="thin">
          <color theme="0"/>
        </bottom>
        <vertical/>
        <horizontal/>
      </border>
    </dxf>
    <dxf>
      <border>
        <bottom style="thin">
          <color auto="1"/>
        </bottom>
        <vertical/>
        <horizontal/>
      </border>
    </dxf>
    <dxf>
      <font>
        <color theme="0"/>
      </font>
      <fill>
        <patternFill>
          <bgColor rgb="FF002060"/>
        </patternFill>
      </fill>
    </dxf>
    <dxf>
      <font>
        <color theme="0"/>
      </font>
      <fill>
        <patternFill>
          <bgColor rgb="FFFF0000"/>
        </patternFill>
      </fill>
    </dxf>
    <dxf>
      <font>
        <color theme="0"/>
      </font>
      <fill>
        <patternFill>
          <bgColor rgb="FFFF0000"/>
        </patternFill>
      </fill>
    </dxf>
    <dxf>
      <font>
        <b/>
        <i val="0"/>
      </font>
      <fill>
        <patternFill>
          <bgColor theme="3" tint="0.59996337778862885"/>
        </patternFill>
      </fill>
      <border>
        <top style="thin">
          <color auto="1"/>
        </top>
        <bottom style="thin">
          <color auto="1"/>
        </bottom>
        <vertical/>
        <horizontal/>
      </border>
    </dxf>
    <dxf>
      <fill>
        <patternFill>
          <bgColor theme="0" tint="-4.9989318521683403E-2"/>
        </patternFill>
      </fill>
      <border>
        <top style="thin">
          <color auto="1"/>
        </top>
        <bottom style="thin">
          <color auto="1"/>
        </bottom>
        <vertical/>
        <horizontal/>
      </border>
    </dxf>
    <dxf>
      <font>
        <b/>
        <i val="0"/>
      </font>
      <fill>
        <patternFill>
          <bgColor theme="3" tint="0.59996337778862885"/>
        </patternFill>
      </fill>
      <border>
        <top style="thin">
          <color auto="1"/>
        </top>
        <bottom style="thin">
          <color auto="1"/>
        </bottom>
        <vertical/>
        <horizontal/>
      </border>
    </dxf>
    <dxf>
      <fill>
        <patternFill>
          <bgColor theme="0" tint="-4.9989318521683403E-2"/>
        </patternFill>
      </fill>
      <border>
        <top style="thin">
          <color auto="1"/>
        </top>
        <bottom style="thin">
          <color auto="1"/>
        </bottom>
        <vertical/>
        <horizontal/>
      </border>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theme="0"/>
      </font>
      <fill>
        <patternFill>
          <bgColor theme="8" tint="-0.499984740745262"/>
        </patternFill>
      </fill>
    </dxf>
    <dxf>
      <font>
        <b/>
        <i val="0"/>
        <color auto="1"/>
      </font>
    </dxf>
    <dxf>
      <fill>
        <patternFill>
          <bgColor theme="0" tint="-4.9989318521683403E-2"/>
        </patternFill>
      </fill>
    </dxf>
    <dxf>
      <font>
        <color theme="0" tint="-0.34998626667073579"/>
      </font>
    </dxf>
    <dxf>
      <fill>
        <patternFill>
          <bgColor theme="8" tint="0.79998168889431442"/>
        </patternFill>
      </fill>
    </dxf>
    <dxf>
      <font>
        <b val="0"/>
        <i val="0"/>
      </font>
      <fill>
        <patternFill patternType="solid">
          <bgColor rgb="FFFAFAFA"/>
        </patternFill>
      </fill>
    </dxf>
    <dxf>
      <font>
        <color theme="0"/>
      </font>
      <fill>
        <patternFill>
          <bgColor theme="0"/>
        </patternFill>
      </fill>
      <border>
        <left style="thin">
          <color theme="0"/>
        </left>
        <right style="thin">
          <color theme="0"/>
        </right>
        <top style="thin">
          <color theme="0"/>
        </top>
        <bottom style="thin">
          <color theme="0"/>
        </bottom>
        <vertical/>
        <horizontal/>
      </border>
    </dxf>
    <dxf>
      <border>
        <bottom style="thin">
          <color auto="1"/>
        </bottom>
        <vertical/>
        <horizontal/>
      </border>
    </dxf>
    <dxf>
      <fill>
        <patternFill>
          <bgColor theme="8" tint="0.79998168889431442"/>
        </patternFill>
      </fill>
    </dxf>
    <dxf>
      <font>
        <b val="0"/>
        <i val="0"/>
      </font>
      <fill>
        <patternFill patternType="solid">
          <bgColor rgb="FFFAFAFA"/>
        </patternFill>
      </fill>
    </dxf>
    <dxf>
      <font>
        <color theme="0"/>
      </font>
      <fill>
        <patternFill>
          <bgColor theme="0"/>
        </patternFill>
      </fill>
      <border>
        <left style="thin">
          <color theme="0"/>
        </left>
        <right style="thin">
          <color theme="0"/>
        </right>
        <top style="thin">
          <color theme="0"/>
        </top>
        <bottom style="thin">
          <color theme="0"/>
        </bottom>
        <vertical/>
        <horizontal/>
      </border>
    </dxf>
    <dxf>
      <border>
        <bottom style="thin">
          <color auto="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rgb="FFDCE6F1"/>
      </font>
      <fill>
        <patternFill>
          <bgColor rgb="FFDCE6F1"/>
        </patternFill>
      </fill>
    </dxf>
    <dxf>
      <font>
        <color rgb="FF92C5EB"/>
      </font>
      <fill>
        <patternFill>
          <bgColor rgb="FF92C5EB"/>
        </patternFill>
      </fill>
    </dxf>
    <dxf>
      <font>
        <color rgb="FF376092"/>
      </font>
      <fill>
        <patternFill>
          <bgColor rgb="FF376092"/>
        </patternFill>
      </fill>
    </dxf>
    <dxf>
      <fill>
        <patternFill>
          <bgColor rgb="FFDCE6F1"/>
        </patternFill>
      </fill>
    </dxf>
    <dxf>
      <fill>
        <patternFill>
          <bgColor rgb="FF92C5EB"/>
        </patternFill>
      </fill>
    </dxf>
    <dxf>
      <font>
        <color theme="0"/>
      </font>
      <fill>
        <patternFill>
          <bgColor theme="4" tint="-0.24994659260841701"/>
        </patternFill>
      </fill>
    </dxf>
    <dxf>
      <border>
        <right style="thin">
          <color auto="1"/>
        </right>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theme="8" tint="0.79998168889431442"/>
        </patternFill>
      </fill>
    </dxf>
    <dxf>
      <font>
        <b val="0"/>
        <i val="0"/>
      </font>
      <fill>
        <patternFill patternType="solid">
          <bgColor rgb="FFFAFAFA"/>
        </patternFill>
      </fill>
    </dxf>
    <dxf>
      <font>
        <color theme="0"/>
      </font>
      <fill>
        <patternFill>
          <bgColor theme="0"/>
        </patternFill>
      </fill>
      <border>
        <left style="thin">
          <color theme="0"/>
        </left>
        <right style="thin">
          <color theme="0"/>
        </right>
        <top style="thin">
          <color theme="0"/>
        </top>
        <bottom style="thin">
          <color theme="0"/>
        </bottom>
        <vertical/>
        <horizontal/>
      </border>
    </dxf>
    <dxf>
      <border>
        <bottom style="thin">
          <color auto="1"/>
        </bottom>
        <vertical/>
        <horizontal/>
      </border>
    </dxf>
    <dxf>
      <font>
        <b/>
        <i val="0"/>
        <color theme="0"/>
      </font>
      <numFmt numFmtId="169" formatCode="0.0"/>
      <fill>
        <patternFill>
          <bgColor theme="8" tint="-0.24994659260841701"/>
        </patternFill>
      </fill>
    </dxf>
    <dxf>
      <font>
        <b/>
        <i val="0"/>
        <color auto="1"/>
      </font>
      <numFmt numFmtId="169" formatCode="0.0"/>
      <fill>
        <patternFill>
          <bgColor theme="8" tint="0.39994506668294322"/>
        </patternFill>
      </fill>
      <border>
        <top style="thin">
          <color rgb="FF002451"/>
        </top>
        <bottom style="thin">
          <color rgb="FF002451"/>
        </bottom>
      </border>
    </dxf>
    <dxf>
      <numFmt numFmtId="170" formatCode="0.0%"/>
    </dxf>
    <dxf>
      <font>
        <color theme="1" tint="4.9989318521683403E-2"/>
      </font>
    </dxf>
    <dxf>
      <font>
        <color theme="1" tint="0.14996795556505021"/>
      </font>
    </dxf>
    <dxf>
      <font>
        <color theme="1" tint="0.24994659260841701"/>
      </font>
    </dxf>
    <dxf>
      <font>
        <color theme="0"/>
      </font>
      <border>
        <bottom style="thin">
          <color theme="0"/>
        </bottom>
        <vertical/>
        <horizontal/>
      </border>
    </dxf>
    <dxf>
      <font>
        <color theme="1" tint="4.9989318521683403E-2"/>
      </font>
    </dxf>
    <dxf>
      <font>
        <color theme="1" tint="0.14996795556505021"/>
      </font>
    </dxf>
    <dxf>
      <font>
        <color theme="1" tint="0.24994659260841701"/>
      </font>
    </dxf>
    <dxf>
      <font>
        <color theme="0"/>
      </font>
      <border>
        <bottom style="thin">
          <color theme="0"/>
        </bottom>
        <vertical/>
        <horizontal/>
      </border>
    </dxf>
    <dxf>
      <border>
        <bottom style="thin">
          <color auto="1"/>
        </bottom>
        <vertical/>
        <horizontal/>
      </border>
    </dxf>
    <dxf>
      <font>
        <color auto="1"/>
      </font>
      <fill>
        <patternFill>
          <bgColor rgb="FFFDE1B9"/>
        </patternFill>
      </fill>
      <border>
        <top style="thin">
          <color auto="1"/>
        </top>
        <bottom style="thin">
          <color auto="1"/>
        </bottom>
      </border>
    </dxf>
    <dxf>
      <font>
        <color auto="1"/>
      </font>
      <fill>
        <patternFill>
          <bgColor rgb="FFFDE1B9"/>
        </patternFill>
      </fill>
      <border>
        <top style="thin">
          <color auto="1"/>
        </top>
        <bottom style="thin">
          <color auto="1"/>
        </bottom>
      </border>
    </dxf>
    <dxf>
      <font>
        <b/>
        <i val="0"/>
      </font>
      <fill>
        <patternFill>
          <bgColor theme="0" tint="-4.9989318521683403E-2"/>
        </patternFill>
      </fill>
    </dxf>
    <dxf>
      <font>
        <b/>
        <i val="0"/>
      </font>
    </dxf>
    <dxf>
      <font>
        <color rgb="FFFF0000"/>
      </font>
      <fill>
        <patternFill>
          <bgColor theme="5" tint="0.79998168889431442"/>
        </patternFill>
      </fill>
    </dxf>
    <dxf>
      <font>
        <color rgb="FF00B050"/>
      </font>
      <fill>
        <patternFill>
          <bgColor theme="6" tint="0.79998168889431442"/>
        </patternFill>
      </fill>
    </dxf>
    <dxf>
      <border>
        <bottom style="thin">
          <color auto="1"/>
        </bottom>
        <vertical/>
        <horizontal/>
      </border>
    </dxf>
    <dxf>
      <font>
        <color auto="1"/>
      </font>
      <fill>
        <patternFill>
          <bgColor rgb="FFFDE1B9"/>
        </patternFill>
      </fill>
      <border>
        <top style="thin">
          <color auto="1"/>
        </top>
        <bottom style="thin">
          <color auto="1"/>
        </bottom>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rgb="FF00B050"/>
        </patternFill>
      </fill>
    </dxf>
    <dxf>
      <font>
        <b/>
        <i val="0"/>
      </font>
      <fill>
        <patternFill>
          <bgColor theme="0" tint="-0.14996795556505021"/>
        </patternFill>
      </fill>
    </dxf>
    <dxf>
      <fill>
        <patternFill>
          <bgColor rgb="FF00B050"/>
        </patternFill>
      </fill>
    </dxf>
    <dxf>
      <font>
        <color rgb="FFFF0000"/>
      </font>
    </dxf>
    <dxf>
      <font>
        <color rgb="FF00B050"/>
      </font>
    </dxf>
    <dxf>
      <font>
        <color theme="6" tint="-0.499984740745262"/>
      </font>
      <fill>
        <patternFill>
          <bgColor theme="6" tint="0.79998168889431442"/>
        </patternFill>
      </fill>
    </dxf>
    <dxf>
      <font>
        <color rgb="FFFF0000"/>
      </font>
      <fill>
        <patternFill>
          <bgColor theme="9" tint="0.79998168889431442"/>
        </patternFill>
      </fill>
    </dxf>
    <dxf>
      <font>
        <b/>
        <i val="0"/>
      </font>
      <fill>
        <patternFill>
          <bgColor theme="8" tint="0.59996337778862885"/>
        </patternFill>
      </fill>
      <border>
        <top style="thin">
          <color theme="0"/>
        </top>
        <bottom style="thin">
          <color theme="0"/>
        </bottom>
        <vertical/>
        <horizontal/>
      </border>
    </dxf>
    <dxf>
      <border>
        <bottom style="thin">
          <color auto="1"/>
        </bottom>
        <vertical/>
        <horizontal/>
      </border>
    </dxf>
    <dxf>
      <fill>
        <patternFill>
          <bgColor theme="0"/>
        </patternFill>
      </fill>
    </dxf>
    <dxf>
      <border>
        <bottom style="thin">
          <color auto="1"/>
        </bottom>
        <vertical/>
        <horizontal/>
      </border>
    </dxf>
    <dxf>
      <font>
        <color rgb="FFFF0000"/>
      </font>
    </dxf>
    <dxf>
      <font>
        <color rgb="FF00B050"/>
      </font>
    </dxf>
    <dxf>
      <font>
        <color rgb="FFFF0000"/>
      </font>
    </dxf>
    <dxf>
      <font>
        <color rgb="FF00B050"/>
      </font>
    </dxf>
    <dxf>
      <font>
        <color theme="0"/>
      </font>
      <fill>
        <patternFill>
          <bgColor theme="0"/>
        </patternFill>
      </fill>
      <border>
        <left style="thin">
          <color theme="0"/>
        </left>
        <right style="thin">
          <color theme="0"/>
        </right>
        <bottom style="thin">
          <color theme="0"/>
        </bottom>
        <vertical/>
        <horizontal/>
      </border>
    </dxf>
    <dxf>
      <fill>
        <patternFill>
          <bgColor rgb="FFFEF5E8"/>
        </patternFill>
      </fill>
    </dxf>
    <dxf>
      <font>
        <b/>
        <i val="0"/>
      </font>
      <fill>
        <patternFill>
          <bgColor theme="8" tint="0.59996337778862885"/>
        </patternFill>
      </fill>
    </dxf>
    <dxf>
      <font>
        <b val="0"/>
        <i val="0"/>
        <color auto="1"/>
      </font>
      <fill>
        <patternFill patternType="solid">
          <bgColor theme="0"/>
        </patternFill>
      </fill>
    </dxf>
    <dxf>
      <font>
        <color theme="1"/>
      </font>
      <fill>
        <patternFill>
          <bgColor rgb="FFFDE1B9"/>
        </patternFill>
      </fill>
      <border>
        <top style="thin">
          <color auto="1"/>
        </top>
        <bottom style="thin">
          <color auto="1"/>
        </bottom>
        <vertical/>
        <horizontal/>
      </border>
    </dxf>
    <dxf>
      <font>
        <b val="0"/>
        <i val="0"/>
        <color theme="0"/>
      </font>
      <fill>
        <patternFill>
          <bgColor theme="8" tint="-0.24994659260841701"/>
        </patternFill>
      </fill>
    </dxf>
    <dxf>
      <fill>
        <patternFill>
          <bgColor rgb="FFD2D2D2"/>
        </patternFill>
      </fill>
    </dxf>
    <dxf>
      <fill>
        <patternFill>
          <bgColor rgb="FF92C5EB"/>
        </patternFill>
      </fill>
    </dxf>
    <dxf>
      <fill>
        <patternFill>
          <bgColor rgb="FF0F8EC7"/>
        </patternFill>
      </fill>
    </dxf>
    <dxf>
      <fill>
        <patternFill>
          <bgColor rgb="FF005B94"/>
        </patternFill>
      </fill>
    </dxf>
    <dxf>
      <font>
        <b/>
        <i val="0"/>
        <color theme="1"/>
      </font>
      <fill>
        <patternFill>
          <bgColor theme="0" tint="-4.9989318521683403E-2"/>
        </patternFill>
      </fill>
      <border>
        <top style="thin">
          <color auto="1"/>
        </top>
        <bottom style="thin">
          <color auto="1"/>
        </bottom>
        <vertical/>
        <horizontal/>
      </border>
    </dxf>
    <dxf>
      <border>
        <top style="thin">
          <color theme="3" tint="0.79998168889431442"/>
        </top>
        <bottom style="thin">
          <color theme="3" tint="0.79998168889431442"/>
        </bottom>
        <vertical/>
        <horizontal/>
      </border>
    </dxf>
    <dxf>
      <font>
        <b/>
        <i val="0"/>
        <color theme="1"/>
      </font>
      <fill>
        <patternFill>
          <bgColor theme="0" tint="-4.9989318521683403E-2"/>
        </patternFill>
      </fill>
      <border>
        <top style="thin">
          <color auto="1"/>
        </top>
        <bottom style="thin">
          <color auto="1"/>
        </bottom>
        <vertical/>
        <horizontal/>
      </border>
    </dxf>
    <dxf>
      <border>
        <top style="thin">
          <color theme="3" tint="0.79998168889431442"/>
        </top>
        <bottom style="thin">
          <color theme="3" tint="0.79998168889431442"/>
        </bottom>
        <vertical/>
        <horizontal/>
      </border>
    </dxf>
    <dxf>
      <font>
        <b/>
        <i val="0"/>
        <color theme="1"/>
      </font>
      <fill>
        <patternFill>
          <bgColor theme="0" tint="-4.9989318521683403E-2"/>
        </patternFill>
      </fill>
      <border>
        <top style="thin">
          <color auto="1"/>
        </top>
        <bottom style="thin">
          <color auto="1"/>
        </bottom>
        <vertical/>
        <horizontal/>
      </border>
    </dxf>
    <dxf>
      <border>
        <top style="thin">
          <color theme="3" tint="0.79998168889431442"/>
        </top>
        <bottom style="thin">
          <color theme="3" tint="0.79998168889431442"/>
        </bottom>
        <vertical/>
        <horizontal/>
      </border>
    </dxf>
    <dxf>
      <border>
        <bottom style="thin">
          <color theme="0"/>
        </bottom>
        <vertical/>
        <horizontal/>
      </border>
    </dxf>
    <dxf>
      <border>
        <bottom style="thin">
          <color theme="0"/>
        </bottom>
        <vertical/>
        <horizontal/>
      </border>
    </dxf>
    <dxf>
      <font>
        <b/>
        <i val="0"/>
        <color theme="1"/>
      </font>
      <fill>
        <patternFill>
          <bgColor theme="0" tint="-4.9989318521683403E-2"/>
        </patternFill>
      </fill>
      <border>
        <top style="thin">
          <color auto="1"/>
        </top>
        <bottom style="thin">
          <color auto="1"/>
        </bottom>
        <vertical/>
        <horizontal/>
      </border>
    </dxf>
    <dxf>
      <border>
        <top style="thin">
          <color theme="3" tint="0.79998168889431442"/>
        </top>
        <bottom style="thin">
          <color theme="3" tint="0.79998168889431442"/>
        </bottom>
        <vertical/>
        <horizontal/>
      </border>
    </dxf>
    <dxf>
      <font>
        <color theme="0"/>
      </font>
      <fill>
        <patternFill>
          <bgColor theme="0"/>
        </patternFill>
      </fill>
      <border>
        <left style="thin">
          <color theme="0"/>
        </left>
        <right style="thin">
          <color theme="0"/>
        </right>
        <bottom style="thin">
          <color theme="0"/>
        </bottom>
        <vertical/>
        <horizontal/>
      </border>
    </dxf>
    <dxf>
      <fill>
        <patternFill>
          <bgColor theme="4" tint="0.79998168889431442"/>
        </patternFill>
      </fill>
    </dxf>
    <dxf>
      <fill>
        <patternFill>
          <bgColor theme="4" tint="0.59996337778862885"/>
        </patternFill>
      </fill>
    </dxf>
    <dxf>
      <font>
        <color theme="1"/>
      </font>
      <fill>
        <patternFill>
          <bgColor theme="4" tint="0.39994506668294322"/>
        </patternFill>
      </fill>
    </dxf>
    <dxf>
      <font>
        <color theme="0"/>
      </font>
      <fill>
        <patternFill>
          <bgColor theme="4" tint="-0.24994659260841701"/>
        </patternFill>
      </fill>
    </dxf>
    <dxf>
      <font>
        <color theme="0"/>
      </font>
      <fill>
        <patternFill>
          <bgColor theme="0"/>
        </patternFill>
      </fill>
      <border>
        <left style="thin">
          <color theme="0"/>
        </left>
        <right style="thin">
          <color theme="0"/>
        </right>
        <bottom style="thin">
          <color theme="0"/>
        </bottom>
      </border>
    </dxf>
    <dxf>
      <font>
        <color theme="0"/>
      </font>
      <fill>
        <patternFill>
          <bgColor theme="0"/>
        </patternFill>
      </fill>
      <border>
        <left style="thin">
          <color theme="0"/>
        </left>
        <right style="thin">
          <color theme="0"/>
        </right>
        <bottom style="thin">
          <color theme="0"/>
        </bottom>
      </border>
    </dxf>
    <dxf>
      <font>
        <color theme="0"/>
      </font>
      <fill>
        <patternFill>
          <bgColor rgb="FF002451"/>
        </patternFill>
      </fill>
    </dxf>
    <dxf>
      <font>
        <color rgb="FF382E2C"/>
      </font>
      <fill>
        <patternFill>
          <bgColor rgb="FF92C5EB"/>
        </patternFill>
      </fill>
    </dxf>
    <dxf>
      <font>
        <color theme="0"/>
      </font>
      <fill>
        <patternFill>
          <bgColor rgb="FF002451"/>
        </patternFill>
      </fill>
    </dxf>
    <dxf>
      <font>
        <color rgb="FF382E2C"/>
      </font>
      <fill>
        <patternFill>
          <bgColor rgb="FF92C5EB"/>
        </patternFill>
      </fill>
    </dxf>
    <dxf>
      <font>
        <color theme="0"/>
      </font>
      <fill>
        <patternFill>
          <bgColor theme="0"/>
        </patternFill>
      </fill>
    </dxf>
    <dxf>
      <font>
        <color theme="0"/>
      </font>
      <fill>
        <patternFill>
          <bgColor theme="0"/>
        </patternFill>
      </fill>
      <border>
        <left style="thin">
          <color theme="0"/>
        </left>
        <right style="thin">
          <color theme="0"/>
        </right>
        <top style="thin">
          <color theme="0"/>
        </top>
        <bottom style="thin">
          <color theme="0"/>
        </bottom>
      </border>
    </dxf>
    <dxf>
      <font>
        <color auto="1"/>
      </font>
      <fill>
        <patternFill>
          <bgColor rgb="FFDCDFF2"/>
        </patternFill>
      </fill>
    </dxf>
    <dxf>
      <font>
        <color theme="1"/>
      </font>
      <fill>
        <patternFill>
          <bgColor rgb="FF92C5EB"/>
        </patternFill>
      </fill>
    </dxf>
    <dxf>
      <fill>
        <patternFill>
          <bgColor rgb="FF0F8EC7"/>
        </patternFill>
      </fill>
    </dxf>
    <dxf>
      <font>
        <color theme="0"/>
      </font>
      <fill>
        <patternFill>
          <bgColor theme="0"/>
        </patternFill>
      </fill>
      <border>
        <bottom style="thin">
          <color theme="0"/>
        </bottom>
      </border>
    </dxf>
    <dxf>
      <font>
        <color auto="1"/>
      </font>
      <fill>
        <patternFill>
          <bgColor rgb="FFDCDFF2"/>
        </patternFill>
      </fill>
    </dxf>
    <dxf>
      <font>
        <color theme="1"/>
      </font>
      <fill>
        <patternFill>
          <bgColor rgb="FF92C5EB"/>
        </patternFill>
      </fill>
    </dxf>
    <dxf>
      <fill>
        <patternFill>
          <bgColor rgb="FF0F8EC7"/>
        </patternFill>
      </fill>
    </dxf>
    <dxf>
      <font>
        <color theme="0"/>
      </font>
      <fill>
        <patternFill>
          <bgColor theme="0"/>
        </patternFill>
      </fill>
      <border>
        <bottom style="thin">
          <color theme="0"/>
        </bottom>
      </border>
    </dxf>
    <dxf>
      <font>
        <color auto="1"/>
      </font>
      <fill>
        <patternFill>
          <bgColor rgb="FFDCDFF2"/>
        </patternFill>
      </fill>
    </dxf>
    <dxf>
      <font>
        <color theme="1"/>
      </font>
      <fill>
        <patternFill>
          <bgColor rgb="FF92C5EB"/>
        </patternFill>
      </fill>
    </dxf>
    <dxf>
      <fill>
        <patternFill>
          <bgColor rgb="FF0F8EC7"/>
        </patternFill>
      </fill>
    </dxf>
    <dxf>
      <font>
        <color theme="0"/>
      </font>
      <fill>
        <patternFill>
          <bgColor theme="0"/>
        </patternFill>
      </fill>
    </dxf>
    <dxf>
      <font>
        <color auto="1"/>
      </font>
      <fill>
        <patternFill>
          <bgColor rgb="FFDCDFF2"/>
        </patternFill>
      </fill>
    </dxf>
    <dxf>
      <font>
        <color theme="1"/>
      </font>
      <fill>
        <patternFill>
          <bgColor rgb="FF92C5EB"/>
        </patternFill>
      </fill>
    </dxf>
    <dxf>
      <fill>
        <patternFill>
          <bgColor rgb="FF0F8EC7"/>
        </patternFill>
      </fill>
    </dxf>
    <dxf>
      <font>
        <color theme="0"/>
      </font>
      <fill>
        <patternFill>
          <bgColor rgb="FF376092"/>
        </patternFill>
      </fill>
    </dxf>
    <dxf>
      <font>
        <color theme="0"/>
      </font>
      <fill>
        <patternFill>
          <bgColor theme="0"/>
        </patternFill>
      </fill>
    </dxf>
    <dxf>
      <font>
        <color theme="0"/>
      </font>
      <fill>
        <patternFill>
          <bgColor theme="4" tint="-0.499984740745262"/>
        </patternFill>
      </fill>
    </dxf>
    <dxf>
      <font>
        <color theme="1"/>
      </font>
      <fill>
        <patternFill>
          <bgColor theme="2" tint="-9.9948118533890809E-2"/>
        </patternFill>
      </fill>
    </dxf>
    <dxf>
      <font>
        <color auto="1"/>
      </font>
      <fill>
        <patternFill>
          <bgColor rgb="FFB6BDDC"/>
        </patternFill>
      </fill>
    </dxf>
    <dxf>
      <font>
        <color theme="0"/>
      </font>
      <fill>
        <patternFill>
          <bgColor theme="0"/>
        </patternFill>
      </fill>
      <border>
        <left style="thin">
          <color theme="0"/>
        </left>
        <right style="thin">
          <color theme="0"/>
        </right>
        <bottom style="thin">
          <color theme="0"/>
        </bottom>
      </border>
    </dxf>
    <dxf>
      <fill>
        <patternFill>
          <bgColor rgb="FF376092"/>
        </patternFill>
      </fill>
    </dxf>
    <dxf>
      <fill>
        <patternFill>
          <bgColor theme="4" tint="0.39994506668294322"/>
        </patternFill>
      </fill>
    </dxf>
    <dxf>
      <fill>
        <patternFill>
          <bgColor theme="4" tint="0.59996337778862885"/>
        </patternFill>
      </fill>
    </dxf>
    <dxf>
      <fill>
        <patternFill>
          <bgColor rgb="FFDCE6F2"/>
        </patternFill>
      </fill>
    </dxf>
    <dxf>
      <fill>
        <patternFill>
          <bgColor theme="0"/>
        </patternFill>
      </fill>
      <border>
        <left style="thin">
          <color theme="1" tint="0.34998626667073579"/>
        </left>
        <right style="thin">
          <color theme="1" tint="0.34998626667073579"/>
        </right>
        <top style="thin">
          <color theme="1" tint="0.34998626667073579"/>
        </top>
        <bottom style="thin">
          <color theme="1" tint="0.34998626667073579"/>
        </bottom>
      </border>
    </dxf>
    <dxf>
      <font>
        <color theme="1"/>
      </font>
      <fill>
        <patternFill>
          <bgColor theme="2" tint="-9.9948118533890809E-2"/>
        </patternFill>
      </fill>
    </dxf>
    <dxf>
      <font>
        <color auto="1"/>
      </font>
      <fill>
        <patternFill>
          <bgColor rgb="FFB6BDDC"/>
        </patternFill>
      </fill>
    </dxf>
    <dxf>
      <font>
        <color theme="0"/>
      </font>
      <fill>
        <patternFill>
          <bgColor theme="0"/>
        </patternFill>
      </fill>
      <border>
        <left style="thin">
          <color theme="0"/>
        </left>
        <right style="thin">
          <color theme="0"/>
        </right>
        <bottom style="thin">
          <color theme="0"/>
        </bottom>
      </border>
    </dxf>
    <dxf>
      <font>
        <color theme="0"/>
      </font>
      <fill>
        <patternFill>
          <bgColor theme="0"/>
        </patternFill>
      </fill>
      <border>
        <left style="thin">
          <color theme="0"/>
        </left>
        <right style="thin">
          <color theme="0"/>
        </right>
        <bottom style="thin">
          <color theme="0"/>
        </bottom>
        <vertical/>
        <horizontal/>
      </border>
    </dxf>
    <dxf>
      <font>
        <color auto="1"/>
      </font>
      <fill>
        <patternFill>
          <bgColor theme="2" tint="-9.9948118533890809E-2"/>
        </patternFill>
      </fill>
    </dxf>
    <dxf>
      <font>
        <color auto="1"/>
      </font>
      <fill>
        <patternFill>
          <bgColor rgb="FFB6BDDC"/>
        </patternFill>
      </fill>
    </dxf>
    <dxf>
      <fill>
        <patternFill>
          <bgColor theme="0" tint="-4.9989318521683403E-2"/>
        </patternFill>
      </fill>
      <border>
        <top style="thin">
          <color auto="1"/>
        </top>
        <bottom style="thin">
          <color auto="1"/>
        </bottom>
        <vertical/>
        <horizontal/>
      </border>
    </dxf>
    <dxf>
      <font>
        <color theme="0"/>
      </font>
    </dxf>
    <dxf>
      <fill>
        <patternFill>
          <bgColor rgb="FFDCE6F1"/>
        </patternFill>
      </fill>
    </dxf>
    <dxf>
      <fill>
        <patternFill>
          <bgColor rgb="FF92C5EB"/>
        </patternFill>
      </fill>
    </dxf>
    <dxf>
      <fill>
        <patternFill>
          <bgColor rgb="FF95B3D7"/>
        </patternFill>
      </fill>
    </dxf>
    <dxf>
      <fill>
        <patternFill>
          <bgColor rgb="FF376092"/>
        </patternFill>
      </fill>
    </dxf>
    <dxf>
      <fill>
        <patternFill>
          <bgColor theme="9" tint="0.79998168889431442"/>
        </patternFill>
      </fill>
    </dxf>
    <dxf>
      <font>
        <color theme="0"/>
      </font>
      <fill>
        <patternFill>
          <bgColor theme="0"/>
        </patternFill>
      </fill>
      <border>
        <left style="thin">
          <color theme="0"/>
        </left>
        <right style="thin">
          <color theme="0"/>
        </right>
        <bottom style="thin">
          <color theme="0"/>
        </bottom>
        <vertical/>
        <horizontal/>
      </border>
    </dxf>
    <dxf>
      <font>
        <color auto="1"/>
      </font>
      <fill>
        <patternFill>
          <bgColor theme="2" tint="-9.9948118533890809E-2"/>
        </patternFill>
      </fill>
    </dxf>
    <dxf>
      <font>
        <color auto="1"/>
      </font>
      <fill>
        <patternFill>
          <bgColor rgb="FFB6BDDC"/>
        </patternFill>
      </fill>
    </dxf>
    <dxf>
      <fill>
        <patternFill>
          <bgColor theme="0" tint="-4.9989318521683403E-2"/>
        </patternFill>
      </fill>
      <border>
        <top style="thin">
          <color auto="1"/>
        </top>
        <bottom style="thin">
          <color auto="1"/>
        </bottom>
        <vertical/>
        <horizontal/>
      </border>
    </dxf>
    <dxf>
      <font>
        <color theme="0"/>
      </font>
      <fill>
        <patternFill>
          <bgColor theme="0"/>
        </patternFill>
      </fill>
      <border>
        <left style="thin">
          <color theme="0"/>
        </left>
        <right style="thin">
          <color theme="0"/>
        </right>
        <bottom style="thin">
          <color theme="0"/>
        </bottom>
        <vertical/>
        <horizontal/>
      </border>
    </dxf>
    <dxf>
      <font>
        <color auto="1"/>
      </font>
      <fill>
        <patternFill>
          <bgColor theme="2" tint="-9.9948118533890809E-2"/>
        </patternFill>
      </fill>
    </dxf>
    <dxf>
      <font>
        <color auto="1"/>
      </font>
      <fill>
        <patternFill>
          <bgColor rgb="FFB6BDDC"/>
        </patternFill>
      </fill>
    </dxf>
    <dxf>
      <fill>
        <patternFill>
          <bgColor theme="0" tint="-4.9989318521683403E-2"/>
        </patternFill>
      </fill>
      <border>
        <top style="thin">
          <color auto="1"/>
        </top>
        <bottom style="thin">
          <color auto="1"/>
        </bottom>
        <vertical/>
        <horizontal/>
      </border>
    </dxf>
    <dxf>
      <font>
        <color theme="0"/>
      </font>
      <fill>
        <patternFill>
          <bgColor theme="0"/>
        </patternFill>
      </fill>
      <border>
        <left style="thin">
          <color theme="0"/>
        </left>
        <right style="thin">
          <color theme="0"/>
        </right>
        <bottom style="thin">
          <color theme="0"/>
        </bottom>
        <vertical/>
        <horizontal/>
      </border>
    </dxf>
    <dxf>
      <font>
        <color auto="1"/>
      </font>
      <fill>
        <patternFill>
          <bgColor theme="2" tint="-9.9948118533890809E-2"/>
        </patternFill>
      </fill>
    </dxf>
    <dxf>
      <font>
        <color auto="1"/>
      </font>
      <fill>
        <patternFill>
          <bgColor rgb="FFB6BDDC"/>
        </patternFill>
      </fill>
    </dxf>
    <dxf>
      <fill>
        <patternFill>
          <bgColor theme="0" tint="-4.9989318521683403E-2"/>
        </patternFill>
      </fill>
      <border>
        <top style="thin">
          <color auto="1"/>
        </top>
        <bottom style="thin">
          <color auto="1"/>
        </bottom>
        <vertical/>
        <horizontal/>
      </border>
    </dxf>
    <dxf>
      <font>
        <color theme="0"/>
      </font>
      <fill>
        <patternFill>
          <bgColor theme="0"/>
        </patternFill>
      </fill>
      <border>
        <left style="thin">
          <color theme="0"/>
        </left>
        <right style="thin">
          <color theme="0"/>
        </right>
        <bottom style="thin">
          <color theme="0"/>
        </bottom>
        <vertical/>
        <horizontal/>
      </border>
    </dxf>
    <dxf>
      <font>
        <color auto="1"/>
      </font>
      <fill>
        <patternFill>
          <bgColor theme="2" tint="-9.9948118533890809E-2"/>
        </patternFill>
      </fill>
    </dxf>
    <dxf>
      <font>
        <color auto="1"/>
      </font>
      <fill>
        <patternFill>
          <bgColor rgb="FFB6BDDC"/>
        </patternFill>
      </fill>
    </dxf>
    <dxf>
      <fill>
        <patternFill>
          <bgColor theme="0" tint="-4.9989318521683403E-2"/>
        </patternFill>
      </fill>
      <border>
        <top style="thin">
          <color auto="1"/>
        </top>
        <bottom style="thin">
          <color auto="1"/>
        </bottom>
        <vertical/>
        <horizontal/>
      </border>
    </dxf>
    <dxf>
      <font>
        <color theme="0"/>
      </font>
    </dxf>
    <dxf>
      <font>
        <color theme="0"/>
      </font>
    </dxf>
    <dxf>
      <fill>
        <patternFill>
          <bgColor rgb="FFDCE6F1"/>
        </patternFill>
      </fill>
    </dxf>
    <dxf>
      <fill>
        <patternFill>
          <bgColor rgb="FF92C5EB"/>
        </patternFill>
      </fill>
    </dxf>
    <dxf>
      <fill>
        <patternFill>
          <bgColor rgb="FF95B3D7"/>
        </patternFill>
      </fill>
    </dxf>
    <dxf>
      <fill>
        <patternFill>
          <bgColor rgb="FF376092"/>
        </patternFill>
      </fill>
    </dxf>
    <dxf>
      <fill>
        <patternFill>
          <bgColor theme="9" tint="0.799981688894314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3B6E8F"/>
      <rgbColor rgb="00FFFFFF"/>
      <rgbColor rgb="00FF0000"/>
      <rgbColor rgb="0000FF00"/>
      <rgbColor rgb="00E37C00"/>
      <rgbColor rgb="00FFFF00"/>
      <rgbColor rgb="00FF00FF"/>
      <rgbColor rgb="0000FFFF"/>
      <rgbColor rgb="00800000"/>
      <rgbColor rgb="00008000"/>
      <rgbColor rgb="0068ACE5"/>
      <rgbColor rgb="00808000"/>
      <rgbColor rgb="00800080"/>
      <rgbColor rgb="00008080"/>
      <rgbColor rgb="009F1C35"/>
      <rgbColor rgb="00820014"/>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36424A"/>
      <rgbColor rgb="00CCFFFF"/>
      <rgbColor rgb="00CCFFCC"/>
      <rgbColor rgb="00FFFF99"/>
      <rgbColor rgb="0099CCFF"/>
      <rgbColor rgb="00FF99CC"/>
      <rgbColor rgb="00CC99FF"/>
      <rgbColor rgb="00FFCC99"/>
      <rgbColor rgb="0073D1B7"/>
      <rgbColor rgb="0033CCCC"/>
      <rgbColor rgb="0099CC00"/>
      <rgbColor rgb="00FFCC00"/>
      <rgbColor rgb="00FF9900"/>
      <rgbColor rgb="00FF6600"/>
      <rgbColor rgb="0044687D"/>
      <rgbColor rgb="00CE1432"/>
      <rgbColor rgb="00003366"/>
      <rgbColor rgb="00339966"/>
      <rgbColor rgb="00003300"/>
      <rgbColor rgb="00333300"/>
      <rgbColor rgb="00993300"/>
      <rgbColor rgb="00993366"/>
      <rgbColor rgb="00382E2C"/>
      <rgbColor rgb="00700008"/>
    </indexedColors>
    <mruColors>
      <color rgb="FFFAFAFA"/>
      <color rgb="FFDCE6F1"/>
      <color rgb="FF92C5EB"/>
      <color rgb="FF95B3D7"/>
      <color rgb="FF376092"/>
      <color rgb="FFF6F5EE"/>
      <color rgb="FFB5D5E5"/>
      <color rgb="FF9EB3BE"/>
      <color rgb="FFB6BDDC"/>
      <color rgb="FF12A6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06/relationships/rdRichValueTypes" Target="richData/rdRichValueTyp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microsoft.com/office/2017/06/relationships/rdRichValueStructure" Target="richData/rdrichvaluestructure.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55E-2"/>
          <c:y val="5.0925925925925923E-2"/>
          <c:w val="0.93888888888888888"/>
          <c:h val="0.87739000366889641"/>
        </c:manualLayout>
      </c:layout>
      <c:barChart>
        <c:barDir val="bar"/>
        <c:grouping val="percentStacked"/>
        <c:varyColors val="0"/>
        <c:ser>
          <c:idx val="1"/>
          <c:order val="0"/>
          <c:spPr>
            <a:solidFill>
              <a:schemeClr val="accent1">
                <a:lumMod val="20000"/>
                <a:lumOff val="80000"/>
              </a:schemeClr>
            </a:solidFill>
            <a:ln>
              <a:noFill/>
            </a:ln>
            <a:effectLst/>
          </c:spPr>
          <c:invertIfNegative val="0"/>
          <c:val>
            <c:numRef>
              <c:f>iIndiRank!$CG$6</c:f>
              <c:numCache>
                <c:formatCode>0.0000</c:formatCode>
                <c:ptCount val="1"/>
                <c:pt idx="0">
                  <c:v>25</c:v>
                </c:pt>
              </c:numCache>
            </c:numRef>
          </c:val>
          <c:extLst>
            <c:ext xmlns:c16="http://schemas.microsoft.com/office/drawing/2014/chart" uri="{C3380CC4-5D6E-409C-BE32-E72D297353CC}">
              <c16:uniqueId val="{00000001-E65C-480B-BB76-19D45A5E573A}"/>
            </c:ext>
          </c:extLst>
        </c:ser>
        <c:ser>
          <c:idx val="2"/>
          <c:order val="1"/>
          <c:spPr>
            <a:solidFill>
              <a:schemeClr val="accent1">
                <a:lumMod val="40000"/>
                <a:lumOff val="60000"/>
              </a:schemeClr>
            </a:solidFill>
            <a:ln>
              <a:noFill/>
            </a:ln>
            <a:effectLst/>
          </c:spPr>
          <c:invertIfNegative val="0"/>
          <c:val>
            <c:numRef>
              <c:f>iIndiRank!$CG$7</c:f>
              <c:numCache>
                <c:formatCode>0.0000</c:formatCode>
                <c:ptCount val="1"/>
                <c:pt idx="0">
                  <c:v>25</c:v>
                </c:pt>
              </c:numCache>
            </c:numRef>
          </c:val>
          <c:extLst>
            <c:ext xmlns:c16="http://schemas.microsoft.com/office/drawing/2014/chart" uri="{C3380CC4-5D6E-409C-BE32-E72D297353CC}">
              <c16:uniqueId val="{00000002-E65C-480B-BB76-19D45A5E573A}"/>
            </c:ext>
          </c:extLst>
        </c:ser>
        <c:ser>
          <c:idx val="3"/>
          <c:order val="2"/>
          <c:spPr>
            <a:solidFill>
              <a:schemeClr val="accent1">
                <a:lumMod val="60000"/>
                <a:lumOff val="40000"/>
                <a:alpha val="89804"/>
              </a:schemeClr>
            </a:solidFill>
            <a:ln>
              <a:noFill/>
            </a:ln>
            <a:effectLst/>
          </c:spPr>
          <c:invertIfNegative val="0"/>
          <c:dPt>
            <c:idx val="0"/>
            <c:invertIfNegative val="0"/>
            <c:bubble3D val="0"/>
            <c:extLst>
              <c:ext xmlns:c16="http://schemas.microsoft.com/office/drawing/2014/chart" uri="{C3380CC4-5D6E-409C-BE32-E72D297353CC}">
                <c16:uniqueId val="{00000004-E65C-480B-BB76-19D45A5E573A}"/>
              </c:ext>
            </c:extLst>
          </c:dPt>
          <c:val>
            <c:numRef>
              <c:f>iIndiRank!$CG$8</c:f>
              <c:numCache>
                <c:formatCode>0.0000</c:formatCode>
                <c:ptCount val="1"/>
                <c:pt idx="0">
                  <c:v>25</c:v>
                </c:pt>
              </c:numCache>
            </c:numRef>
          </c:val>
          <c:extLst>
            <c:ext xmlns:c16="http://schemas.microsoft.com/office/drawing/2014/chart" uri="{C3380CC4-5D6E-409C-BE32-E72D297353CC}">
              <c16:uniqueId val="{00000005-E65C-480B-BB76-19D45A5E573A}"/>
            </c:ext>
          </c:extLst>
        </c:ser>
        <c:ser>
          <c:idx val="4"/>
          <c:order val="3"/>
          <c:spPr>
            <a:solidFill>
              <a:schemeClr val="accent1">
                <a:lumMod val="75000"/>
              </a:schemeClr>
            </a:solidFill>
            <a:ln>
              <a:noFill/>
            </a:ln>
            <a:effectLst/>
          </c:spPr>
          <c:invertIfNegative val="0"/>
          <c:val>
            <c:numRef>
              <c:f>iIndiRank!$CG$9</c:f>
              <c:numCache>
                <c:formatCode>0.0000</c:formatCode>
                <c:ptCount val="1"/>
                <c:pt idx="0">
                  <c:v>25</c:v>
                </c:pt>
              </c:numCache>
            </c:numRef>
          </c:val>
          <c:extLst>
            <c:ext xmlns:c16="http://schemas.microsoft.com/office/drawing/2014/chart" uri="{C3380CC4-5D6E-409C-BE32-E72D297353CC}">
              <c16:uniqueId val="{00000006-E65C-480B-BB76-19D45A5E573A}"/>
            </c:ext>
          </c:extLst>
        </c:ser>
        <c:dLbls>
          <c:showLegendKey val="0"/>
          <c:showVal val="0"/>
          <c:showCatName val="0"/>
          <c:showSerName val="0"/>
          <c:showPercent val="0"/>
          <c:showBubbleSize val="0"/>
        </c:dLbls>
        <c:gapWidth val="150"/>
        <c:overlap val="100"/>
        <c:axId val="168302080"/>
        <c:axId val="133892928"/>
      </c:barChart>
      <c:catAx>
        <c:axId val="168302080"/>
        <c:scaling>
          <c:orientation val="minMax"/>
        </c:scaling>
        <c:delete val="1"/>
        <c:axPos val="l"/>
        <c:majorTickMark val="none"/>
        <c:minorTickMark val="none"/>
        <c:tickLblPos val="nextTo"/>
        <c:crossAx val="133892928"/>
        <c:crosses val="autoZero"/>
        <c:auto val="1"/>
        <c:lblAlgn val="ctr"/>
        <c:lblOffset val="100"/>
        <c:noMultiLvlLbl val="0"/>
      </c:catAx>
      <c:valAx>
        <c:axId val="133892928"/>
        <c:scaling>
          <c:orientation val="minMax"/>
        </c:scaling>
        <c:delete val="1"/>
        <c:axPos val="b"/>
        <c:numFmt formatCode="0%" sourceLinked="1"/>
        <c:majorTickMark val="none"/>
        <c:minorTickMark val="none"/>
        <c:tickLblPos val="nextTo"/>
        <c:crossAx val="1683020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402922755741124E-2"/>
          <c:y val="0.38008995604809059"/>
          <c:w val="0.93876130828114124"/>
          <c:h val="0.40271578335300051"/>
        </c:manualLayout>
      </c:layout>
      <c:scatterChart>
        <c:scatterStyle val="lineMarker"/>
        <c:varyColors val="0"/>
        <c:ser>
          <c:idx val="2"/>
          <c:order val="0"/>
          <c:tx>
            <c:strRef>
              <c:f>iCntyScoreCard!$BF$40</c:f>
              <c:strCache>
                <c:ptCount val="1"/>
                <c:pt idx="0">
                  <c:v>0</c:v>
                </c:pt>
              </c:strCache>
            </c:strRef>
          </c:tx>
          <c:spPr>
            <a:ln w="28575">
              <a:noFill/>
            </a:ln>
          </c:spPr>
          <c:marker>
            <c:symbol val="square"/>
            <c:size val="9"/>
            <c:spPr>
              <a:solidFill>
                <a:schemeClr val="accent1">
                  <a:lumMod val="75000"/>
                </a:schemeClr>
              </a:solidFill>
              <a:ln>
                <a:solidFill>
                  <a:schemeClr val="accent1">
                    <a:lumMod val="75000"/>
                  </a:schemeClr>
                </a:solidFill>
              </a:ln>
            </c:spPr>
          </c:marker>
          <c:xVal>
            <c:numRef>
              <c:f>iCntyScoreCard!$BE$40</c:f>
              <c:numCache>
                <c:formatCode>General</c:formatCode>
                <c:ptCount val="1"/>
                <c:pt idx="0">
                  <c:v>50.8</c:v>
                </c:pt>
              </c:numCache>
            </c:numRef>
          </c:xVal>
          <c:yVal>
            <c:numRef>
              <c:f>iCntyScoreCard!$BD$40</c:f>
              <c:numCache>
                <c:formatCode>General</c:formatCode>
                <c:ptCount val="1"/>
                <c:pt idx="0">
                  <c:v>1</c:v>
                </c:pt>
              </c:numCache>
            </c:numRef>
          </c:yVal>
          <c:smooth val="0"/>
          <c:extLst>
            <c:ext xmlns:c16="http://schemas.microsoft.com/office/drawing/2014/chart" uri="{C3380CC4-5D6E-409C-BE32-E72D297353CC}">
              <c16:uniqueId val="{00000000-403E-4358-98D8-EC91C201B160}"/>
            </c:ext>
          </c:extLst>
        </c:ser>
        <c:ser>
          <c:idx val="0"/>
          <c:order val="1"/>
          <c:spPr>
            <a:ln w="28575">
              <a:noFill/>
            </a:ln>
          </c:spPr>
          <c:marker>
            <c:symbol val="diamond"/>
            <c:size val="6"/>
            <c:spPr>
              <a:solidFill>
                <a:schemeClr val="bg1">
                  <a:lumMod val="65000"/>
                </a:schemeClr>
              </a:solidFill>
              <a:ln>
                <a:solidFill>
                  <a:srgbClr val="31659C"/>
                </a:solidFill>
                <a:prstDash val="solid"/>
              </a:ln>
            </c:spPr>
          </c:marker>
          <c:xVal>
            <c:numRef>
              <c:f>iCntyScoreCard!$BF$6:$BF$35</c:f>
              <c:numCache>
                <c:formatCode>General</c:formatCode>
                <c:ptCount val="30"/>
                <c:pt idx="0">
                  <c:v>66.2</c:v>
                </c:pt>
                <c:pt idx="1">
                  <c:v>58.5</c:v>
                </c:pt>
                <c:pt idx="2">
                  <c:v>87.4</c:v>
                </c:pt>
                <c:pt idx="3">
                  <c:v>46.5</c:v>
                </c:pt>
                <c:pt idx="4">
                  <c:v>83.3</c:v>
                </c:pt>
                <c:pt idx="5">
                  <c:v>57</c:v>
                </c:pt>
                <c:pt idx="6">
                  <c:v>49</c:v>
                </c:pt>
                <c:pt idx="7">
                  <c:v>60.3</c:v>
                </c:pt>
                <c:pt idx="8">
                  <c:v>60.8</c:v>
                </c:pt>
                <c:pt idx="9">
                  <c:v>62.9</c:v>
                </c:pt>
                <c:pt idx="10">
                  <c:v>58.7</c:v>
                </c:pt>
                <c:pt idx="11">
                  <c:v>59</c:v>
                </c:pt>
                <c:pt idx="12">
                  <c:v>37.799999999999997</c:v>
                </c:pt>
                <c:pt idx="13">
                  <c:v>37</c:v>
                </c:pt>
                <c:pt idx="14">
                  <c:v>57.3</c:v>
                </c:pt>
                <c:pt idx="15">
                  <c:v>29.6</c:v>
                </c:pt>
                <c:pt idx="16">
                  <c:v>68.5</c:v>
                </c:pt>
                <c:pt idx="17">
                  <c:v>60.5</c:v>
                </c:pt>
                <c:pt idx="18">
                  <c:v>35.9</c:v>
                </c:pt>
                <c:pt idx="19">
                  <c:v>6.9</c:v>
                </c:pt>
                <c:pt idx="20">
                  <c:v>37.700000000000003</c:v>
                </c:pt>
                <c:pt idx="21">
                  <c:v>65.599999999999994</c:v>
                </c:pt>
                <c:pt idx="22">
                  <c:v>25.1</c:v>
                </c:pt>
                <c:pt idx="23">
                  <c:v>47.7</c:v>
                </c:pt>
                <c:pt idx="24">
                  <c:v>51.1</c:v>
                </c:pt>
                <c:pt idx="25">
                  <c:v>39.299999999999997</c:v>
                </c:pt>
                <c:pt idx="26">
                  <c:v>51.6</c:v>
                </c:pt>
                <c:pt idx="27">
                  <c:v>30.7</c:v>
                </c:pt>
                <c:pt idx="28">
                  <c:v>65.5</c:v>
                </c:pt>
                <c:pt idx="29">
                  <c:v>26</c:v>
                </c:pt>
              </c:numCache>
            </c:numRef>
          </c:xVal>
          <c:yVal>
            <c:numRef>
              <c:f>iCntyScoreCard!$BG$6:$BG$35</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yVal>
          <c:smooth val="0"/>
          <c:extLst>
            <c:ext xmlns:c16="http://schemas.microsoft.com/office/drawing/2014/chart" uri="{C3380CC4-5D6E-409C-BE32-E72D297353CC}">
              <c16:uniqueId val="{00000001-403E-4358-98D8-EC91C201B160}"/>
            </c:ext>
          </c:extLst>
        </c:ser>
        <c:ser>
          <c:idx val="1"/>
          <c:order val="2"/>
          <c:tx>
            <c:strRef>
              <c:f>uxb_works!$C$26</c:f>
              <c:strCache>
                <c:ptCount val="1"/>
                <c:pt idx="0">
                  <c:v>Amsterdam</c:v>
                </c:pt>
              </c:strCache>
            </c:strRef>
          </c:tx>
          <c:spPr>
            <a:ln w="28575">
              <a:noFill/>
            </a:ln>
          </c:spPr>
          <c:marker>
            <c:symbol val="circle"/>
            <c:size val="9"/>
            <c:spPr>
              <a:solidFill>
                <a:srgbClr val="C0504D"/>
              </a:solidFill>
              <a:ln>
                <a:solidFill>
                  <a:srgbClr val="993366"/>
                </a:solidFill>
                <a:prstDash val="solid"/>
              </a:ln>
            </c:spPr>
          </c:marker>
          <c:dLbls>
            <c:spPr>
              <a:no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iCntyScoreCard!$BE$39</c:f>
              <c:numCache>
                <c:formatCode>General</c:formatCode>
                <c:ptCount val="1"/>
                <c:pt idx="0">
                  <c:v>58.5</c:v>
                </c:pt>
              </c:numCache>
            </c:numRef>
          </c:xVal>
          <c:yVal>
            <c:numRef>
              <c:f>iCntyScoreCard!$BD$39</c:f>
              <c:numCache>
                <c:formatCode>General</c:formatCode>
                <c:ptCount val="1"/>
                <c:pt idx="0">
                  <c:v>1</c:v>
                </c:pt>
              </c:numCache>
            </c:numRef>
          </c:yVal>
          <c:smooth val="0"/>
          <c:extLst>
            <c:ext xmlns:c16="http://schemas.microsoft.com/office/drawing/2014/chart" uri="{C3380CC4-5D6E-409C-BE32-E72D297353CC}">
              <c16:uniqueId val="{00000002-403E-4358-98D8-EC91C201B160}"/>
            </c:ext>
          </c:extLst>
        </c:ser>
        <c:dLbls>
          <c:showLegendKey val="0"/>
          <c:showVal val="0"/>
          <c:showCatName val="0"/>
          <c:showSerName val="0"/>
          <c:showPercent val="0"/>
          <c:showBubbleSize val="0"/>
        </c:dLbls>
        <c:axId val="114230976"/>
        <c:axId val="114231552"/>
      </c:scatterChart>
      <c:valAx>
        <c:axId val="114230976"/>
        <c:scaling>
          <c:orientation val="minMax"/>
          <c:max val="100"/>
          <c:min val="0"/>
        </c:scaling>
        <c:delete val="1"/>
        <c:axPos val="b"/>
        <c:majorGridlines/>
        <c:numFmt formatCode="#,##0" sourceLinked="0"/>
        <c:majorTickMark val="out"/>
        <c:minorTickMark val="none"/>
        <c:tickLblPos val="nextTo"/>
        <c:crossAx val="114231552"/>
        <c:crosses val="autoZero"/>
        <c:crossBetween val="midCat"/>
        <c:majorUnit val="10"/>
      </c:valAx>
      <c:valAx>
        <c:axId val="114231552"/>
        <c:scaling>
          <c:orientation val="minMax"/>
          <c:max val="2"/>
          <c:min val="0"/>
        </c:scaling>
        <c:delete val="1"/>
        <c:axPos val="l"/>
        <c:numFmt formatCode="General" sourceLinked="1"/>
        <c:majorTickMark val="out"/>
        <c:minorTickMark val="none"/>
        <c:tickLblPos val="none"/>
        <c:crossAx val="114230976"/>
        <c:crosses val="autoZero"/>
        <c:crossBetween val="midCat"/>
      </c:valAx>
      <c:spPr>
        <a:noFill/>
        <a:ln w="25400">
          <a:noFill/>
        </a:ln>
      </c:spPr>
    </c:plotArea>
    <c:plotVisOnly val="1"/>
    <c:dispBlanksAs val="gap"/>
    <c:showDLblsOverMax val="0"/>
  </c:chart>
  <c:spPr>
    <a:no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0"/>
          <c:tx>
            <c:strRef>
              <c:f>iCntyScoreCard!$BX$40</c:f>
              <c:strCache>
                <c:ptCount val="1"/>
                <c:pt idx="0">
                  <c:v>0</c:v>
                </c:pt>
              </c:strCache>
            </c:strRef>
          </c:tx>
          <c:spPr>
            <a:ln w="28575">
              <a:noFill/>
            </a:ln>
          </c:spPr>
          <c:marker>
            <c:symbol val="square"/>
            <c:size val="9"/>
            <c:spPr>
              <a:solidFill>
                <a:schemeClr val="accent1">
                  <a:lumMod val="75000"/>
                </a:schemeClr>
              </a:solidFill>
              <a:ln>
                <a:solidFill>
                  <a:schemeClr val="accent1">
                    <a:lumMod val="75000"/>
                  </a:schemeClr>
                </a:solidFill>
              </a:ln>
            </c:spPr>
          </c:marker>
          <c:xVal>
            <c:numRef>
              <c:f>iCntyScoreCard!$BW$40</c:f>
              <c:numCache>
                <c:formatCode>General</c:formatCode>
                <c:ptCount val="1"/>
                <c:pt idx="0">
                  <c:v>73.3</c:v>
                </c:pt>
              </c:numCache>
            </c:numRef>
          </c:xVal>
          <c:yVal>
            <c:numRef>
              <c:f>iCntyScoreCard!$BV$40</c:f>
              <c:numCache>
                <c:formatCode>General</c:formatCode>
                <c:ptCount val="1"/>
                <c:pt idx="0">
                  <c:v>1</c:v>
                </c:pt>
              </c:numCache>
            </c:numRef>
          </c:yVal>
          <c:smooth val="0"/>
          <c:extLst>
            <c:ext xmlns:c16="http://schemas.microsoft.com/office/drawing/2014/chart" uri="{C3380CC4-5D6E-409C-BE32-E72D297353CC}">
              <c16:uniqueId val="{00000000-E0B7-4420-8686-C72FDBC463A9}"/>
            </c:ext>
          </c:extLst>
        </c:ser>
        <c:ser>
          <c:idx val="0"/>
          <c:order val="1"/>
          <c:spPr>
            <a:ln w="28575">
              <a:noFill/>
            </a:ln>
          </c:spPr>
          <c:marker>
            <c:symbol val="diamond"/>
            <c:size val="6"/>
            <c:spPr>
              <a:solidFill>
                <a:schemeClr val="bg1">
                  <a:lumMod val="65000"/>
                </a:schemeClr>
              </a:solidFill>
              <a:ln>
                <a:solidFill>
                  <a:srgbClr val="31659C"/>
                </a:solidFill>
                <a:prstDash val="solid"/>
              </a:ln>
            </c:spPr>
          </c:marker>
          <c:xVal>
            <c:numRef>
              <c:f>iCntyScoreCard!$BX$6:$BX$35</c:f>
              <c:numCache>
                <c:formatCode>General</c:formatCode>
                <c:ptCount val="30"/>
                <c:pt idx="0">
                  <c:v>100</c:v>
                </c:pt>
                <c:pt idx="1">
                  <c:v>100</c:v>
                </c:pt>
                <c:pt idx="2">
                  <c:v>50</c:v>
                </c:pt>
                <c:pt idx="3">
                  <c:v>100</c:v>
                </c:pt>
                <c:pt idx="4">
                  <c:v>50</c:v>
                </c:pt>
                <c:pt idx="5">
                  <c:v>100</c:v>
                </c:pt>
                <c:pt idx="6">
                  <c:v>100</c:v>
                </c:pt>
                <c:pt idx="7">
                  <c:v>100</c:v>
                </c:pt>
                <c:pt idx="8">
                  <c:v>100</c:v>
                </c:pt>
                <c:pt idx="9">
                  <c:v>50</c:v>
                </c:pt>
                <c:pt idx="10">
                  <c:v>100</c:v>
                </c:pt>
                <c:pt idx="11">
                  <c:v>50</c:v>
                </c:pt>
                <c:pt idx="12">
                  <c:v>100</c:v>
                </c:pt>
                <c:pt idx="13">
                  <c:v>100</c:v>
                </c:pt>
                <c:pt idx="14">
                  <c:v>100</c:v>
                </c:pt>
                <c:pt idx="15">
                  <c:v>100</c:v>
                </c:pt>
                <c:pt idx="16">
                  <c:v>100</c:v>
                </c:pt>
                <c:pt idx="17">
                  <c:v>50</c:v>
                </c:pt>
                <c:pt idx="18">
                  <c:v>100</c:v>
                </c:pt>
                <c:pt idx="19">
                  <c:v>100</c:v>
                </c:pt>
                <c:pt idx="20">
                  <c:v>100</c:v>
                </c:pt>
                <c:pt idx="21">
                  <c:v>50</c:v>
                </c:pt>
                <c:pt idx="22">
                  <c:v>50</c:v>
                </c:pt>
                <c:pt idx="23">
                  <c:v>50</c:v>
                </c:pt>
                <c:pt idx="24">
                  <c:v>50</c:v>
                </c:pt>
                <c:pt idx="25">
                  <c:v>0</c:v>
                </c:pt>
                <c:pt idx="26">
                  <c:v>0</c:v>
                </c:pt>
                <c:pt idx="27">
                  <c:v>50</c:v>
                </c:pt>
                <c:pt idx="28">
                  <c:v>50</c:v>
                </c:pt>
                <c:pt idx="29">
                  <c:v>50</c:v>
                </c:pt>
              </c:numCache>
            </c:numRef>
          </c:xVal>
          <c:yVal>
            <c:numRef>
              <c:f>iCntyScoreCard!$BY$6:$BY$35</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yVal>
          <c:smooth val="0"/>
          <c:extLst>
            <c:ext xmlns:c16="http://schemas.microsoft.com/office/drawing/2014/chart" uri="{C3380CC4-5D6E-409C-BE32-E72D297353CC}">
              <c16:uniqueId val="{00000001-E0B7-4420-8686-C72FDBC463A9}"/>
            </c:ext>
          </c:extLst>
        </c:ser>
        <c:ser>
          <c:idx val="1"/>
          <c:order val="2"/>
          <c:tx>
            <c:strRef>
              <c:f>uxb_works!$C$26</c:f>
              <c:strCache>
                <c:ptCount val="1"/>
                <c:pt idx="0">
                  <c:v>Amsterdam</c:v>
                </c:pt>
              </c:strCache>
            </c:strRef>
          </c:tx>
          <c:spPr>
            <a:ln w="28575">
              <a:noFill/>
            </a:ln>
          </c:spPr>
          <c:marker>
            <c:symbol val="circle"/>
            <c:size val="9"/>
            <c:spPr>
              <a:solidFill>
                <a:srgbClr val="C0504D"/>
              </a:solidFill>
              <a:ln>
                <a:solidFill>
                  <a:srgbClr val="993366"/>
                </a:solidFill>
                <a:prstDash val="solid"/>
              </a:ln>
            </c:spPr>
          </c:marker>
          <c:dLbls>
            <c:spPr>
              <a:no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iCntyScoreCard!$BW$39</c:f>
              <c:numCache>
                <c:formatCode>General</c:formatCode>
                <c:ptCount val="1"/>
                <c:pt idx="0">
                  <c:v>100</c:v>
                </c:pt>
              </c:numCache>
            </c:numRef>
          </c:xVal>
          <c:yVal>
            <c:numRef>
              <c:f>iCntyScoreCard!$BV$39</c:f>
              <c:numCache>
                <c:formatCode>General</c:formatCode>
                <c:ptCount val="1"/>
                <c:pt idx="0">
                  <c:v>1</c:v>
                </c:pt>
              </c:numCache>
            </c:numRef>
          </c:yVal>
          <c:smooth val="0"/>
          <c:extLst>
            <c:ext xmlns:c16="http://schemas.microsoft.com/office/drawing/2014/chart" uri="{C3380CC4-5D6E-409C-BE32-E72D297353CC}">
              <c16:uniqueId val="{00000002-E0B7-4420-8686-C72FDBC463A9}"/>
            </c:ext>
          </c:extLst>
        </c:ser>
        <c:dLbls>
          <c:showLegendKey val="0"/>
          <c:showVal val="0"/>
          <c:showCatName val="0"/>
          <c:showSerName val="0"/>
          <c:showPercent val="0"/>
          <c:showBubbleSize val="0"/>
        </c:dLbls>
        <c:axId val="114477312"/>
        <c:axId val="114477888"/>
      </c:scatterChart>
      <c:valAx>
        <c:axId val="114477312"/>
        <c:scaling>
          <c:orientation val="minMax"/>
          <c:max val="100"/>
          <c:min val="0"/>
        </c:scaling>
        <c:delete val="1"/>
        <c:axPos val="b"/>
        <c:majorGridlines/>
        <c:numFmt formatCode="#,##0" sourceLinked="0"/>
        <c:majorTickMark val="out"/>
        <c:minorTickMark val="none"/>
        <c:tickLblPos val="nextTo"/>
        <c:crossAx val="114477888"/>
        <c:crosses val="autoZero"/>
        <c:crossBetween val="midCat"/>
        <c:majorUnit val="10"/>
      </c:valAx>
      <c:valAx>
        <c:axId val="114477888"/>
        <c:scaling>
          <c:orientation val="minMax"/>
          <c:max val="2"/>
          <c:min val="0"/>
        </c:scaling>
        <c:delete val="1"/>
        <c:axPos val="l"/>
        <c:numFmt formatCode="General" sourceLinked="1"/>
        <c:majorTickMark val="out"/>
        <c:minorTickMark val="none"/>
        <c:tickLblPos val="none"/>
        <c:crossAx val="114477312"/>
        <c:crosses val="autoZero"/>
        <c:crossBetween val="midCat"/>
      </c:valAx>
      <c:spPr>
        <a:noFill/>
        <a:ln w="25400">
          <a:noFill/>
        </a:ln>
      </c:spPr>
    </c:plotArea>
    <c:plotVisOnly val="1"/>
    <c:dispBlanksAs val="gap"/>
    <c:showDLblsOverMax val="0"/>
  </c:chart>
  <c:spPr>
    <a:no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0"/>
          <c:tx>
            <c:strRef>
              <c:f>iCntyScoreCard!$CP$40</c:f>
              <c:strCache>
                <c:ptCount val="1"/>
                <c:pt idx="0">
                  <c:v>0</c:v>
                </c:pt>
              </c:strCache>
            </c:strRef>
          </c:tx>
          <c:spPr>
            <a:ln w="28575">
              <a:noFill/>
            </a:ln>
          </c:spPr>
          <c:marker>
            <c:symbol val="square"/>
            <c:size val="9"/>
            <c:spPr>
              <a:solidFill>
                <a:schemeClr val="accent1">
                  <a:lumMod val="75000"/>
                </a:schemeClr>
              </a:solidFill>
              <a:ln>
                <a:solidFill>
                  <a:schemeClr val="accent1">
                    <a:lumMod val="75000"/>
                  </a:schemeClr>
                </a:solidFill>
              </a:ln>
            </c:spPr>
          </c:marker>
          <c:xVal>
            <c:numRef>
              <c:f>iCntyScoreCard!$CO$40</c:f>
              <c:numCache>
                <c:formatCode>General</c:formatCode>
                <c:ptCount val="1"/>
                <c:pt idx="0">
                  <c:v>69.5</c:v>
                </c:pt>
              </c:numCache>
            </c:numRef>
          </c:xVal>
          <c:yVal>
            <c:numRef>
              <c:f>iCntyScoreCard!$CN$40</c:f>
              <c:numCache>
                <c:formatCode>General</c:formatCode>
                <c:ptCount val="1"/>
                <c:pt idx="0">
                  <c:v>1</c:v>
                </c:pt>
              </c:numCache>
            </c:numRef>
          </c:yVal>
          <c:smooth val="0"/>
          <c:extLst>
            <c:ext xmlns:c16="http://schemas.microsoft.com/office/drawing/2014/chart" uri="{C3380CC4-5D6E-409C-BE32-E72D297353CC}">
              <c16:uniqueId val="{00000000-7975-433B-8754-D6B90C2A7099}"/>
            </c:ext>
          </c:extLst>
        </c:ser>
        <c:ser>
          <c:idx val="0"/>
          <c:order val="1"/>
          <c:spPr>
            <a:ln w="28575">
              <a:noFill/>
            </a:ln>
          </c:spPr>
          <c:marker>
            <c:symbol val="diamond"/>
            <c:size val="6"/>
            <c:spPr>
              <a:solidFill>
                <a:schemeClr val="bg1">
                  <a:lumMod val="65000"/>
                </a:schemeClr>
              </a:solidFill>
              <a:ln>
                <a:solidFill>
                  <a:srgbClr val="31659C"/>
                </a:solidFill>
                <a:prstDash val="solid"/>
              </a:ln>
            </c:spPr>
          </c:marker>
          <c:xVal>
            <c:numRef>
              <c:f>iCntyScoreCard!$CP$6:$CP$35</c:f>
              <c:numCache>
                <c:formatCode>General</c:formatCode>
                <c:ptCount val="30"/>
                <c:pt idx="0">
                  <c:v>76.400000000000006</c:v>
                </c:pt>
                <c:pt idx="1">
                  <c:v>65.8</c:v>
                </c:pt>
                <c:pt idx="2">
                  <c:v>70.2</c:v>
                </c:pt>
                <c:pt idx="3">
                  <c:v>67.5</c:v>
                </c:pt>
                <c:pt idx="4">
                  <c:v>76.7</c:v>
                </c:pt>
                <c:pt idx="5">
                  <c:v>76.2</c:v>
                </c:pt>
                <c:pt idx="6">
                  <c:v>61</c:v>
                </c:pt>
                <c:pt idx="7">
                  <c:v>60.8</c:v>
                </c:pt>
                <c:pt idx="8">
                  <c:v>70.599999999999994</c:v>
                </c:pt>
                <c:pt idx="9">
                  <c:v>60.5</c:v>
                </c:pt>
                <c:pt idx="10">
                  <c:v>73.400000000000006</c:v>
                </c:pt>
                <c:pt idx="11">
                  <c:v>67.3</c:v>
                </c:pt>
                <c:pt idx="12">
                  <c:v>74</c:v>
                </c:pt>
                <c:pt idx="13">
                  <c:v>63.7</c:v>
                </c:pt>
                <c:pt idx="14">
                  <c:v>78</c:v>
                </c:pt>
                <c:pt idx="15">
                  <c:v>62.2</c:v>
                </c:pt>
                <c:pt idx="16">
                  <c:v>67.599999999999994</c:v>
                </c:pt>
                <c:pt idx="17">
                  <c:v>94.3</c:v>
                </c:pt>
                <c:pt idx="18">
                  <c:v>78.099999999999994</c:v>
                </c:pt>
                <c:pt idx="19">
                  <c:v>64</c:v>
                </c:pt>
                <c:pt idx="20">
                  <c:v>59.8</c:v>
                </c:pt>
                <c:pt idx="21">
                  <c:v>69.400000000000006</c:v>
                </c:pt>
                <c:pt idx="22">
                  <c:v>73.8</c:v>
                </c:pt>
                <c:pt idx="23">
                  <c:v>68.099999999999994</c:v>
                </c:pt>
                <c:pt idx="24">
                  <c:v>77.8</c:v>
                </c:pt>
                <c:pt idx="25">
                  <c:v>73.099999999999994</c:v>
                </c:pt>
                <c:pt idx="26">
                  <c:v>75.900000000000006</c:v>
                </c:pt>
                <c:pt idx="27">
                  <c:v>74.8</c:v>
                </c:pt>
                <c:pt idx="28">
                  <c:v>31.6</c:v>
                </c:pt>
                <c:pt idx="29">
                  <c:v>73.599999999999994</c:v>
                </c:pt>
              </c:numCache>
            </c:numRef>
          </c:xVal>
          <c:yVal>
            <c:numRef>
              <c:f>iCntyScoreCard!$CQ$6:$CQ$35</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yVal>
          <c:smooth val="0"/>
          <c:extLst>
            <c:ext xmlns:c16="http://schemas.microsoft.com/office/drawing/2014/chart" uri="{C3380CC4-5D6E-409C-BE32-E72D297353CC}">
              <c16:uniqueId val="{00000001-7975-433B-8754-D6B90C2A7099}"/>
            </c:ext>
          </c:extLst>
        </c:ser>
        <c:ser>
          <c:idx val="1"/>
          <c:order val="2"/>
          <c:tx>
            <c:strRef>
              <c:f>uxb_works!$C$26</c:f>
              <c:strCache>
                <c:ptCount val="1"/>
                <c:pt idx="0">
                  <c:v>Amsterdam</c:v>
                </c:pt>
              </c:strCache>
            </c:strRef>
          </c:tx>
          <c:spPr>
            <a:ln w="28575">
              <a:noFill/>
            </a:ln>
          </c:spPr>
          <c:marker>
            <c:symbol val="circle"/>
            <c:size val="9"/>
            <c:spPr>
              <a:solidFill>
                <a:srgbClr val="C0504D"/>
              </a:solidFill>
              <a:ln>
                <a:solidFill>
                  <a:srgbClr val="993366"/>
                </a:solidFill>
                <a:prstDash val="solid"/>
              </a:ln>
            </c:spPr>
          </c:marker>
          <c:dLbls>
            <c:spPr>
              <a:no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iCntyScoreCard!$CO$39</c:f>
              <c:numCache>
                <c:formatCode>General</c:formatCode>
                <c:ptCount val="1"/>
                <c:pt idx="0">
                  <c:v>65.8</c:v>
                </c:pt>
              </c:numCache>
            </c:numRef>
          </c:xVal>
          <c:yVal>
            <c:numRef>
              <c:f>iCntyScoreCard!$CN$39</c:f>
              <c:numCache>
                <c:formatCode>General</c:formatCode>
                <c:ptCount val="1"/>
                <c:pt idx="0">
                  <c:v>1</c:v>
                </c:pt>
              </c:numCache>
            </c:numRef>
          </c:yVal>
          <c:smooth val="0"/>
          <c:extLst>
            <c:ext xmlns:c16="http://schemas.microsoft.com/office/drawing/2014/chart" uri="{C3380CC4-5D6E-409C-BE32-E72D297353CC}">
              <c16:uniqueId val="{00000002-7975-433B-8754-D6B90C2A7099}"/>
            </c:ext>
          </c:extLst>
        </c:ser>
        <c:dLbls>
          <c:showLegendKey val="0"/>
          <c:showVal val="0"/>
          <c:showCatName val="0"/>
          <c:showSerName val="0"/>
          <c:showPercent val="0"/>
          <c:showBubbleSize val="0"/>
        </c:dLbls>
        <c:axId val="114864064"/>
        <c:axId val="114864640"/>
      </c:scatterChart>
      <c:valAx>
        <c:axId val="114864064"/>
        <c:scaling>
          <c:orientation val="minMax"/>
          <c:max val="100"/>
          <c:min val="0"/>
        </c:scaling>
        <c:delete val="1"/>
        <c:axPos val="b"/>
        <c:majorGridlines/>
        <c:numFmt formatCode="#,##0" sourceLinked="0"/>
        <c:majorTickMark val="out"/>
        <c:minorTickMark val="none"/>
        <c:tickLblPos val="nextTo"/>
        <c:crossAx val="114864640"/>
        <c:crosses val="autoZero"/>
        <c:crossBetween val="midCat"/>
        <c:majorUnit val="10"/>
      </c:valAx>
      <c:valAx>
        <c:axId val="114864640"/>
        <c:scaling>
          <c:orientation val="minMax"/>
          <c:max val="2"/>
          <c:min val="0"/>
        </c:scaling>
        <c:delete val="1"/>
        <c:axPos val="l"/>
        <c:numFmt formatCode="General" sourceLinked="1"/>
        <c:majorTickMark val="out"/>
        <c:minorTickMark val="none"/>
        <c:tickLblPos val="none"/>
        <c:crossAx val="114864064"/>
        <c:crosses val="autoZero"/>
        <c:crossBetween val="midCat"/>
      </c:valAx>
      <c:spPr>
        <a:noFill/>
        <a:ln w="25400">
          <a:noFill/>
        </a:ln>
      </c:spPr>
    </c:plotArea>
    <c:plotVisOnly val="1"/>
    <c:dispBlanksAs val="gap"/>
    <c:showDLblsOverMax val="0"/>
  </c:chart>
  <c:spPr>
    <a:no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0"/>
          <c:tx>
            <c:strRef>
              <c:f>iCntyScoreCard!$CV$40</c:f>
              <c:strCache>
                <c:ptCount val="1"/>
                <c:pt idx="0">
                  <c:v>0</c:v>
                </c:pt>
              </c:strCache>
            </c:strRef>
          </c:tx>
          <c:spPr>
            <a:ln w="28575">
              <a:noFill/>
            </a:ln>
          </c:spPr>
          <c:marker>
            <c:symbol val="square"/>
            <c:size val="9"/>
            <c:spPr>
              <a:solidFill>
                <a:schemeClr val="accent1">
                  <a:lumMod val="75000"/>
                </a:schemeClr>
              </a:solidFill>
              <a:ln>
                <a:solidFill>
                  <a:schemeClr val="accent1">
                    <a:lumMod val="75000"/>
                  </a:schemeClr>
                </a:solidFill>
              </a:ln>
            </c:spPr>
          </c:marker>
          <c:xVal>
            <c:numRef>
              <c:f>iCntyScoreCard!$CU$40</c:f>
              <c:numCache>
                <c:formatCode>General</c:formatCode>
                <c:ptCount val="1"/>
                <c:pt idx="0">
                  <c:v>71.7</c:v>
                </c:pt>
              </c:numCache>
            </c:numRef>
          </c:xVal>
          <c:yVal>
            <c:numRef>
              <c:f>iCntyScoreCard!$CT$40</c:f>
              <c:numCache>
                <c:formatCode>General</c:formatCode>
                <c:ptCount val="1"/>
                <c:pt idx="0">
                  <c:v>1</c:v>
                </c:pt>
              </c:numCache>
            </c:numRef>
          </c:yVal>
          <c:smooth val="0"/>
          <c:extLst>
            <c:ext xmlns:c16="http://schemas.microsoft.com/office/drawing/2014/chart" uri="{C3380CC4-5D6E-409C-BE32-E72D297353CC}">
              <c16:uniqueId val="{00000000-68FC-40DC-8961-00AF7CD6D506}"/>
            </c:ext>
          </c:extLst>
        </c:ser>
        <c:ser>
          <c:idx val="0"/>
          <c:order val="1"/>
          <c:spPr>
            <a:ln w="28575">
              <a:noFill/>
            </a:ln>
          </c:spPr>
          <c:marker>
            <c:symbol val="diamond"/>
            <c:size val="6"/>
            <c:spPr>
              <a:solidFill>
                <a:schemeClr val="bg1">
                  <a:lumMod val="65000"/>
                </a:schemeClr>
              </a:solidFill>
              <a:ln>
                <a:solidFill>
                  <a:srgbClr val="31659C"/>
                </a:solidFill>
                <a:prstDash val="solid"/>
              </a:ln>
            </c:spPr>
          </c:marker>
          <c:xVal>
            <c:numRef>
              <c:f>iCntyScoreCard!$CV$6:$CV$35</c:f>
              <c:numCache>
                <c:formatCode>General</c:formatCode>
                <c:ptCount val="30"/>
                <c:pt idx="0">
                  <c:v>82.8</c:v>
                </c:pt>
                <c:pt idx="1">
                  <c:v>76</c:v>
                </c:pt>
                <c:pt idx="2">
                  <c:v>50</c:v>
                </c:pt>
                <c:pt idx="3">
                  <c:v>87.2</c:v>
                </c:pt>
                <c:pt idx="4">
                  <c:v>79.599999999999994</c:v>
                </c:pt>
                <c:pt idx="5">
                  <c:v>76.900000000000006</c:v>
                </c:pt>
                <c:pt idx="6">
                  <c:v>81.599999999999994</c:v>
                </c:pt>
                <c:pt idx="7">
                  <c:v>74.3</c:v>
                </c:pt>
                <c:pt idx="8">
                  <c:v>86.9</c:v>
                </c:pt>
                <c:pt idx="9">
                  <c:v>83.4</c:v>
                </c:pt>
                <c:pt idx="10">
                  <c:v>96.9</c:v>
                </c:pt>
                <c:pt idx="11">
                  <c:v>81.8</c:v>
                </c:pt>
                <c:pt idx="12">
                  <c:v>74.3</c:v>
                </c:pt>
                <c:pt idx="13">
                  <c:v>79.900000000000006</c:v>
                </c:pt>
                <c:pt idx="14">
                  <c:v>76.900000000000006</c:v>
                </c:pt>
                <c:pt idx="15">
                  <c:v>79.900000000000006</c:v>
                </c:pt>
                <c:pt idx="16">
                  <c:v>60.1</c:v>
                </c:pt>
                <c:pt idx="17">
                  <c:v>40.799999999999997</c:v>
                </c:pt>
                <c:pt idx="18">
                  <c:v>74.3</c:v>
                </c:pt>
                <c:pt idx="19">
                  <c:v>80.400000000000006</c:v>
                </c:pt>
                <c:pt idx="20">
                  <c:v>70.599999999999994</c:v>
                </c:pt>
                <c:pt idx="21">
                  <c:v>81.099999999999994</c:v>
                </c:pt>
                <c:pt idx="22">
                  <c:v>69.099999999999994</c:v>
                </c:pt>
                <c:pt idx="23">
                  <c:v>73.400000000000006</c:v>
                </c:pt>
                <c:pt idx="24">
                  <c:v>38.6</c:v>
                </c:pt>
                <c:pt idx="25">
                  <c:v>64.900000000000006</c:v>
                </c:pt>
                <c:pt idx="26">
                  <c:v>44.1</c:v>
                </c:pt>
                <c:pt idx="27">
                  <c:v>65.900000000000006</c:v>
                </c:pt>
                <c:pt idx="28">
                  <c:v>50.6</c:v>
                </c:pt>
                <c:pt idx="29">
                  <c:v>67.599999999999994</c:v>
                </c:pt>
              </c:numCache>
            </c:numRef>
          </c:xVal>
          <c:yVal>
            <c:numRef>
              <c:f>iCntyScoreCard!$CW$6:$CW$35</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yVal>
          <c:smooth val="0"/>
          <c:extLst>
            <c:ext xmlns:c16="http://schemas.microsoft.com/office/drawing/2014/chart" uri="{C3380CC4-5D6E-409C-BE32-E72D297353CC}">
              <c16:uniqueId val="{00000001-68FC-40DC-8961-00AF7CD6D506}"/>
            </c:ext>
          </c:extLst>
        </c:ser>
        <c:ser>
          <c:idx val="1"/>
          <c:order val="2"/>
          <c:tx>
            <c:strRef>
              <c:f>uxb_works!$C$26</c:f>
              <c:strCache>
                <c:ptCount val="1"/>
                <c:pt idx="0">
                  <c:v>Amsterdam</c:v>
                </c:pt>
              </c:strCache>
            </c:strRef>
          </c:tx>
          <c:spPr>
            <a:ln w="28575">
              <a:noFill/>
            </a:ln>
          </c:spPr>
          <c:marker>
            <c:symbol val="circle"/>
            <c:size val="9"/>
            <c:spPr>
              <a:solidFill>
                <a:srgbClr val="C0504D"/>
              </a:solidFill>
              <a:ln>
                <a:solidFill>
                  <a:srgbClr val="993366"/>
                </a:solidFill>
                <a:prstDash val="solid"/>
              </a:ln>
            </c:spPr>
          </c:marker>
          <c:dLbls>
            <c:spPr>
              <a:no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iCntyScoreCard!$CU$39</c:f>
              <c:numCache>
                <c:formatCode>General</c:formatCode>
                <c:ptCount val="1"/>
                <c:pt idx="0">
                  <c:v>76</c:v>
                </c:pt>
              </c:numCache>
            </c:numRef>
          </c:xVal>
          <c:yVal>
            <c:numRef>
              <c:f>iCntyScoreCard!$CT$39</c:f>
              <c:numCache>
                <c:formatCode>General</c:formatCode>
                <c:ptCount val="1"/>
                <c:pt idx="0">
                  <c:v>1</c:v>
                </c:pt>
              </c:numCache>
            </c:numRef>
          </c:yVal>
          <c:smooth val="0"/>
          <c:extLst>
            <c:ext xmlns:c16="http://schemas.microsoft.com/office/drawing/2014/chart" uri="{C3380CC4-5D6E-409C-BE32-E72D297353CC}">
              <c16:uniqueId val="{00000002-68FC-40DC-8961-00AF7CD6D506}"/>
            </c:ext>
          </c:extLst>
        </c:ser>
        <c:dLbls>
          <c:showLegendKey val="0"/>
          <c:showVal val="0"/>
          <c:showCatName val="0"/>
          <c:showSerName val="0"/>
          <c:showPercent val="0"/>
          <c:showBubbleSize val="0"/>
        </c:dLbls>
        <c:axId val="114864064"/>
        <c:axId val="114864640"/>
      </c:scatterChart>
      <c:valAx>
        <c:axId val="114864064"/>
        <c:scaling>
          <c:orientation val="minMax"/>
          <c:max val="100"/>
          <c:min val="0"/>
        </c:scaling>
        <c:delete val="1"/>
        <c:axPos val="b"/>
        <c:majorGridlines/>
        <c:numFmt formatCode="#,##0" sourceLinked="0"/>
        <c:majorTickMark val="out"/>
        <c:minorTickMark val="none"/>
        <c:tickLblPos val="nextTo"/>
        <c:crossAx val="114864640"/>
        <c:crosses val="autoZero"/>
        <c:crossBetween val="midCat"/>
        <c:majorUnit val="10"/>
      </c:valAx>
      <c:valAx>
        <c:axId val="114864640"/>
        <c:scaling>
          <c:orientation val="minMax"/>
          <c:max val="2"/>
          <c:min val="0"/>
        </c:scaling>
        <c:delete val="1"/>
        <c:axPos val="l"/>
        <c:numFmt formatCode="General" sourceLinked="1"/>
        <c:majorTickMark val="out"/>
        <c:minorTickMark val="none"/>
        <c:tickLblPos val="none"/>
        <c:crossAx val="114864064"/>
        <c:crosses val="autoZero"/>
        <c:crossBetween val="midCat"/>
      </c:valAx>
      <c:spPr>
        <a:noFill/>
        <a:ln w="25400">
          <a:noFill/>
        </a:ln>
      </c:spPr>
    </c:plotArea>
    <c:plotVisOnly val="1"/>
    <c:dispBlanksAs val="gap"/>
    <c:showDLblsOverMax val="0"/>
  </c:chart>
  <c:spPr>
    <a:no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0"/>
          <c:tx>
            <c:strRef>
              <c:f>iCntyScoreCard!$DB$40</c:f>
              <c:strCache>
                <c:ptCount val="1"/>
                <c:pt idx="0">
                  <c:v>0</c:v>
                </c:pt>
              </c:strCache>
            </c:strRef>
          </c:tx>
          <c:spPr>
            <a:ln w="28575">
              <a:noFill/>
            </a:ln>
          </c:spPr>
          <c:marker>
            <c:symbol val="square"/>
            <c:size val="9"/>
            <c:spPr>
              <a:solidFill>
                <a:schemeClr val="accent1">
                  <a:lumMod val="75000"/>
                </a:schemeClr>
              </a:solidFill>
              <a:ln>
                <a:solidFill>
                  <a:schemeClr val="accent1">
                    <a:lumMod val="75000"/>
                  </a:schemeClr>
                </a:solidFill>
              </a:ln>
            </c:spPr>
          </c:marker>
          <c:xVal>
            <c:numRef>
              <c:f>iCntyScoreCard!$DA$40</c:f>
              <c:numCache>
                <c:formatCode>General</c:formatCode>
                <c:ptCount val="1"/>
                <c:pt idx="0">
                  <c:v>49.1</c:v>
                </c:pt>
              </c:numCache>
            </c:numRef>
          </c:xVal>
          <c:yVal>
            <c:numRef>
              <c:f>iCntyScoreCard!$CZ$40</c:f>
              <c:numCache>
                <c:formatCode>General</c:formatCode>
                <c:ptCount val="1"/>
                <c:pt idx="0">
                  <c:v>1</c:v>
                </c:pt>
              </c:numCache>
            </c:numRef>
          </c:yVal>
          <c:smooth val="0"/>
          <c:extLst>
            <c:ext xmlns:c16="http://schemas.microsoft.com/office/drawing/2014/chart" uri="{C3380CC4-5D6E-409C-BE32-E72D297353CC}">
              <c16:uniqueId val="{00000000-D00F-4247-9A18-0C006DC82428}"/>
            </c:ext>
          </c:extLst>
        </c:ser>
        <c:ser>
          <c:idx val="0"/>
          <c:order val="1"/>
          <c:spPr>
            <a:ln w="28575">
              <a:noFill/>
            </a:ln>
          </c:spPr>
          <c:marker>
            <c:symbol val="diamond"/>
            <c:size val="6"/>
            <c:spPr>
              <a:solidFill>
                <a:schemeClr val="bg1">
                  <a:lumMod val="65000"/>
                </a:schemeClr>
              </a:solidFill>
              <a:ln>
                <a:solidFill>
                  <a:srgbClr val="31659C"/>
                </a:solidFill>
                <a:prstDash val="solid"/>
              </a:ln>
            </c:spPr>
          </c:marker>
          <c:xVal>
            <c:numRef>
              <c:f>iCntyScoreCard!$DB$6:$DB$35</c:f>
              <c:numCache>
                <c:formatCode>General</c:formatCode>
                <c:ptCount val="30"/>
                <c:pt idx="0">
                  <c:v>60.6</c:v>
                </c:pt>
                <c:pt idx="1">
                  <c:v>62</c:v>
                </c:pt>
                <c:pt idx="2">
                  <c:v>49.8</c:v>
                </c:pt>
                <c:pt idx="3">
                  <c:v>70</c:v>
                </c:pt>
                <c:pt idx="4">
                  <c:v>55.9</c:v>
                </c:pt>
                <c:pt idx="5">
                  <c:v>87.9</c:v>
                </c:pt>
                <c:pt idx="6">
                  <c:v>66.3</c:v>
                </c:pt>
                <c:pt idx="7">
                  <c:v>74</c:v>
                </c:pt>
                <c:pt idx="8">
                  <c:v>66.8</c:v>
                </c:pt>
                <c:pt idx="9">
                  <c:v>58.1</c:v>
                </c:pt>
                <c:pt idx="10">
                  <c:v>59</c:v>
                </c:pt>
                <c:pt idx="11">
                  <c:v>58.9</c:v>
                </c:pt>
                <c:pt idx="12">
                  <c:v>51.3</c:v>
                </c:pt>
                <c:pt idx="13">
                  <c:v>62.8</c:v>
                </c:pt>
                <c:pt idx="14">
                  <c:v>66.2</c:v>
                </c:pt>
                <c:pt idx="15">
                  <c:v>67</c:v>
                </c:pt>
                <c:pt idx="16">
                  <c:v>46.7</c:v>
                </c:pt>
                <c:pt idx="17">
                  <c:v>57.4</c:v>
                </c:pt>
                <c:pt idx="18">
                  <c:v>42.7</c:v>
                </c:pt>
                <c:pt idx="19">
                  <c:v>46.6</c:v>
                </c:pt>
                <c:pt idx="20">
                  <c:v>37.6</c:v>
                </c:pt>
                <c:pt idx="21">
                  <c:v>49.1</c:v>
                </c:pt>
                <c:pt idx="22">
                  <c:v>31.7</c:v>
                </c:pt>
                <c:pt idx="23">
                  <c:v>36.5</c:v>
                </c:pt>
                <c:pt idx="24">
                  <c:v>19</c:v>
                </c:pt>
                <c:pt idx="25">
                  <c:v>14.6</c:v>
                </c:pt>
                <c:pt idx="26">
                  <c:v>14.5</c:v>
                </c:pt>
                <c:pt idx="27">
                  <c:v>19.8</c:v>
                </c:pt>
                <c:pt idx="28">
                  <c:v>30.7</c:v>
                </c:pt>
                <c:pt idx="29">
                  <c:v>10.3</c:v>
                </c:pt>
              </c:numCache>
            </c:numRef>
          </c:xVal>
          <c:yVal>
            <c:numRef>
              <c:f>iCntyScoreCard!$DC$6:$DC$35</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yVal>
          <c:smooth val="0"/>
          <c:extLst>
            <c:ext xmlns:c16="http://schemas.microsoft.com/office/drawing/2014/chart" uri="{C3380CC4-5D6E-409C-BE32-E72D297353CC}">
              <c16:uniqueId val="{00000001-D00F-4247-9A18-0C006DC82428}"/>
            </c:ext>
          </c:extLst>
        </c:ser>
        <c:ser>
          <c:idx val="1"/>
          <c:order val="2"/>
          <c:tx>
            <c:strRef>
              <c:f>uxb_works!$C$26</c:f>
              <c:strCache>
                <c:ptCount val="1"/>
                <c:pt idx="0">
                  <c:v>Amsterdam</c:v>
                </c:pt>
              </c:strCache>
            </c:strRef>
          </c:tx>
          <c:spPr>
            <a:ln w="28575">
              <a:noFill/>
            </a:ln>
          </c:spPr>
          <c:marker>
            <c:symbol val="circle"/>
            <c:size val="9"/>
            <c:spPr>
              <a:solidFill>
                <a:srgbClr val="C0504D"/>
              </a:solidFill>
              <a:ln>
                <a:solidFill>
                  <a:srgbClr val="993366"/>
                </a:solidFill>
                <a:prstDash val="solid"/>
              </a:ln>
            </c:spPr>
          </c:marker>
          <c:dLbls>
            <c:spPr>
              <a:no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iCntyScoreCard!$DA$39</c:f>
              <c:numCache>
                <c:formatCode>General</c:formatCode>
                <c:ptCount val="1"/>
                <c:pt idx="0">
                  <c:v>62</c:v>
                </c:pt>
              </c:numCache>
            </c:numRef>
          </c:xVal>
          <c:yVal>
            <c:numRef>
              <c:f>iCntyScoreCard!$CZ$39</c:f>
              <c:numCache>
                <c:formatCode>General</c:formatCode>
                <c:ptCount val="1"/>
                <c:pt idx="0">
                  <c:v>1</c:v>
                </c:pt>
              </c:numCache>
            </c:numRef>
          </c:yVal>
          <c:smooth val="0"/>
          <c:extLst>
            <c:ext xmlns:c16="http://schemas.microsoft.com/office/drawing/2014/chart" uri="{C3380CC4-5D6E-409C-BE32-E72D297353CC}">
              <c16:uniqueId val="{00000002-D00F-4247-9A18-0C006DC82428}"/>
            </c:ext>
          </c:extLst>
        </c:ser>
        <c:dLbls>
          <c:showLegendKey val="0"/>
          <c:showVal val="0"/>
          <c:showCatName val="0"/>
          <c:showSerName val="0"/>
          <c:showPercent val="0"/>
          <c:showBubbleSize val="0"/>
        </c:dLbls>
        <c:axId val="114864064"/>
        <c:axId val="114864640"/>
      </c:scatterChart>
      <c:valAx>
        <c:axId val="114864064"/>
        <c:scaling>
          <c:orientation val="minMax"/>
          <c:max val="100"/>
          <c:min val="0"/>
        </c:scaling>
        <c:delete val="1"/>
        <c:axPos val="b"/>
        <c:majorGridlines/>
        <c:numFmt formatCode="#,##0" sourceLinked="0"/>
        <c:majorTickMark val="out"/>
        <c:minorTickMark val="none"/>
        <c:tickLblPos val="nextTo"/>
        <c:crossAx val="114864640"/>
        <c:crosses val="autoZero"/>
        <c:crossBetween val="midCat"/>
        <c:majorUnit val="10"/>
      </c:valAx>
      <c:valAx>
        <c:axId val="114864640"/>
        <c:scaling>
          <c:orientation val="minMax"/>
          <c:max val="2"/>
          <c:min val="0"/>
        </c:scaling>
        <c:delete val="1"/>
        <c:axPos val="l"/>
        <c:numFmt formatCode="General" sourceLinked="1"/>
        <c:majorTickMark val="out"/>
        <c:minorTickMark val="none"/>
        <c:tickLblPos val="none"/>
        <c:crossAx val="114864064"/>
        <c:crosses val="autoZero"/>
        <c:crossBetween val="midCat"/>
      </c:valAx>
      <c:spPr>
        <a:noFill/>
        <a:ln w="25400">
          <a:noFill/>
        </a:ln>
      </c:spPr>
    </c:plotArea>
    <c:plotVisOnly val="1"/>
    <c:dispBlanksAs val="gap"/>
    <c:showDLblsOverMax val="0"/>
  </c:chart>
  <c:spPr>
    <a:no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0"/>
          <c:tx>
            <c:strRef>
              <c:f>iCntyScoreCard!$DH$40</c:f>
              <c:strCache>
                <c:ptCount val="1"/>
                <c:pt idx="0">
                  <c:v>0</c:v>
                </c:pt>
              </c:strCache>
            </c:strRef>
          </c:tx>
          <c:spPr>
            <a:ln w="28575">
              <a:noFill/>
            </a:ln>
          </c:spPr>
          <c:marker>
            <c:symbol val="square"/>
            <c:size val="9"/>
            <c:spPr>
              <a:solidFill>
                <a:schemeClr val="accent1">
                  <a:lumMod val="75000"/>
                </a:schemeClr>
              </a:solidFill>
              <a:ln>
                <a:solidFill>
                  <a:schemeClr val="accent1">
                    <a:lumMod val="75000"/>
                  </a:schemeClr>
                </a:solidFill>
              </a:ln>
            </c:spPr>
          </c:marker>
          <c:xVal>
            <c:numRef>
              <c:f>iCntyScoreCard!$DG$40</c:f>
              <c:numCache>
                <c:formatCode>General</c:formatCode>
                <c:ptCount val="1"/>
                <c:pt idx="0">
                  <c:v>44.9</c:v>
                </c:pt>
              </c:numCache>
            </c:numRef>
          </c:xVal>
          <c:yVal>
            <c:numRef>
              <c:f>iCntyScoreCard!$DF$40</c:f>
              <c:numCache>
                <c:formatCode>General</c:formatCode>
                <c:ptCount val="1"/>
                <c:pt idx="0">
                  <c:v>1</c:v>
                </c:pt>
              </c:numCache>
            </c:numRef>
          </c:yVal>
          <c:smooth val="0"/>
          <c:extLst>
            <c:ext xmlns:c16="http://schemas.microsoft.com/office/drawing/2014/chart" uri="{C3380CC4-5D6E-409C-BE32-E72D297353CC}">
              <c16:uniqueId val="{00000000-6FBE-4833-86BA-03A9DC02432B}"/>
            </c:ext>
          </c:extLst>
        </c:ser>
        <c:ser>
          <c:idx val="0"/>
          <c:order val="1"/>
          <c:spPr>
            <a:ln w="28575">
              <a:noFill/>
            </a:ln>
          </c:spPr>
          <c:marker>
            <c:symbol val="diamond"/>
            <c:size val="6"/>
            <c:spPr>
              <a:solidFill>
                <a:schemeClr val="bg1">
                  <a:lumMod val="65000"/>
                </a:schemeClr>
              </a:solidFill>
              <a:ln>
                <a:solidFill>
                  <a:srgbClr val="31659C"/>
                </a:solidFill>
                <a:prstDash val="solid"/>
              </a:ln>
            </c:spPr>
          </c:marker>
          <c:xVal>
            <c:numRef>
              <c:f>iCntyScoreCard!$DH$6:$DH$35</c:f>
              <c:numCache>
                <c:formatCode>General</c:formatCode>
                <c:ptCount val="30"/>
                <c:pt idx="0">
                  <c:v>46.9</c:v>
                </c:pt>
                <c:pt idx="1">
                  <c:v>35.1</c:v>
                </c:pt>
                <c:pt idx="2">
                  <c:v>72.3</c:v>
                </c:pt>
                <c:pt idx="3">
                  <c:v>19.399999999999999</c:v>
                </c:pt>
                <c:pt idx="4">
                  <c:v>57.4</c:v>
                </c:pt>
                <c:pt idx="5">
                  <c:v>41.8</c:v>
                </c:pt>
                <c:pt idx="6">
                  <c:v>19.899999999999999</c:v>
                </c:pt>
                <c:pt idx="7">
                  <c:v>31.5</c:v>
                </c:pt>
                <c:pt idx="8">
                  <c:v>42.5</c:v>
                </c:pt>
                <c:pt idx="9">
                  <c:v>45.6</c:v>
                </c:pt>
                <c:pt idx="10">
                  <c:v>31.6</c:v>
                </c:pt>
                <c:pt idx="11">
                  <c:v>39.700000000000003</c:v>
                </c:pt>
                <c:pt idx="12">
                  <c:v>39.9</c:v>
                </c:pt>
                <c:pt idx="13">
                  <c:v>33.1</c:v>
                </c:pt>
                <c:pt idx="14">
                  <c:v>43.5</c:v>
                </c:pt>
                <c:pt idx="15">
                  <c:v>27.6</c:v>
                </c:pt>
                <c:pt idx="16">
                  <c:v>12.1</c:v>
                </c:pt>
                <c:pt idx="17">
                  <c:v>89.7</c:v>
                </c:pt>
                <c:pt idx="18">
                  <c:v>30.4</c:v>
                </c:pt>
                <c:pt idx="19">
                  <c:v>20.6</c:v>
                </c:pt>
                <c:pt idx="20">
                  <c:v>26.8</c:v>
                </c:pt>
                <c:pt idx="21">
                  <c:v>70.8</c:v>
                </c:pt>
                <c:pt idx="22">
                  <c:v>61.6</c:v>
                </c:pt>
                <c:pt idx="23">
                  <c:v>52.6</c:v>
                </c:pt>
                <c:pt idx="24">
                  <c:v>57.8</c:v>
                </c:pt>
                <c:pt idx="25">
                  <c:v>54.2</c:v>
                </c:pt>
                <c:pt idx="26">
                  <c:v>78.2</c:v>
                </c:pt>
                <c:pt idx="27">
                  <c:v>40.200000000000003</c:v>
                </c:pt>
                <c:pt idx="28">
                  <c:v>78.8</c:v>
                </c:pt>
                <c:pt idx="29">
                  <c:v>46.3</c:v>
                </c:pt>
              </c:numCache>
            </c:numRef>
          </c:xVal>
          <c:yVal>
            <c:numRef>
              <c:f>iCntyScoreCard!$DI$6:$DI$35</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yVal>
          <c:smooth val="0"/>
          <c:extLst>
            <c:ext xmlns:c16="http://schemas.microsoft.com/office/drawing/2014/chart" uri="{C3380CC4-5D6E-409C-BE32-E72D297353CC}">
              <c16:uniqueId val="{00000001-6FBE-4833-86BA-03A9DC02432B}"/>
            </c:ext>
          </c:extLst>
        </c:ser>
        <c:ser>
          <c:idx val="1"/>
          <c:order val="2"/>
          <c:tx>
            <c:strRef>
              <c:f>uxb_works!$C$26</c:f>
              <c:strCache>
                <c:ptCount val="1"/>
                <c:pt idx="0">
                  <c:v>Amsterdam</c:v>
                </c:pt>
              </c:strCache>
            </c:strRef>
          </c:tx>
          <c:spPr>
            <a:ln w="28575">
              <a:noFill/>
            </a:ln>
          </c:spPr>
          <c:marker>
            <c:symbol val="circle"/>
            <c:size val="9"/>
            <c:spPr>
              <a:solidFill>
                <a:srgbClr val="C0504D"/>
              </a:solidFill>
              <a:ln>
                <a:solidFill>
                  <a:srgbClr val="993366"/>
                </a:solidFill>
                <a:prstDash val="solid"/>
              </a:ln>
            </c:spPr>
          </c:marker>
          <c:dLbls>
            <c:spPr>
              <a:no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iCntyScoreCard!$DG$39</c:f>
              <c:numCache>
                <c:formatCode>General</c:formatCode>
                <c:ptCount val="1"/>
                <c:pt idx="0">
                  <c:v>35.1</c:v>
                </c:pt>
              </c:numCache>
            </c:numRef>
          </c:xVal>
          <c:yVal>
            <c:numRef>
              <c:f>iCntyScoreCard!$DF$39</c:f>
              <c:numCache>
                <c:formatCode>General</c:formatCode>
                <c:ptCount val="1"/>
                <c:pt idx="0">
                  <c:v>1</c:v>
                </c:pt>
              </c:numCache>
            </c:numRef>
          </c:yVal>
          <c:smooth val="0"/>
          <c:extLst>
            <c:ext xmlns:c16="http://schemas.microsoft.com/office/drawing/2014/chart" uri="{C3380CC4-5D6E-409C-BE32-E72D297353CC}">
              <c16:uniqueId val="{00000002-6FBE-4833-86BA-03A9DC02432B}"/>
            </c:ext>
          </c:extLst>
        </c:ser>
        <c:dLbls>
          <c:showLegendKey val="0"/>
          <c:showVal val="0"/>
          <c:showCatName val="0"/>
          <c:showSerName val="0"/>
          <c:showPercent val="0"/>
          <c:showBubbleSize val="0"/>
        </c:dLbls>
        <c:axId val="114864064"/>
        <c:axId val="114864640"/>
      </c:scatterChart>
      <c:valAx>
        <c:axId val="114864064"/>
        <c:scaling>
          <c:orientation val="minMax"/>
          <c:max val="100"/>
          <c:min val="0"/>
        </c:scaling>
        <c:delete val="1"/>
        <c:axPos val="b"/>
        <c:majorGridlines/>
        <c:numFmt formatCode="#,##0" sourceLinked="0"/>
        <c:majorTickMark val="out"/>
        <c:minorTickMark val="none"/>
        <c:tickLblPos val="nextTo"/>
        <c:crossAx val="114864640"/>
        <c:crosses val="autoZero"/>
        <c:crossBetween val="midCat"/>
        <c:majorUnit val="10"/>
      </c:valAx>
      <c:valAx>
        <c:axId val="114864640"/>
        <c:scaling>
          <c:orientation val="minMax"/>
          <c:max val="2"/>
          <c:min val="0"/>
        </c:scaling>
        <c:delete val="1"/>
        <c:axPos val="l"/>
        <c:numFmt formatCode="General" sourceLinked="1"/>
        <c:majorTickMark val="out"/>
        <c:minorTickMark val="none"/>
        <c:tickLblPos val="none"/>
        <c:crossAx val="114864064"/>
        <c:crosses val="autoZero"/>
        <c:crossBetween val="midCat"/>
      </c:valAx>
      <c:spPr>
        <a:noFill/>
        <a:ln w="25400">
          <a:noFill/>
        </a:ln>
      </c:spPr>
    </c:plotArea>
    <c:plotVisOnly val="1"/>
    <c:dispBlanksAs val="gap"/>
    <c:showDLblsOverMax val="0"/>
  </c:chart>
  <c:spPr>
    <a:no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0"/>
          <c:tx>
            <c:strRef>
              <c:f>iCntyScoreCard!$DN$40</c:f>
              <c:strCache>
                <c:ptCount val="1"/>
                <c:pt idx="0">
                  <c:v>0</c:v>
                </c:pt>
              </c:strCache>
            </c:strRef>
          </c:tx>
          <c:spPr>
            <a:ln w="28575">
              <a:noFill/>
            </a:ln>
          </c:spPr>
          <c:marker>
            <c:symbol val="square"/>
            <c:size val="9"/>
            <c:spPr>
              <a:solidFill>
                <a:schemeClr val="accent1">
                  <a:lumMod val="75000"/>
                </a:schemeClr>
              </a:solidFill>
              <a:ln>
                <a:solidFill>
                  <a:schemeClr val="accent1">
                    <a:lumMod val="75000"/>
                  </a:schemeClr>
                </a:solidFill>
              </a:ln>
            </c:spPr>
          </c:marker>
          <c:xVal>
            <c:numRef>
              <c:f>iCntyScoreCard!$DM$40</c:f>
              <c:numCache>
                <c:formatCode>General</c:formatCode>
                <c:ptCount val="1"/>
                <c:pt idx="0">
                  <c:v>66.3</c:v>
                </c:pt>
              </c:numCache>
            </c:numRef>
          </c:xVal>
          <c:yVal>
            <c:numRef>
              <c:f>iCntyScoreCard!$DL$40</c:f>
              <c:numCache>
                <c:formatCode>General</c:formatCode>
                <c:ptCount val="1"/>
                <c:pt idx="0">
                  <c:v>1</c:v>
                </c:pt>
              </c:numCache>
            </c:numRef>
          </c:yVal>
          <c:smooth val="0"/>
          <c:extLst>
            <c:ext xmlns:c16="http://schemas.microsoft.com/office/drawing/2014/chart" uri="{C3380CC4-5D6E-409C-BE32-E72D297353CC}">
              <c16:uniqueId val="{00000000-18CD-4EED-BE19-155F16269CC4}"/>
            </c:ext>
          </c:extLst>
        </c:ser>
        <c:ser>
          <c:idx val="0"/>
          <c:order val="1"/>
          <c:spPr>
            <a:ln w="28575">
              <a:noFill/>
            </a:ln>
          </c:spPr>
          <c:marker>
            <c:symbol val="diamond"/>
            <c:size val="6"/>
            <c:spPr>
              <a:solidFill>
                <a:schemeClr val="bg1">
                  <a:lumMod val="65000"/>
                </a:schemeClr>
              </a:solidFill>
              <a:ln>
                <a:solidFill>
                  <a:srgbClr val="31659C"/>
                </a:solidFill>
                <a:prstDash val="solid"/>
              </a:ln>
            </c:spPr>
          </c:marker>
          <c:xVal>
            <c:numRef>
              <c:f>iCntyScoreCard!$DN$6:$DN$35</c:f>
              <c:numCache>
                <c:formatCode>General</c:formatCode>
                <c:ptCount val="30"/>
                <c:pt idx="0">
                  <c:v>92.6</c:v>
                </c:pt>
                <c:pt idx="1">
                  <c:v>85.4</c:v>
                </c:pt>
                <c:pt idx="2">
                  <c:v>86.8</c:v>
                </c:pt>
                <c:pt idx="3">
                  <c:v>85.2</c:v>
                </c:pt>
                <c:pt idx="4">
                  <c:v>92.1</c:v>
                </c:pt>
                <c:pt idx="5">
                  <c:v>76.7</c:v>
                </c:pt>
                <c:pt idx="6">
                  <c:v>78.599999999999994</c:v>
                </c:pt>
                <c:pt idx="7">
                  <c:v>60.8</c:v>
                </c:pt>
                <c:pt idx="8">
                  <c:v>75.400000000000006</c:v>
                </c:pt>
                <c:pt idx="9">
                  <c:v>70.900000000000006</c:v>
                </c:pt>
                <c:pt idx="10">
                  <c:v>90.5</c:v>
                </c:pt>
                <c:pt idx="11">
                  <c:v>66.3</c:v>
                </c:pt>
                <c:pt idx="12">
                  <c:v>87.3</c:v>
                </c:pt>
                <c:pt idx="13">
                  <c:v>71.7</c:v>
                </c:pt>
                <c:pt idx="14">
                  <c:v>63.7</c:v>
                </c:pt>
                <c:pt idx="15">
                  <c:v>69.599999999999994</c:v>
                </c:pt>
                <c:pt idx="16">
                  <c:v>72.599999999999994</c:v>
                </c:pt>
                <c:pt idx="17">
                  <c:v>54.8</c:v>
                </c:pt>
                <c:pt idx="18">
                  <c:v>69.5</c:v>
                </c:pt>
                <c:pt idx="19">
                  <c:v>72.2</c:v>
                </c:pt>
                <c:pt idx="20">
                  <c:v>61.7</c:v>
                </c:pt>
                <c:pt idx="21">
                  <c:v>68.099999999999994</c:v>
                </c:pt>
                <c:pt idx="22">
                  <c:v>66</c:v>
                </c:pt>
                <c:pt idx="23">
                  <c:v>48.8</c:v>
                </c:pt>
                <c:pt idx="24">
                  <c:v>41.3</c:v>
                </c:pt>
                <c:pt idx="25">
                  <c:v>51.5</c:v>
                </c:pt>
                <c:pt idx="26">
                  <c:v>34.700000000000003</c:v>
                </c:pt>
                <c:pt idx="27">
                  <c:v>32.799999999999997</c:v>
                </c:pt>
                <c:pt idx="28">
                  <c:v>32.9</c:v>
                </c:pt>
                <c:pt idx="29">
                  <c:v>28</c:v>
                </c:pt>
              </c:numCache>
            </c:numRef>
          </c:xVal>
          <c:yVal>
            <c:numRef>
              <c:f>iCntyScoreCard!$DO$6:$DO$35</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yVal>
          <c:smooth val="0"/>
          <c:extLst>
            <c:ext xmlns:c16="http://schemas.microsoft.com/office/drawing/2014/chart" uri="{C3380CC4-5D6E-409C-BE32-E72D297353CC}">
              <c16:uniqueId val="{00000001-18CD-4EED-BE19-155F16269CC4}"/>
            </c:ext>
          </c:extLst>
        </c:ser>
        <c:ser>
          <c:idx val="1"/>
          <c:order val="2"/>
          <c:tx>
            <c:strRef>
              <c:f>uxb_works!$C$26</c:f>
              <c:strCache>
                <c:ptCount val="1"/>
                <c:pt idx="0">
                  <c:v>Amsterdam</c:v>
                </c:pt>
              </c:strCache>
            </c:strRef>
          </c:tx>
          <c:spPr>
            <a:ln w="28575">
              <a:noFill/>
            </a:ln>
          </c:spPr>
          <c:marker>
            <c:symbol val="circle"/>
            <c:size val="9"/>
            <c:spPr>
              <a:solidFill>
                <a:srgbClr val="C0504D"/>
              </a:solidFill>
              <a:ln>
                <a:solidFill>
                  <a:srgbClr val="993366"/>
                </a:solidFill>
                <a:prstDash val="solid"/>
              </a:ln>
            </c:spPr>
          </c:marker>
          <c:dLbls>
            <c:spPr>
              <a:no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iCntyScoreCard!$DM$39</c:f>
              <c:numCache>
                <c:formatCode>General</c:formatCode>
                <c:ptCount val="1"/>
                <c:pt idx="0">
                  <c:v>85.4</c:v>
                </c:pt>
              </c:numCache>
            </c:numRef>
          </c:xVal>
          <c:yVal>
            <c:numRef>
              <c:f>iCntyScoreCard!$DL$39</c:f>
              <c:numCache>
                <c:formatCode>General</c:formatCode>
                <c:ptCount val="1"/>
                <c:pt idx="0">
                  <c:v>1</c:v>
                </c:pt>
              </c:numCache>
            </c:numRef>
          </c:yVal>
          <c:smooth val="0"/>
          <c:extLst>
            <c:ext xmlns:c16="http://schemas.microsoft.com/office/drawing/2014/chart" uri="{C3380CC4-5D6E-409C-BE32-E72D297353CC}">
              <c16:uniqueId val="{00000002-18CD-4EED-BE19-155F16269CC4}"/>
            </c:ext>
          </c:extLst>
        </c:ser>
        <c:dLbls>
          <c:showLegendKey val="0"/>
          <c:showVal val="0"/>
          <c:showCatName val="0"/>
          <c:showSerName val="0"/>
          <c:showPercent val="0"/>
          <c:showBubbleSize val="0"/>
        </c:dLbls>
        <c:axId val="114864064"/>
        <c:axId val="114864640"/>
      </c:scatterChart>
      <c:valAx>
        <c:axId val="114864064"/>
        <c:scaling>
          <c:orientation val="minMax"/>
          <c:max val="100"/>
          <c:min val="0"/>
        </c:scaling>
        <c:delete val="1"/>
        <c:axPos val="b"/>
        <c:majorGridlines/>
        <c:numFmt formatCode="#,##0" sourceLinked="0"/>
        <c:majorTickMark val="out"/>
        <c:minorTickMark val="none"/>
        <c:tickLblPos val="nextTo"/>
        <c:crossAx val="114864640"/>
        <c:crosses val="autoZero"/>
        <c:crossBetween val="midCat"/>
        <c:majorUnit val="10"/>
      </c:valAx>
      <c:valAx>
        <c:axId val="114864640"/>
        <c:scaling>
          <c:orientation val="minMax"/>
          <c:max val="2"/>
          <c:min val="0"/>
        </c:scaling>
        <c:delete val="1"/>
        <c:axPos val="l"/>
        <c:numFmt formatCode="General" sourceLinked="1"/>
        <c:majorTickMark val="out"/>
        <c:minorTickMark val="none"/>
        <c:tickLblPos val="none"/>
        <c:crossAx val="114864064"/>
        <c:crosses val="autoZero"/>
        <c:crossBetween val="midCat"/>
      </c:valAx>
      <c:spPr>
        <a:noFill/>
        <a:ln w="25400">
          <a:noFill/>
        </a:ln>
      </c:spPr>
    </c:plotArea>
    <c:plotVisOnly val="1"/>
    <c:dispBlanksAs val="gap"/>
    <c:showDLblsOverMax val="0"/>
  </c:chart>
  <c:spPr>
    <a:no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0"/>
          <c:tx>
            <c:strRef>
              <c:f>iCntyScoreCard!$DT$40</c:f>
              <c:strCache>
                <c:ptCount val="1"/>
                <c:pt idx="0">
                  <c:v>0</c:v>
                </c:pt>
              </c:strCache>
            </c:strRef>
          </c:tx>
          <c:spPr>
            <a:ln w="28575">
              <a:noFill/>
            </a:ln>
          </c:spPr>
          <c:marker>
            <c:symbol val="square"/>
            <c:size val="9"/>
            <c:spPr>
              <a:solidFill>
                <a:schemeClr val="accent1">
                  <a:lumMod val="75000"/>
                </a:schemeClr>
              </a:solidFill>
              <a:ln>
                <a:solidFill>
                  <a:schemeClr val="accent1">
                    <a:lumMod val="75000"/>
                  </a:schemeClr>
                </a:solidFill>
              </a:ln>
            </c:spPr>
          </c:marker>
          <c:xVal>
            <c:numRef>
              <c:f>iCntyScoreCard!$DS$40</c:f>
              <c:numCache>
                <c:formatCode>General</c:formatCode>
                <c:ptCount val="1"/>
                <c:pt idx="0">
                  <c:v>76</c:v>
                </c:pt>
              </c:numCache>
            </c:numRef>
          </c:xVal>
          <c:yVal>
            <c:numRef>
              <c:f>iCntyScoreCard!$DR$40</c:f>
              <c:numCache>
                <c:formatCode>General</c:formatCode>
                <c:ptCount val="1"/>
                <c:pt idx="0">
                  <c:v>1</c:v>
                </c:pt>
              </c:numCache>
            </c:numRef>
          </c:yVal>
          <c:smooth val="0"/>
          <c:extLst>
            <c:ext xmlns:c16="http://schemas.microsoft.com/office/drawing/2014/chart" uri="{C3380CC4-5D6E-409C-BE32-E72D297353CC}">
              <c16:uniqueId val="{00000000-7C42-4E10-BD22-0EA0778353E5}"/>
            </c:ext>
          </c:extLst>
        </c:ser>
        <c:ser>
          <c:idx val="0"/>
          <c:order val="1"/>
          <c:spPr>
            <a:ln w="28575">
              <a:noFill/>
            </a:ln>
          </c:spPr>
          <c:marker>
            <c:symbol val="diamond"/>
            <c:size val="6"/>
            <c:spPr>
              <a:solidFill>
                <a:schemeClr val="bg1">
                  <a:lumMod val="65000"/>
                </a:schemeClr>
              </a:solidFill>
              <a:ln>
                <a:solidFill>
                  <a:srgbClr val="31659C"/>
                </a:solidFill>
                <a:prstDash val="solid"/>
              </a:ln>
            </c:spPr>
          </c:marker>
          <c:xVal>
            <c:numRef>
              <c:f>iCntyScoreCard!$DT$6:$DT$35</c:f>
              <c:numCache>
                <c:formatCode>General</c:formatCode>
                <c:ptCount val="30"/>
                <c:pt idx="0">
                  <c:v>100</c:v>
                </c:pt>
                <c:pt idx="1">
                  <c:v>87.5</c:v>
                </c:pt>
                <c:pt idx="2">
                  <c:v>100</c:v>
                </c:pt>
                <c:pt idx="3">
                  <c:v>100</c:v>
                </c:pt>
                <c:pt idx="4">
                  <c:v>100</c:v>
                </c:pt>
                <c:pt idx="5">
                  <c:v>100</c:v>
                </c:pt>
                <c:pt idx="6">
                  <c:v>87.5</c:v>
                </c:pt>
                <c:pt idx="7">
                  <c:v>75</c:v>
                </c:pt>
                <c:pt idx="8">
                  <c:v>87.5</c:v>
                </c:pt>
                <c:pt idx="9">
                  <c:v>100</c:v>
                </c:pt>
                <c:pt idx="10">
                  <c:v>100</c:v>
                </c:pt>
                <c:pt idx="11">
                  <c:v>62.5</c:v>
                </c:pt>
                <c:pt idx="12">
                  <c:v>100</c:v>
                </c:pt>
                <c:pt idx="13">
                  <c:v>87.5</c:v>
                </c:pt>
                <c:pt idx="14">
                  <c:v>66.400000000000006</c:v>
                </c:pt>
                <c:pt idx="15">
                  <c:v>87.5</c:v>
                </c:pt>
                <c:pt idx="16">
                  <c:v>100</c:v>
                </c:pt>
                <c:pt idx="17">
                  <c:v>100</c:v>
                </c:pt>
                <c:pt idx="18">
                  <c:v>66.400000000000006</c:v>
                </c:pt>
                <c:pt idx="19">
                  <c:v>87.5</c:v>
                </c:pt>
                <c:pt idx="20">
                  <c:v>46.1</c:v>
                </c:pt>
                <c:pt idx="21">
                  <c:v>87.5</c:v>
                </c:pt>
                <c:pt idx="22">
                  <c:v>41.5</c:v>
                </c:pt>
                <c:pt idx="23">
                  <c:v>58.5</c:v>
                </c:pt>
                <c:pt idx="24">
                  <c:v>62.5</c:v>
                </c:pt>
                <c:pt idx="25">
                  <c:v>37.5</c:v>
                </c:pt>
                <c:pt idx="26">
                  <c:v>41.5</c:v>
                </c:pt>
                <c:pt idx="27">
                  <c:v>25</c:v>
                </c:pt>
                <c:pt idx="28">
                  <c:v>37.5</c:v>
                </c:pt>
                <c:pt idx="29">
                  <c:v>46.1</c:v>
                </c:pt>
              </c:numCache>
            </c:numRef>
          </c:xVal>
          <c:yVal>
            <c:numRef>
              <c:f>iCntyScoreCard!$DU$6:$DU$35</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yVal>
          <c:smooth val="0"/>
          <c:extLst>
            <c:ext xmlns:c16="http://schemas.microsoft.com/office/drawing/2014/chart" uri="{C3380CC4-5D6E-409C-BE32-E72D297353CC}">
              <c16:uniqueId val="{00000001-7C42-4E10-BD22-0EA0778353E5}"/>
            </c:ext>
          </c:extLst>
        </c:ser>
        <c:ser>
          <c:idx val="1"/>
          <c:order val="2"/>
          <c:tx>
            <c:strRef>
              <c:f>uxb_works!$C$26</c:f>
              <c:strCache>
                <c:ptCount val="1"/>
                <c:pt idx="0">
                  <c:v>Amsterdam</c:v>
                </c:pt>
              </c:strCache>
            </c:strRef>
          </c:tx>
          <c:spPr>
            <a:ln w="28575">
              <a:noFill/>
            </a:ln>
          </c:spPr>
          <c:marker>
            <c:symbol val="circle"/>
            <c:size val="9"/>
            <c:spPr>
              <a:solidFill>
                <a:srgbClr val="C0504D"/>
              </a:solidFill>
              <a:ln>
                <a:solidFill>
                  <a:srgbClr val="993366"/>
                </a:solidFill>
                <a:prstDash val="solid"/>
              </a:ln>
            </c:spPr>
          </c:marker>
          <c:dLbls>
            <c:spPr>
              <a:no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iCntyScoreCard!$DS$39</c:f>
              <c:numCache>
                <c:formatCode>General</c:formatCode>
                <c:ptCount val="1"/>
                <c:pt idx="0">
                  <c:v>87.5</c:v>
                </c:pt>
              </c:numCache>
            </c:numRef>
          </c:xVal>
          <c:yVal>
            <c:numRef>
              <c:f>iCntyScoreCard!$DR$39</c:f>
              <c:numCache>
                <c:formatCode>General</c:formatCode>
                <c:ptCount val="1"/>
                <c:pt idx="0">
                  <c:v>1</c:v>
                </c:pt>
              </c:numCache>
            </c:numRef>
          </c:yVal>
          <c:smooth val="0"/>
          <c:extLst>
            <c:ext xmlns:c16="http://schemas.microsoft.com/office/drawing/2014/chart" uri="{C3380CC4-5D6E-409C-BE32-E72D297353CC}">
              <c16:uniqueId val="{00000002-7C42-4E10-BD22-0EA0778353E5}"/>
            </c:ext>
          </c:extLst>
        </c:ser>
        <c:dLbls>
          <c:showLegendKey val="0"/>
          <c:showVal val="0"/>
          <c:showCatName val="0"/>
          <c:showSerName val="0"/>
          <c:showPercent val="0"/>
          <c:showBubbleSize val="0"/>
        </c:dLbls>
        <c:axId val="114864064"/>
        <c:axId val="114864640"/>
      </c:scatterChart>
      <c:valAx>
        <c:axId val="114864064"/>
        <c:scaling>
          <c:orientation val="minMax"/>
          <c:max val="100"/>
          <c:min val="0"/>
        </c:scaling>
        <c:delete val="1"/>
        <c:axPos val="b"/>
        <c:majorGridlines/>
        <c:numFmt formatCode="#,##0" sourceLinked="0"/>
        <c:majorTickMark val="out"/>
        <c:minorTickMark val="none"/>
        <c:tickLblPos val="nextTo"/>
        <c:crossAx val="114864640"/>
        <c:crosses val="autoZero"/>
        <c:crossBetween val="midCat"/>
        <c:majorUnit val="10"/>
      </c:valAx>
      <c:valAx>
        <c:axId val="114864640"/>
        <c:scaling>
          <c:orientation val="minMax"/>
          <c:max val="2"/>
          <c:min val="0"/>
        </c:scaling>
        <c:delete val="1"/>
        <c:axPos val="l"/>
        <c:numFmt formatCode="General" sourceLinked="1"/>
        <c:majorTickMark val="out"/>
        <c:minorTickMark val="none"/>
        <c:tickLblPos val="none"/>
        <c:crossAx val="114864064"/>
        <c:crosses val="autoZero"/>
        <c:crossBetween val="midCat"/>
      </c:valAx>
      <c:spPr>
        <a:noFill/>
        <a:ln w="25400">
          <a:noFill/>
        </a:ln>
      </c:spPr>
    </c:plotArea>
    <c:plotVisOnly val="1"/>
    <c:dispBlanksAs val="gap"/>
    <c:showDLblsOverMax val="0"/>
  </c:chart>
  <c:spPr>
    <a:no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0"/>
          <c:tx>
            <c:strRef>
              <c:f>iCntyScoreCard!$DZ$40</c:f>
              <c:strCache>
                <c:ptCount val="1"/>
                <c:pt idx="0">
                  <c:v>0</c:v>
                </c:pt>
              </c:strCache>
            </c:strRef>
          </c:tx>
          <c:spPr>
            <a:ln w="28575">
              <a:noFill/>
            </a:ln>
          </c:spPr>
          <c:marker>
            <c:symbol val="square"/>
            <c:size val="9"/>
            <c:spPr>
              <a:solidFill>
                <a:schemeClr val="accent1">
                  <a:lumMod val="75000"/>
                </a:schemeClr>
              </a:solidFill>
              <a:ln>
                <a:solidFill>
                  <a:schemeClr val="accent1">
                    <a:lumMod val="75000"/>
                  </a:schemeClr>
                </a:solidFill>
              </a:ln>
            </c:spPr>
          </c:marker>
          <c:xVal>
            <c:numRef>
              <c:f>iCntyScoreCard!$DY$40</c:f>
              <c:numCache>
                <c:formatCode>General</c:formatCode>
                <c:ptCount val="1"/>
                <c:pt idx="0">
                  <c:v>78</c:v>
                </c:pt>
              </c:numCache>
            </c:numRef>
          </c:xVal>
          <c:yVal>
            <c:numRef>
              <c:f>iCntyScoreCard!$DX$40</c:f>
              <c:numCache>
                <c:formatCode>General</c:formatCode>
                <c:ptCount val="1"/>
                <c:pt idx="0">
                  <c:v>1</c:v>
                </c:pt>
              </c:numCache>
            </c:numRef>
          </c:yVal>
          <c:smooth val="0"/>
          <c:extLst>
            <c:ext xmlns:c16="http://schemas.microsoft.com/office/drawing/2014/chart" uri="{C3380CC4-5D6E-409C-BE32-E72D297353CC}">
              <c16:uniqueId val="{00000000-03C8-478A-BC5D-B84B5873928D}"/>
            </c:ext>
          </c:extLst>
        </c:ser>
        <c:ser>
          <c:idx val="0"/>
          <c:order val="1"/>
          <c:spPr>
            <a:ln w="28575">
              <a:noFill/>
            </a:ln>
          </c:spPr>
          <c:marker>
            <c:symbol val="diamond"/>
            <c:size val="6"/>
            <c:spPr>
              <a:solidFill>
                <a:schemeClr val="bg1">
                  <a:lumMod val="65000"/>
                </a:schemeClr>
              </a:solidFill>
              <a:ln>
                <a:solidFill>
                  <a:srgbClr val="31659C"/>
                </a:solidFill>
                <a:prstDash val="solid"/>
              </a:ln>
            </c:spPr>
          </c:marker>
          <c:xVal>
            <c:numRef>
              <c:f>iCntyScoreCard!$DZ$6:$DZ$35</c:f>
              <c:numCache>
                <c:formatCode>General</c:formatCode>
                <c:ptCount val="30"/>
                <c:pt idx="0">
                  <c:v>100</c:v>
                </c:pt>
                <c:pt idx="1">
                  <c:v>100</c:v>
                </c:pt>
                <c:pt idx="2">
                  <c:v>92.4</c:v>
                </c:pt>
                <c:pt idx="3">
                  <c:v>84.9</c:v>
                </c:pt>
                <c:pt idx="4">
                  <c:v>84.9</c:v>
                </c:pt>
                <c:pt idx="5">
                  <c:v>92.4</c:v>
                </c:pt>
                <c:pt idx="6">
                  <c:v>92.4</c:v>
                </c:pt>
                <c:pt idx="7">
                  <c:v>60</c:v>
                </c:pt>
                <c:pt idx="8">
                  <c:v>100</c:v>
                </c:pt>
                <c:pt idx="9">
                  <c:v>84.9</c:v>
                </c:pt>
                <c:pt idx="10">
                  <c:v>92.4</c:v>
                </c:pt>
                <c:pt idx="11">
                  <c:v>92.4</c:v>
                </c:pt>
                <c:pt idx="12">
                  <c:v>92.4</c:v>
                </c:pt>
                <c:pt idx="13">
                  <c:v>100</c:v>
                </c:pt>
                <c:pt idx="14">
                  <c:v>92.4</c:v>
                </c:pt>
                <c:pt idx="15">
                  <c:v>92.4</c:v>
                </c:pt>
                <c:pt idx="16">
                  <c:v>77.599999999999994</c:v>
                </c:pt>
                <c:pt idx="17">
                  <c:v>83.8</c:v>
                </c:pt>
                <c:pt idx="18">
                  <c:v>100</c:v>
                </c:pt>
                <c:pt idx="19">
                  <c:v>77.3</c:v>
                </c:pt>
                <c:pt idx="20">
                  <c:v>92.4</c:v>
                </c:pt>
                <c:pt idx="21">
                  <c:v>77.599999999999994</c:v>
                </c:pt>
                <c:pt idx="22">
                  <c:v>76.2</c:v>
                </c:pt>
                <c:pt idx="23">
                  <c:v>46.5</c:v>
                </c:pt>
                <c:pt idx="24">
                  <c:v>46.2</c:v>
                </c:pt>
                <c:pt idx="25">
                  <c:v>77.599999999999994</c:v>
                </c:pt>
                <c:pt idx="26">
                  <c:v>70</c:v>
                </c:pt>
                <c:pt idx="27">
                  <c:v>22.7</c:v>
                </c:pt>
                <c:pt idx="28">
                  <c:v>23.8</c:v>
                </c:pt>
                <c:pt idx="29">
                  <c:v>14.9</c:v>
                </c:pt>
              </c:numCache>
            </c:numRef>
          </c:xVal>
          <c:yVal>
            <c:numRef>
              <c:f>iCntyScoreCard!$EA$6:$EA$35</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yVal>
          <c:smooth val="0"/>
          <c:extLst>
            <c:ext xmlns:c16="http://schemas.microsoft.com/office/drawing/2014/chart" uri="{C3380CC4-5D6E-409C-BE32-E72D297353CC}">
              <c16:uniqueId val="{00000001-03C8-478A-BC5D-B84B5873928D}"/>
            </c:ext>
          </c:extLst>
        </c:ser>
        <c:ser>
          <c:idx val="1"/>
          <c:order val="2"/>
          <c:tx>
            <c:strRef>
              <c:f>uxb_works!$C$26</c:f>
              <c:strCache>
                <c:ptCount val="1"/>
                <c:pt idx="0">
                  <c:v>Amsterdam</c:v>
                </c:pt>
              </c:strCache>
            </c:strRef>
          </c:tx>
          <c:spPr>
            <a:ln w="28575">
              <a:noFill/>
            </a:ln>
          </c:spPr>
          <c:marker>
            <c:symbol val="circle"/>
            <c:size val="9"/>
            <c:spPr>
              <a:solidFill>
                <a:srgbClr val="C0504D"/>
              </a:solidFill>
              <a:ln>
                <a:solidFill>
                  <a:srgbClr val="993366"/>
                </a:solidFill>
                <a:prstDash val="solid"/>
              </a:ln>
            </c:spPr>
          </c:marker>
          <c:dLbls>
            <c:spPr>
              <a:no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iCntyScoreCard!$DY$39</c:f>
              <c:numCache>
                <c:formatCode>General</c:formatCode>
                <c:ptCount val="1"/>
                <c:pt idx="0">
                  <c:v>100</c:v>
                </c:pt>
              </c:numCache>
            </c:numRef>
          </c:xVal>
          <c:yVal>
            <c:numRef>
              <c:f>iCntyScoreCard!$DX$39</c:f>
              <c:numCache>
                <c:formatCode>General</c:formatCode>
                <c:ptCount val="1"/>
                <c:pt idx="0">
                  <c:v>1</c:v>
                </c:pt>
              </c:numCache>
            </c:numRef>
          </c:yVal>
          <c:smooth val="0"/>
          <c:extLst>
            <c:ext xmlns:c16="http://schemas.microsoft.com/office/drawing/2014/chart" uri="{C3380CC4-5D6E-409C-BE32-E72D297353CC}">
              <c16:uniqueId val="{00000002-03C8-478A-BC5D-B84B5873928D}"/>
            </c:ext>
          </c:extLst>
        </c:ser>
        <c:dLbls>
          <c:showLegendKey val="0"/>
          <c:showVal val="0"/>
          <c:showCatName val="0"/>
          <c:showSerName val="0"/>
          <c:showPercent val="0"/>
          <c:showBubbleSize val="0"/>
        </c:dLbls>
        <c:axId val="114864064"/>
        <c:axId val="114864640"/>
      </c:scatterChart>
      <c:valAx>
        <c:axId val="114864064"/>
        <c:scaling>
          <c:orientation val="minMax"/>
          <c:max val="100"/>
          <c:min val="0"/>
        </c:scaling>
        <c:delete val="1"/>
        <c:axPos val="b"/>
        <c:majorGridlines/>
        <c:numFmt formatCode="#,##0" sourceLinked="0"/>
        <c:majorTickMark val="out"/>
        <c:minorTickMark val="none"/>
        <c:tickLblPos val="nextTo"/>
        <c:crossAx val="114864640"/>
        <c:crosses val="autoZero"/>
        <c:crossBetween val="midCat"/>
        <c:majorUnit val="10"/>
      </c:valAx>
      <c:valAx>
        <c:axId val="114864640"/>
        <c:scaling>
          <c:orientation val="minMax"/>
          <c:max val="2"/>
          <c:min val="0"/>
        </c:scaling>
        <c:delete val="1"/>
        <c:axPos val="l"/>
        <c:numFmt formatCode="General" sourceLinked="1"/>
        <c:majorTickMark val="out"/>
        <c:minorTickMark val="none"/>
        <c:tickLblPos val="none"/>
        <c:crossAx val="114864064"/>
        <c:crosses val="autoZero"/>
        <c:crossBetween val="midCat"/>
      </c:valAx>
      <c:spPr>
        <a:noFill/>
        <a:ln w="25400">
          <a:noFill/>
        </a:ln>
      </c:spPr>
    </c:plotArea>
    <c:plotVisOnly val="1"/>
    <c:dispBlanksAs val="gap"/>
    <c:showDLblsOverMax val="0"/>
  </c:chart>
  <c:spPr>
    <a:no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0"/>
          <c:tx>
            <c:strRef>
              <c:f>iCntyScoreCard!$EF$40</c:f>
              <c:strCache>
                <c:ptCount val="1"/>
                <c:pt idx="0">
                  <c:v>0</c:v>
                </c:pt>
              </c:strCache>
            </c:strRef>
          </c:tx>
          <c:spPr>
            <a:ln w="28575">
              <a:noFill/>
            </a:ln>
          </c:spPr>
          <c:marker>
            <c:symbol val="square"/>
            <c:size val="9"/>
            <c:spPr>
              <a:solidFill>
                <a:schemeClr val="accent1">
                  <a:lumMod val="75000"/>
                </a:schemeClr>
              </a:solidFill>
              <a:ln>
                <a:solidFill>
                  <a:schemeClr val="accent1">
                    <a:lumMod val="75000"/>
                  </a:schemeClr>
                </a:solidFill>
              </a:ln>
            </c:spPr>
          </c:marker>
          <c:xVal>
            <c:numRef>
              <c:f>iCntyScoreCard!$EE$40</c:f>
              <c:numCache>
                <c:formatCode>General</c:formatCode>
                <c:ptCount val="1"/>
                <c:pt idx="0">
                  <c:v>57.8</c:v>
                </c:pt>
              </c:numCache>
            </c:numRef>
          </c:xVal>
          <c:yVal>
            <c:numRef>
              <c:f>iCntyScoreCard!$ED$40</c:f>
              <c:numCache>
                <c:formatCode>General</c:formatCode>
                <c:ptCount val="1"/>
                <c:pt idx="0">
                  <c:v>1</c:v>
                </c:pt>
              </c:numCache>
            </c:numRef>
          </c:yVal>
          <c:smooth val="0"/>
          <c:extLst>
            <c:ext xmlns:c16="http://schemas.microsoft.com/office/drawing/2014/chart" uri="{C3380CC4-5D6E-409C-BE32-E72D297353CC}">
              <c16:uniqueId val="{00000000-AD50-4180-B9C9-EF3A5CA43D43}"/>
            </c:ext>
          </c:extLst>
        </c:ser>
        <c:ser>
          <c:idx val="0"/>
          <c:order val="1"/>
          <c:spPr>
            <a:ln w="28575">
              <a:noFill/>
            </a:ln>
          </c:spPr>
          <c:marker>
            <c:symbol val="diamond"/>
            <c:size val="6"/>
            <c:spPr>
              <a:solidFill>
                <a:schemeClr val="bg1">
                  <a:lumMod val="65000"/>
                </a:schemeClr>
              </a:solidFill>
              <a:ln>
                <a:solidFill>
                  <a:srgbClr val="31659C"/>
                </a:solidFill>
                <a:prstDash val="solid"/>
              </a:ln>
            </c:spPr>
          </c:marker>
          <c:xVal>
            <c:numRef>
              <c:f>iCntyScoreCard!$EF$6:$EF$35</c:f>
              <c:numCache>
                <c:formatCode>General</c:formatCode>
                <c:ptCount val="30"/>
                <c:pt idx="0">
                  <c:v>66.7</c:v>
                </c:pt>
                <c:pt idx="1">
                  <c:v>50</c:v>
                </c:pt>
                <c:pt idx="2">
                  <c:v>50</c:v>
                </c:pt>
                <c:pt idx="3">
                  <c:v>83.3</c:v>
                </c:pt>
                <c:pt idx="4">
                  <c:v>83.3</c:v>
                </c:pt>
                <c:pt idx="5">
                  <c:v>66.7</c:v>
                </c:pt>
                <c:pt idx="6">
                  <c:v>66.7</c:v>
                </c:pt>
                <c:pt idx="7">
                  <c:v>66.7</c:v>
                </c:pt>
                <c:pt idx="8">
                  <c:v>66.7</c:v>
                </c:pt>
                <c:pt idx="9">
                  <c:v>50</c:v>
                </c:pt>
                <c:pt idx="10">
                  <c:v>66.7</c:v>
                </c:pt>
                <c:pt idx="11">
                  <c:v>66.7</c:v>
                </c:pt>
                <c:pt idx="12">
                  <c:v>83.3</c:v>
                </c:pt>
                <c:pt idx="13">
                  <c:v>50</c:v>
                </c:pt>
                <c:pt idx="14">
                  <c:v>50</c:v>
                </c:pt>
                <c:pt idx="15">
                  <c:v>50</c:v>
                </c:pt>
                <c:pt idx="16">
                  <c:v>66.7</c:v>
                </c:pt>
                <c:pt idx="17">
                  <c:v>16.7</c:v>
                </c:pt>
                <c:pt idx="18">
                  <c:v>66.7</c:v>
                </c:pt>
                <c:pt idx="19">
                  <c:v>50</c:v>
                </c:pt>
                <c:pt idx="20">
                  <c:v>66.7</c:v>
                </c:pt>
                <c:pt idx="21">
                  <c:v>100</c:v>
                </c:pt>
                <c:pt idx="22">
                  <c:v>50</c:v>
                </c:pt>
                <c:pt idx="23">
                  <c:v>50</c:v>
                </c:pt>
                <c:pt idx="24">
                  <c:v>50</c:v>
                </c:pt>
                <c:pt idx="25">
                  <c:v>50</c:v>
                </c:pt>
                <c:pt idx="26">
                  <c:v>16.7</c:v>
                </c:pt>
                <c:pt idx="27">
                  <c:v>50</c:v>
                </c:pt>
                <c:pt idx="28">
                  <c:v>33.299999999999997</c:v>
                </c:pt>
                <c:pt idx="29">
                  <c:v>50</c:v>
                </c:pt>
              </c:numCache>
            </c:numRef>
          </c:xVal>
          <c:yVal>
            <c:numRef>
              <c:f>iCntyScoreCard!$EG$6:$EG$35</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yVal>
          <c:smooth val="0"/>
          <c:extLst>
            <c:ext xmlns:c16="http://schemas.microsoft.com/office/drawing/2014/chart" uri="{C3380CC4-5D6E-409C-BE32-E72D297353CC}">
              <c16:uniqueId val="{00000001-AD50-4180-B9C9-EF3A5CA43D43}"/>
            </c:ext>
          </c:extLst>
        </c:ser>
        <c:ser>
          <c:idx val="1"/>
          <c:order val="2"/>
          <c:tx>
            <c:strRef>
              <c:f>uxb_works!$C$26</c:f>
              <c:strCache>
                <c:ptCount val="1"/>
                <c:pt idx="0">
                  <c:v>Amsterdam</c:v>
                </c:pt>
              </c:strCache>
            </c:strRef>
          </c:tx>
          <c:spPr>
            <a:ln w="28575">
              <a:noFill/>
            </a:ln>
          </c:spPr>
          <c:marker>
            <c:symbol val="circle"/>
            <c:size val="9"/>
            <c:spPr>
              <a:solidFill>
                <a:srgbClr val="C0504D"/>
              </a:solidFill>
              <a:ln>
                <a:solidFill>
                  <a:srgbClr val="993366"/>
                </a:solidFill>
                <a:prstDash val="solid"/>
              </a:ln>
            </c:spPr>
          </c:marker>
          <c:dLbls>
            <c:spPr>
              <a:no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iCntyScoreCard!$EE$39</c:f>
              <c:numCache>
                <c:formatCode>General</c:formatCode>
                <c:ptCount val="1"/>
                <c:pt idx="0">
                  <c:v>50</c:v>
                </c:pt>
              </c:numCache>
            </c:numRef>
          </c:xVal>
          <c:yVal>
            <c:numRef>
              <c:f>iCntyScoreCard!$ED$39</c:f>
              <c:numCache>
                <c:formatCode>General</c:formatCode>
                <c:ptCount val="1"/>
                <c:pt idx="0">
                  <c:v>1</c:v>
                </c:pt>
              </c:numCache>
            </c:numRef>
          </c:yVal>
          <c:smooth val="0"/>
          <c:extLst>
            <c:ext xmlns:c16="http://schemas.microsoft.com/office/drawing/2014/chart" uri="{C3380CC4-5D6E-409C-BE32-E72D297353CC}">
              <c16:uniqueId val="{00000002-AD50-4180-B9C9-EF3A5CA43D43}"/>
            </c:ext>
          </c:extLst>
        </c:ser>
        <c:dLbls>
          <c:showLegendKey val="0"/>
          <c:showVal val="0"/>
          <c:showCatName val="0"/>
          <c:showSerName val="0"/>
          <c:showPercent val="0"/>
          <c:showBubbleSize val="0"/>
        </c:dLbls>
        <c:axId val="114864064"/>
        <c:axId val="114864640"/>
      </c:scatterChart>
      <c:valAx>
        <c:axId val="114864064"/>
        <c:scaling>
          <c:orientation val="minMax"/>
          <c:max val="100"/>
          <c:min val="0"/>
        </c:scaling>
        <c:delete val="1"/>
        <c:axPos val="b"/>
        <c:majorGridlines/>
        <c:numFmt formatCode="#,##0" sourceLinked="0"/>
        <c:majorTickMark val="out"/>
        <c:minorTickMark val="none"/>
        <c:tickLblPos val="nextTo"/>
        <c:crossAx val="114864640"/>
        <c:crosses val="autoZero"/>
        <c:crossBetween val="midCat"/>
        <c:majorUnit val="10"/>
      </c:valAx>
      <c:valAx>
        <c:axId val="114864640"/>
        <c:scaling>
          <c:orientation val="minMax"/>
          <c:max val="2"/>
          <c:min val="0"/>
        </c:scaling>
        <c:delete val="1"/>
        <c:axPos val="l"/>
        <c:numFmt formatCode="General" sourceLinked="1"/>
        <c:majorTickMark val="out"/>
        <c:minorTickMark val="none"/>
        <c:tickLblPos val="none"/>
        <c:crossAx val="114864064"/>
        <c:crosses val="autoZero"/>
        <c:crossBetween val="midCat"/>
      </c:valAx>
      <c:spPr>
        <a:noFill/>
        <a:ln w="25400">
          <a:noFill/>
        </a:ln>
      </c:spPr>
    </c:plotArea>
    <c:plotVisOnly val="1"/>
    <c:dispBlanksAs val="gap"/>
    <c:showDLblsOverMax val="0"/>
  </c:chart>
  <c:spPr>
    <a:no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478061454439405E-2"/>
          <c:y val="0.3873635953460875"/>
          <c:w val="0.92068967142123392"/>
          <c:h val="0.35324415292569311"/>
        </c:manualLayout>
      </c:layout>
      <c:scatterChart>
        <c:scatterStyle val="lineMarker"/>
        <c:varyColors val="0"/>
        <c:ser>
          <c:idx val="0"/>
          <c:order val="0"/>
          <c:spPr>
            <a:ln w="28575">
              <a:noFill/>
            </a:ln>
          </c:spPr>
          <c:marker>
            <c:symbol val="diamond"/>
            <c:size val="9"/>
            <c:spPr>
              <a:solidFill>
                <a:schemeClr val="accent1">
                  <a:lumMod val="50000"/>
                </a:schemeClr>
              </a:solidFill>
              <a:ln w="3175">
                <a:solidFill>
                  <a:schemeClr val="bg1">
                    <a:lumMod val="85000"/>
                  </a:schemeClr>
                </a:solidFill>
                <a:prstDash val="solid"/>
              </a:ln>
            </c:spPr>
          </c:marker>
          <c:dLbls>
            <c:delete val="1"/>
          </c:dLbls>
          <c:xVal>
            <c:numRef>
              <c:f>iIndiRank!$V$6:$V$35</c:f>
              <c:numCache>
                <c:formatCode>General</c:formatCode>
                <c:ptCount val="30"/>
                <c:pt idx="0">
                  <c:v>100</c:v>
                </c:pt>
                <c:pt idx="1">
                  <c:v>81.8</c:v>
                </c:pt>
                <c:pt idx="2">
                  <c:v>80.5</c:v>
                </c:pt>
                <c:pt idx="3">
                  <c:v>64.599999999999994</c:v>
                </c:pt>
                <c:pt idx="4">
                  <c:v>64.599999999999994</c:v>
                </c:pt>
                <c:pt idx="5">
                  <c:v>62.5</c:v>
                </c:pt>
                <c:pt idx="6">
                  <c:v>62.3</c:v>
                </c:pt>
                <c:pt idx="7">
                  <c:v>52.8</c:v>
                </c:pt>
                <c:pt idx="8">
                  <c:v>52.8</c:v>
                </c:pt>
                <c:pt idx="9">
                  <c:v>51.2</c:v>
                </c:pt>
                <c:pt idx="10">
                  <c:v>42.3</c:v>
                </c:pt>
                <c:pt idx="11">
                  <c:v>41.3</c:v>
                </c:pt>
                <c:pt idx="12">
                  <c:v>40.5</c:v>
                </c:pt>
                <c:pt idx="13">
                  <c:v>36.299999999999997</c:v>
                </c:pt>
                <c:pt idx="14">
                  <c:v>34</c:v>
                </c:pt>
                <c:pt idx="15">
                  <c:v>33.1</c:v>
                </c:pt>
                <c:pt idx="16">
                  <c:v>29.4</c:v>
                </c:pt>
                <c:pt idx="17">
                  <c:v>28.9</c:v>
                </c:pt>
                <c:pt idx="18">
                  <c:v>27.9</c:v>
                </c:pt>
                <c:pt idx="19">
                  <c:v>23.3</c:v>
                </c:pt>
                <c:pt idx="20">
                  <c:v>21.2</c:v>
                </c:pt>
                <c:pt idx="21">
                  <c:v>20.5</c:v>
                </c:pt>
                <c:pt idx="22">
                  <c:v>18</c:v>
                </c:pt>
                <c:pt idx="23">
                  <c:v>15.9</c:v>
                </c:pt>
                <c:pt idx="24">
                  <c:v>14.7</c:v>
                </c:pt>
                <c:pt idx="25">
                  <c:v>13.2</c:v>
                </c:pt>
                <c:pt idx="26">
                  <c:v>12.8</c:v>
                </c:pt>
                <c:pt idx="27">
                  <c:v>8.8000000000000007</c:v>
                </c:pt>
                <c:pt idx="28">
                  <c:v>8</c:v>
                </c:pt>
                <c:pt idx="29">
                  <c:v>0</c:v>
                </c:pt>
              </c:numCache>
            </c:numRef>
          </c:xVal>
          <c:yVal>
            <c:numRef>
              <c:f>iIndiRank!$W$6:$W$35</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yVal>
          <c:smooth val="0"/>
          <c:extLst>
            <c:ext xmlns:c16="http://schemas.microsoft.com/office/drawing/2014/chart" uri="{C3380CC4-5D6E-409C-BE32-E72D297353CC}">
              <c16:uniqueId val="{00000000-85A7-45A7-9C5E-699C589AF37C}"/>
            </c:ext>
          </c:extLst>
        </c:ser>
        <c:ser>
          <c:idx val="1"/>
          <c:order val="1"/>
          <c:tx>
            <c:strRef>
              <c:f>uxb_works!$C$6</c:f>
              <c:strCache>
                <c:ptCount val="1"/>
                <c:pt idx="0">
                  <c:v>&lt;none&gt;</c:v>
                </c:pt>
              </c:strCache>
            </c:strRef>
          </c:tx>
          <c:spPr>
            <a:ln w="28575">
              <a:noFill/>
            </a:ln>
          </c:spPr>
          <c:marker>
            <c:symbol val="circle"/>
            <c:size val="9"/>
            <c:spPr>
              <a:solidFill>
                <a:srgbClr val="C0504D"/>
              </a:solidFill>
              <a:ln>
                <a:solidFill>
                  <a:srgbClr val="993366"/>
                </a:solidFill>
                <a:prstDash val="solid"/>
              </a:ln>
            </c:spPr>
          </c:marker>
          <c:dLbls>
            <c:dLbl>
              <c:idx val="0"/>
              <c:layout>
                <c:manualLayout>
                  <c:x val="-5.8780610170207595E-2"/>
                  <c:y val="-0.34951764875840702"/>
                </c:manualLayout>
              </c:layout>
              <c:spPr>
                <a:solidFill>
                  <a:schemeClr val="bg2"/>
                </a:solid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85A7-45A7-9C5E-699C589AF37C}"/>
                </c:ext>
              </c:extLst>
            </c:dLbl>
            <c:spPr>
              <a:no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iIndiRank!$R$39</c:f>
              <c:numCache>
                <c:formatCode>General</c:formatCode>
                <c:ptCount val="1"/>
                <c:pt idx="0">
                  <c:v>#N/A</c:v>
                </c:pt>
              </c:numCache>
            </c:numRef>
          </c:xVal>
          <c:yVal>
            <c:numRef>
              <c:f>iIndiRank!$J$39</c:f>
              <c:numCache>
                <c:formatCode>General</c:formatCode>
                <c:ptCount val="1"/>
                <c:pt idx="0">
                  <c:v>1</c:v>
                </c:pt>
              </c:numCache>
            </c:numRef>
          </c:yVal>
          <c:smooth val="0"/>
          <c:extLst>
            <c:ext xmlns:c16="http://schemas.microsoft.com/office/drawing/2014/chart" uri="{C3380CC4-5D6E-409C-BE32-E72D297353CC}">
              <c16:uniqueId val="{00000002-85A7-45A7-9C5E-699C589AF37C}"/>
            </c:ext>
          </c:extLst>
        </c:ser>
        <c:dLbls>
          <c:dLblPos val="t"/>
          <c:showLegendKey val="0"/>
          <c:showVal val="1"/>
          <c:showCatName val="0"/>
          <c:showSerName val="0"/>
          <c:showPercent val="0"/>
          <c:showBubbleSize val="0"/>
        </c:dLbls>
        <c:axId val="133894656"/>
        <c:axId val="133895232"/>
      </c:scatterChart>
      <c:valAx>
        <c:axId val="133894656"/>
        <c:scaling>
          <c:orientation val="minMax"/>
          <c:max val="100"/>
          <c:min val="0"/>
        </c:scaling>
        <c:delete val="0"/>
        <c:axPos val="b"/>
        <c:majorGridlines/>
        <c:numFmt formatCode="#,##0" sourceLinked="0"/>
        <c:majorTickMark val="out"/>
        <c:minorTickMark val="none"/>
        <c:tickLblPos val="nextTo"/>
        <c:spPr>
          <a:ln w="9525">
            <a:noFill/>
          </a:ln>
        </c:spPr>
        <c:txPr>
          <a:bodyPr rot="0" vert="horz"/>
          <a:lstStyle/>
          <a:p>
            <a:pPr>
              <a:defRPr sz="800" b="0" i="0" u="none" strike="noStrike" baseline="0">
                <a:solidFill>
                  <a:srgbClr val="000000"/>
                </a:solidFill>
                <a:latin typeface="Calibri"/>
                <a:ea typeface="Calibri"/>
                <a:cs typeface="Calibri"/>
              </a:defRPr>
            </a:pPr>
            <a:endParaRPr lang="en-US"/>
          </a:p>
        </c:txPr>
        <c:crossAx val="133895232"/>
        <c:crosses val="autoZero"/>
        <c:crossBetween val="midCat"/>
        <c:majorUnit val="10"/>
      </c:valAx>
      <c:valAx>
        <c:axId val="133895232"/>
        <c:scaling>
          <c:orientation val="minMax"/>
          <c:max val="2"/>
          <c:min val="0"/>
        </c:scaling>
        <c:delete val="1"/>
        <c:axPos val="l"/>
        <c:numFmt formatCode="General" sourceLinked="1"/>
        <c:majorTickMark val="out"/>
        <c:minorTickMark val="none"/>
        <c:tickLblPos val="none"/>
        <c:crossAx val="133894656"/>
        <c:crosses val="autoZero"/>
        <c:crossBetween val="midCat"/>
      </c:valAx>
      <c:spPr>
        <a:noFill/>
        <a:ln w="25400">
          <a:noFill/>
        </a:ln>
      </c:spPr>
    </c:plotArea>
    <c:plotVisOnly val="1"/>
    <c:dispBlanksAs val="gap"/>
    <c:showDLblsOverMax val="0"/>
  </c:chart>
  <c:spPr>
    <a:solidFill>
      <a:srgbClr val="E5F2F7">
        <a:alpha val="10000"/>
      </a:srgbClr>
    </a:solid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99" l="0.70000000000000095" r="0.70000000000000095" t="0.75000000000001499"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0"/>
          <c:tx>
            <c:strRef>
              <c:f>iCntyScoreCard!$EL$40</c:f>
              <c:strCache>
                <c:ptCount val="1"/>
                <c:pt idx="0">
                  <c:v>0</c:v>
                </c:pt>
              </c:strCache>
            </c:strRef>
          </c:tx>
          <c:spPr>
            <a:ln w="28575">
              <a:noFill/>
            </a:ln>
          </c:spPr>
          <c:marker>
            <c:symbol val="square"/>
            <c:size val="9"/>
            <c:spPr>
              <a:solidFill>
                <a:schemeClr val="accent1">
                  <a:lumMod val="75000"/>
                </a:schemeClr>
              </a:solidFill>
              <a:ln>
                <a:solidFill>
                  <a:schemeClr val="accent1">
                    <a:lumMod val="75000"/>
                  </a:schemeClr>
                </a:solidFill>
              </a:ln>
            </c:spPr>
          </c:marker>
          <c:xVal>
            <c:numRef>
              <c:f>iCntyScoreCard!$EK$40</c:f>
              <c:numCache>
                <c:formatCode>General</c:formatCode>
                <c:ptCount val="1"/>
                <c:pt idx="0">
                  <c:v>48</c:v>
                </c:pt>
              </c:numCache>
            </c:numRef>
          </c:xVal>
          <c:yVal>
            <c:numRef>
              <c:f>iCntyScoreCard!$EJ$40</c:f>
              <c:numCache>
                <c:formatCode>General</c:formatCode>
                <c:ptCount val="1"/>
                <c:pt idx="0">
                  <c:v>1</c:v>
                </c:pt>
              </c:numCache>
            </c:numRef>
          </c:yVal>
          <c:smooth val="0"/>
          <c:extLst>
            <c:ext xmlns:c16="http://schemas.microsoft.com/office/drawing/2014/chart" uri="{C3380CC4-5D6E-409C-BE32-E72D297353CC}">
              <c16:uniqueId val="{00000000-870D-4003-8815-CD33BA94E4E1}"/>
            </c:ext>
          </c:extLst>
        </c:ser>
        <c:ser>
          <c:idx val="0"/>
          <c:order val="1"/>
          <c:spPr>
            <a:ln w="28575">
              <a:noFill/>
            </a:ln>
          </c:spPr>
          <c:marker>
            <c:symbol val="diamond"/>
            <c:size val="6"/>
            <c:spPr>
              <a:solidFill>
                <a:schemeClr val="bg1">
                  <a:lumMod val="65000"/>
                </a:schemeClr>
              </a:solidFill>
              <a:ln>
                <a:solidFill>
                  <a:srgbClr val="31659C"/>
                </a:solidFill>
                <a:prstDash val="solid"/>
              </a:ln>
            </c:spPr>
          </c:marker>
          <c:xVal>
            <c:numRef>
              <c:f>iCntyScoreCard!$EL$6:$EL$35</c:f>
              <c:numCache>
                <c:formatCode>General</c:formatCode>
                <c:ptCount val="30"/>
                <c:pt idx="0">
                  <c:v>100</c:v>
                </c:pt>
                <c:pt idx="1">
                  <c:v>100</c:v>
                </c:pt>
                <c:pt idx="2">
                  <c:v>100</c:v>
                </c:pt>
                <c:pt idx="3">
                  <c:v>69</c:v>
                </c:pt>
                <c:pt idx="4">
                  <c:v>100</c:v>
                </c:pt>
                <c:pt idx="5">
                  <c:v>38.1</c:v>
                </c:pt>
                <c:pt idx="6">
                  <c:v>61.9</c:v>
                </c:pt>
                <c:pt idx="7">
                  <c:v>38.1</c:v>
                </c:pt>
                <c:pt idx="8">
                  <c:v>38.1</c:v>
                </c:pt>
                <c:pt idx="9">
                  <c:v>38.1</c:v>
                </c:pt>
                <c:pt idx="10">
                  <c:v>100</c:v>
                </c:pt>
                <c:pt idx="11">
                  <c:v>38.1</c:v>
                </c:pt>
                <c:pt idx="12">
                  <c:v>69</c:v>
                </c:pt>
                <c:pt idx="13">
                  <c:v>38.1</c:v>
                </c:pt>
                <c:pt idx="14">
                  <c:v>38.1</c:v>
                </c:pt>
                <c:pt idx="15">
                  <c:v>38.1</c:v>
                </c:pt>
                <c:pt idx="16">
                  <c:v>38.1</c:v>
                </c:pt>
                <c:pt idx="17">
                  <c:v>0</c:v>
                </c:pt>
                <c:pt idx="18">
                  <c:v>38.1</c:v>
                </c:pt>
                <c:pt idx="19">
                  <c:v>69</c:v>
                </c:pt>
                <c:pt idx="20">
                  <c:v>38.1</c:v>
                </c:pt>
                <c:pt idx="21">
                  <c:v>0</c:v>
                </c:pt>
                <c:pt idx="22">
                  <c:v>100</c:v>
                </c:pt>
                <c:pt idx="23">
                  <c:v>38.1</c:v>
                </c:pt>
                <c:pt idx="24">
                  <c:v>0</c:v>
                </c:pt>
                <c:pt idx="25">
                  <c:v>38.1</c:v>
                </c:pt>
                <c:pt idx="26">
                  <c:v>0</c:v>
                </c:pt>
                <c:pt idx="27">
                  <c:v>38.1</c:v>
                </c:pt>
                <c:pt idx="28">
                  <c:v>38.1</c:v>
                </c:pt>
                <c:pt idx="29">
                  <c:v>0</c:v>
                </c:pt>
              </c:numCache>
            </c:numRef>
          </c:xVal>
          <c:yVal>
            <c:numRef>
              <c:f>iCntyScoreCard!$EM$6:$EM$35</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yVal>
          <c:smooth val="0"/>
          <c:extLst>
            <c:ext xmlns:c16="http://schemas.microsoft.com/office/drawing/2014/chart" uri="{C3380CC4-5D6E-409C-BE32-E72D297353CC}">
              <c16:uniqueId val="{00000001-870D-4003-8815-CD33BA94E4E1}"/>
            </c:ext>
          </c:extLst>
        </c:ser>
        <c:ser>
          <c:idx val="1"/>
          <c:order val="2"/>
          <c:tx>
            <c:strRef>
              <c:f>uxb_works!$C$26</c:f>
              <c:strCache>
                <c:ptCount val="1"/>
                <c:pt idx="0">
                  <c:v>Amsterdam</c:v>
                </c:pt>
              </c:strCache>
            </c:strRef>
          </c:tx>
          <c:spPr>
            <a:ln w="28575">
              <a:noFill/>
            </a:ln>
          </c:spPr>
          <c:marker>
            <c:symbol val="circle"/>
            <c:size val="9"/>
            <c:spPr>
              <a:solidFill>
                <a:srgbClr val="C0504D"/>
              </a:solidFill>
              <a:ln>
                <a:solidFill>
                  <a:srgbClr val="993366"/>
                </a:solidFill>
                <a:prstDash val="solid"/>
              </a:ln>
            </c:spPr>
          </c:marker>
          <c:dLbls>
            <c:spPr>
              <a:no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iCntyScoreCard!$EK$39</c:f>
              <c:numCache>
                <c:formatCode>General</c:formatCode>
                <c:ptCount val="1"/>
                <c:pt idx="0">
                  <c:v>100</c:v>
                </c:pt>
              </c:numCache>
            </c:numRef>
          </c:xVal>
          <c:yVal>
            <c:numRef>
              <c:f>iCntyScoreCard!$EJ$39</c:f>
              <c:numCache>
                <c:formatCode>General</c:formatCode>
                <c:ptCount val="1"/>
                <c:pt idx="0">
                  <c:v>1</c:v>
                </c:pt>
              </c:numCache>
            </c:numRef>
          </c:yVal>
          <c:smooth val="0"/>
          <c:extLst>
            <c:ext xmlns:c16="http://schemas.microsoft.com/office/drawing/2014/chart" uri="{C3380CC4-5D6E-409C-BE32-E72D297353CC}">
              <c16:uniqueId val="{00000002-870D-4003-8815-CD33BA94E4E1}"/>
            </c:ext>
          </c:extLst>
        </c:ser>
        <c:dLbls>
          <c:showLegendKey val="0"/>
          <c:showVal val="0"/>
          <c:showCatName val="0"/>
          <c:showSerName val="0"/>
          <c:showPercent val="0"/>
          <c:showBubbleSize val="0"/>
        </c:dLbls>
        <c:axId val="114864064"/>
        <c:axId val="114864640"/>
      </c:scatterChart>
      <c:valAx>
        <c:axId val="114864064"/>
        <c:scaling>
          <c:orientation val="minMax"/>
          <c:max val="100"/>
          <c:min val="0"/>
        </c:scaling>
        <c:delete val="1"/>
        <c:axPos val="b"/>
        <c:majorGridlines/>
        <c:numFmt formatCode="#,##0" sourceLinked="0"/>
        <c:majorTickMark val="out"/>
        <c:minorTickMark val="none"/>
        <c:tickLblPos val="nextTo"/>
        <c:crossAx val="114864640"/>
        <c:crosses val="autoZero"/>
        <c:crossBetween val="midCat"/>
        <c:majorUnit val="10"/>
      </c:valAx>
      <c:valAx>
        <c:axId val="114864640"/>
        <c:scaling>
          <c:orientation val="minMax"/>
          <c:max val="2"/>
          <c:min val="0"/>
        </c:scaling>
        <c:delete val="1"/>
        <c:axPos val="l"/>
        <c:numFmt formatCode="General" sourceLinked="1"/>
        <c:majorTickMark val="out"/>
        <c:minorTickMark val="none"/>
        <c:tickLblPos val="none"/>
        <c:crossAx val="114864064"/>
        <c:crosses val="autoZero"/>
        <c:crossBetween val="midCat"/>
      </c:valAx>
      <c:spPr>
        <a:noFill/>
        <a:ln w="25400">
          <a:noFill/>
        </a:ln>
      </c:spPr>
    </c:plotArea>
    <c:plotVisOnly val="1"/>
    <c:dispBlanksAs val="gap"/>
    <c:showDLblsOverMax val="0"/>
  </c:chart>
  <c:spPr>
    <a:no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0"/>
          <c:tx>
            <c:strRef>
              <c:f>iCntyScoreCard!$AB$40</c:f>
              <c:strCache>
                <c:ptCount val="1"/>
                <c:pt idx="0">
                  <c:v>0</c:v>
                </c:pt>
              </c:strCache>
            </c:strRef>
          </c:tx>
          <c:spPr>
            <a:ln w="28575">
              <a:noFill/>
            </a:ln>
          </c:spPr>
          <c:marker>
            <c:symbol val="square"/>
            <c:size val="9"/>
            <c:spPr>
              <a:solidFill>
                <a:schemeClr val="accent1">
                  <a:lumMod val="75000"/>
                </a:schemeClr>
              </a:solidFill>
              <a:ln>
                <a:solidFill>
                  <a:schemeClr val="tx2">
                    <a:lumMod val="75000"/>
                  </a:schemeClr>
                </a:solidFill>
              </a:ln>
            </c:spPr>
          </c:marker>
          <c:xVal>
            <c:numRef>
              <c:f>iCntyScoreCard!$AA$40</c:f>
              <c:numCache>
                <c:formatCode>General</c:formatCode>
                <c:ptCount val="1"/>
                <c:pt idx="0">
                  <c:v>74.5</c:v>
                </c:pt>
              </c:numCache>
            </c:numRef>
          </c:xVal>
          <c:yVal>
            <c:numRef>
              <c:f>iCntyScoreCard!$Z$40</c:f>
              <c:numCache>
                <c:formatCode>General</c:formatCode>
                <c:ptCount val="1"/>
                <c:pt idx="0">
                  <c:v>1</c:v>
                </c:pt>
              </c:numCache>
            </c:numRef>
          </c:yVal>
          <c:smooth val="0"/>
          <c:extLst>
            <c:ext xmlns:c16="http://schemas.microsoft.com/office/drawing/2014/chart" uri="{C3380CC4-5D6E-409C-BE32-E72D297353CC}">
              <c16:uniqueId val="{00000000-293E-42A2-A955-20BC2835818D}"/>
            </c:ext>
          </c:extLst>
        </c:ser>
        <c:ser>
          <c:idx val="0"/>
          <c:order val="1"/>
          <c:spPr>
            <a:ln w="28575">
              <a:noFill/>
            </a:ln>
          </c:spPr>
          <c:marker>
            <c:symbol val="diamond"/>
            <c:size val="6"/>
            <c:spPr>
              <a:solidFill>
                <a:schemeClr val="bg1">
                  <a:lumMod val="65000"/>
                </a:schemeClr>
              </a:solidFill>
              <a:ln>
                <a:solidFill>
                  <a:srgbClr val="31659C"/>
                </a:solidFill>
                <a:prstDash val="solid"/>
              </a:ln>
            </c:spPr>
          </c:marker>
          <c:xVal>
            <c:numRef>
              <c:f>iCntyScoreCard!$AB$6:$AB$35</c:f>
              <c:numCache>
                <c:formatCode>General</c:formatCode>
                <c:ptCount val="30"/>
                <c:pt idx="0">
                  <c:v>86.4</c:v>
                </c:pt>
                <c:pt idx="1">
                  <c:v>84</c:v>
                </c:pt>
                <c:pt idx="2">
                  <c:v>73.3</c:v>
                </c:pt>
                <c:pt idx="3">
                  <c:v>79.400000000000006</c:v>
                </c:pt>
                <c:pt idx="4">
                  <c:v>82.1</c:v>
                </c:pt>
                <c:pt idx="5">
                  <c:v>84.8</c:v>
                </c:pt>
                <c:pt idx="6">
                  <c:v>80.2</c:v>
                </c:pt>
                <c:pt idx="7">
                  <c:v>78.7</c:v>
                </c:pt>
                <c:pt idx="8">
                  <c:v>84.8</c:v>
                </c:pt>
                <c:pt idx="9">
                  <c:v>80.400000000000006</c:v>
                </c:pt>
                <c:pt idx="10">
                  <c:v>74.3</c:v>
                </c:pt>
                <c:pt idx="11">
                  <c:v>81.400000000000006</c:v>
                </c:pt>
                <c:pt idx="12">
                  <c:v>74.7</c:v>
                </c:pt>
                <c:pt idx="13">
                  <c:v>76.599999999999994</c:v>
                </c:pt>
                <c:pt idx="14">
                  <c:v>84.8</c:v>
                </c:pt>
                <c:pt idx="15">
                  <c:v>76.599999999999994</c:v>
                </c:pt>
                <c:pt idx="16">
                  <c:v>84.4</c:v>
                </c:pt>
                <c:pt idx="17">
                  <c:v>93.1</c:v>
                </c:pt>
                <c:pt idx="18">
                  <c:v>74.7</c:v>
                </c:pt>
                <c:pt idx="19">
                  <c:v>93.9</c:v>
                </c:pt>
                <c:pt idx="20">
                  <c:v>70.400000000000006</c:v>
                </c:pt>
                <c:pt idx="21">
                  <c:v>77.3</c:v>
                </c:pt>
                <c:pt idx="22">
                  <c:v>67.2</c:v>
                </c:pt>
                <c:pt idx="23">
                  <c:v>63.8</c:v>
                </c:pt>
                <c:pt idx="24">
                  <c:v>59</c:v>
                </c:pt>
                <c:pt idx="25">
                  <c:v>63.9</c:v>
                </c:pt>
                <c:pt idx="26">
                  <c:v>57</c:v>
                </c:pt>
                <c:pt idx="27">
                  <c:v>60.7</c:v>
                </c:pt>
                <c:pt idx="28">
                  <c:v>34.4</c:v>
                </c:pt>
                <c:pt idx="29">
                  <c:v>53.4</c:v>
                </c:pt>
              </c:numCache>
            </c:numRef>
          </c:xVal>
          <c:yVal>
            <c:numRef>
              <c:f>iCntyScoreCard!$AC$6:$AC$35</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yVal>
          <c:smooth val="0"/>
          <c:extLst>
            <c:ext xmlns:c16="http://schemas.microsoft.com/office/drawing/2014/chart" uri="{C3380CC4-5D6E-409C-BE32-E72D297353CC}">
              <c16:uniqueId val="{00000001-293E-42A2-A955-20BC2835818D}"/>
            </c:ext>
          </c:extLst>
        </c:ser>
        <c:ser>
          <c:idx val="1"/>
          <c:order val="2"/>
          <c:tx>
            <c:strRef>
              <c:f>uxb_works!$C$26</c:f>
              <c:strCache>
                <c:ptCount val="1"/>
                <c:pt idx="0">
                  <c:v>Amsterdam</c:v>
                </c:pt>
              </c:strCache>
            </c:strRef>
          </c:tx>
          <c:spPr>
            <a:ln w="28575">
              <a:noFill/>
            </a:ln>
          </c:spPr>
          <c:marker>
            <c:symbol val="circle"/>
            <c:size val="9"/>
            <c:spPr>
              <a:solidFill>
                <a:srgbClr val="C0504D"/>
              </a:solidFill>
              <a:ln>
                <a:solidFill>
                  <a:srgbClr val="993366"/>
                </a:solidFill>
                <a:prstDash val="solid"/>
              </a:ln>
            </c:spPr>
          </c:marker>
          <c:dLbls>
            <c:spPr>
              <a:no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iCntyScoreCard!$AA$39</c:f>
              <c:numCache>
                <c:formatCode>General</c:formatCode>
                <c:ptCount val="1"/>
                <c:pt idx="0">
                  <c:v>84</c:v>
                </c:pt>
              </c:numCache>
            </c:numRef>
          </c:xVal>
          <c:yVal>
            <c:numRef>
              <c:f>iCntyScoreCard!$Z$39</c:f>
              <c:numCache>
                <c:formatCode>General</c:formatCode>
                <c:ptCount val="1"/>
                <c:pt idx="0">
                  <c:v>1</c:v>
                </c:pt>
              </c:numCache>
            </c:numRef>
          </c:yVal>
          <c:smooth val="0"/>
          <c:extLst>
            <c:ext xmlns:c16="http://schemas.microsoft.com/office/drawing/2014/chart" uri="{C3380CC4-5D6E-409C-BE32-E72D297353CC}">
              <c16:uniqueId val="{00000002-293E-42A2-A955-20BC2835818D}"/>
            </c:ext>
          </c:extLst>
        </c:ser>
        <c:dLbls>
          <c:showLegendKey val="0"/>
          <c:showVal val="0"/>
          <c:showCatName val="0"/>
          <c:showSerName val="0"/>
          <c:showPercent val="0"/>
          <c:showBubbleSize val="0"/>
        </c:dLbls>
        <c:axId val="99713600"/>
        <c:axId val="99714176"/>
      </c:scatterChart>
      <c:valAx>
        <c:axId val="99713600"/>
        <c:scaling>
          <c:orientation val="minMax"/>
          <c:max val="100"/>
          <c:min val="0"/>
        </c:scaling>
        <c:delete val="1"/>
        <c:axPos val="b"/>
        <c:majorGridlines/>
        <c:numFmt formatCode="#,##0" sourceLinked="0"/>
        <c:majorTickMark val="out"/>
        <c:minorTickMark val="none"/>
        <c:tickLblPos val="nextTo"/>
        <c:crossAx val="99714176"/>
        <c:crosses val="autoZero"/>
        <c:crossBetween val="midCat"/>
        <c:majorUnit val="10"/>
      </c:valAx>
      <c:valAx>
        <c:axId val="99714176"/>
        <c:scaling>
          <c:orientation val="minMax"/>
          <c:max val="2"/>
          <c:min val="0"/>
        </c:scaling>
        <c:delete val="1"/>
        <c:axPos val="l"/>
        <c:numFmt formatCode="General" sourceLinked="1"/>
        <c:majorTickMark val="out"/>
        <c:minorTickMark val="none"/>
        <c:tickLblPos val="none"/>
        <c:crossAx val="99713600"/>
        <c:crosses val="autoZero"/>
        <c:crossBetween val="midCat"/>
      </c:valAx>
      <c:spPr>
        <a:noFill/>
        <a:ln w="25400">
          <a:noFill/>
        </a:ln>
      </c:spPr>
    </c:plotArea>
    <c:plotVisOnly val="1"/>
    <c:dispBlanksAs val="gap"/>
    <c:showDLblsOverMax val="0"/>
  </c:chart>
  <c:spPr>
    <a:no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0"/>
          <c:tx>
            <c:strRef>
              <c:f>iCntyScoreCard!$AH$40</c:f>
              <c:strCache>
                <c:ptCount val="1"/>
                <c:pt idx="0">
                  <c:v>0</c:v>
                </c:pt>
              </c:strCache>
            </c:strRef>
          </c:tx>
          <c:spPr>
            <a:ln w="28575">
              <a:noFill/>
            </a:ln>
          </c:spPr>
          <c:marker>
            <c:symbol val="square"/>
            <c:size val="9"/>
            <c:spPr>
              <a:solidFill>
                <a:schemeClr val="accent1">
                  <a:lumMod val="75000"/>
                </a:schemeClr>
              </a:solidFill>
              <a:ln>
                <a:solidFill>
                  <a:schemeClr val="tx2">
                    <a:lumMod val="75000"/>
                  </a:schemeClr>
                </a:solidFill>
              </a:ln>
            </c:spPr>
          </c:marker>
          <c:xVal>
            <c:numRef>
              <c:f>iCntyScoreCard!$AG$40</c:f>
              <c:numCache>
                <c:formatCode>General</c:formatCode>
                <c:ptCount val="1"/>
                <c:pt idx="0">
                  <c:v>43.5</c:v>
                </c:pt>
              </c:numCache>
            </c:numRef>
          </c:xVal>
          <c:yVal>
            <c:numRef>
              <c:f>iCntyScoreCard!$AF$40</c:f>
              <c:numCache>
                <c:formatCode>General</c:formatCode>
                <c:ptCount val="1"/>
                <c:pt idx="0">
                  <c:v>1</c:v>
                </c:pt>
              </c:numCache>
            </c:numRef>
          </c:yVal>
          <c:smooth val="0"/>
          <c:extLst>
            <c:ext xmlns:c16="http://schemas.microsoft.com/office/drawing/2014/chart" uri="{C3380CC4-5D6E-409C-BE32-E72D297353CC}">
              <c16:uniqueId val="{00000000-4C8A-4617-8751-C61CB55CBECE}"/>
            </c:ext>
          </c:extLst>
        </c:ser>
        <c:ser>
          <c:idx val="0"/>
          <c:order val="1"/>
          <c:spPr>
            <a:ln w="28575">
              <a:noFill/>
            </a:ln>
          </c:spPr>
          <c:marker>
            <c:symbol val="diamond"/>
            <c:size val="6"/>
            <c:spPr>
              <a:solidFill>
                <a:schemeClr val="bg1">
                  <a:lumMod val="65000"/>
                </a:schemeClr>
              </a:solidFill>
              <a:ln>
                <a:solidFill>
                  <a:srgbClr val="31659C"/>
                </a:solidFill>
                <a:prstDash val="solid"/>
              </a:ln>
            </c:spPr>
          </c:marker>
          <c:xVal>
            <c:numRef>
              <c:f>iCntyScoreCard!$AH$6:$AH$35</c:f>
              <c:numCache>
                <c:formatCode>General</c:formatCode>
                <c:ptCount val="30"/>
                <c:pt idx="0">
                  <c:v>70.900000000000006</c:v>
                </c:pt>
                <c:pt idx="1">
                  <c:v>66.7</c:v>
                </c:pt>
                <c:pt idx="2">
                  <c:v>75</c:v>
                </c:pt>
                <c:pt idx="3">
                  <c:v>21</c:v>
                </c:pt>
                <c:pt idx="4">
                  <c:v>74.8</c:v>
                </c:pt>
                <c:pt idx="5">
                  <c:v>29.9</c:v>
                </c:pt>
                <c:pt idx="6">
                  <c:v>58.3</c:v>
                </c:pt>
                <c:pt idx="7">
                  <c:v>77.599999999999994</c:v>
                </c:pt>
                <c:pt idx="8">
                  <c:v>29.9</c:v>
                </c:pt>
                <c:pt idx="9">
                  <c:v>31.1</c:v>
                </c:pt>
                <c:pt idx="10">
                  <c:v>48</c:v>
                </c:pt>
                <c:pt idx="11">
                  <c:v>76.5</c:v>
                </c:pt>
                <c:pt idx="12">
                  <c:v>22.6</c:v>
                </c:pt>
                <c:pt idx="13">
                  <c:v>36.4</c:v>
                </c:pt>
                <c:pt idx="14">
                  <c:v>29.9</c:v>
                </c:pt>
                <c:pt idx="15">
                  <c:v>36.4</c:v>
                </c:pt>
                <c:pt idx="16">
                  <c:v>58.1</c:v>
                </c:pt>
                <c:pt idx="17">
                  <c:v>99.1</c:v>
                </c:pt>
                <c:pt idx="18">
                  <c:v>22.6</c:v>
                </c:pt>
                <c:pt idx="19">
                  <c:v>25.5</c:v>
                </c:pt>
                <c:pt idx="20">
                  <c:v>19.600000000000001</c:v>
                </c:pt>
                <c:pt idx="21">
                  <c:v>44.1</c:v>
                </c:pt>
                <c:pt idx="22">
                  <c:v>32.9</c:v>
                </c:pt>
                <c:pt idx="23">
                  <c:v>37.1</c:v>
                </c:pt>
                <c:pt idx="24">
                  <c:v>50.9</c:v>
                </c:pt>
                <c:pt idx="25">
                  <c:v>17.899999999999999</c:v>
                </c:pt>
                <c:pt idx="26">
                  <c:v>33.799999999999997</c:v>
                </c:pt>
                <c:pt idx="27">
                  <c:v>22.9</c:v>
                </c:pt>
                <c:pt idx="28">
                  <c:v>19.3</c:v>
                </c:pt>
                <c:pt idx="29">
                  <c:v>34.700000000000003</c:v>
                </c:pt>
              </c:numCache>
            </c:numRef>
          </c:xVal>
          <c:yVal>
            <c:numRef>
              <c:f>iCntyScoreCard!$AI$6:$AI$35</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yVal>
          <c:smooth val="0"/>
          <c:extLst>
            <c:ext xmlns:c16="http://schemas.microsoft.com/office/drawing/2014/chart" uri="{C3380CC4-5D6E-409C-BE32-E72D297353CC}">
              <c16:uniqueId val="{00000001-4C8A-4617-8751-C61CB55CBECE}"/>
            </c:ext>
          </c:extLst>
        </c:ser>
        <c:ser>
          <c:idx val="1"/>
          <c:order val="2"/>
          <c:tx>
            <c:strRef>
              <c:f>uxb_works!$C$26</c:f>
              <c:strCache>
                <c:ptCount val="1"/>
                <c:pt idx="0">
                  <c:v>Amsterdam</c:v>
                </c:pt>
              </c:strCache>
            </c:strRef>
          </c:tx>
          <c:spPr>
            <a:ln w="28575">
              <a:noFill/>
            </a:ln>
          </c:spPr>
          <c:marker>
            <c:symbol val="circle"/>
            <c:size val="9"/>
            <c:spPr>
              <a:solidFill>
                <a:srgbClr val="C0504D"/>
              </a:solidFill>
              <a:ln>
                <a:solidFill>
                  <a:srgbClr val="993366"/>
                </a:solidFill>
                <a:prstDash val="solid"/>
              </a:ln>
            </c:spPr>
          </c:marker>
          <c:dLbls>
            <c:spPr>
              <a:no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iCntyScoreCard!$AG$39</c:f>
              <c:numCache>
                <c:formatCode>General</c:formatCode>
                <c:ptCount val="1"/>
                <c:pt idx="0">
                  <c:v>66.7</c:v>
                </c:pt>
              </c:numCache>
            </c:numRef>
          </c:xVal>
          <c:yVal>
            <c:numRef>
              <c:f>iCntyScoreCard!$AF$39</c:f>
              <c:numCache>
                <c:formatCode>General</c:formatCode>
                <c:ptCount val="1"/>
                <c:pt idx="0">
                  <c:v>1</c:v>
                </c:pt>
              </c:numCache>
            </c:numRef>
          </c:yVal>
          <c:smooth val="0"/>
          <c:extLst>
            <c:ext xmlns:c16="http://schemas.microsoft.com/office/drawing/2014/chart" uri="{C3380CC4-5D6E-409C-BE32-E72D297353CC}">
              <c16:uniqueId val="{00000002-4C8A-4617-8751-C61CB55CBECE}"/>
            </c:ext>
          </c:extLst>
        </c:ser>
        <c:dLbls>
          <c:showLegendKey val="0"/>
          <c:showVal val="0"/>
          <c:showCatName val="0"/>
          <c:showSerName val="0"/>
          <c:showPercent val="0"/>
          <c:showBubbleSize val="0"/>
        </c:dLbls>
        <c:axId val="99713600"/>
        <c:axId val="99714176"/>
      </c:scatterChart>
      <c:valAx>
        <c:axId val="99713600"/>
        <c:scaling>
          <c:orientation val="minMax"/>
          <c:max val="100"/>
          <c:min val="0"/>
        </c:scaling>
        <c:delete val="1"/>
        <c:axPos val="b"/>
        <c:majorGridlines/>
        <c:numFmt formatCode="#,##0" sourceLinked="0"/>
        <c:majorTickMark val="out"/>
        <c:minorTickMark val="none"/>
        <c:tickLblPos val="nextTo"/>
        <c:crossAx val="99714176"/>
        <c:crosses val="autoZero"/>
        <c:crossBetween val="midCat"/>
        <c:majorUnit val="10"/>
      </c:valAx>
      <c:valAx>
        <c:axId val="99714176"/>
        <c:scaling>
          <c:orientation val="minMax"/>
          <c:max val="2"/>
          <c:min val="0"/>
        </c:scaling>
        <c:delete val="1"/>
        <c:axPos val="l"/>
        <c:numFmt formatCode="General" sourceLinked="1"/>
        <c:majorTickMark val="out"/>
        <c:minorTickMark val="none"/>
        <c:tickLblPos val="none"/>
        <c:crossAx val="99713600"/>
        <c:crosses val="autoZero"/>
        <c:crossBetween val="midCat"/>
      </c:valAx>
      <c:spPr>
        <a:noFill/>
        <a:ln w="25400">
          <a:noFill/>
        </a:ln>
      </c:spPr>
    </c:plotArea>
    <c:plotVisOnly val="1"/>
    <c:dispBlanksAs val="gap"/>
    <c:showDLblsOverMax val="0"/>
  </c:chart>
  <c:spPr>
    <a:no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0"/>
          <c:tx>
            <c:strRef>
              <c:f>iCntyScoreCard!$AT$40</c:f>
              <c:strCache>
                <c:ptCount val="1"/>
                <c:pt idx="0">
                  <c:v>0</c:v>
                </c:pt>
              </c:strCache>
            </c:strRef>
          </c:tx>
          <c:spPr>
            <a:ln w="28575">
              <a:noFill/>
            </a:ln>
          </c:spPr>
          <c:marker>
            <c:symbol val="square"/>
            <c:size val="9"/>
            <c:spPr>
              <a:solidFill>
                <a:schemeClr val="accent1">
                  <a:lumMod val="75000"/>
                </a:schemeClr>
              </a:solidFill>
              <a:ln>
                <a:solidFill>
                  <a:schemeClr val="accent1">
                    <a:lumMod val="75000"/>
                  </a:schemeClr>
                </a:solidFill>
              </a:ln>
            </c:spPr>
          </c:marker>
          <c:xVal>
            <c:numRef>
              <c:f>iCntyScoreCard!$AS$40</c:f>
              <c:numCache>
                <c:formatCode>General</c:formatCode>
                <c:ptCount val="1"/>
                <c:pt idx="0">
                  <c:v>61.4</c:v>
                </c:pt>
              </c:numCache>
            </c:numRef>
          </c:xVal>
          <c:yVal>
            <c:numRef>
              <c:f>iCntyScoreCard!$AR$40</c:f>
              <c:numCache>
                <c:formatCode>General</c:formatCode>
                <c:ptCount val="1"/>
                <c:pt idx="0">
                  <c:v>1</c:v>
                </c:pt>
              </c:numCache>
            </c:numRef>
          </c:yVal>
          <c:smooth val="0"/>
          <c:extLst>
            <c:ext xmlns:c16="http://schemas.microsoft.com/office/drawing/2014/chart" uri="{C3380CC4-5D6E-409C-BE32-E72D297353CC}">
              <c16:uniqueId val="{00000000-0187-4BDE-B515-B6BE6B4B4D9D}"/>
            </c:ext>
          </c:extLst>
        </c:ser>
        <c:ser>
          <c:idx val="0"/>
          <c:order val="1"/>
          <c:spPr>
            <a:ln w="28575">
              <a:noFill/>
            </a:ln>
          </c:spPr>
          <c:marker>
            <c:symbol val="diamond"/>
            <c:size val="6"/>
            <c:spPr>
              <a:solidFill>
                <a:schemeClr val="bg1">
                  <a:lumMod val="65000"/>
                </a:schemeClr>
              </a:solidFill>
              <a:ln>
                <a:solidFill>
                  <a:srgbClr val="31659C"/>
                </a:solidFill>
                <a:prstDash val="solid"/>
              </a:ln>
            </c:spPr>
          </c:marker>
          <c:xVal>
            <c:numRef>
              <c:f>iCntyScoreCard!$AT$6:$AT$35</c:f>
              <c:numCache>
                <c:formatCode>General</c:formatCode>
                <c:ptCount val="30"/>
                <c:pt idx="0">
                  <c:v>79.3</c:v>
                </c:pt>
                <c:pt idx="1">
                  <c:v>73.2</c:v>
                </c:pt>
                <c:pt idx="2">
                  <c:v>68.3</c:v>
                </c:pt>
                <c:pt idx="3">
                  <c:v>73.5</c:v>
                </c:pt>
                <c:pt idx="4">
                  <c:v>62.5</c:v>
                </c:pt>
                <c:pt idx="5">
                  <c:v>67.2</c:v>
                </c:pt>
                <c:pt idx="6">
                  <c:v>70.8</c:v>
                </c:pt>
                <c:pt idx="7">
                  <c:v>72.7</c:v>
                </c:pt>
                <c:pt idx="8">
                  <c:v>64.900000000000006</c:v>
                </c:pt>
                <c:pt idx="9">
                  <c:v>72.5</c:v>
                </c:pt>
                <c:pt idx="10">
                  <c:v>64</c:v>
                </c:pt>
                <c:pt idx="11">
                  <c:v>65.7</c:v>
                </c:pt>
                <c:pt idx="12">
                  <c:v>72</c:v>
                </c:pt>
                <c:pt idx="13">
                  <c:v>69.900000000000006</c:v>
                </c:pt>
                <c:pt idx="14">
                  <c:v>67.5</c:v>
                </c:pt>
                <c:pt idx="15">
                  <c:v>73.8</c:v>
                </c:pt>
                <c:pt idx="16">
                  <c:v>70.2</c:v>
                </c:pt>
                <c:pt idx="17">
                  <c:v>69.8</c:v>
                </c:pt>
                <c:pt idx="18">
                  <c:v>61.5</c:v>
                </c:pt>
                <c:pt idx="19">
                  <c:v>52.8</c:v>
                </c:pt>
                <c:pt idx="20">
                  <c:v>65.3</c:v>
                </c:pt>
                <c:pt idx="21">
                  <c:v>49.5</c:v>
                </c:pt>
                <c:pt idx="22">
                  <c:v>52.6</c:v>
                </c:pt>
                <c:pt idx="23">
                  <c:v>41.3</c:v>
                </c:pt>
                <c:pt idx="24">
                  <c:v>52.6</c:v>
                </c:pt>
                <c:pt idx="25">
                  <c:v>42.2</c:v>
                </c:pt>
                <c:pt idx="26">
                  <c:v>42.5</c:v>
                </c:pt>
                <c:pt idx="27">
                  <c:v>34.4</c:v>
                </c:pt>
                <c:pt idx="28">
                  <c:v>54.3</c:v>
                </c:pt>
                <c:pt idx="29">
                  <c:v>36.5</c:v>
                </c:pt>
              </c:numCache>
            </c:numRef>
          </c:xVal>
          <c:yVal>
            <c:numRef>
              <c:f>iCntyScoreCard!$AU$6:$AU$35</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yVal>
          <c:smooth val="0"/>
          <c:extLst>
            <c:ext xmlns:c16="http://schemas.microsoft.com/office/drawing/2014/chart" uri="{C3380CC4-5D6E-409C-BE32-E72D297353CC}">
              <c16:uniqueId val="{00000001-0187-4BDE-B515-B6BE6B4B4D9D}"/>
            </c:ext>
          </c:extLst>
        </c:ser>
        <c:ser>
          <c:idx val="1"/>
          <c:order val="2"/>
          <c:tx>
            <c:strRef>
              <c:f>uxb_works!$C$26</c:f>
              <c:strCache>
                <c:ptCount val="1"/>
                <c:pt idx="0">
                  <c:v>Amsterdam</c:v>
                </c:pt>
              </c:strCache>
            </c:strRef>
          </c:tx>
          <c:spPr>
            <a:ln w="28575">
              <a:noFill/>
            </a:ln>
          </c:spPr>
          <c:marker>
            <c:symbol val="circle"/>
            <c:size val="9"/>
            <c:spPr>
              <a:solidFill>
                <a:srgbClr val="C0504D"/>
              </a:solidFill>
              <a:ln>
                <a:solidFill>
                  <a:srgbClr val="993366"/>
                </a:solidFill>
                <a:prstDash val="solid"/>
              </a:ln>
            </c:spPr>
          </c:marker>
          <c:dLbls>
            <c:spPr>
              <a:no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iCntyScoreCard!$AS$39</c:f>
              <c:numCache>
                <c:formatCode>General</c:formatCode>
                <c:ptCount val="1"/>
                <c:pt idx="0">
                  <c:v>73.2</c:v>
                </c:pt>
              </c:numCache>
            </c:numRef>
          </c:xVal>
          <c:yVal>
            <c:numRef>
              <c:f>iCntyScoreCard!$AR$39</c:f>
              <c:numCache>
                <c:formatCode>General</c:formatCode>
                <c:ptCount val="1"/>
                <c:pt idx="0">
                  <c:v>1</c:v>
                </c:pt>
              </c:numCache>
            </c:numRef>
          </c:yVal>
          <c:smooth val="0"/>
          <c:extLst>
            <c:ext xmlns:c16="http://schemas.microsoft.com/office/drawing/2014/chart" uri="{C3380CC4-5D6E-409C-BE32-E72D297353CC}">
              <c16:uniqueId val="{00000002-0187-4BDE-B515-B6BE6B4B4D9D}"/>
            </c:ext>
          </c:extLst>
        </c:ser>
        <c:dLbls>
          <c:showLegendKey val="0"/>
          <c:showVal val="0"/>
          <c:showCatName val="0"/>
          <c:showSerName val="0"/>
          <c:showPercent val="0"/>
          <c:showBubbleSize val="0"/>
        </c:dLbls>
        <c:axId val="113649344"/>
        <c:axId val="113649920"/>
      </c:scatterChart>
      <c:valAx>
        <c:axId val="113649344"/>
        <c:scaling>
          <c:orientation val="minMax"/>
          <c:max val="100"/>
          <c:min val="0"/>
        </c:scaling>
        <c:delete val="1"/>
        <c:axPos val="b"/>
        <c:majorGridlines/>
        <c:numFmt formatCode="#,##0" sourceLinked="0"/>
        <c:majorTickMark val="out"/>
        <c:minorTickMark val="none"/>
        <c:tickLblPos val="nextTo"/>
        <c:crossAx val="113649920"/>
        <c:crosses val="autoZero"/>
        <c:crossBetween val="midCat"/>
        <c:majorUnit val="10"/>
      </c:valAx>
      <c:valAx>
        <c:axId val="113649920"/>
        <c:scaling>
          <c:orientation val="minMax"/>
          <c:max val="2"/>
          <c:min val="0"/>
        </c:scaling>
        <c:delete val="1"/>
        <c:axPos val="l"/>
        <c:numFmt formatCode="General" sourceLinked="1"/>
        <c:majorTickMark val="out"/>
        <c:minorTickMark val="none"/>
        <c:tickLblPos val="none"/>
        <c:crossAx val="113649344"/>
        <c:crosses val="autoZero"/>
        <c:crossBetween val="midCat"/>
      </c:valAx>
      <c:spPr>
        <a:noFill/>
        <a:ln w="25400">
          <a:noFill/>
        </a:ln>
      </c:spPr>
    </c:plotArea>
    <c:plotVisOnly val="1"/>
    <c:dispBlanksAs val="gap"/>
    <c:showDLblsOverMax val="0"/>
  </c:chart>
  <c:spPr>
    <a:no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0"/>
          <c:tx>
            <c:strRef>
              <c:f>iCntyScoreCard!$AZ$40</c:f>
              <c:strCache>
                <c:ptCount val="1"/>
                <c:pt idx="0">
                  <c:v>0</c:v>
                </c:pt>
              </c:strCache>
            </c:strRef>
          </c:tx>
          <c:spPr>
            <a:ln w="28575">
              <a:noFill/>
            </a:ln>
          </c:spPr>
          <c:marker>
            <c:symbol val="square"/>
            <c:size val="9"/>
            <c:spPr>
              <a:solidFill>
                <a:schemeClr val="accent1">
                  <a:lumMod val="75000"/>
                </a:schemeClr>
              </a:solidFill>
              <a:ln>
                <a:solidFill>
                  <a:schemeClr val="accent1">
                    <a:lumMod val="75000"/>
                  </a:schemeClr>
                </a:solidFill>
              </a:ln>
            </c:spPr>
          </c:marker>
          <c:xVal>
            <c:numRef>
              <c:f>iCntyScoreCard!$AY$40</c:f>
              <c:numCache>
                <c:formatCode>General</c:formatCode>
                <c:ptCount val="1"/>
                <c:pt idx="0">
                  <c:v>68.2</c:v>
                </c:pt>
              </c:numCache>
            </c:numRef>
          </c:xVal>
          <c:yVal>
            <c:numRef>
              <c:f>iCntyScoreCard!$AX$40</c:f>
              <c:numCache>
                <c:formatCode>General</c:formatCode>
                <c:ptCount val="1"/>
                <c:pt idx="0">
                  <c:v>1</c:v>
                </c:pt>
              </c:numCache>
            </c:numRef>
          </c:yVal>
          <c:smooth val="0"/>
          <c:extLst>
            <c:ext xmlns:c16="http://schemas.microsoft.com/office/drawing/2014/chart" uri="{C3380CC4-5D6E-409C-BE32-E72D297353CC}">
              <c16:uniqueId val="{00000000-FF9E-444B-818E-C163C5EF7041}"/>
            </c:ext>
          </c:extLst>
        </c:ser>
        <c:ser>
          <c:idx val="0"/>
          <c:order val="1"/>
          <c:spPr>
            <a:ln w="28575">
              <a:noFill/>
            </a:ln>
          </c:spPr>
          <c:marker>
            <c:symbol val="diamond"/>
            <c:size val="6"/>
            <c:spPr>
              <a:solidFill>
                <a:schemeClr val="bg1">
                  <a:lumMod val="65000"/>
                </a:schemeClr>
              </a:solidFill>
              <a:ln>
                <a:solidFill>
                  <a:srgbClr val="31659C"/>
                </a:solidFill>
                <a:prstDash val="solid"/>
              </a:ln>
            </c:spPr>
          </c:marker>
          <c:xVal>
            <c:numRef>
              <c:f>iCntyScoreCard!$AZ$6:$AZ$35</c:f>
              <c:numCache>
                <c:formatCode>General</c:formatCode>
                <c:ptCount val="30"/>
                <c:pt idx="0">
                  <c:v>66.8</c:v>
                </c:pt>
                <c:pt idx="1">
                  <c:v>48.6</c:v>
                </c:pt>
                <c:pt idx="2">
                  <c:v>64.599999999999994</c:v>
                </c:pt>
                <c:pt idx="3">
                  <c:v>66.400000000000006</c:v>
                </c:pt>
                <c:pt idx="4">
                  <c:v>51.8</c:v>
                </c:pt>
                <c:pt idx="5">
                  <c:v>66.099999999999994</c:v>
                </c:pt>
                <c:pt idx="6">
                  <c:v>66.099999999999994</c:v>
                </c:pt>
                <c:pt idx="7">
                  <c:v>98.6</c:v>
                </c:pt>
                <c:pt idx="8">
                  <c:v>66.099999999999994</c:v>
                </c:pt>
                <c:pt idx="9">
                  <c:v>63.6</c:v>
                </c:pt>
                <c:pt idx="10">
                  <c:v>94.3</c:v>
                </c:pt>
                <c:pt idx="11">
                  <c:v>61.8</c:v>
                </c:pt>
                <c:pt idx="12">
                  <c:v>63.9</c:v>
                </c:pt>
                <c:pt idx="13">
                  <c:v>90.7</c:v>
                </c:pt>
                <c:pt idx="14">
                  <c:v>66.099999999999994</c:v>
                </c:pt>
                <c:pt idx="15">
                  <c:v>90.7</c:v>
                </c:pt>
                <c:pt idx="16">
                  <c:v>65.7</c:v>
                </c:pt>
                <c:pt idx="17">
                  <c:v>64.3</c:v>
                </c:pt>
                <c:pt idx="18">
                  <c:v>63.9</c:v>
                </c:pt>
                <c:pt idx="19">
                  <c:v>64.599999999999994</c:v>
                </c:pt>
                <c:pt idx="20">
                  <c:v>61.8</c:v>
                </c:pt>
                <c:pt idx="21">
                  <c:v>65.400000000000006</c:v>
                </c:pt>
                <c:pt idx="22">
                  <c:v>62.5</c:v>
                </c:pt>
                <c:pt idx="23">
                  <c:v>95.4</c:v>
                </c:pt>
                <c:pt idx="24">
                  <c:v>60.4</c:v>
                </c:pt>
                <c:pt idx="25">
                  <c:v>46.4</c:v>
                </c:pt>
                <c:pt idx="26">
                  <c:v>56.4</c:v>
                </c:pt>
                <c:pt idx="27">
                  <c:v>61.4</c:v>
                </c:pt>
                <c:pt idx="28">
                  <c:v>94.6</c:v>
                </c:pt>
                <c:pt idx="29">
                  <c:v>58.2</c:v>
                </c:pt>
              </c:numCache>
            </c:numRef>
          </c:xVal>
          <c:yVal>
            <c:numRef>
              <c:f>iCntyScoreCard!$BA$6:$BA$35</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yVal>
          <c:smooth val="0"/>
          <c:extLst>
            <c:ext xmlns:c16="http://schemas.microsoft.com/office/drawing/2014/chart" uri="{C3380CC4-5D6E-409C-BE32-E72D297353CC}">
              <c16:uniqueId val="{00000001-FF9E-444B-818E-C163C5EF7041}"/>
            </c:ext>
          </c:extLst>
        </c:ser>
        <c:ser>
          <c:idx val="1"/>
          <c:order val="2"/>
          <c:tx>
            <c:strRef>
              <c:f>uxb_works!$C$26</c:f>
              <c:strCache>
                <c:ptCount val="1"/>
                <c:pt idx="0">
                  <c:v>Amsterdam</c:v>
                </c:pt>
              </c:strCache>
            </c:strRef>
          </c:tx>
          <c:spPr>
            <a:ln w="28575">
              <a:noFill/>
            </a:ln>
          </c:spPr>
          <c:marker>
            <c:symbol val="circle"/>
            <c:size val="9"/>
            <c:spPr>
              <a:solidFill>
                <a:srgbClr val="C0504D"/>
              </a:solidFill>
              <a:ln>
                <a:solidFill>
                  <a:srgbClr val="993366"/>
                </a:solidFill>
                <a:prstDash val="solid"/>
              </a:ln>
            </c:spPr>
          </c:marker>
          <c:dLbls>
            <c:spPr>
              <a:no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iCntyScoreCard!$AY$39</c:f>
              <c:numCache>
                <c:formatCode>General</c:formatCode>
                <c:ptCount val="1"/>
                <c:pt idx="0">
                  <c:v>48.6</c:v>
                </c:pt>
              </c:numCache>
            </c:numRef>
          </c:xVal>
          <c:yVal>
            <c:numRef>
              <c:f>iCntyScoreCard!$AX$39</c:f>
              <c:numCache>
                <c:formatCode>General</c:formatCode>
                <c:ptCount val="1"/>
                <c:pt idx="0">
                  <c:v>1</c:v>
                </c:pt>
              </c:numCache>
            </c:numRef>
          </c:yVal>
          <c:smooth val="0"/>
          <c:extLst>
            <c:ext xmlns:c16="http://schemas.microsoft.com/office/drawing/2014/chart" uri="{C3380CC4-5D6E-409C-BE32-E72D297353CC}">
              <c16:uniqueId val="{00000002-FF9E-444B-818E-C163C5EF7041}"/>
            </c:ext>
          </c:extLst>
        </c:ser>
        <c:dLbls>
          <c:showLegendKey val="0"/>
          <c:showVal val="0"/>
          <c:showCatName val="0"/>
          <c:showSerName val="0"/>
          <c:showPercent val="0"/>
          <c:showBubbleSize val="0"/>
        </c:dLbls>
        <c:axId val="113649344"/>
        <c:axId val="113649920"/>
      </c:scatterChart>
      <c:valAx>
        <c:axId val="113649344"/>
        <c:scaling>
          <c:orientation val="minMax"/>
          <c:max val="100"/>
          <c:min val="0"/>
        </c:scaling>
        <c:delete val="1"/>
        <c:axPos val="b"/>
        <c:majorGridlines/>
        <c:numFmt formatCode="#,##0" sourceLinked="0"/>
        <c:majorTickMark val="out"/>
        <c:minorTickMark val="none"/>
        <c:tickLblPos val="nextTo"/>
        <c:crossAx val="113649920"/>
        <c:crosses val="autoZero"/>
        <c:crossBetween val="midCat"/>
        <c:majorUnit val="10"/>
      </c:valAx>
      <c:valAx>
        <c:axId val="113649920"/>
        <c:scaling>
          <c:orientation val="minMax"/>
          <c:max val="2"/>
          <c:min val="0"/>
        </c:scaling>
        <c:delete val="1"/>
        <c:axPos val="l"/>
        <c:numFmt formatCode="General" sourceLinked="1"/>
        <c:majorTickMark val="out"/>
        <c:minorTickMark val="none"/>
        <c:tickLblPos val="none"/>
        <c:crossAx val="113649344"/>
        <c:crosses val="autoZero"/>
        <c:crossBetween val="midCat"/>
      </c:valAx>
      <c:spPr>
        <a:noFill/>
        <a:ln w="25400">
          <a:noFill/>
        </a:ln>
      </c:spPr>
    </c:plotArea>
    <c:plotVisOnly val="1"/>
    <c:dispBlanksAs val="gap"/>
    <c:showDLblsOverMax val="0"/>
  </c:chart>
  <c:spPr>
    <a:no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402922755741124E-2"/>
          <c:y val="0.38008995604809059"/>
          <c:w val="0.93876130828114124"/>
          <c:h val="0.40271578335300051"/>
        </c:manualLayout>
      </c:layout>
      <c:scatterChart>
        <c:scatterStyle val="lineMarker"/>
        <c:varyColors val="0"/>
        <c:ser>
          <c:idx val="2"/>
          <c:order val="0"/>
          <c:tx>
            <c:strRef>
              <c:f>iCntyScoreCard!$BL$40</c:f>
              <c:strCache>
                <c:ptCount val="1"/>
                <c:pt idx="0">
                  <c:v>0</c:v>
                </c:pt>
              </c:strCache>
            </c:strRef>
          </c:tx>
          <c:spPr>
            <a:ln w="28575">
              <a:noFill/>
            </a:ln>
          </c:spPr>
          <c:marker>
            <c:symbol val="square"/>
            <c:size val="9"/>
            <c:spPr>
              <a:solidFill>
                <a:schemeClr val="accent1">
                  <a:lumMod val="75000"/>
                </a:schemeClr>
              </a:solidFill>
              <a:ln>
                <a:solidFill>
                  <a:schemeClr val="accent1">
                    <a:lumMod val="75000"/>
                  </a:schemeClr>
                </a:solidFill>
              </a:ln>
            </c:spPr>
          </c:marker>
          <c:xVal>
            <c:numRef>
              <c:f>iCntyScoreCard!$BK$40</c:f>
              <c:numCache>
                <c:formatCode>General</c:formatCode>
                <c:ptCount val="1"/>
                <c:pt idx="0">
                  <c:v>67.599999999999994</c:v>
                </c:pt>
              </c:numCache>
            </c:numRef>
          </c:xVal>
          <c:yVal>
            <c:numRef>
              <c:f>iCntyScoreCard!$BJ$40</c:f>
              <c:numCache>
                <c:formatCode>General</c:formatCode>
                <c:ptCount val="1"/>
                <c:pt idx="0">
                  <c:v>1</c:v>
                </c:pt>
              </c:numCache>
            </c:numRef>
          </c:yVal>
          <c:smooth val="0"/>
          <c:extLst>
            <c:ext xmlns:c16="http://schemas.microsoft.com/office/drawing/2014/chart" uri="{C3380CC4-5D6E-409C-BE32-E72D297353CC}">
              <c16:uniqueId val="{00000000-4AF1-4E19-9A78-D56BEB4BF535}"/>
            </c:ext>
          </c:extLst>
        </c:ser>
        <c:ser>
          <c:idx val="0"/>
          <c:order val="1"/>
          <c:spPr>
            <a:ln w="28575">
              <a:noFill/>
            </a:ln>
          </c:spPr>
          <c:marker>
            <c:symbol val="diamond"/>
            <c:size val="6"/>
            <c:spPr>
              <a:solidFill>
                <a:schemeClr val="bg1">
                  <a:lumMod val="65000"/>
                </a:schemeClr>
              </a:solidFill>
              <a:ln>
                <a:solidFill>
                  <a:srgbClr val="31659C"/>
                </a:solidFill>
                <a:prstDash val="solid"/>
              </a:ln>
            </c:spPr>
          </c:marker>
          <c:xVal>
            <c:numRef>
              <c:f>iCntyScoreCard!$BL$6:$BL$35</c:f>
              <c:numCache>
                <c:formatCode>General</c:formatCode>
                <c:ptCount val="30"/>
                <c:pt idx="0">
                  <c:v>59</c:v>
                </c:pt>
                <c:pt idx="1">
                  <c:v>100</c:v>
                </c:pt>
                <c:pt idx="2">
                  <c:v>82.1</c:v>
                </c:pt>
                <c:pt idx="3">
                  <c:v>82.1</c:v>
                </c:pt>
                <c:pt idx="4">
                  <c:v>82.1</c:v>
                </c:pt>
                <c:pt idx="5">
                  <c:v>59</c:v>
                </c:pt>
                <c:pt idx="6">
                  <c:v>100</c:v>
                </c:pt>
                <c:pt idx="7">
                  <c:v>82.1</c:v>
                </c:pt>
                <c:pt idx="8">
                  <c:v>59</c:v>
                </c:pt>
                <c:pt idx="9">
                  <c:v>100</c:v>
                </c:pt>
                <c:pt idx="10">
                  <c:v>35.9</c:v>
                </c:pt>
                <c:pt idx="11">
                  <c:v>76.900000000000006</c:v>
                </c:pt>
                <c:pt idx="12">
                  <c:v>100</c:v>
                </c:pt>
                <c:pt idx="13">
                  <c:v>100</c:v>
                </c:pt>
                <c:pt idx="14">
                  <c:v>76.900000000000006</c:v>
                </c:pt>
                <c:pt idx="15">
                  <c:v>76.900000000000006</c:v>
                </c:pt>
                <c:pt idx="16">
                  <c:v>82.1</c:v>
                </c:pt>
                <c:pt idx="17">
                  <c:v>100</c:v>
                </c:pt>
                <c:pt idx="18">
                  <c:v>64.099999999999994</c:v>
                </c:pt>
                <c:pt idx="19">
                  <c:v>64.099999999999994</c:v>
                </c:pt>
                <c:pt idx="20">
                  <c:v>100</c:v>
                </c:pt>
                <c:pt idx="21">
                  <c:v>41</c:v>
                </c:pt>
                <c:pt idx="22">
                  <c:v>82.1</c:v>
                </c:pt>
                <c:pt idx="23">
                  <c:v>0</c:v>
                </c:pt>
                <c:pt idx="24">
                  <c:v>23.1</c:v>
                </c:pt>
                <c:pt idx="25">
                  <c:v>59</c:v>
                </c:pt>
                <c:pt idx="26">
                  <c:v>76.900000000000006</c:v>
                </c:pt>
                <c:pt idx="27">
                  <c:v>23.1</c:v>
                </c:pt>
                <c:pt idx="28">
                  <c:v>17.899999999999999</c:v>
                </c:pt>
                <c:pt idx="29">
                  <c:v>23.1</c:v>
                </c:pt>
              </c:numCache>
            </c:numRef>
          </c:xVal>
          <c:yVal>
            <c:numRef>
              <c:f>iCntyScoreCard!$BM$6:$BM$35</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yVal>
          <c:smooth val="0"/>
          <c:extLst>
            <c:ext xmlns:c16="http://schemas.microsoft.com/office/drawing/2014/chart" uri="{C3380CC4-5D6E-409C-BE32-E72D297353CC}">
              <c16:uniqueId val="{00000001-4AF1-4E19-9A78-D56BEB4BF535}"/>
            </c:ext>
          </c:extLst>
        </c:ser>
        <c:ser>
          <c:idx val="1"/>
          <c:order val="2"/>
          <c:tx>
            <c:strRef>
              <c:f>uxb_works!$C$26</c:f>
              <c:strCache>
                <c:ptCount val="1"/>
                <c:pt idx="0">
                  <c:v>Amsterdam</c:v>
                </c:pt>
              </c:strCache>
            </c:strRef>
          </c:tx>
          <c:spPr>
            <a:ln w="28575">
              <a:noFill/>
            </a:ln>
          </c:spPr>
          <c:marker>
            <c:symbol val="circle"/>
            <c:size val="9"/>
            <c:spPr>
              <a:solidFill>
                <a:srgbClr val="C0504D"/>
              </a:solidFill>
              <a:ln>
                <a:solidFill>
                  <a:srgbClr val="993366"/>
                </a:solidFill>
                <a:prstDash val="solid"/>
              </a:ln>
            </c:spPr>
          </c:marker>
          <c:dLbls>
            <c:spPr>
              <a:no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iCntyScoreCard!$BK$39</c:f>
              <c:numCache>
                <c:formatCode>General</c:formatCode>
                <c:ptCount val="1"/>
                <c:pt idx="0">
                  <c:v>100</c:v>
                </c:pt>
              </c:numCache>
            </c:numRef>
          </c:xVal>
          <c:yVal>
            <c:numRef>
              <c:f>iCntyScoreCard!$BJ$39</c:f>
              <c:numCache>
                <c:formatCode>General</c:formatCode>
                <c:ptCount val="1"/>
                <c:pt idx="0">
                  <c:v>1</c:v>
                </c:pt>
              </c:numCache>
            </c:numRef>
          </c:yVal>
          <c:smooth val="0"/>
          <c:extLst>
            <c:ext xmlns:c16="http://schemas.microsoft.com/office/drawing/2014/chart" uri="{C3380CC4-5D6E-409C-BE32-E72D297353CC}">
              <c16:uniqueId val="{00000002-4AF1-4E19-9A78-D56BEB4BF535}"/>
            </c:ext>
          </c:extLst>
        </c:ser>
        <c:dLbls>
          <c:showLegendKey val="0"/>
          <c:showVal val="0"/>
          <c:showCatName val="0"/>
          <c:showSerName val="0"/>
          <c:showPercent val="0"/>
          <c:showBubbleSize val="0"/>
        </c:dLbls>
        <c:axId val="114230976"/>
        <c:axId val="114231552"/>
      </c:scatterChart>
      <c:valAx>
        <c:axId val="114230976"/>
        <c:scaling>
          <c:orientation val="minMax"/>
          <c:max val="100"/>
          <c:min val="0"/>
        </c:scaling>
        <c:delete val="1"/>
        <c:axPos val="b"/>
        <c:majorGridlines/>
        <c:numFmt formatCode="#,##0" sourceLinked="0"/>
        <c:majorTickMark val="out"/>
        <c:minorTickMark val="none"/>
        <c:tickLblPos val="nextTo"/>
        <c:crossAx val="114231552"/>
        <c:crosses val="autoZero"/>
        <c:crossBetween val="midCat"/>
        <c:majorUnit val="10"/>
      </c:valAx>
      <c:valAx>
        <c:axId val="114231552"/>
        <c:scaling>
          <c:orientation val="minMax"/>
          <c:max val="2"/>
          <c:min val="0"/>
        </c:scaling>
        <c:delete val="1"/>
        <c:axPos val="l"/>
        <c:numFmt formatCode="General" sourceLinked="1"/>
        <c:majorTickMark val="out"/>
        <c:minorTickMark val="none"/>
        <c:tickLblPos val="none"/>
        <c:crossAx val="114230976"/>
        <c:crosses val="autoZero"/>
        <c:crossBetween val="midCat"/>
      </c:valAx>
      <c:spPr>
        <a:noFill/>
        <a:ln w="25400">
          <a:noFill/>
        </a:ln>
      </c:spPr>
    </c:plotArea>
    <c:plotVisOnly val="1"/>
    <c:dispBlanksAs val="gap"/>
    <c:showDLblsOverMax val="0"/>
  </c:chart>
  <c:spPr>
    <a:no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65" l="0.70000000000000062" r="0.70000000000000062" t="0.7500000000000146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402922755741124E-2"/>
          <c:y val="0.38008995604809059"/>
          <c:w val="0.93876130828114124"/>
          <c:h val="0.40271578335300051"/>
        </c:manualLayout>
      </c:layout>
      <c:scatterChart>
        <c:scatterStyle val="lineMarker"/>
        <c:varyColors val="0"/>
        <c:ser>
          <c:idx val="2"/>
          <c:order val="0"/>
          <c:tx>
            <c:strRef>
              <c:f>iCntyScoreCard!$BR$40</c:f>
              <c:strCache>
                <c:ptCount val="1"/>
                <c:pt idx="0">
                  <c:v>0</c:v>
                </c:pt>
              </c:strCache>
            </c:strRef>
          </c:tx>
          <c:spPr>
            <a:ln w="28575">
              <a:noFill/>
            </a:ln>
          </c:spPr>
          <c:marker>
            <c:symbol val="square"/>
            <c:size val="9"/>
            <c:spPr>
              <a:solidFill>
                <a:schemeClr val="accent1">
                  <a:lumMod val="75000"/>
                </a:schemeClr>
              </a:solidFill>
              <a:ln>
                <a:solidFill>
                  <a:schemeClr val="accent1">
                    <a:lumMod val="75000"/>
                  </a:schemeClr>
                </a:solidFill>
              </a:ln>
            </c:spPr>
          </c:marker>
          <c:xVal>
            <c:numRef>
              <c:f>iCntyScoreCard!$BQ$40</c:f>
              <c:numCache>
                <c:formatCode>General</c:formatCode>
                <c:ptCount val="1"/>
                <c:pt idx="0">
                  <c:v>71.599999999999994</c:v>
                </c:pt>
              </c:numCache>
            </c:numRef>
          </c:xVal>
          <c:yVal>
            <c:numRef>
              <c:f>iCntyScoreCard!$BP$40</c:f>
              <c:numCache>
                <c:formatCode>General</c:formatCode>
                <c:ptCount val="1"/>
                <c:pt idx="0">
                  <c:v>1</c:v>
                </c:pt>
              </c:numCache>
            </c:numRef>
          </c:yVal>
          <c:smooth val="0"/>
          <c:extLst>
            <c:ext xmlns:c16="http://schemas.microsoft.com/office/drawing/2014/chart" uri="{C3380CC4-5D6E-409C-BE32-E72D297353CC}">
              <c16:uniqueId val="{00000000-E0EF-42EA-B4BA-D0B679F95C06}"/>
            </c:ext>
          </c:extLst>
        </c:ser>
        <c:ser>
          <c:idx val="0"/>
          <c:order val="1"/>
          <c:spPr>
            <a:ln w="28575">
              <a:noFill/>
            </a:ln>
          </c:spPr>
          <c:marker>
            <c:symbol val="diamond"/>
            <c:size val="6"/>
            <c:spPr>
              <a:solidFill>
                <a:schemeClr val="bg1">
                  <a:lumMod val="65000"/>
                </a:schemeClr>
              </a:solidFill>
              <a:ln>
                <a:solidFill>
                  <a:srgbClr val="31659C"/>
                </a:solidFill>
                <a:prstDash val="solid"/>
              </a:ln>
            </c:spPr>
          </c:marker>
          <c:xVal>
            <c:numRef>
              <c:f>iCntyScoreCard!$BR$6:$BR$35</c:f>
              <c:numCache>
                <c:formatCode>General</c:formatCode>
                <c:ptCount val="30"/>
                <c:pt idx="0">
                  <c:v>92.2</c:v>
                </c:pt>
                <c:pt idx="1">
                  <c:v>91.6</c:v>
                </c:pt>
                <c:pt idx="2">
                  <c:v>97.8</c:v>
                </c:pt>
                <c:pt idx="3">
                  <c:v>91.8</c:v>
                </c:pt>
                <c:pt idx="4">
                  <c:v>43.9</c:v>
                </c:pt>
                <c:pt idx="5">
                  <c:v>94.2</c:v>
                </c:pt>
                <c:pt idx="6">
                  <c:v>92</c:v>
                </c:pt>
                <c:pt idx="7">
                  <c:v>75.900000000000006</c:v>
                </c:pt>
                <c:pt idx="8">
                  <c:v>75.5</c:v>
                </c:pt>
                <c:pt idx="9">
                  <c:v>75.900000000000006</c:v>
                </c:pt>
                <c:pt idx="10">
                  <c:v>70.8</c:v>
                </c:pt>
                <c:pt idx="11">
                  <c:v>72.8</c:v>
                </c:pt>
                <c:pt idx="12">
                  <c:v>97</c:v>
                </c:pt>
                <c:pt idx="13">
                  <c:v>50</c:v>
                </c:pt>
                <c:pt idx="14">
                  <c:v>73.2</c:v>
                </c:pt>
                <c:pt idx="15">
                  <c:v>68.3</c:v>
                </c:pt>
                <c:pt idx="16">
                  <c:v>77.2</c:v>
                </c:pt>
                <c:pt idx="17">
                  <c:v>81.599999999999994</c:v>
                </c:pt>
                <c:pt idx="18">
                  <c:v>75.7</c:v>
                </c:pt>
                <c:pt idx="19">
                  <c:v>51</c:v>
                </c:pt>
                <c:pt idx="20">
                  <c:v>72.8</c:v>
                </c:pt>
                <c:pt idx="21">
                  <c:v>54.1</c:v>
                </c:pt>
                <c:pt idx="22">
                  <c:v>79.400000000000006</c:v>
                </c:pt>
                <c:pt idx="23">
                  <c:v>44.5</c:v>
                </c:pt>
                <c:pt idx="24">
                  <c:v>59.5</c:v>
                </c:pt>
                <c:pt idx="25">
                  <c:v>80.400000000000006</c:v>
                </c:pt>
                <c:pt idx="26">
                  <c:v>42.6</c:v>
                </c:pt>
                <c:pt idx="27">
                  <c:v>26.7</c:v>
                </c:pt>
                <c:pt idx="28">
                  <c:v>81.400000000000006</c:v>
                </c:pt>
                <c:pt idx="29">
                  <c:v>59.5</c:v>
                </c:pt>
              </c:numCache>
            </c:numRef>
          </c:xVal>
          <c:yVal>
            <c:numRef>
              <c:f>iCntyScoreCard!$BS$6:$BS$35</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yVal>
          <c:smooth val="0"/>
          <c:extLst>
            <c:ext xmlns:c16="http://schemas.microsoft.com/office/drawing/2014/chart" uri="{C3380CC4-5D6E-409C-BE32-E72D297353CC}">
              <c16:uniqueId val="{00000001-E0EF-42EA-B4BA-D0B679F95C06}"/>
            </c:ext>
          </c:extLst>
        </c:ser>
        <c:ser>
          <c:idx val="1"/>
          <c:order val="2"/>
          <c:tx>
            <c:strRef>
              <c:f>uxb_works!$C$26</c:f>
              <c:strCache>
                <c:ptCount val="1"/>
                <c:pt idx="0">
                  <c:v>Amsterdam</c:v>
                </c:pt>
              </c:strCache>
            </c:strRef>
          </c:tx>
          <c:spPr>
            <a:ln w="28575">
              <a:noFill/>
            </a:ln>
          </c:spPr>
          <c:marker>
            <c:symbol val="circle"/>
            <c:size val="9"/>
            <c:spPr>
              <a:solidFill>
                <a:srgbClr val="C0504D"/>
              </a:solidFill>
              <a:ln>
                <a:solidFill>
                  <a:srgbClr val="993366"/>
                </a:solidFill>
                <a:prstDash val="solid"/>
              </a:ln>
            </c:spPr>
          </c:marker>
          <c:dLbls>
            <c:spPr>
              <a:no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iCntyScoreCard!$BQ$39</c:f>
              <c:numCache>
                <c:formatCode>General</c:formatCode>
                <c:ptCount val="1"/>
                <c:pt idx="0">
                  <c:v>91.6</c:v>
                </c:pt>
              </c:numCache>
            </c:numRef>
          </c:xVal>
          <c:yVal>
            <c:numRef>
              <c:f>iCntyScoreCard!$BP$39</c:f>
              <c:numCache>
                <c:formatCode>General</c:formatCode>
                <c:ptCount val="1"/>
                <c:pt idx="0">
                  <c:v>1</c:v>
                </c:pt>
              </c:numCache>
            </c:numRef>
          </c:yVal>
          <c:smooth val="0"/>
          <c:extLst>
            <c:ext xmlns:c16="http://schemas.microsoft.com/office/drawing/2014/chart" uri="{C3380CC4-5D6E-409C-BE32-E72D297353CC}">
              <c16:uniqueId val="{00000002-E0EF-42EA-B4BA-D0B679F95C06}"/>
            </c:ext>
          </c:extLst>
        </c:ser>
        <c:dLbls>
          <c:showLegendKey val="0"/>
          <c:showVal val="0"/>
          <c:showCatName val="0"/>
          <c:showSerName val="0"/>
          <c:showPercent val="0"/>
          <c:showBubbleSize val="0"/>
        </c:dLbls>
        <c:axId val="114230976"/>
        <c:axId val="114231552"/>
      </c:scatterChart>
      <c:valAx>
        <c:axId val="114230976"/>
        <c:scaling>
          <c:orientation val="minMax"/>
          <c:max val="100"/>
          <c:min val="0"/>
        </c:scaling>
        <c:delete val="1"/>
        <c:axPos val="b"/>
        <c:majorGridlines/>
        <c:numFmt formatCode="#,##0" sourceLinked="0"/>
        <c:majorTickMark val="out"/>
        <c:minorTickMark val="none"/>
        <c:tickLblPos val="nextTo"/>
        <c:crossAx val="114231552"/>
        <c:crosses val="autoZero"/>
        <c:crossBetween val="midCat"/>
        <c:majorUnit val="10"/>
      </c:valAx>
      <c:valAx>
        <c:axId val="114231552"/>
        <c:scaling>
          <c:orientation val="minMax"/>
          <c:max val="2"/>
          <c:min val="0"/>
        </c:scaling>
        <c:delete val="1"/>
        <c:axPos val="l"/>
        <c:numFmt formatCode="General" sourceLinked="1"/>
        <c:majorTickMark val="out"/>
        <c:minorTickMark val="none"/>
        <c:tickLblPos val="none"/>
        <c:crossAx val="114230976"/>
        <c:crosses val="autoZero"/>
        <c:crossBetween val="midCat"/>
      </c:valAx>
      <c:spPr>
        <a:noFill/>
        <a:ln w="25400">
          <a:noFill/>
        </a:ln>
      </c:spPr>
    </c:plotArea>
    <c:plotVisOnly val="1"/>
    <c:dispBlanksAs val="gap"/>
    <c:showDLblsOverMax val="0"/>
  </c:chart>
  <c:spPr>
    <a:no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0"/>
          <c:tx>
            <c:strRef>
              <c:f>iCntyScoreCard!$CD$40</c:f>
              <c:strCache>
                <c:ptCount val="1"/>
                <c:pt idx="0">
                  <c:v>0</c:v>
                </c:pt>
              </c:strCache>
            </c:strRef>
          </c:tx>
          <c:spPr>
            <a:ln w="28575">
              <a:noFill/>
            </a:ln>
          </c:spPr>
          <c:marker>
            <c:symbol val="square"/>
            <c:size val="9"/>
            <c:spPr>
              <a:solidFill>
                <a:schemeClr val="accent1">
                  <a:lumMod val="75000"/>
                </a:schemeClr>
              </a:solidFill>
              <a:ln>
                <a:solidFill>
                  <a:schemeClr val="accent1">
                    <a:lumMod val="75000"/>
                  </a:schemeClr>
                </a:solidFill>
              </a:ln>
            </c:spPr>
          </c:marker>
          <c:xVal>
            <c:numRef>
              <c:f>iCntyScoreCard!$CC$40</c:f>
              <c:numCache>
                <c:formatCode>General</c:formatCode>
                <c:ptCount val="1"/>
                <c:pt idx="0">
                  <c:v>33.9</c:v>
                </c:pt>
              </c:numCache>
            </c:numRef>
          </c:xVal>
          <c:yVal>
            <c:numRef>
              <c:f>iCntyScoreCard!$CB$40</c:f>
              <c:numCache>
                <c:formatCode>General</c:formatCode>
                <c:ptCount val="1"/>
                <c:pt idx="0">
                  <c:v>1</c:v>
                </c:pt>
              </c:numCache>
            </c:numRef>
          </c:yVal>
          <c:smooth val="0"/>
          <c:extLst>
            <c:ext xmlns:c16="http://schemas.microsoft.com/office/drawing/2014/chart" uri="{C3380CC4-5D6E-409C-BE32-E72D297353CC}">
              <c16:uniqueId val="{00000000-01E1-4705-8469-E58D4618D8C7}"/>
            </c:ext>
          </c:extLst>
        </c:ser>
        <c:ser>
          <c:idx val="0"/>
          <c:order val="1"/>
          <c:spPr>
            <a:ln w="28575">
              <a:noFill/>
            </a:ln>
          </c:spPr>
          <c:marker>
            <c:symbol val="diamond"/>
            <c:size val="6"/>
            <c:spPr>
              <a:solidFill>
                <a:schemeClr val="bg1">
                  <a:lumMod val="65000"/>
                </a:schemeClr>
              </a:solidFill>
              <a:ln>
                <a:solidFill>
                  <a:srgbClr val="31659C"/>
                </a:solidFill>
                <a:prstDash val="solid"/>
              </a:ln>
            </c:spPr>
          </c:marker>
          <c:xVal>
            <c:numRef>
              <c:f>iCntyScoreCard!$CD$6:$CD$35</c:f>
              <c:numCache>
                <c:formatCode>General</c:formatCode>
                <c:ptCount val="30"/>
                <c:pt idx="0">
                  <c:v>100</c:v>
                </c:pt>
                <c:pt idx="1">
                  <c:v>40.299999999999997</c:v>
                </c:pt>
                <c:pt idx="2">
                  <c:v>25.5</c:v>
                </c:pt>
                <c:pt idx="3">
                  <c:v>53.9</c:v>
                </c:pt>
                <c:pt idx="4">
                  <c:v>61.9</c:v>
                </c:pt>
                <c:pt idx="5">
                  <c:v>29.2</c:v>
                </c:pt>
                <c:pt idx="6">
                  <c:v>11.5</c:v>
                </c:pt>
                <c:pt idx="7">
                  <c:v>10.3</c:v>
                </c:pt>
                <c:pt idx="8">
                  <c:v>29.2</c:v>
                </c:pt>
                <c:pt idx="9">
                  <c:v>78.2</c:v>
                </c:pt>
                <c:pt idx="10">
                  <c:v>24</c:v>
                </c:pt>
                <c:pt idx="11">
                  <c:v>71.900000000000006</c:v>
                </c:pt>
                <c:pt idx="12">
                  <c:v>28.4</c:v>
                </c:pt>
                <c:pt idx="13">
                  <c:v>28.8</c:v>
                </c:pt>
                <c:pt idx="14">
                  <c:v>29.2</c:v>
                </c:pt>
                <c:pt idx="15">
                  <c:v>72.3</c:v>
                </c:pt>
                <c:pt idx="16">
                  <c:v>26.2</c:v>
                </c:pt>
                <c:pt idx="17">
                  <c:v>56.4</c:v>
                </c:pt>
                <c:pt idx="18">
                  <c:v>28.4</c:v>
                </c:pt>
                <c:pt idx="19">
                  <c:v>24.4</c:v>
                </c:pt>
                <c:pt idx="20">
                  <c:v>11.8</c:v>
                </c:pt>
                <c:pt idx="21">
                  <c:v>19.2</c:v>
                </c:pt>
                <c:pt idx="22">
                  <c:v>7</c:v>
                </c:pt>
                <c:pt idx="23">
                  <c:v>7</c:v>
                </c:pt>
                <c:pt idx="24">
                  <c:v>76.7</c:v>
                </c:pt>
                <c:pt idx="25">
                  <c:v>22.9</c:v>
                </c:pt>
                <c:pt idx="26">
                  <c:v>15.5</c:v>
                </c:pt>
                <c:pt idx="27">
                  <c:v>10.3</c:v>
                </c:pt>
                <c:pt idx="28">
                  <c:v>15.5</c:v>
                </c:pt>
                <c:pt idx="29">
                  <c:v>0</c:v>
                </c:pt>
              </c:numCache>
            </c:numRef>
          </c:xVal>
          <c:yVal>
            <c:numRef>
              <c:f>iCntyScoreCard!$CE$6:$CE$35</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yVal>
          <c:smooth val="0"/>
          <c:extLst>
            <c:ext xmlns:c16="http://schemas.microsoft.com/office/drawing/2014/chart" uri="{C3380CC4-5D6E-409C-BE32-E72D297353CC}">
              <c16:uniqueId val="{00000001-01E1-4705-8469-E58D4618D8C7}"/>
            </c:ext>
          </c:extLst>
        </c:ser>
        <c:ser>
          <c:idx val="1"/>
          <c:order val="2"/>
          <c:tx>
            <c:strRef>
              <c:f>uxb_works!$C$26</c:f>
              <c:strCache>
                <c:ptCount val="1"/>
                <c:pt idx="0">
                  <c:v>Amsterdam</c:v>
                </c:pt>
              </c:strCache>
            </c:strRef>
          </c:tx>
          <c:spPr>
            <a:ln w="28575">
              <a:noFill/>
            </a:ln>
          </c:spPr>
          <c:marker>
            <c:symbol val="circle"/>
            <c:size val="9"/>
            <c:spPr>
              <a:solidFill>
                <a:srgbClr val="C0504D"/>
              </a:solidFill>
              <a:ln>
                <a:solidFill>
                  <a:srgbClr val="993366"/>
                </a:solidFill>
                <a:prstDash val="solid"/>
              </a:ln>
            </c:spPr>
          </c:marker>
          <c:dLbls>
            <c:spPr>
              <a:no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iCntyScoreCard!$CC$39</c:f>
              <c:numCache>
                <c:formatCode>General</c:formatCode>
                <c:ptCount val="1"/>
                <c:pt idx="0">
                  <c:v>40.299999999999997</c:v>
                </c:pt>
              </c:numCache>
            </c:numRef>
          </c:xVal>
          <c:yVal>
            <c:numRef>
              <c:f>iCntyScoreCard!$CB$39</c:f>
              <c:numCache>
                <c:formatCode>General</c:formatCode>
                <c:ptCount val="1"/>
                <c:pt idx="0">
                  <c:v>1</c:v>
                </c:pt>
              </c:numCache>
            </c:numRef>
          </c:yVal>
          <c:smooth val="0"/>
          <c:extLst>
            <c:ext xmlns:c16="http://schemas.microsoft.com/office/drawing/2014/chart" uri="{C3380CC4-5D6E-409C-BE32-E72D297353CC}">
              <c16:uniqueId val="{00000002-01E1-4705-8469-E58D4618D8C7}"/>
            </c:ext>
          </c:extLst>
        </c:ser>
        <c:dLbls>
          <c:showLegendKey val="0"/>
          <c:showVal val="0"/>
          <c:showCatName val="0"/>
          <c:showSerName val="0"/>
          <c:showPercent val="0"/>
          <c:showBubbleSize val="0"/>
        </c:dLbls>
        <c:axId val="114477312"/>
        <c:axId val="114477888"/>
      </c:scatterChart>
      <c:valAx>
        <c:axId val="114477312"/>
        <c:scaling>
          <c:orientation val="minMax"/>
          <c:max val="100"/>
          <c:min val="0"/>
        </c:scaling>
        <c:delete val="1"/>
        <c:axPos val="b"/>
        <c:majorGridlines/>
        <c:numFmt formatCode="#,##0" sourceLinked="0"/>
        <c:majorTickMark val="out"/>
        <c:minorTickMark val="none"/>
        <c:tickLblPos val="nextTo"/>
        <c:crossAx val="114477888"/>
        <c:crosses val="autoZero"/>
        <c:crossBetween val="midCat"/>
        <c:majorUnit val="10"/>
      </c:valAx>
      <c:valAx>
        <c:axId val="114477888"/>
        <c:scaling>
          <c:orientation val="minMax"/>
          <c:max val="2"/>
          <c:min val="0"/>
        </c:scaling>
        <c:delete val="1"/>
        <c:axPos val="l"/>
        <c:numFmt formatCode="General" sourceLinked="1"/>
        <c:majorTickMark val="out"/>
        <c:minorTickMark val="none"/>
        <c:tickLblPos val="none"/>
        <c:crossAx val="114477312"/>
        <c:crosses val="autoZero"/>
        <c:crossBetween val="midCat"/>
      </c:valAx>
      <c:spPr>
        <a:noFill/>
        <a:ln w="25400">
          <a:noFill/>
        </a:ln>
      </c:spPr>
    </c:plotArea>
    <c:plotVisOnly val="1"/>
    <c:dispBlanksAs val="gap"/>
    <c:showDLblsOverMax val="0"/>
  </c:chart>
  <c:spPr>
    <a:no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65" l="0.70000000000000062" r="0.70000000000000062" t="0.7500000000000146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0"/>
          <c:tx>
            <c:strRef>
              <c:f>iCntyScoreCard!$CJ$40</c:f>
              <c:strCache>
                <c:ptCount val="1"/>
                <c:pt idx="0">
                  <c:v>0</c:v>
                </c:pt>
              </c:strCache>
            </c:strRef>
          </c:tx>
          <c:spPr>
            <a:ln w="28575">
              <a:noFill/>
            </a:ln>
          </c:spPr>
          <c:marker>
            <c:symbol val="square"/>
            <c:size val="9"/>
            <c:spPr>
              <a:solidFill>
                <a:schemeClr val="accent1">
                  <a:lumMod val="75000"/>
                </a:schemeClr>
              </a:solidFill>
              <a:ln>
                <a:solidFill>
                  <a:schemeClr val="accent1">
                    <a:lumMod val="75000"/>
                  </a:schemeClr>
                </a:solidFill>
              </a:ln>
            </c:spPr>
          </c:marker>
          <c:xVal>
            <c:numRef>
              <c:f>iCntyScoreCard!$CI$40</c:f>
              <c:numCache>
                <c:formatCode>General</c:formatCode>
                <c:ptCount val="1"/>
                <c:pt idx="0">
                  <c:v>59.2</c:v>
                </c:pt>
              </c:numCache>
            </c:numRef>
          </c:xVal>
          <c:yVal>
            <c:numRef>
              <c:f>iCntyScoreCard!$CH$40</c:f>
              <c:numCache>
                <c:formatCode>General</c:formatCode>
                <c:ptCount val="1"/>
                <c:pt idx="0">
                  <c:v>1</c:v>
                </c:pt>
              </c:numCache>
            </c:numRef>
          </c:yVal>
          <c:smooth val="0"/>
          <c:extLst>
            <c:ext xmlns:c16="http://schemas.microsoft.com/office/drawing/2014/chart" uri="{C3380CC4-5D6E-409C-BE32-E72D297353CC}">
              <c16:uniqueId val="{00000000-48FA-4B4E-8727-3820B638D5C3}"/>
            </c:ext>
          </c:extLst>
        </c:ser>
        <c:ser>
          <c:idx val="0"/>
          <c:order val="1"/>
          <c:spPr>
            <a:ln w="28575">
              <a:noFill/>
            </a:ln>
          </c:spPr>
          <c:marker>
            <c:symbol val="diamond"/>
            <c:size val="6"/>
            <c:spPr>
              <a:solidFill>
                <a:schemeClr val="bg1">
                  <a:lumMod val="65000"/>
                </a:schemeClr>
              </a:solidFill>
              <a:ln>
                <a:solidFill>
                  <a:srgbClr val="31659C"/>
                </a:solidFill>
                <a:prstDash val="solid"/>
              </a:ln>
            </c:spPr>
          </c:marker>
          <c:xVal>
            <c:numRef>
              <c:f>iCntyScoreCard!$CJ$6:$CJ$35</c:f>
              <c:numCache>
                <c:formatCode>General</c:formatCode>
                <c:ptCount val="30"/>
                <c:pt idx="0">
                  <c:v>67.900000000000006</c:v>
                </c:pt>
                <c:pt idx="1">
                  <c:v>62.1</c:v>
                </c:pt>
                <c:pt idx="2">
                  <c:v>57.9</c:v>
                </c:pt>
                <c:pt idx="3">
                  <c:v>65.400000000000006</c:v>
                </c:pt>
                <c:pt idx="4">
                  <c:v>67.5</c:v>
                </c:pt>
                <c:pt idx="5">
                  <c:v>73.599999999999994</c:v>
                </c:pt>
                <c:pt idx="6">
                  <c:v>61.4</c:v>
                </c:pt>
                <c:pt idx="7">
                  <c:v>63.7</c:v>
                </c:pt>
                <c:pt idx="8">
                  <c:v>69.2</c:v>
                </c:pt>
                <c:pt idx="9">
                  <c:v>64.099999999999994</c:v>
                </c:pt>
                <c:pt idx="10">
                  <c:v>68.400000000000006</c:v>
                </c:pt>
                <c:pt idx="11">
                  <c:v>64</c:v>
                </c:pt>
                <c:pt idx="12">
                  <c:v>60.6</c:v>
                </c:pt>
                <c:pt idx="13">
                  <c:v>62.7</c:v>
                </c:pt>
                <c:pt idx="14">
                  <c:v>67.5</c:v>
                </c:pt>
                <c:pt idx="15">
                  <c:v>62.7</c:v>
                </c:pt>
                <c:pt idx="16">
                  <c:v>48.3</c:v>
                </c:pt>
                <c:pt idx="17">
                  <c:v>65.2</c:v>
                </c:pt>
                <c:pt idx="18">
                  <c:v>56.9</c:v>
                </c:pt>
                <c:pt idx="19">
                  <c:v>55.5</c:v>
                </c:pt>
                <c:pt idx="20">
                  <c:v>50</c:v>
                </c:pt>
                <c:pt idx="21">
                  <c:v>67</c:v>
                </c:pt>
                <c:pt idx="22">
                  <c:v>56.9</c:v>
                </c:pt>
                <c:pt idx="23">
                  <c:v>57</c:v>
                </c:pt>
                <c:pt idx="24">
                  <c:v>43.4</c:v>
                </c:pt>
                <c:pt idx="25">
                  <c:v>48.7</c:v>
                </c:pt>
                <c:pt idx="26">
                  <c:v>47.2</c:v>
                </c:pt>
                <c:pt idx="27">
                  <c:v>48.3</c:v>
                </c:pt>
                <c:pt idx="28">
                  <c:v>46.1</c:v>
                </c:pt>
                <c:pt idx="29">
                  <c:v>46.8</c:v>
                </c:pt>
              </c:numCache>
            </c:numRef>
          </c:xVal>
          <c:yVal>
            <c:numRef>
              <c:f>iCntyScoreCard!$CK$6:$CK$35</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yVal>
          <c:smooth val="0"/>
          <c:extLst>
            <c:ext xmlns:c16="http://schemas.microsoft.com/office/drawing/2014/chart" uri="{C3380CC4-5D6E-409C-BE32-E72D297353CC}">
              <c16:uniqueId val="{00000001-48FA-4B4E-8727-3820B638D5C3}"/>
            </c:ext>
          </c:extLst>
        </c:ser>
        <c:ser>
          <c:idx val="1"/>
          <c:order val="2"/>
          <c:tx>
            <c:strRef>
              <c:f>uxb_works!$C$26</c:f>
              <c:strCache>
                <c:ptCount val="1"/>
                <c:pt idx="0">
                  <c:v>Amsterdam</c:v>
                </c:pt>
              </c:strCache>
            </c:strRef>
          </c:tx>
          <c:spPr>
            <a:ln w="28575">
              <a:noFill/>
            </a:ln>
          </c:spPr>
          <c:marker>
            <c:symbol val="circle"/>
            <c:size val="9"/>
            <c:spPr>
              <a:solidFill>
                <a:srgbClr val="C0504D"/>
              </a:solidFill>
              <a:ln>
                <a:solidFill>
                  <a:srgbClr val="993366"/>
                </a:solidFill>
                <a:prstDash val="solid"/>
              </a:ln>
            </c:spPr>
          </c:marker>
          <c:dLbls>
            <c:spPr>
              <a:no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iCntyScoreCard!$CI$39</c:f>
              <c:numCache>
                <c:formatCode>General</c:formatCode>
                <c:ptCount val="1"/>
                <c:pt idx="0">
                  <c:v>62.1</c:v>
                </c:pt>
              </c:numCache>
            </c:numRef>
          </c:xVal>
          <c:yVal>
            <c:numRef>
              <c:f>iCntyScoreCard!$CH$39</c:f>
              <c:numCache>
                <c:formatCode>General</c:formatCode>
                <c:ptCount val="1"/>
                <c:pt idx="0">
                  <c:v>1</c:v>
                </c:pt>
              </c:numCache>
            </c:numRef>
          </c:yVal>
          <c:smooth val="0"/>
          <c:extLst>
            <c:ext xmlns:c16="http://schemas.microsoft.com/office/drawing/2014/chart" uri="{C3380CC4-5D6E-409C-BE32-E72D297353CC}">
              <c16:uniqueId val="{00000002-48FA-4B4E-8727-3820B638D5C3}"/>
            </c:ext>
          </c:extLst>
        </c:ser>
        <c:dLbls>
          <c:showLegendKey val="0"/>
          <c:showVal val="0"/>
          <c:showCatName val="0"/>
          <c:showSerName val="0"/>
          <c:showPercent val="0"/>
          <c:showBubbleSize val="0"/>
        </c:dLbls>
        <c:axId val="114477312"/>
        <c:axId val="114477888"/>
      </c:scatterChart>
      <c:valAx>
        <c:axId val="114477312"/>
        <c:scaling>
          <c:orientation val="minMax"/>
          <c:max val="100"/>
          <c:min val="0"/>
        </c:scaling>
        <c:delete val="1"/>
        <c:axPos val="b"/>
        <c:majorGridlines/>
        <c:numFmt formatCode="#,##0" sourceLinked="0"/>
        <c:majorTickMark val="out"/>
        <c:minorTickMark val="none"/>
        <c:tickLblPos val="nextTo"/>
        <c:crossAx val="114477888"/>
        <c:crosses val="autoZero"/>
        <c:crossBetween val="midCat"/>
        <c:majorUnit val="10"/>
      </c:valAx>
      <c:valAx>
        <c:axId val="114477888"/>
        <c:scaling>
          <c:orientation val="minMax"/>
          <c:max val="2"/>
          <c:min val="0"/>
        </c:scaling>
        <c:delete val="1"/>
        <c:axPos val="l"/>
        <c:numFmt formatCode="General" sourceLinked="1"/>
        <c:majorTickMark val="out"/>
        <c:minorTickMark val="none"/>
        <c:tickLblPos val="none"/>
        <c:crossAx val="114477312"/>
        <c:crosses val="autoZero"/>
        <c:crossBetween val="midCat"/>
      </c:valAx>
      <c:spPr>
        <a:noFill/>
        <a:ln w="25400">
          <a:noFill/>
        </a:ln>
      </c:spPr>
    </c:plotArea>
    <c:plotVisOnly val="1"/>
    <c:dispBlanksAs val="gap"/>
    <c:showDLblsOverMax val="0"/>
  </c:chart>
  <c:spPr>
    <a:no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0"/>
          <c:tx>
            <c:strRef>
              <c:f>iCntyScoreCard!$P$40</c:f>
              <c:strCache>
                <c:ptCount val="1"/>
                <c:pt idx="0">
                  <c:v>0</c:v>
                </c:pt>
              </c:strCache>
            </c:strRef>
          </c:tx>
          <c:spPr>
            <a:ln w="28575">
              <a:noFill/>
            </a:ln>
          </c:spPr>
          <c:marker>
            <c:symbol val="square"/>
            <c:size val="9"/>
            <c:spPr>
              <a:solidFill>
                <a:schemeClr val="accent1">
                  <a:lumMod val="75000"/>
                </a:schemeClr>
              </a:solidFill>
              <a:ln>
                <a:solidFill>
                  <a:schemeClr val="tx2">
                    <a:lumMod val="75000"/>
                  </a:schemeClr>
                </a:solidFill>
              </a:ln>
            </c:spPr>
          </c:marker>
          <c:xVal>
            <c:numRef>
              <c:f>iCntyScoreCard!$O$40</c:f>
              <c:numCache>
                <c:formatCode>General</c:formatCode>
                <c:ptCount val="1"/>
                <c:pt idx="0">
                  <c:v>63.3</c:v>
                </c:pt>
              </c:numCache>
            </c:numRef>
          </c:xVal>
          <c:yVal>
            <c:numRef>
              <c:f>iCntyScoreCard!$N$40</c:f>
              <c:numCache>
                <c:formatCode>General</c:formatCode>
                <c:ptCount val="1"/>
                <c:pt idx="0">
                  <c:v>1</c:v>
                </c:pt>
              </c:numCache>
            </c:numRef>
          </c:yVal>
          <c:smooth val="0"/>
          <c:extLst>
            <c:ext xmlns:c16="http://schemas.microsoft.com/office/drawing/2014/chart" uri="{C3380CC4-5D6E-409C-BE32-E72D297353CC}">
              <c16:uniqueId val="{00000000-F853-414F-8D32-41944CADBB71}"/>
            </c:ext>
          </c:extLst>
        </c:ser>
        <c:ser>
          <c:idx val="0"/>
          <c:order val="1"/>
          <c:spPr>
            <a:ln w="28575">
              <a:noFill/>
            </a:ln>
          </c:spPr>
          <c:marker>
            <c:symbol val="diamond"/>
            <c:size val="6"/>
            <c:spPr>
              <a:solidFill>
                <a:schemeClr val="bg1">
                  <a:lumMod val="65000"/>
                </a:schemeClr>
              </a:solidFill>
              <a:ln>
                <a:solidFill>
                  <a:srgbClr val="31659C"/>
                </a:solidFill>
                <a:prstDash val="solid"/>
              </a:ln>
            </c:spPr>
          </c:marker>
          <c:xVal>
            <c:numRef>
              <c:f>iCntyScoreCard!$O$6:$O$35</c:f>
              <c:numCache>
                <c:formatCode>0.0</c:formatCode>
                <c:ptCount val="30"/>
                <c:pt idx="0">
                  <c:v>81.5</c:v>
                </c:pt>
                <c:pt idx="1">
                  <c:v>74.599999999999994</c:v>
                </c:pt>
                <c:pt idx="2">
                  <c:v>73.7</c:v>
                </c:pt>
                <c:pt idx="3">
                  <c:v>73.599999999999994</c:v>
                </c:pt>
                <c:pt idx="4">
                  <c:v>73.599999999999994</c:v>
                </c:pt>
                <c:pt idx="5">
                  <c:v>73.3</c:v>
                </c:pt>
                <c:pt idx="6">
                  <c:v>72.599999999999994</c:v>
                </c:pt>
                <c:pt idx="7">
                  <c:v>71.400000000000006</c:v>
                </c:pt>
                <c:pt idx="8">
                  <c:v>71.2</c:v>
                </c:pt>
                <c:pt idx="9">
                  <c:v>70.2</c:v>
                </c:pt>
                <c:pt idx="10">
                  <c:v>70.099999999999994</c:v>
                </c:pt>
                <c:pt idx="11">
                  <c:v>70.099999999999994</c:v>
                </c:pt>
                <c:pt idx="12">
                  <c:v>69.7</c:v>
                </c:pt>
                <c:pt idx="13">
                  <c:v>69.099999999999994</c:v>
                </c:pt>
                <c:pt idx="14">
                  <c:v>68.7</c:v>
                </c:pt>
                <c:pt idx="15">
                  <c:v>68.2</c:v>
                </c:pt>
                <c:pt idx="16">
                  <c:v>68</c:v>
                </c:pt>
                <c:pt idx="17">
                  <c:v>63.8</c:v>
                </c:pt>
                <c:pt idx="18">
                  <c:v>63.2</c:v>
                </c:pt>
                <c:pt idx="19">
                  <c:v>63</c:v>
                </c:pt>
                <c:pt idx="20">
                  <c:v>61.2</c:v>
                </c:pt>
                <c:pt idx="21">
                  <c:v>60.1</c:v>
                </c:pt>
                <c:pt idx="22">
                  <c:v>58.2</c:v>
                </c:pt>
                <c:pt idx="23">
                  <c:v>50.7</c:v>
                </c:pt>
                <c:pt idx="24">
                  <c:v>49.1</c:v>
                </c:pt>
                <c:pt idx="25">
                  <c:v>45.1</c:v>
                </c:pt>
                <c:pt idx="26">
                  <c:v>43.5</c:v>
                </c:pt>
                <c:pt idx="27">
                  <c:v>42.6</c:v>
                </c:pt>
                <c:pt idx="28">
                  <c:v>40.299999999999997</c:v>
                </c:pt>
                <c:pt idx="29">
                  <c:v>39.1</c:v>
                </c:pt>
              </c:numCache>
            </c:numRef>
          </c:xVal>
          <c:yVal>
            <c:numRef>
              <c:f>iCntyScoreCard!$Q$6:$Q$35</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yVal>
          <c:smooth val="0"/>
          <c:extLst>
            <c:ext xmlns:c16="http://schemas.microsoft.com/office/drawing/2014/chart" uri="{C3380CC4-5D6E-409C-BE32-E72D297353CC}">
              <c16:uniqueId val="{00000001-F853-414F-8D32-41944CADBB71}"/>
            </c:ext>
          </c:extLst>
        </c:ser>
        <c:ser>
          <c:idx val="1"/>
          <c:order val="2"/>
          <c:tx>
            <c:strRef>
              <c:f>uxb_works!$C$26</c:f>
              <c:strCache>
                <c:ptCount val="1"/>
                <c:pt idx="0">
                  <c:v>Amsterdam</c:v>
                </c:pt>
              </c:strCache>
            </c:strRef>
          </c:tx>
          <c:spPr>
            <a:ln w="28575">
              <a:noFill/>
            </a:ln>
          </c:spPr>
          <c:marker>
            <c:symbol val="circle"/>
            <c:size val="9"/>
            <c:spPr>
              <a:solidFill>
                <a:srgbClr val="C0504D"/>
              </a:solidFill>
              <a:ln>
                <a:solidFill>
                  <a:srgbClr val="993366"/>
                </a:solidFill>
                <a:prstDash val="solid"/>
              </a:ln>
            </c:spPr>
          </c:marker>
          <c:dLbls>
            <c:spPr>
              <a:no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iCntyScoreCard!$O$39</c:f>
              <c:numCache>
                <c:formatCode>General</c:formatCode>
                <c:ptCount val="1"/>
                <c:pt idx="0">
                  <c:v>74.599999999999994</c:v>
                </c:pt>
              </c:numCache>
            </c:numRef>
          </c:xVal>
          <c:yVal>
            <c:numRef>
              <c:f>iCntyScoreCard!$N$39</c:f>
              <c:numCache>
                <c:formatCode>General</c:formatCode>
                <c:ptCount val="1"/>
                <c:pt idx="0">
                  <c:v>1</c:v>
                </c:pt>
              </c:numCache>
            </c:numRef>
          </c:yVal>
          <c:smooth val="0"/>
          <c:extLst>
            <c:ext xmlns:c16="http://schemas.microsoft.com/office/drawing/2014/chart" uri="{C3380CC4-5D6E-409C-BE32-E72D297353CC}">
              <c16:uniqueId val="{00000002-F853-414F-8D32-41944CADBB71}"/>
            </c:ext>
          </c:extLst>
        </c:ser>
        <c:dLbls>
          <c:showLegendKey val="0"/>
          <c:showVal val="0"/>
          <c:showCatName val="0"/>
          <c:showSerName val="0"/>
          <c:showPercent val="0"/>
          <c:showBubbleSize val="0"/>
        </c:dLbls>
        <c:axId val="99713600"/>
        <c:axId val="99714176"/>
      </c:scatterChart>
      <c:valAx>
        <c:axId val="99713600"/>
        <c:scaling>
          <c:orientation val="minMax"/>
          <c:max val="100"/>
          <c:min val="0"/>
        </c:scaling>
        <c:delete val="1"/>
        <c:axPos val="b"/>
        <c:majorGridlines/>
        <c:numFmt formatCode="#,##0" sourceLinked="0"/>
        <c:majorTickMark val="out"/>
        <c:minorTickMark val="none"/>
        <c:tickLblPos val="nextTo"/>
        <c:crossAx val="99714176"/>
        <c:crosses val="autoZero"/>
        <c:crossBetween val="midCat"/>
        <c:majorUnit val="10"/>
      </c:valAx>
      <c:valAx>
        <c:axId val="99714176"/>
        <c:scaling>
          <c:orientation val="minMax"/>
          <c:max val="2"/>
          <c:min val="0"/>
        </c:scaling>
        <c:delete val="1"/>
        <c:axPos val="l"/>
        <c:numFmt formatCode="General" sourceLinked="1"/>
        <c:majorTickMark val="out"/>
        <c:minorTickMark val="none"/>
        <c:tickLblPos val="none"/>
        <c:crossAx val="99713600"/>
        <c:crosses val="autoZero"/>
        <c:crossBetween val="midCat"/>
      </c:valAx>
      <c:spPr>
        <a:noFill/>
        <a:ln w="25400">
          <a:noFill/>
        </a:ln>
      </c:spPr>
    </c:plotArea>
    <c:plotVisOnly val="1"/>
    <c:dispBlanksAs val="gap"/>
    <c:showDLblsOverMax val="0"/>
  </c:chart>
  <c:spPr>
    <a:no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accent6">
                <a:lumMod val="50000"/>
                <a:alpha val="50000"/>
              </a:schemeClr>
            </a:solidFill>
          </c:spPr>
          <c:invertIfNegative val="0"/>
          <c:val>
            <c:numRef>
              <c:f>#REF!</c:f>
              <c:numCache>
                <c:formatCode>General</c:formatCode>
                <c:ptCount val="1"/>
                <c:pt idx="0">
                  <c:v>1</c:v>
                </c:pt>
              </c:numCache>
            </c:numRef>
          </c:val>
          <c:extLst>
            <c:ext xmlns:c16="http://schemas.microsoft.com/office/drawing/2014/chart" uri="{C3380CC4-5D6E-409C-BE32-E72D297353CC}">
              <c16:uniqueId val="{00000000-55D5-4BE0-9954-9748198CF927}"/>
            </c:ext>
          </c:extLst>
        </c:ser>
        <c:dLbls>
          <c:showLegendKey val="0"/>
          <c:showVal val="0"/>
          <c:showCatName val="0"/>
          <c:showSerName val="0"/>
          <c:showPercent val="0"/>
          <c:showBubbleSize val="0"/>
        </c:dLbls>
        <c:gapWidth val="0"/>
        <c:axId val="192124928"/>
        <c:axId val="192246848"/>
      </c:barChart>
      <c:scatterChart>
        <c:scatterStyle val="lineMarker"/>
        <c:varyColors val="0"/>
        <c:ser>
          <c:idx val="1"/>
          <c:order val="1"/>
          <c:spPr>
            <a:ln w="28575">
              <a:noFill/>
            </a:ln>
          </c:spPr>
          <c:marker>
            <c:spPr>
              <a:solidFill>
                <a:schemeClr val="tx2">
                  <a:lumMod val="75000"/>
                </a:schemeClr>
              </a:solidFill>
              <a:ln w="12700">
                <a:solidFill>
                  <a:schemeClr val="bg1"/>
                </a:solidFill>
              </a:ln>
            </c:spPr>
          </c:marker>
          <c:dLbls>
            <c:dLbl>
              <c:idx val="0"/>
              <c:layout>
                <c:manualLayout>
                  <c:x val="-6.6917044156018235E-2"/>
                  <c:y val="-0.34402521292524668"/>
                </c:manualLayout>
              </c:layout>
              <c:tx>
                <c:strRef>
                  <c:f>#REF!</c:f>
                  <c:strCache>
                    <c:ptCount val="1"/>
                    <c:pt idx="0">
                      <c:v>#REF!</c:v>
                    </c:pt>
                  </c:strCache>
                </c:strRef>
              </c:tx>
              <c:spPr>
                <a:noFill/>
                <a:ln>
                  <a:noFill/>
                </a:ln>
                <a:effectLst/>
              </c:spPr>
              <c:txPr>
                <a:bodyPr wrap="none" lIns="38100" tIns="19050" rIns="38100" bIns="19050" anchor="ctr">
                  <a:noAutofit/>
                </a:bodyPr>
                <a:lstStyle/>
                <a:p>
                  <a:pPr>
                    <a:defRPr sz="900"/>
                  </a:pPr>
                  <a:endParaRPr lang="en-US"/>
                </a:p>
              </c:txPr>
              <c:dLblPos val="r"/>
              <c:showLegendKey val="0"/>
              <c:showVal val="1"/>
              <c:showCatName val="0"/>
              <c:showSerName val="0"/>
              <c:showPercent val="0"/>
              <c:showBubbleSize val="0"/>
              <c:extLst>
                <c:ext xmlns:c15="http://schemas.microsoft.com/office/drawing/2012/chart" uri="{CE6537A1-D6FC-4f65-9D91-7224C49458BB}">
                  <c15:layout>
                    <c:manualLayout>
                      <c:w val="9.7685099328105804E-2"/>
                      <c:h val="0.31194957414950653"/>
                    </c:manualLayout>
                  </c15:layout>
                  <c15:dlblFieldTable>
                    <c15:dlblFTEntry>
                      <c15:txfldGUID>{EEDB90B8-E051-4CDA-830A-68A32206FB3D}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55D5-4BE0-9954-9748198CF927}"/>
                </c:ext>
              </c:extLst>
            </c:dLbl>
            <c:spPr>
              <a:noFill/>
              <a:ln>
                <a:noFill/>
              </a:ln>
              <a:effectLst/>
            </c:spPr>
            <c:txPr>
              <a:bodyPr wrap="none" lIns="38100" tIns="19050" rIns="38100" bIns="19050" anchor="ctr">
                <a:spAutoFit/>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#REF!</c:f>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2-55D5-4BE0-9954-9748198CF927}"/>
            </c:ext>
          </c:extLst>
        </c:ser>
        <c:ser>
          <c:idx val="2"/>
          <c:order val="2"/>
          <c:spPr>
            <a:ln w="28575">
              <a:noFill/>
            </a:ln>
          </c:spPr>
          <c:marker>
            <c:symbol val="triangle"/>
            <c:size val="8"/>
            <c:spPr>
              <a:solidFill>
                <a:srgbClr val="FF0000"/>
              </a:solidFill>
              <a:ln>
                <a:solidFill>
                  <a:schemeClr val="bg1"/>
                </a:solidFill>
              </a:ln>
            </c:spPr>
          </c:marker>
          <c:dLbls>
            <c:dLbl>
              <c:idx val="0"/>
              <c:tx>
                <c:strRef>
                  <c:f>#REF!</c:f>
                  <c:strCache>
                    <c:ptCount val="1"/>
                    <c:pt idx="0">
                      <c:v>#REF!</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{BB723BEA-A1C4-4507-AA0E-66B60A3B37E4}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55D5-4BE0-9954-9748198CF927}"/>
                </c:ext>
              </c:extLst>
            </c:dLbl>
            <c:spPr>
              <a:noFill/>
              <a:ln>
                <a:noFill/>
              </a:ln>
              <a:effectLst/>
            </c:spPr>
            <c:txPr>
              <a:bodyPr wrap="square" lIns="38100" tIns="19050" rIns="38100" bIns="19050" anchor="ctr">
                <a:spAutoFit/>
              </a:bodyPr>
              <a:lstStyle/>
              <a:p>
                <a:pPr>
                  <a:defRPr sz="900"/>
                </a:pPr>
                <a:endParaRPr lang="en-US"/>
              </a:p>
            </c:tx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#REF!</c:f>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4-55D5-4BE0-9954-9748198CF927}"/>
            </c:ext>
          </c:extLst>
        </c:ser>
        <c:ser>
          <c:idx val="3"/>
          <c:order val="3"/>
          <c:spPr>
            <a:ln w="28575">
              <a:noFill/>
            </a:ln>
          </c:spPr>
          <c:marker>
            <c:symbol val="triangle"/>
            <c:size val="8"/>
            <c:spPr>
              <a:solidFill>
                <a:srgbClr val="00B050"/>
              </a:solidFill>
              <a:ln w="12700">
                <a:solidFill>
                  <a:schemeClr val="bg1"/>
                </a:solidFill>
              </a:ln>
            </c:spPr>
          </c:marker>
          <c:dLbls>
            <c:dLbl>
              <c:idx val="0"/>
              <c:tx>
                <c:strRef>
                  <c:f>#REF!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{AA6E1FB4-A5F7-4C75-8EA3-7DD0B3A1A2D6}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5-55D5-4BE0-9954-9748198CF927}"/>
                </c:ext>
              </c:extLst>
            </c:dLbl>
            <c:spPr>
              <a:noFill/>
              <a:ln>
                <a:noFill/>
              </a:ln>
              <a:effectLst/>
            </c:spPr>
            <c:txPr>
              <a:bodyPr wrap="square" lIns="38100" tIns="19050" rIns="38100" bIns="19050" anchor="ctr">
                <a:spAutoFit/>
              </a:bodyPr>
              <a:lstStyle/>
              <a:p>
                <a:pPr>
                  <a:defRPr sz="900"/>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#REF!</c:f>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6-55D5-4BE0-9954-9748198CF927}"/>
            </c:ext>
          </c:extLst>
        </c:ser>
        <c:dLbls>
          <c:showLegendKey val="0"/>
          <c:showVal val="0"/>
          <c:showCatName val="0"/>
          <c:showSerName val="0"/>
          <c:showPercent val="0"/>
          <c:showBubbleSize val="0"/>
        </c:dLbls>
        <c:axId val="192245696"/>
        <c:axId val="192246272"/>
      </c:scatterChart>
      <c:valAx>
        <c:axId val="192245696"/>
        <c:scaling>
          <c:orientation val="minMax"/>
          <c:max val="100"/>
          <c:min val="0"/>
        </c:scaling>
        <c:delete val="1"/>
        <c:axPos val="b"/>
        <c:majorGridlines>
          <c:spPr>
            <a:ln>
              <a:solidFill>
                <a:srgbClr val="808080"/>
              </a:solidFill>
            </a:ln>
          </c:spPr>
        </c:majorGridlines>
        <c:numFmt formatCode="0.0" sourceLinked="1"/>
        <c:majorTickMark val="none"/>
        <c:minorTickMark val="none"/>
        <c:tickLblPos val="low"/>
        <c:crossAx val="192246272"/>
        <c:crosses val="autoZero"/>
        <c:crossBetween val="midCat"/>
        <c:majorUnit val="10"/>
      </c:valAx>
      <c:valAx>
        <c:axId val="192246272"/>
        <c:scaling>
          <c:orientation val="minMax"/>
          <c:max val="100"/>
          <c:min val="0"/>
        </c:scaling>
        <c:delete val="1"/>
        <c:axPos val="l"/>
        <c:numFmt formatCode="General" sourceLinked="1"/>
        <c:majorTickMark val="out"/>
        <c:minorTickMark val="none"/>
        <c:tickLblPos val="nextTo"/>
        <c:crossAx val="192245696"/>
        <c:crosses val="autoZero"/>
        <c:crossBetween val="midCat"/>
        <c:majorUnit val="10"/>
      </c:valAx>
      <c:valAx>
        <c:axId val="192246848"/>
        <c:scaling>
          <c:orientation val="minMax"/>
          <c:max val="100"/>
          <c:min val="0"/>
        </c:scaling>
        <c:delete val="1"/>
        <c:axPos val="t"/>
        <c:numFmt formatCode="General" sourceLinked="1"/>
        <c:majorTickMark val="out"/>
        <c:minorTickMark val="none"/>
        <c:tickLblPos val="nextTo"/>
        <c:crossAx val="192124928"/>
        <c:crosses val="max"/>
        <c:crossBetween val="between"/>
      </c:valAx>
      <c:catAx>
        <c:axId val="192124928"/>
        <c:scaling>
          <c:orientation val="minMax"/>
        </c:scaling>
        <c:delete val="1"/>
        <c:axPos val="l"/>
        <c:majorTickMark val="out"/>
        <c:minorTickMark val="none"/>
        <c:tickLblPos val="nextTo"/>
        <c:crossAx val="192246848"/>
        <c:crosses val="autoZero"/>
        <c:auto val="1"/>
        <c:lblAlgn val="ctr"/>
        <c:lblOffset val="100"/>
        <c:noMultiLvlLbl val="0"/>
      </c:catAx>
      <c:spPr>
        <a:noFill/>
      </c:spPr>
    </c:plotArea>
    <c:plotVisOnly val="1"/>
    <c:dispBlanksAs val="gap"/>
    <c:showDLblsOverMax val="0"/>
  </c:chart>
  <c:spPr>
    <a:noFill/>
    <a:ln>
      <a:noFill/>
    </a:ln>
  </c:spPr>
  <c:printSettings>
    <c:headerFooter/>
    <c:pageMargins b="0.75000000000000522" l="0.70000000000000062" r="0.70000000000000062" t="0.750000000000005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800796452167612"/>
          <c:y val="7.9279279279279274E-2"/>
          <c:w val="0.48032793314628774"/>
          <c:h val="0.87604852096190677"/>
        </c:manualLayout>
      </c:layout>
      <c:barChart>
        <c:barDir val="col"/>
        <c:grouping val="stacked"/>
        <c:varyColors val="0"/>
        <c:ser>
          <c:idx val="0"/>
          <c:order val="0"/>
          <c:spPr>
            <a:solidFill>
              <a:schemeClr val="accent1">
                <a:lumMod val="20000"/>
                <a:lumOff val="8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iCountryComp_Scatter!$AT$22:$AV$22</c:f>
              <c:numCache>
                <c:formatCode>0.00</c:formatCode>
                <c:ptCount val="2"/>
                <c:pt idx="0">
                  <c:v>2.5</c:v>
                </c:pt>
                <c:pt idx="1">
                  <c:v>2.5</c:v>
                </c:pt>
              </c:numCache>
            </c:numRef>
          </c:val>
          <c:extLst>
            <c:ext xmlns:c16="http://schemas.microsoft.com/office/drawing/2014/chart" uri="{C3380CC4-5D6E-409C-BE32-E72D297353CC}">
              <c16:uniqueId val="{00000000-C2AE-47CB-B12C-DC9561F13FA8}"/>
            </c:ext>
          </c:extLst>
        </c:ser>
        <c:ser>
          <c:idx val="1"/>
          <c:order val="1"/>
          <c:spPr>
            <a:solidFill>
              <a:schemeClr val="accent1">
                <a:lumMod val="20000"/>
                <a:lumOff val="8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iCountryComp_Scatter!$AT$23:$AV$23</c:f>
              <c:numCache>
                <c:formatCode>0.00</c:formatCode>
                <c:ptCount val="2"/>
                <c:pt idx="0">
                  <c:v>2.5</c:v>
                </c:pt>
                <c:pt idx="1">
                  <c:v>2.5</c:v>
                </c:pt>
              </c:numCache>
            </c:numRef>
          </c:val>
          <c:extLst>
            <c:ext xmlns:c16="http://schemas.microsoft.com/office/drawing/2014/chart" uri="{C3380CC4-5D6E-409C-BE32-E72D297353CC}">
              <c16:uniqueId val="{00000001-C2AE-47CB-B12C-DC9561F13FA8}"/>
            </c:ext>
          </c:extLst>
        </c:ser>
        <c:ser>
          <c:idx val="2"/>
          <c:order val="2"/>
          <c:spPr>
            <a:solidFill>
              <a:schemeClr val="accent1">
                <a:lumMod val="20000"/>
                <a:lumOff val="8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iCountryComp_Scatter!$AT$24:$AV$24</c:f>
              <c:numCache>
                <c:formatCode>0.00</c:formatCode>
                <c:ptCount val="2"/>
                <c:pt idx="0">
                  <c:v>2.5</c:v>
                </c:pt>
                <c:pt idx="1">
                  <c:v>2.5</c:v>
                </c:pt>
              </c:numCache>
            </c:numRef>
          </c:val>
          <c:extLst>
            <c:ext xmlns:c16="http://schemas.microsoft.com/office/drawing/2014/chart" uri="{C3380CC4-5D6E-409C-BE32-E72D297353CC}">
              <c16:uniqueId val="{00000002-C2AE-47CB-B12C-DC9561F13FA8}"/>
            </c:ext>
          </c:extLst>
        </c:ser>
        <c:ser>
          <c:idx val="3"/>
          <c:order val="3"/>
          <c:spPr>
            <a:solidFill>
              <a:schemeClr val="accent1">
                <a:lumMod val="20000"/>
                <a:lumOff val="8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iCountryComp_Scatter!$AT$25:$AV$25</c:f>
              <c:numCache>
                <c:formatCode>0.00</c:formatCode>
                <c:ptCount val="2"/>
                <c:pt idx="0">
                  <c:v>2.5</c:v>
                </c:pt>
                <c:pt idx="1">
                  <c:v>2.5</c:v>
                </c:pt>
              </c:numCache>
            </c:numRef>
          </c:val>
          <c:extLst>
            <c:ext xmlns:c16="http://schemas.microsoft.com/office/drawing/2014/chart" uri="{C3380CC4-5D6E-409C-BE32-E72D297353CC}">
              <c16:uniqueId val="{00000003-C2AE-47CB-B12C-DC9561F13FA8}"/>
            </c:ext>
          </c:extLst>
        </c:ser>
        <c:ser>
          <c:idx val="4"/>
          <c:order val="4"/>
          <c:spPr>
            <a:solidFill>
              <a:schemeClr val="accent1">
                <a:lumMod val="20000"/>
                <a:lumOff val="8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iCountryComp_Scatter!$AT$26:$AV$26</c:f>
              <c:numCache>
                <c:formatCode>0.00</c:formatCode>
                <c:ptCount val="2"/>
                <c:pt idx="0">
                  <c:v>2.5</c:v>
                </c:pt>
                <c:pt idx="1">
                  <c:v>2.5</c:v>
                </c:pt>
              </c:numCache>
            </c:numRef>
          </c:val>
          <c:extLst>
            <c:ext xmlns:c16="http://schemas.microsoft.com/office/drawing/2014/chart" uri="{C3380CC4-5D6E-409C-BE32-E72D297353CC}">
              <c16:uniqueId val="{00000004-C2AE-47CB-B12C-DC9561F13FA8}"/>
            </c:ext>
          </c:extLst>
        </c:ser>
        <c:ser>
          <c:idx val="5"/>
          <c:order val="5"/>
          <c:spPr>
            <a:solidFill>
              <a:schemeClr val="accent1">
                <a:lumMod val="20000"/>
                <a:lumOff val="8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iCountryComp_Scatter!$AT$27:$AV$27</c:f>
              <c:numCache>
                <c:formatCode>0.00</c:formatCode>
                <c:ptCount val="2"/>
                <c:pt idx="0">
                  <c:v>2.5</c:v>
                </c:pt>
                <c:pt idx="1">
                  <c:v>2.5</c:v>
                </c:pt>
              </c:numCache>
            </c:numRef>
          </c:val>
          <c:extLst>
            <c:ext xmlns:c16="http://schemas.microsoft.com/office/drawing/2014/chart" uri="{C3380CC4-5D6E-409C-BE32-E72D297353CC}">
              <c16:uniqueId val="{00000005-C2AE-47CB-B12C-DC9561F13FA8}"/>
            </c:ext>
          </c:extLst>
        </c:ser>
        <c:ser>
          <c:idx val="6"/>
          <c:order val="6"/>
          <c:spPr>
            <a:solidFill>
              <a:schemeClr val="accent1">
                <a:lumMod val="20000"/>
                <a:lumOff val="8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iCountryComp_Scatter!$AT$28:$AV$28</c:f>
              <c:numCache>
                <c:formatCode>0.00</c:formatCode>
                <c:ptCount val="2"/>
                <c:pt idx="0">
                  <c:v>2.5</c:v>
                </c:pt>
                <c:pt idx="1">
                  <c:v>2.5</c:v>
                </c:pt>
              </c:numCache>
            </c:numRef>
          </c:val>
          <c:extLst>
            <c:ext xmlns:c16="http://schemas.microsoft.com/office/drawing/2014/chart" uri="{C3380CC4-5D6E-409C-BE32-E72D297353CC}">
              <c16:uniqueId val="{00000006-C2AE-47CB-B12C-DC9561F13FA8}"/>
            </c:ext>
          </c:extLst>
        </c:ser>
        <c:ser>
          <c:idx val="7"/>
          <c:order val="7"/>
          <c:spPr>
            <a:solidFill>
              <a:schemeClr val="accent1">
                <a:lumMod val="20000"/>
                <a:lumOff val="8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iCountryComp_Scatter!$AT$29:$AV$29</c:f>
              <c:numCache>
                <c:formatCode>0.00</c:formatCode>
                <c:ptCount val="2"/>
                <c:pt idx="0">
                  <c:v>2.5</c:v>
                </c:pt>
                <c:pt idx="1">
                  <c:v>2.5</c:v>
                </c:pt>
              </c:numCache>
            </c:numRef>
          </c:val>
          <c:extLst>
            <c:ext xmlns:c16="http://schemas.microsoft.com/office/drawing/2014/chart" uri="{C3380CC4-5D6E-409C-BE32-E72D297353CC}">
              <c16:uniqueId val="{00000007-C2AE-47CB-B12C-DC9561F13FA8}"/>
            </c:ext>
          </c:extLst>
        </c:ser>
        <c:ser>
          <c:idx val="8"/>
          <c:order val="8"/>
          <c:spPr>
            <a:solidFill>
              <a:schemeClr val="accent1">
                <a:lumMod val="20000"/>
                <a:lumOff val="8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iCountryComp_Scatter!$AT$30:$AV$30</c:f>
              <c:numCache>
                <c:formatCode>0.00</c:formatCode>
                <c:ptCount val="2"/>
                <c:pt idx="0">
                  <c:v>2.5</c:v>
                </c:pt>
                <c:pt idx="1">
                  <c:v>2.5</c:v>
                </c:pt>
              </c:numCache>
            </c:numRef>
          </c:val>
          <c:extLst>
            <c:ext xmlns:c16="http://schemas.microsoft.com/office/drawing/2014/chart" uri="{C3380CC4-5D6E-409C-BE32-E72D297353CC}">
              <c16:uniqueId val="{00000008-C2AE-47CB-B12C-DC9561F13FA8}"/>
            </c:ext>
          </c:extLst>
        </c:ser>
        <c:ser>
          <c:idx val="9"/>
          <c:order val="9"/>
          <c:spPr>
            <a:solidFill>
              <a:schemeClr val="accent1">
                <a:lumMod val="20000"/>
                <a:lumOff val="8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iCountryComp_Scatter!$AT$31:$AV$31</c:f>
              <c:numCache>
                <c:formatCode>0.00</c:formatCode>
                <c:ptCount val="2"/>
                <c:pt idx="0">
                  <c:v>2.5</c:v>
                </c:pt>
                <c:pt idx="1">
                  <c:v>2.5</c:v>
                </c:pt>
              </c:numCache>
            </c:numRef>
          </c:val>
          <c:extLst>
            <c:ext xmlns:c16="http://schemas.microsoft.com/office/drawing/2014/chart" uri="{C3380CC4-5D6E-409C-BE32-E72D297353CC}">
              <c16:uniqueId val="{00000009-C2AE-47CB-B12C-DC9561F13FA8}"/>
            </c:ext>
          </c:extLst>
        </c:ser>
        <c:ser>
          <c:idx val="10"/>
          <c:order val="10"/>
          <c:spPr>
            <a:solidFill>
              <a:schemeClr val="accent1">
                <a:lumMod val="40000"/>
                <a:lumOff val="6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iCountryComp_Scatter!$AT$32:$AV$32</c:f>
              <c:numCache>
                <c:formatCode>0.00</c:formatCode>
                <c:ptCount val="2"/>
                <c:pt idx="0">
                  <c:v>2.5</c:v>
                </c:pt>
                <c:pt idx="1">
                  <c:v>2.5</c:v>
                </c:pt>
              </c:numCache>
            </c:numRef>
          </c:val>
          <c:extLst>
            <c:ext xmlns:c16="http://schemas.microsoft.com/office/drawing/2014/chart" uri="{C3380CC4-5D6E-409C-BE32-E72D297353CC}">
              <c16:uniqueId val="{0000000A-C2AE-47CB-B12C-DC9561F13FA8}"/>
            </c:ext>
          </c:extLst>
        </c:ser>
        <c:ser>
          <c:idx val="11"/>
          <c:order val="11"/>
          <c:spPr>
            <a:solidFill>
              <a:schemeClr val="accent1">
                <a:lumMod val="40000"/>
                <a:lumOff val="6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iCountryComp_Scatter!$AT$33:$AV$33</c:f>
              <c:numCache>
                <c:formatCode>0.00</c:formatCode>
                <c:ptCount val="2"/>
                <c:pt idx="0">
                  <c:v>2.5</c:v>
                </c:pt>
                <c:pt idx="1">
                  <c:v>2.5</c:v>
                </c:pt>
              </c:numCache>
            </c:numRef>
          </c:val>
          <c:extLst>
            <c:ext xmlns:c16="http://schemas.microsoft.com/office/drawing/2014/chart" uri="{C3380CC4-5D6E-409C-BE32-E72D297353CC}">
              <c16:uniqueId val="{0000000B-C2AE-47CB-B12C-DC9561F13FA8}"/>
            </c:ext>
          </c:extLst>
        </c:ser>
        <c:ser>
          <c:idx val="12"/>
          <c:order val="12"/>
          <c:spPr>
            <a:solidFill>
              <a:schemeClr val="accent1">
                <a:lumMod val="40000"/>
                <a:lumOff val="6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iCountryComp_Scatter!$AT$34:$AV$34</c:f>
              <c:numCache>
                <c:formatCode>0.00</c:formatCode>
                <c:ptCount val="2"/>
                <c:pt idx="0">
                  <c:v>2.5</c:v>
                </c:pt>
                <c:pt idx="1">
                  <c:v>2.5</c:v>
                </c:pt>
              </c:numCache>
            </c:numRef>
          </c:val>
          <c:extLst>
            <c:ext xmlns:c16="http://schemas.microsoft.com/office/drawing/2014/chart" uri="{C3380CC4-5D6E-409C-BE32-E72D297353CC}">
              <c16:uniqueId val="{0000000C-C2AE-47CB-B12C-DC9561F13FA8}"/>
            </c:ext>
          </c:extLst>
        </c:ser>
        <c:ser>
          <c:idx val="13"/>
          <c:order val="13"/>
          <c:spPr>
            <a:solidFill>
              <a:schemeClr val="accent1">
                <a:lumMod val="40000"/>
                <a:lumOff val="6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iCountryComp_Scatter!$AT$35:$AV$35</c:f>
              <c:numCache>
                <c:formatCode>0.00</c:formatCode>
                <c:ptCount val="2"/>
                <c:pt idx="0">
                  <c:v>2.5</c:v>
                </c:pt>
                <c:pt idx="1">
                  <c:v>2.5</c:v>
                </c:pt>
              </c:numCache>
            </c:numRef>
          </c:val>
          <c:extLst>
            <c:ext xmlns:c16="http://schemas.microsoft.com/office/drawing/2014/chart" uri="{C3380CC4-5D6E-409C-BE32-E72D297353CC}">
              <c16:uniqueId val="{0000000D-C2AE-47CB-B12C-DC9561F13FA8}"/>
            </c:ext>
          </c:extLst>
        </c:ser>
        <c:ser>
          <c:idx val="14"/>
          <c:order val="14"/>
          <c:spPr>
            <a:solidFill>
              <a:schemeClr val="accent1">
                <a:lumMod val="40000"/>
                <a:lumOff val="6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iCountryComp_Scatter!$AT$36:$AV$36</c:f>
              <c:numCache>
                <c:formatCode>0.00</c:formatCode>
                <c:ptCount val="2"/>
                <c:pt idx="0">
                  <c:v>2.5</c:v>
                </c:pt>
                <c:pt idx="1">
                  <c:v>2.5</c:v>
                </c:pt>
              </c:numCache>
            </c:numRef>
          </c:val>
          <c:extLst>
            <c:ext xmlns:c16="http://schemas.microsoft.com/office/drawing/2014/chart" uri="{C3380CC4-5D6E-409C-BE32-E72D297353CC}">
              <c16:uniqueId val="{0000000E-C2AE-47CB-B12C-DC9561F13FA8}"/>
            </c:ext>
          </c:extLst>
        </c:ser>
        <c:ser>
          <c:idx val="15"/>
          <c:order val="15"/>
          <c:spPr>
            <a:solidFill>
              <a:schemeClr val="accent1">
                <a:lumMod val="40000"/>
                <a:lumOff val="6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iCountryComp_Scatter!$AT$37:$AV$37</c:f>
              <c:numCache>
                <c:formatCode>0.00</c:formatCode>
                <c:ptCount val="2"/>
                <c:pt idx="0">
                  <c:v>2.5</c:v>
                </c:pt>
                <c:pt idx="1">
                  <c:v>2.5</c:v>
                </c:pt>
              </c:numCache>
            </c:numRef>
          </c:val>
          <c:extLst>
            <c:ext xmlns:c16="http://schemas.microsoft.com/office/drawing/2014/chart" uri="{C3380CC4-5D6E-409C-BE32-E72D297353CC}">
              <c16:uniqueId val="{0000000F-C2AE-47CB-B12C-DC9561F13FA8}"/>
            </c:ext>
          </c:extLst>
        </c:ser>
        <c:ser>
          <c:idx val="16"/>
          <c:order val="16"/>
          <c:spPr>
            <a:solidFill>
              <a:schemeClr val="accent1">
                <a:lumMod val="40000"/>
                <a:lumOff val="6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iCountryComp_Scatter!$AT$38:$AV$38</c:f>
              <c:numCache>
                <c:formatCode>0.00</c:formatCode>
                <c:ptCount val="2"/>
                <c:pt idx="0">
                  <c:v>2.5</c:v>
                </c:pt>
                <c:pt idx="1">
                  <c:v>2.5</c:v>
                </c:pt>
              </c:numCache>
            </c:numRef>
          </c:val>
          <c:extLst>
            <c:ext xmlns:c16="http://schemas.microsoft.com/office/drawing/2014/chart" uri="{C3380CC4-5D6E-409C-BE32-E72D297353CC}">
              <c16:uniqueId val="{00000010-C2AE-47CB-B12C-DC9561F13FA8}"/>
            </c:ext>
          </c:extLst>
        </c:ser>
        <c:ser>
          <c:idx val="17"/>
          <c:order val="17"/>
          <c:spPr>
            <a:solidFill>
              <a:schemeClr val="accent1">
                <a:lumMod val="40000"/>
                <a:lumOff val="6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iCountryComp_Scatter!$AT$39:$AV$39</c:f>
              <c:numCache>
                <c:formatCode>0.00</c:formatCode>
                <c:ptCount val="2"/>
                <c:pt idx="0">
                  <c:v>2.5</c:v>
                </c:pt>
                <c:pt idx="1">
                  <c:v>2.5</c:v>
                </c:pt>
              </c:numCache>
            </c:numRef>
          </c:val>
          <c:extLst>
            <c:ext xmlns:c16="http://schemas.microsoft.com/office/drawing/2014/chart" uri="{C3380CC4-5D6E-409C-BE32-E72D297353CC}">
              <c16:uniqueId val="{00000011-C2AE-47CB-B12C-DC9561F13FA8}"/>
            </c:ext>
          </c:extLst>
        </c:ser>
        <c:ser>
          <c:idx val="18"/>
          <c:order val="18"/>
          <c:spPr>
            <a:solidFill>
              <a:schemeClr val="accent1">
                <a:lumMod val="40000"/>
                <a:lumOff val="6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iCountryComp_Scatter!$AT$40:$AV$40</c:f>
              <c:numCache>
                <c:formatCode>0.00</c:formatCode>
                <c:ptCount val="2"/>
                <c:pt idx="0">
                  <c:v>2.5</c:v>
                </c:pt>
                <c:pt idx="1">
                  <c:v>2.5</c:v>
                </c:pt>
              </c:numCache>
            </c:numRef>
          </c:val>
          <c:extLst>
            <c:ext xmlns:c16="http://schemas.microsoft.com/office/drawing/2014/chart" uri="{C3380CC4-5D6E-409C-BE32-E72D297353CC}">
              <c16:uniqueId val="{00000012-C2AE-47CB-B12C-DC9561F13FA8}"/>
            </c:ext>
          </c:extLst>
        </c:ser>
        <c:ser>
          <c:idx val="19"/>
          <c:order val="19"/>
          <c:spPr>
            <a:solidFill>
              <a:schemeClr val="accent1">
                <a:lumMod val="40000"/>
                <a:lumOff val="6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iCountryComp_Scatter!$AT$41:$AV$41</c:f>
              <c:numCache>
                <c:formatCode>0.00</c:formatCode>
                <c:ptCount val="2"/>
                <c:pt idx="0">
                  <c:v>2.5</c:v>
                </c:pt>
                <c:pt idx="1">
                  <c:v>2.5</c:v>
                </c:pt>
              </c:numCache>
            </c:numRef>
          </c:val>
          <c:extLst>
            <c:ext xmlns:c16="http://schemas.microsoft.com/office/drawing/2014/chart" uri="{C3380CC4-5D6E-409C-BE32-E72D297353CC}">
              <c16:uniqueId val="{00000013-C2AE-47CB-B12C-DC9561F13FA8}"/>
            </c:ext>
          </c:extLst>
        </c:ser>
        <c:ser>
          <c:idx val="20"/>
          <c:order val="20"/>
          <c:spPr>
            <a:solidFill>
              <a:schemeClr val="accent1">
                <a:lumMod val="60000"/>
                <a:lumOff val="4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iCountryComp_Scatter!$AT$42:$AV$42</c:f>
              <c:numCache>
                <c:formatCode>0.00</c:formatCode>
                <c:ptCount val="2"/>
                <c:pt idx="0">
                  <c:v>2.5</c:v>
                </c:pt>
                <c:pt idx="1">
                  <c:v>2.5</c:v>
                </c:pt>
              </c:numCache>
            </c:numRef>
          </c:val>
          <c:extLst>
            <c:ext xmlns:c16="http://schemas.microsoft.com/office/drawing/2014/chart" uri="{C3380CC4-5D6E-409C-BE32-E72D297353CC}">
              <c16:uniqueId val="{00000014-C2AE-47CB-B12C-DC9561F13FA8}"/>
            </c:ext>
          </c:extLst>
        </c:ser>
        <c:ser>
          <c:idx val="21"/>
          <c:order val="21"/>
          <c:spPr>
            <a:solidFill>
              <a:schemeClr val="accent1">
                <a:lumMod val="60000"/>
                <a:lumOff val="4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iCountryComp_Scatter!$AT$43:$AV$43</c:f>
              <c:numCache>
                <c:formatCode>0.00</c:formatCode>
                <c:ptCount val="2"/>
                <c:pt idx="0">
                  <c:v>2.5</c:v>
                </c:pt>
                <c:pt idx="1">
                  <c:v>2.5</c:v>
                </c:pt>
              </c:numCache>
            </c:numRef>
          </c:val>
          <c:extLst>
            <c:ext xmlns:c16="http://schemas.microsoft.com/office/drawing/2014/chart" uri="{C3380CC4-5D6E-409C-BE32-E72D297353CC}">
              <c16:uniqueId val="{00000015-C2AE-47CB-B12C-DC9561F13FA8}"/>
            </c:ext>
          </c:extLst>
        </c:ser>
        <c:ser>
          <c:idx val="22"/>
          <c:order val="22"/>
          <c:spPr>
            <a:solidFill>
              <a:schemeClr val="accent1">
                <a:lumMod val="60000"/>
                <a:lumOff val="4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iCountryComp_Scatter!$AT$44:$AV$44</c:f>
              <c:numCache>
                <c:formatCode>0.00</c:formatCode>
                <c:ptCount val="2"/>
                <c:pt idx="0">
                  <c:v>2.5</c:v>
                </c:pt>
                <c:pt idx="1">
                  <c:v>2.5</c:v>
                </c:pt>
              </c:numCache>
            </c:numRef>
          </c:val>
          <c:extLst>
            <c:ext xmlns:c16="http://schemas.microsoft.com/office/drawing/2014/chart" uri="{C3380CC4-5D6E-409C-BE32-E72D297353CC}">
              <c16:uniqueId val="{00000016-C2AE-47CB-B12C-DC9561F13FA8}"/>
            </c:ext>
          </c:extLst>
        </c:ser>
        <c:ser>
          <c:idx val="23"/>
          <c:order val="23"/>
          <c:spPr>
            <a:solidFill>
              <a:schemeClr val="accent1">
                <a:lumMod val="60000"/>
                <a:lumOff val="4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iCountryComp_Scatter!$AT$45:$AV$45</c:f>
              <c:numCache>
                <c:formatCode>0.00</c:formatCode>
                <c:ptCount val="2"/>
                <c:pt idx="0">
                  <c:v>2.5</c:v>
                </c:pt>
                <c:pt idx="1">
                  <c:v>2.5</c:v>
                </c:pt>
              </c:numCache>
            </c:numRef>
          </c:val>
          <c:extLst>
            <c:ext xmlns:c16="http://schemas.microsoft.com/office/drawing/2014/chart" uri="{C3380CC4-5D6E-409C-BE32-E72D297353CC}">
              <c16:uniqueId val="{00000017-C2AE-47CB-B12C-DC9561F13FA8}"/>
            </c:ext>
          </c:extLst>
        </c:ser>
        <c:ser>
          <c:idx val="24"/>
          <c:order val="24"/>
          <c:spPr>
            <a:solidFill>
              <a:schemeClr val="accent1">
                <a:lumMod val="60000"/>
                <a:lumOff val="4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iCountryComp_Scatter!$AT$46:$AV$46</c:f>
              <c:numCache>
                <c:formatCode>0.00</c:formatCode>
                <c:ptCount val="2"/>
                <c:pt idx="0">
                  <c:v>2.5</c:v>
                </c:pt>
                <c:pt idx="1">
                  <c:v>0</c:v>
                </c:pt>
              </c:numCache>
            </c:numRef>
          </c:val>
          <c:extLst>
            <c:ext xmlns:c16="http://schemas.microsoft.com/office/drawing/2014/chart" uri="{C3380CC4-5D6E-409C-BE32-E72D297353CC}">
              <c16:uniqueId val="{00000018-C2AE-47CB-B12C-DC9561F13FA8}"/>
            </c:ext>
          </c:extLst>
        </c:ser>
        <c:ser>
          <c:idx val="25"/>
          <c:order val="25"/>
          <c:spPr>
            <a:solidFill>
              <a:schemeClr val="accent1">
                <a:lumMod val="60000"/>
                <a:lumOff val="4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iCountryComp_Scatter!$AT$47:$AV$47</c:f>
              <c:numCache>
                <c:formatCode>0.00</c:formatCode>
                <c:ptCount val="2"/>
                <c:pt idx="0">
                  <c:v>2.5</c:v>
                </c:pt>
                <c:pt idx="1">
                  <c:v>0</c:v>
                </c:pt>
              </c:numCache>
            </c:numRef>
          </c:val>
          <c:extLst>
            <c:ext xmlns:c16="http://schemas.microsoft.com/office/drawing/2014/chart" uri="{C3380CC4-5D6E-409C-BE32-E72D297353CC}">
              <c16:uniqueId val="{00000019-C2AE-47CB-B12C-DC9561F13FA8}"/>
            </c:ext>
          </c:extLst>
        </c:ser>
        <c:ser>
          <c:idx val="26"/>
          <c:order val="26"/>
          <c:spPr>
            <a:solidFill>
              <a:schemeClr val="accent1">
                <a:lumMod val="60000"/>
                <a:lumOff val="4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iCountryComp_Scatter!$AT$48:$AV$48</c:f>
              <c:numCache>
                <c:formatCode>0.00</c:formatCode>
                <c:ptCount val="2"/>
                <c:pt idx="0">
                  <c:v>2.5</c:v>
                </c:pt>
                <c:pt idx="1">
                  <c:v>0</c:v>
                </c:pt>
              </c:numCache>
            </c:numRef>
          </c:val>
          <c:extLst>
            <c:ext xmlns:c16="http://schemas.microsoft.com/office/drawing/2014/chart" uri="{C3380CC4-5D6E-409C-BE32-E72D297353CC}">
              <c16:uniqueId val="{0000001A-C2AE-47CB-B12C-DC9561F13FA8}"/>
            </c:ext>
          </c:extLst>
        </c:ser>
        <c:ser>
          <c:idx val="27"/>
          <c:order val="27"/>
          <c:spPr>
            <a:solidFill>
              <a:schemeClr val="accent1">
                <a:lumMod val="60000"/>
                <a:lumOff val="4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iCountryComp_Scatter!$AT$49:$AV$49</c:f>
              <c:numCache>
                <c:formatCode>0.00</c:formatCode>
                <c:ptCount val="2"/>
                <c:pt idx="0">
                  <c:v>2.5</c:v>
                </c:pt>
                <c:pt idx="1">
                  <c:v>0</c:v>
                </c:pt>
              </c:numCache>
            </c:numRef>
          </c:val>
          <c:extLst>
            <c:ext xmlns:c16="http://schemas.microsoft.com/office/drawing/2014/chart" uri="{C3380CC4-5D6E-409C-BE32-E72D297353CC}">
              <c16:uniqueId val="{0000001B-C2AE-47CB-B12C-DC9561F13FA8}"/>
            </c:ext>
          </c:extLst>
        </c:ser>
        <c:ser>
          <c:idx val="28"/>
          <c:order val="28"/>
          <c:spPr>
            <a:solidFill>
              <a:schemeClr val="accent1">
                <a:lumMod val="60000"/>
                <a:lumOff val="4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iCountryComp_Scatter!$AT$50:$AV$50</c:f>
              <c:numCache>
                <c:formatCode>0.00</c:formatCode>
                <c:ptCount val="2"/>
                <c:pt idx="0">
                  <c:v>2.5</c:v>
                </c:pt>
                <c:pt idx="1">
                  <c:v>0</c:v>
                </c:pt>
              </c:numCache>
            </c:numRef>
          </c:val>
          <c:extLst>
            <c:ext xmlns:c16="http://schemas.microsoft.com/office/drawing/2014/chart" uri="{C3380CC4-5D6E-409C-BE32-E72D297353CC}">
              <c16:uniqueId val="{0000001C-C2AE-47CB-B12C-DC9561F13FA8}"/>
            </c:ext>
          </c:extLst>
        </c:ser>
        <c:ser>
          <c:idx val="29"/>
          <c:order val="29"/>
          <c:spPr>
            <a:solidFill>
              <a:schemeClr val="accent1">
                <a:lumMod val="60000"/>
                <a:lumOff val="40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iCountryComp_Scatter!$AT$51:$AV$51</c:f>
              <c:numCache>
                <c:formatCode>0.00</c:formatCode>
                <c:ptCount val="2"/>
                <c:pt idx="0">
                  <c:v>0</c:v>
                </c:pt>
                <c:pt idx="1">
                  <c:v>0</c:v>
                </c:pt>
              </c:numCache>
            </c:numRef>
          </c:val>
          <c:extLst>
            <c:ext xmlns:c16="http://schemas.microsoft.com/office/drawing/2014/chart" uri="{C3380CC4-5D6E-409C-BE32-E72D297353CC}">
              <c16:uniqueId val="{0000001D-C2AE-47CB-B12C-DC9561F13FA8}"/>
            </c:ext>
          </c:extLst>
        </c:ser>
        <c:ser>
          <c:idx val="30"/>
          <c:order val="30"/>
          <c:spPr>
            <a:solidFill>
              <a:schemeClr val="accent1">
                <a:lumMod val="75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iCountryComp_Scatter!$AT$54:$AV$54</c:f>
              <c:numCache>
                <c:formatCode>0.00</c:formatCode>
                <c:ptCount val="2"/>
                <c:pt idx="0">
                  <c:v>0</c:v>
                </c:pt>
                <c:pt idx="1">
                  <c:v>0</c:v>
                </c:pt>
              </c:numCache>
            </c:numRef>
          </c:val>
          <c:extLst>
            <c:ext xmlns:c16="http://schemas.microsoft.com/office/drawing/2014/chart" uri="{C3380CC4-5D6E-409C-BE32-E72D297353CC}">
              <c16:uniqueId val="{0000001E-C2AE-47CB-B12C-DC9561F13FA8}"/>
            </c:ext>
          </c:extLst>
        </c:ser>
        <c:ser>
          <c:idx val="31"/>
          <c:order val="31"/>
          <c:spPr>
            <a:solidFill>
              <a:schemeClr val="accent1">
                <a:lumMod val="75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iCountryComp_Scatter!$AT$55:$AV$55</c:f>
              <c:numCache>
                <c:formatCode>0.00</c:formatCode>
                <c:ptCount val="2"/>
                <c:pt idx="0">
                  <c:v>0</c:v>
                </c:pt>
                <c:pt idx="1">
                  <c:v>0</c:v>
                </c:pt>
              </c:numCache>
            </c:numRef>
          </c:val>
          <c:extLst>
            <c:ext xmlns:c16="http://schemas.microsoft.com/office/drawing/2014/chart" uri="{C3380CC4-5D6E-409C-BE32-E72D297353CC}">
              <c16:uniqueId val="{0000001F-C2AE-47CB-B12C-DC9561F13FA8}"/>
            </c:ext>
          </c:extLst>
        </c:ser>
        <c:ser>
          <c:idx val="32"/>
          <c:order val="32"/>
          <c:spPr>
            <a:solidFill>
              <a:schemeClr val="accent1">
                <a:lumMod val="75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iCountryComp_Scatter!$AT$56:$AV$56</c:f>
              <c:numCache>
                <c:formatCode>0.00</c:formatCode>
                <c:ptCount val="2"/>
                <c:pt idx="0">
                  <c:v>0</c:v>
                </c:pt>
                <c:pt idx="1">
                  <c:v>0</c:v>
                </c:pt>
              </c:numCache>
            </c:numRef>
          </c:val>
          <c:extLst>
            <c:ext xmlns:c16="http://schemas.microsoft.com/office/drawing/2014/chart" uri="{C3380CC4-5D6E-409C-BE32-E72D297353CC}">
              <c16:uniqueId val="{00000020-C2AE-47CB-B12C-DC9561F13FA8}"/>
            </c:ext>
          </c:extLst>
        </c:ser>
        <c:ser>
          <c:idx val="33"/>
          <c:order val="33"/>
          <c:spPr>
            <a:solidFill>
              <a:schemeClr val="accent1">
                <a:lumMod val="75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iCountryComp_Scatter!$AT$57:$AV$57</c:f>
              <c:numCache>
                <c:formatCode>0.00</c:formatCode>
                <c:ptCount val="2"/>
                <c:pt idx="0">
                  <c:v>0</c:v>
                </c:pt>
                <c:pt idx="1">
                  <c:v>0</c:v>
                </c:pt>
              </c:numCache>
            </c:numRef>
          </c:val>
          <c:extLst>
            <c:ext xmlns:c16="http://schemas.microsoft.com/office/drawing/2014/chart" uri="{C3380CC4-5D6E-409C-BE32-E72D297353CC}">
              <c16:uniqueId val="{00000021-C2AE-47CB-B12C-DC9561F13FA8}"/>
            </c:ext>
          </c:extLst>
        </c:ser>
        <c:ser>
          <c:idx val="34"/>
          <c:order val="34"/>
          <c:spPr>
            <a:solidFill>
              <a:schemeClr val="accent1">
                <a:lumMod val="75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iCountryComp_Scatter!$AT$58:$AV$58</c:f>
              <c:numCache>
                <c:formatCode>0.00</c:formatCode>
                <c:ptCount val="2"/>
                <c:pt idx="0">
                  <c:v>0</c:v>
                </c:pt>
                <c:pt idx="1">
                  <c:v>0</c:v>
                </c:pt>
              </c:numCache>
            </c:numRef>
          </c:val>
          <c:extLst>
            <c:ext xmlns:c16="http://schemas.microsoft.com/office/drawing/2014/chart" uri="{C3380CC4-5D6E-409C-BE32-E72D297353CC}">
              <c16:uniqueId val="{00000022-C2AE-47CB-B12C-DC9561F13FA8}"/>
            </c:ext>
          </c:extLst>
        </c:ser>
        <c:ser>
          <c:idx val="35"/>
          <c:order val="35"/>
          <c:spPr>
            <a:solidFill>
              <a:schemeClr val="accent1">
                <a:lumMod val="75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iCountryComp_Scatter!$AT$59:$AV$59</c:f>
              <c:numCache>
                <c:formatCode>0.00</c:formatCode>
                <c:ptCount val="2"/>
                <c:pt idx="0">
                  <c:v>0</c:v>
                </c:pt>
                <c:pt idx="1">
                  <c:v>0</c:v>
                </c:pt>
              </c:numCache>
            </c:numRef>
          </c:val>
          <c:extLst>
            <c:ext xmlns:c16="http://schemas.microsoft.com/office/drawing/2014/chart" uri="{C3380CC4-5D6E-409C-BE32-E72D297353CC}">
              <c16:uniqueId val="{00000023-C2AE-47CB-B12C-DC9561F13FA8}"/>
            </c:ext>
          </c:extLst>
        </c:ser>
        <c:ser>
          <c:idx val="36"/>
          <c:order val="36"/>
          <c:spPr>
            <a:solidFill>
              <a:schemeClr val="accent1">
                <a:lumMod val="75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iCountryComp_Scatter!$AT$60:$AV$60</c:f>
              <c:numCache>
                <c:formatCode>0.00</c:formatCode>
                <c:ptCount val="2"/>
                <c:pt idx="0">
                  <c:v>0</c:v>
                </c:pt>
                <c:pt idx="1">
                  <c:v>0</c:v>
                </c:pt>
              </c:numCache>
            </c:numRef>
          </c:val>
          <c:extLst>
            <c:ext xmlns:c16="http://schemas.microsoft.com/office/drawing/2014/chart" uri="{C3380CC4-5D6E-409C-BE32-E72D297353CC}">
              <c16:uniqueId val="{00000024-C2AE-47CB-B12C-DC9561F13FA8}"/>
            </c:ext>
          </c:extLst>
        </c:ser>
        <c:ser>
          <c:idx val="37"/>
          <c:order val="37"/>
          <c:spPr>
            <a:solidFill>
              <a:schemeClr val="accent1">
                <a:lumMod val="75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iCountryComp_Scatter!$AT$61:$AV$61</c:f>
              <c:numCache>
                <c:formatCode>0.00</c:formatCode>
                <c:ptCount val="2"/>
                <c:pt idx="0">
                  <c:v>0</c:v>
                </c:pt>
                <c:pt idx="1">
                  <c:v>0</c:v>
                </c:pt>
              </c:numCache>
            </c:numRef>
          </c:val>
          <c:extLst>
            <c:ext xmlns:c16="http://schemas.microsoft.com/office/drawing/2014/chart" uri="{C3380CC4-5D6E-409C-BE32-E72D297353CC}">
              <c16:uniqueId val="{00000025-C2AE-47CB-B12C-DC9561F13FA8}"/>
            </c:ext>
          </c:extLst>
        </c:ser>
        <c:ser>
          <c:idx val="38"/>
          <c:order val="38"/>
          <c:spPr>
            <a:solidFill>
              <a:schemeClr val="accent1">
                <a:lumMod val="75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iCountryComp_Scatter!$AT$62:$AV$62</c:f>
              <c:numCache>
                <c:formatCode>0.00</c:formatCode>
                <c:ptCount val="2"/>
                <c:pt idx="0">
                  <c:v>0</c:v>
                </c:pt>
                <c:pt idx="1">
                  <c:v>0</c:v>
                </c:pt>
              </c:numCache>
            </c:numRef>
          </c:val>
          <c:extLst>
            <c:ext xmlns:c16="http://schemas.microsoft.com/office/drawing/2014/chart" uri="{C3380CC4-5D6E-409C-BE32-E72D297353CC}">
              <c16:uniqueId val="{00000026-C2AE-47CB-B12C-DC9561F13FA8}"/>
            </c:ext>
          </c:extLst>
        </c:ser>
        <c:ser>
          <c:idx val="39"/>
          <c:order val="39"/>
          <c:spPr>
            <a:solidFill>
              <a:schemeClr val="accent1">
                <a:lumMod val="75000"/>
              </a:schemeClr>
            </a:solidFill>
            <a:ln>
              <a:solidFill>
                <a:schemeClr val="bg1"/>
              </a:solidFill>
            </a:ln>
            <a:effectLst/>
          </c:spPr>
          <c:invertIfNegative val="0"/>
          <c:cat>
            <c:strRef>
              <c:f>iCountryComp_Scatter!$AT$21:$AV$21</c:f>
              <c:strCache>
                <c:ptCount val="2"/>
                <c:pt idx="0">
                  <c:v>Amsterdam</c:v>
                </c:pt>
                <c:pt idx="1">
                  <c:v>Auckland</c:v>
                </c:pt>
              </c:strCache>
            </c:strRef>
          </c:cat>
          <c:val>
            <c:numRef>
              <c:f>iCountryComp_Scatter!$AT$63:$AV$63</c:f>
              <c:numCache>
                <c:formatCode>0.00</c:formatCode>
                <c:ptCount val="2"/>
                <c:pt idx="0">
                  <c:v>0</c:v>
                </c:pt>
                <c:pt idx="1">
                  <c:v>0</c:v>
                </c:pt>
              </c:numCache>
            </c:numRef>
          </c:val>
          <c:extLst>
            <c:ext xmlns:c16="http://schemas.microsoft.com/office/drawing/2014/chart" uri="{C3380CC4-5D6E-409C-BE32-E72D297353CC}">
              <c16:uniqueId val="{00000027-C2AE-47CB-B12C-DC9561F13FA8}"/>
            </c:ext>
          </c:extLst>
        </c:ser>
        <c:dLbls>
          <c:showLegendKey val="0"/>
          <c:showVal val="0"/>
          <c:showCatName val="0"/>
          <c:showSerName val="0"/>
          <c:showPercent val="0"/>
          <c:showBubbleSize val="0"/>
        </c:dLbls>
        <c:gapWidth val="50"/>
        <c:overlap val="100"/>
        <c:axId val="194799104"/>
        <c:axId val="194139200"/>
      </c:barChart>
      <c:catAx>
        <c:axId val="194799104"/>
        <c:scaling>
          <c:orientation val="minMax"/>
        </c:scaling>
        <c:delete val="1"/>
        <c:axPos val="b"/>
        <c:numFmt formatCode="General" sourceLinked="1"/>
        <c:majorTickMark val="none"/>
        <c:minorTickMark val="none"/>
        <c:tickLblPos val="nextTo"/>
        <c:crossAx val="194139200"/>
        <c:crosses val="autoZero"/>
        <c:auto val="1"/>
        <c:lblAlgn val="ctr"/>
        <c:lblOffset val="100"/>
        <c:noMultiLvlLbl val="0"/>
      </c:catAx>
      <c:valAx>
        <c:axId val="19413920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79910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367183268758072"/>
          <c:y val="0.21602337259689777"/>
          <c:w val="0.5925645370278082"/>
          <c:h val="0.64274903617156276"/>
        </c:manualLayout>
      </c:layout>
      <c:radarChart>
        <c:radarStyle val="marker"/>
        <c:varyColors val="0"/>
        <c:ser>
          <c:idx val="0"/>
          <c:order val="0"/>
          <c:tx>
            <c:strRef>
              <c:f>iCountryComp_Scatter!$AD$2</c:f>
              <c:strCache>
                <c:ptCount val="1"/>
                <c:pt idx="0">
                  <c:v>Amsterdam</c:v>
                </c:pt>
              </c:strCache>
            </c:strRef>
          </c:tx>
          <c:spPr>
            <a:ln w="22225" cap="rnd">
              <a:solidFill>
                <a:srgbClr val="0070C0"/>
              </a:solidFill>
              <a:round/>
            </a:ln>
            <a:effectLst/>
          </c:spPr>
          <c:marker>
            <c:symbol val="none"/>
          </c:marker>
          <c:cat>
            <c:strRef>
              <c:f>iCountryComp_Scatter!$AC$3:$AC$12</c:f>
              <c:strCache>
                <c:ptCount val="5"/>
                <c:pt idx="0">
                  <c:v>OVERALL SCORE</c:v>
                </c:pt>
                <c:pt idx="1">
                  <c:v>Connectivity</c:v>
                </c:pt>
                <c:pt idx="2">
                  <c:v>Services</c:v>
                </c:pt>
                <c:pt idx="3">
                  <c:v>Culture</c:v>
                </c:pt>
                <c:pt idx="4">
                  <c:v>Sustainability</c:v>
                </c:pt>
              </c:strCache>
            </c:strRef>
          </c:cat>
          <c:val>
            <c:numRef>
              <c:f>iCountryComp_Scatter!$AD$3:$AD$12</c:f>
              <c:numCache>
                <c:formatCode>0.00</c:formatCode>
                <c:ptCount val="5"/>
                <c:pt idx="0">
                  <c:v>74.599999999999994</c:v>
                </c:pt>
                <c:pt idx="1">
                  <c:v>77</c:v>
                </c:pt>
                <c:pt idx="2">
                  <c:v>73.2</c:v>
                </c:pt>
                <c:pt idx="3">
                  <c:v>62.1</c:v>
                </c:pt>
                <c:pt idx="4">
                  <c:v>85.4</c:v>
                </c:pt>
              </c:numCache>
            </c:numRef>
          </c:val>
          <c:extLst>
            <c:ext xmlns:c16="http://schemas.microsoft.com/office/drawing/2014/chart" uri="{C3380CC4-5D6E-409C-BE32-E72D297353CC}">
              <c16:uniqueId val="{00000000-5067-4590-8B49-7312C1DB2AE0}"/>
            </c:ext>
          </c:extLst>
        </c:ser>
        <c:ser>
          <c:idx val="1"/>
          <c:order val="1"/>
          <c:tx>
            <c:strRef>
              <c:f>iCountryComp_Scatter!$AE$2</c:f>
              <c:strCache>
                <c:ptCount val="1"/>
                <c:pt idx="0">
                  <c:v>Auckland</c:v>
                </c:pt>
              </c:strCache>
            </c:strRef>
          </c:tx>
          <c:spPr>
            <a:ln w="22225" cap="rnd">
              <a:solidFill>
                <a:schemeClr val="accent2"/>
              </a:solidFill>
              <a:prstDash val="solid"/>
              <a:round/>
            </a:ln>
            <a:effectLst/>
          </c:spPr>
          <c:marker>
            <c:symbol val="none"/>
          </c:marker>
          <c:cat>
            <c:strRef>
              <c:f>iCountryComp_Scatter!$AC$3:$AC$12</c:f>
              <c:strCache>
                <c:ptCount val="5"/>
                <c:pt idx="0">
                  <c:v>OVERALL SCORE</c:v>
                </c:pt>
                <c:pt idx="1">
                  <c:v>Connectivity</c:v>
                </c:pt>
                <c:pt idx="2">
                  <c:v>Services</c:v>
                </c:pt>
                <c:pt idx="3">
                  <c:v>Culture</c:v>
                </c:pt>
                <c:pt idx="4">
                  <c:v>Sustainability</c:v>
                </c:pt>
              </c:strCache>
            </c:strRef>
          </c:cat>
          <c:val>
            <c:numRef>
              <c:f>iCountryComp_Scatter!$AE$3:$AE$12</c:f>
              <c:numCache>
                <c:formatCode>0.00</c:formatCode>
                <c:ptCount val="5"/>
                <c:pt idx="0">
                  <c:v>60.1</c:v>
                </c:pt>
                <c:pt idx="1">
                  <c:v>59.7</c:v>
                </c:pt>
                <c:pt idx="2">
                  <c:v>49.5</c:v>
                </c:pt>
                <c:pt idx="3">
                  <c:v>67</c:v>
                </c:pt>
                <c:pt idx="4">
                  <c:v>68.099999999999994</c:v>
                </c:pt>
              </c:numCache>
            </c:numRef>
          </c:val>
          <c:extLst>
            <c:ext xmlns:c16="http://schemas.microsoft.com/office/drawing/2014/chart" uri="{C3380CC4-5D6E-409C-BE32-E72D297353CC}">
              <c16:uniqueId val="{00000001-5067-4590-8B49-7312C1DB2AE0}"/>
            </c:ext>
          </c:extLst>
        </c:ser>
        <c:ser>
          <c:idx val="2"/>
          <c:order val="2"/>
          <c:tx>
            <c:strRef>
              <c:f>iCountryComp_Scatter!$AF$2</c:f>
              <c:strCache>
                <c:ptCount val="1"/>
                <c:pt idx="0">
                  <c:v>Selected Average</c:v>
                </c:pt>
              </c:strCache>
            </c:strRef>
          </c:tx>
          <c:spPr>
            <a:ln w="22225" cap="rnd">
              <a:solidFill>
                <a:schemeClr val="accent3"/>
              </a:solidFill>
              <a:round/>
            </a:ln>
            <a:effectLst/>
          </c:spPr>
          <c:marker>
            <c:symbol val="none"/>
          </c:marker>
          <c:cat>
            <c:strRef>
              <c:f>iCountryComp_Scatter!$AC$3:$AC$12</c:f>
              <c:strCache>
                <c:ptCount val="5"/>
                <c:pt idx="0">
                  <c:v>OVERALL SCORE</c:v>
                </c:pt>
                <c:pt idx="1">
                  <c:v>Connectivity</c:v>
                </c:pt>
                <c:pt idx="2">
                  <c:v>Services</c:v>
                </c:pt>
                <c:pt idx="3">
                  <c:v>Culture</c:v>
                </c:pt>
                <c:pt idx="4">
                  <c:v>Sustainability</c:v>
                </c:pt>
              </c:strCache>
            </c:strRef>
          </c:cat>
          <c:val>
            <c:numRef>
              <c:f>iCountryComp_Scatter!$AF$3:$AF$12</c:f>
            </c:numRef>
          </c:val>
          <c:extLst>
            <c:ext xmlns:c16="http://schemas.microsoft.com/office/drawing/2014/chart" uri="{C3380CC4-5D6E-409C-BE32-E72D297353CC}">
              <c16:uniqueId val="{00000002-5067-4590-8B49-7312C1DB2AE0}"/>
            </c:ext>
          </c:extLst>
        </c:ser>
        <c:ser>
          <c:idx val="3"/>
          <c:order val="3"/>
          <c:tx>
            <c:strRef>
              <c:f>iCountryComp_Scatter!$AG$2</c:f>
              <c:strCache>
                <c:ptCount val="1"/>
                <c:pt idx="0">
                  <c:v>0.00</c:v>
                </c:pt>
              </c:strCache>
            </c:strRef>
          </c:tx>
          <c:spPr>
            <a:ln w="22225" cap="rnd">
              <a:solidFill>
                <a:srgbClr val="FFC000"/>
              </a:solidFill>
              <a:round/>
            </a:ln>
            <a:effectLst/>
          </c:spPr>
          <c:marker>
            <c:symbol val="none"/>
          </c:marker>
          <c:cat>
            <c:strRef>
              <c:f>iCountryComp_Scatter!$AC$3:$AC$12</c:f>
              <c:strCache>
                <c:ptCount val="5"/>
                <c:pt idx="0">
                  <c:v>OVERALL SCORE</c:v>
                </c:pt>
                <c:pt idx="1">
                  <c:v>Connectivity</c:v>
                </c:pt>
                <c:pt idx="2">
                  <c:v>Services</c:v>
                </c:pt>
                <c:pt idx="3">
                  <c:v>Culture</c:v>
                </c:pt>
                <c:pt idx="4">
                  <c:v>Sustainability</c:v>
                </c:pt>
              </c:strCache>
            </c:strRef>
          </c:cat>
          <c:val>
            <c:numRef>
              <c:f>iCountryComp_Scatter!$AG$3:$AG$12</c:f>
            </c:numRef>
          </c:val>
          <c:extLst>
            <c:ext xmlns:c16="http://schemas.microsoft.com/office/drawing/2014/chart" uri="{C3380CC4-5D6E-409C-BE32-E72D297353CC}">
              <c16:uniqueId val="{00000003-5067-4590-8B49-7312C1DB2AE0}"/>
            </c:ext>
          </c:extLst>
        </c:ser>
        <c:dLbls>
          <c:showLegendKey val="0"/>
          <c:showVal val="0"/>
          <c:showCatName val="0"/>
          <c:showSerName val="0"/>
          <c:showPercent val="0"/>
          <c:showBubbleSize val="0"/>
        </c:dLbls>
        <c:axId val="194532864"/>
        <c:axId val="163775616"/>
      </c:radarChart>
      <c:catAx>
        <c:axId val="1945328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3775616"/>
        <c:crosses val="autoZero"/>
        <c:auto val="1"/>
        <c:lblAlgn val="ctr"/>
        <c:lblOffset val="100"/>
        <c:noMultiLvlLbl val="0"/>
      </c:catAx>
      <c:valAx>
        <c:axId val="163775616"/>
        <c:scaling>
          <c:orientation val="minMax"/>
          <c:max val="100"/>
          <c:min val="0"/>
        </c:scaling>
        <c:delete val="0"/>
        <c:axPos val="l"/>
        <c:majorGridlines>
          <c:spPr>
            <a:ln w="9525" cap="flat" cmpd="sng" algn="ctr">
              <a:solidFill>
                <a:schemeClr val="accent1">
                  <a:alpha val="25000"/>
                </a:schemeClr>
              </a:solidFill>
              <a:round/>
            </a:ln>
            <a:effectLst/>
          </c:spPr>
        </c:majorGridlines>
        <c:numFmt formatCode="0" sourceLinked="0"/>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32864"/>
        <c:crosses val="autoZero"/>
        <c:crossBetween val="between"/>
        <c:majorUnit val="20"/>
      </c:valAx>
      <c:spPr>
        <a:noFill/>
        <a:ln>
          <a:noFill/>
        </a:ln>
        <a:effectLst/>
      </c:spPr>
    </c:plotArea>
    <c:legend>
      <c:legendPos val="t"/>
      <c:layout>
        <c:manualLayout>
          <c:xMode val="edge"/>
          <c:yMode val="edge"/>
          <c:x val="8.9745617240882883E-2"/>
          <c:y val="3.6173043075497915E-2"/>
          <c:w val="0.81180149949610725"/>
          <c:h val="0.1445836749654562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804047954895855E-2"/>
          <c:y val="0.14115942028985506"/>
          <c:w val="0.92082556120945813"/>
          <c:h val="0.81976952539017645"/>
        </c:manualLayout>
      </c:layout>
      <c:barChart>
        <c:barDir val="col"/>
        <c:grouping val="clustered"/>
        <c:varyColors val="0"/>
        <c:ser>
          <c:idx val="0"/>
          <c:order val="0"/>
          <c:tx>
            <c:strRef>
              <c:f>iRegionComp!$AC$8</c:f>
              <c:strCache>
                <c:ptCount val="1"/>
                <c:pt idx="0">
                  <c:v>OVERALL SCORE</c:v>
                </c:pt>
              </c:strCache>
            </c:strRef>
          </c:tx>
          <c:spPr>
            <a:solidFill>
              <a:schemeClr val="accent1"/>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1-7BC2-4899-9790-E4553F39C4BB}"/>
              </c:ext>
            </c:extLst>
          </c:dPt>
          <c:dPt>
            <c:idx val="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3-7BC2-4899-9790-E4553F39C4BB}"/>
              </c:ext>
            </c:extLst>
          </c:dPt>
          <c:dPt>
            <c:idx val="2"/>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7BC2-4899-9790-E4553F39C4BB}"/>
              </c:ext>
            </c:extLst>
          </c:dPt>
          <c:dPt>
            <c:idx val="3"/>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7BC2-4899-9790-E4553F39C4BB}"/>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9-7BC2-4899-9790-E4553F39C4BB}"/>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B-7BC2-4899-9790-E4553F39C4BB}"/>
              </c:ext>
            </c:extLst>
          </c:dPt>
          <c:dPt>
            <c:idx val="6"/>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D-7BC2-4899-9790-E4553F39C4BB}"/>
              </c:ext>
            </c:extLst>
          </c:dPt>
          <c:dPt>
            <c:idx val="7"/>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F-7BC2-4899-9790-E4553F39C4BB}"/>
              </c:ext>
            </c:extLst>
          </c:dPt>
          <c:dPt>
            <c:idx val="8"/>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11-7BC2-4899-9790-E4553F39C4BB}"/>
              </c:ext>
            </c:extLst>
          </c:dPt>
          <c:dPt>
            <c:idx val="9"/>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13-7BC2-4899-9790-E4553F39C4BB}"/>
              </c:ext>
            </c:extLst>
          </c:dPt>
          <c:dPt>
            <c:idx val="10"/>
            <c:invertIfNegative val="0"/>
            <c:bubble3D val="0"/>
            <c:spPr>
              <a:solidFill>
                <a:schemeClr val="bg1">
                  <a:lumMod val="95000"/>
                </a:schemeClr>
              </a:solidFill>
              <a:ln>
                <a:noFill/>
              </a:ln>
              <a:effectLst/>
            </c:spPr>
            <c:extLst>
              <c:ext xmlns:c16="http://schemas.microsoft.com/office/drawing/2014/chart" uri="{C3380CC4-5D6E-409C-BE32-E72D297353CC}">
                <c16:uniqueId val="{00000015-7BC2-4899-9790-E4553F39C4BB}"/>
              </c:ext>
            </c:extLst>
          </c:dPt>
          <c:dPt>
            <c:idx val="11"/>
            <c:invertIfNegative val="0"/>
            <c:bubble3D val="0"/>
            <c:spPr>
              <a:solidFill>
                <a:schemeClr val="bg1">
                  <a:lumMod val="95000"/>
                </a:schemeClr>
              </a:solidFill>
              <a:ln>
                <a:noFill/>
              </a:ln>
              <a:effectLst/>
            </c:spPr>
            <c:extLst>
              <c:ext xmlns:c16="http://schemas.microsoft.com/office/drawing/2014/chart" uri="{C3380CC4-5D6E-409C-BE32-E72D297353CC}">
                <c16:uniqueId val="{00000017-7BC2-4899-9790-E4553F39C4BB}"/>
              </c:ext>
            </c:extLst>
          </c:dPt>
          <c:dPt>
            <c:idx val="12"/>
            <c:invertIfNegative val="0"/>
            <c:bubble3D val="0"/>
            <c:spPr>
              <a:solidFill>
                <a:schemeClr val="bg1">
                  <a:lumMod val="95000"/>
                </a:schemeClr>
              </a:solidFill>
              <a:ln>
                <a:noFill/>
              </a:ln>
              <a:effectLst/>
            </c:spPr>
            <c:extLst>
              <c:ext xmlns:c16="http://schemas.microsoft.com/office/drawing/2014/chart" uri="{C3380CC4-5D6E-409C-BE32-E72D297353CC}">
                <c16:uniqueId val="{00000019-7BC2-4899-9790-E4553F39C4BB}"/>
              </c:ext>
            </c:extLst>
          </c:dPt>
          <c:dPt>
            <c:idx val="13"/>
            <c:invertIfNegative val="0"/>
            <c:bubble3D val="0"/>
            <c:spPr>
              <a:solidFill>
                <a:schemeClr val="bg1">
                  <a:lumMod val="95000"/>
                </a:schemeClr>
              </a:solidFill>
              <a:ln>
                <a:noFill/>
              </a:ln>
              <a:effectLst/>
            </c:spPr>
            <c:extLst>
              <c:ext xmlns:c16="http://schemas.microsoft.com/office/drawing/2014/chart" uri="{C3380CC4-5D6E-409C-BE32-E72D297353CC}">
                <c16:uniqueId val="{0000001B-7BC2-4899-9790-E4553F39C4BB}"/>
              </c:ext>
            </c:extLst>
          </c:dPt>
          <c:dPt>
            <c:idx val="1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D-7BC2-4899-9790-E4553F39C4B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iRegionComp!$AD$7:$AQ$7</c:f>
              <c:strCache>
                <c:ptCount val="14"/>
                <c:pt idx="0">
                  <c:v>All</c:v>
                </c:pt>
                <c:pt idx="1">
                  <c:v>All regions in all income levels with all population sizes</c:v>
                </c:pt>
                <c:pt idx="2">
                  <c:v>APAC</c:v>
                </c:pt>
                <c:pt idx="3">
                  <c:v>EUROPE</c:v>
                </c:pt>
                <c:pt idx="4">
                  <c:v>LATAM</c:v>
                </c:pt>
                <c:pt idx="5">
                  <c:v>MEA</c:v>
                </c:pt>
                <c:pt idx="6">
                  <c:v>NA</c:v>
                </c:pt>
                <c:pt idx="7">
                  <c:v>Low &amp; lower middle income</c:v>
                </c:pt>
                <c:pt idx="8">
                  <c:v>Upper middle income</c:v>
                </c:pt>
                <c:pt idx="9">
                  <c:v>High income</c:v>
                </c:pt>
                <c:pt idx="10">
                  <c:v>Population &lt; 5m</c:v>
                </c:pt>
                <c:pt idx="11">
                  <c:v>Population 5-10m</c:v>
                </c:pt>
                <c:pt idx="12">
                  <c:v>Population 10-15m</c:v>
                </c:pt>
                <c:pt idx="13">
                  <c:v>Population 15m +</c:v>
                </c:pt>
              </c:strCache>
            </c:strRef>
          </c:cat>
          <c:val>
            <c:numRef>
              <c:f>iRegionComp!$AD$8:$AQ$8</c:f>
              <c:numCache>
                <c:formatCode>General</c:formatCode>
                <c:ptCount val="14"/>
                <c:pt idx="0">
                  <c:v>63.3</c:v>
                </c:pt>
                <c:pt idx="1">
                  <c:v>63.3</c:v>
                </c:pt>
                <c:pt idx="2">
                  <c:v>59.4</c:v>
                </c:pt>
                <c:pt idx="3">
                  <c:v>70.099999999999994</c:v>
                </c:pt>
                <c:pt idx="4">
                  <c:v>46.1</c:v>
                </c:pt>
                <c:pt idx="5">
                  <c:v>63.8</c:v>
                </c:pt>
                <c:pt idx="6">
                  <c:v>70.8</c:v>
                </c:pt>
                <c:pt idx="7">
                  <c:v>41</c:v>
                </c:pt>
                <c:pt idx="8">
                  <c:v>53.2</c:v>
                </c:pt>
                <c:pt idx="9">
                  <c:v>69.400000000000006</c:v>
                </c:pt>
                <c:pt idx="10">
                  <c:v>69.099999999999994</c:v>
                </c:pt>
                <c:pt idx="11">
                  <c:v>67.599999999999994</c:v>
                </c:pt>
                <c:pt idx="12">
                  <c:v>58</c:v>
                </c:pt>
                <c:pt idx="13">
                  <c:v>56.2</c:v>
                </c:pt>
              </c:numCache>
            </c:numRef>
          </c:val>
          <c:extLst>
            <c:ext xmlns:c16="http://schemas.microsoft.com/office/drawing/2014/chart" uri="{C3380CC4-5D6E-409C-BE32-E72D297353CC}">
              <c16:uniqueId val="{0000001E-7BC2-4899-9790-E4553F39C4BB}"/>
            </c:ext>
          </c:extLst>
        </c:ser>
        <c:dLbls>
          <c:showLegendKey val="0"/>
          <c:showVal val="0"/>
          <c:showCatName val="0"/>
          <c:showSerName val="0"/>
          <c:showPercent val="0"/>
          <c:showBubbleSize val="0"/>
        </c:dLbls>
        <c:gapWidth val="68"/>
        <c:overlap val="100"/>
        <c:axId val="117323776"/>
        <c:axId val="96798400"/>
      </c:barChart>
      <c:catAx>
        <c:axId val="117323776"/>
        <c:scaling>
          <c:orientation val="minMax"/>
        </c:scaling>
        <c:delete val="1"/>
        <c:axPos val="b"/>
        <c:numFmt formatCode="General" sourceLinked="1"/>
        <c:majorTickMark val="none"/>
        <c:minorTickMark val="none"/>
        <c:tickLblPos val="nextTo"/>
        <c:crossAx val="96798400"/>
        <c:crosses val="autoZero"/>
        <c:auto val="1"/>
        <c:lblAlgn val="ctr"/>
        <c:lblOffset val="100"/>
        <c:noMultiLvlLbl val="0"/>
      </c:catAx>
      <c:valAx>
        <c:axId val="9679840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3237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4439922652848E-2"/>
          <c:y val="4.9401160294920754E-2"/>
          <c:w val="0.86237038580620518"/>
          <c:h val="0.83333525598014824"/>
        </c:manualLayout>
      </c:layout>
      <c:scatterChart>
        <c:scatterStyle val="lineMarker"/>
        <c:varyColors val="0"/>
        <c:ser>
          <c:idx val="0"/>
          <c:order val="0"/>
          <c:tx>
            <c:v>base</c:v>
          </c:tx>
          <c:spPr>
            <a:ln w="28575">
              <a:noFill/>
            </a:ln>
          </c:spPr>
          <c:marker>
            <c:symbol val="diamond"/>
            <c:size val="7"/>
            <c:spPr>
              <a:solidFill>
                <a:schemeClr val="bg1">
                  <a:lumMod val="50000"/>
                </a:schemeClr>
              </a:solidFill>
              <a:ln>
                <a:noFill/>
              </a:ln>
            </c:spPr>
          </c:marker>
          <c:trendline>
            <c:trendlineType val="linear"/>
            <c:dispRSqr val="0"/>
            <c:dispEq val="0"/>
          </c:trendline>
          <c:xVal>
            <c:numRef>
              <c:f>iScatter!$W$19:$W$48</c:f>
              <c:numCache>
                <c:formatCode>#,##0.00</c:formatCode>
                <c:ptCount val="30"/>
                <c:pt idx="0">
                  <c:v>74.599999999999994</c:v>
                </c:pt>
                <c:pt idx="1">
                  <c:v>60.1</c:v>
                </c:pt>
                <c:pt idx="2">
                  <c:v>49.1</c:v>
                </c:pt>
                <c:pt idx="3">
                  <c:v>69.7</c:v>
                </c:pt>
                <c:pt idx="4">
                  <c:v>73.7</c:v>
                </c:pt>
                <c:pt idx="5">
                  <c:v>68.2</c:v>
                </c:pt>
                <c:pt idx="6">
                  <c:v>45.1</c:v>
                </c:pt>
                <c:pt idx="7">
                  <c:v>81.5</c:v>
                </c:pt>
                <c:pt idx="8">
                  <c:v>68.7</c:v>
                </c:pt>
                <c:pt idx="9">
                  <c:v>63.8</c:v>
                </c:pt>
                <c:pt idx="10">
                  <c:v>69.099999999999994</c:v>
                </c:pt>
                <c:pt idx="11">
                  <c:v>68</c:v>
                </c:pt>
                <c:pt idx="12">
                  <c:v>43.5</c:v>
                </c:pt>
                <c:pt idx="13">
                  <c:v>58.2</c:v>
                </c:pt>
                <c:pt idx="14">
                  <c:v>73.599999999999994</c:v>
                </c:pt>
                <c:pt idx="15">
                  <c:v>63.2</c:v>
                </c:pt>
                <c:pt idx="16">
                  <c:v>39.1</c:v>
                </c:pt>
                <c:pt idx="17">
                  <c:v>42.6</c:v>
                </c:pt>
                <c:pt idx="18">
                  <c:v>40.299999999999997</c:v>
                </c:pt>
                <c:pt idx="19">
                  <c:v>73.3</c:v>
                </c:pt>
                <c:pt idx="20">
                  <c:v>70.2</c:v>
                </c:pt>
                <c:pt idx="21">
                  <c:v>61.2</c:v>
                </c:pt>
                <c:pt idx="22">
                  <c:v>50.7</c:v>
                </c:pt>
                <c:pt idx="23">
                  <c:v>73.599999999999994</c:v>
                </c:pt>
                <c:pt idx="24">
                  <c:v>71.400000000000006</c:v>
                </c:pt>
                <c:pt idx="25">
                  <c:v>72.599999999999994</c:v>
                </c:pt>
                <c:pt idx="26">
                  <c:v>63</c:v>
                </c:pt>
                <c:pt idx="27">
                  <c:v>70.099999999999994</c:v>
                </c:pt>
                <c:pt idx="28">
                  <c:v>71.2</c:v>
                </c:pt>
                <c:pt idx="29">
                  <c:v>70.099999999999994</c:v>
                </c:pt>
              </c:numCache>
            </c:numRef>
          </c:xVal>
          <c:yVal>
            <c:numRef>
              <c:f>iScatter!$X$19:$X$48</c:f>
              <c:numCache>
                <c:formatCode>#,##0.00</c:formatCode>
                <c:ptCount val="30"/>
                <c:pt idx="0">
                  <c:v>74.599999999999994</c:v>
                </c:pt>
                <c:pt idx="1">
                  <c:v>60.1</c:v>
                </c:pt>
                <c:pt idx="2">
                  <c:v>49.1</c:v>
                </c:pt>
                <c:pt idx="3">
                  <c:v>69.7</c:v>
                </c:pt>
                <c:pt idx="4">
                  <c:v>73.7</c:v>
                </c:pt>
                <c:pt idx="5">
                  <c:v>68.2</c:v>
                </c:pt>
                <c:pt idx="6">
                  <c:v>45.1</c:v>
                </c:pt>
                <c:pt idx="7">
                  <c:v>81.5</c:v>
                </c:pt>
                <c:pt idx="8">
                  <c:v>68.7</c:v>
                </c:pt>
                <c:pt idx="9">
                  <c:v>63.8</c:v>
                </c:pt>
                <c:pt idx="10">
                  <c:v>69.099999999999994</c:v>
                </c:pt>
                <c:pt idx="11">
                  <c:v>68</c:v>
                </c:pt>
                <c:pt idx="12">
                  <c:v>43.5</c:v>
                </c:pt>
                <c:pt idx="13">
                  <c:v>58.2</c:v>
                </c:pt>
                <c:pt idx="14">
                  <c:v>73.599999999999994</c:v>
                </c:pt>
                <c:pt idx="15">
                  <c:v>63.2</c:v>
                </c:pt>
                <c:pt idx="16">
                  <c:v>39.1</c:v>
                </c:pt>
                <c:pt idx="17">
                  <c:v>42.6</c:v>
                </c:pt>
                <c:pt idx="18">
                  <c:v>40.299999999999997</c:v>
                </c:pt>
                <c:pt idx="19">
                  <c:v>73.3</c:v>
                </c:pt>
                <c:pt idx="20">
                  <c:v>70.2</c:v>
                </c:pt>
                <c:pt idx="21">
                  <c:v>61.2</c:v>
                </c:pt>
                <c:pt idx="22">
                  <c:v>50.7</c:v>
                </c:pt>
                <c:pt idx="23">
                  <c:v>73.599999999999994</c:v>
                </c:pt>
                <c:pt idx="24">
                  <c:v>71.400000000000006</c:v>
                </c:pt>
                <c:pt idx="25">
                  <c:v>72.599999999999994</c:v>
                </c:pt>
                <c:pt idx="26">
                  <c:v>63</c:v>
                </c:pt>
                <c:pt idx="27">
                  <c:v>70.099999999999994</c:v>
                </c:pt>
                <c:pt idx="28">
                  <c:v>71.2</c:v>
                </c:pt>
                <c:pt idx="29">
                  <c:v>70.099999999999994</c:v>
                </c:pt>
              </c:numCache>
            </c:numRef>
          </c:yVal>
          <c:smooth val="0"/>
          <c:extLst>
            <c:ext xmlns:c16="http://schemas.microsoft.com/office/drawing/2014/chart" uri="{C3380CC4-5D6E-409C-BE32-E72D297353CC}">
              <c16:uniqueId val="{00000001-6447-4081-A3AF-72C381CF88BE}"/>
            </c:ext>
          </c:extLst>
        </c:ser>
        <c:ser>
          <c:idx val="1"/>
          <c:order val="1"/>
          <c:tx>
            <c:v>Highlighted</c:v>
          </c:tx>
          <c:spPr>
            <a:ln w="28575">
              <a:noFill/>
            </a:ln>
          </c:spPr>
          <c:marker>
            <c:symbol val="diamond"/>
            <c:size val="8"/>
            <c:spPr>
              <a:solidFill>
                <a:srgbClr val="FF9900"/>
              </a:solidFill>
              <a:ln>
                <a:solidFill>
                  <a:srgbClr val="FF9900"/>
                </a:solidFill>
                <a:prstDash val="solid"/>
              </a:ln>
            </c:spPr>
          </c:marker>
          <c:dLbls>
            <c:dLbl>
              <c:idx val="0"/>
              <c:tx>
                <c:rich>
                  <a:bodyPr/>
                  <a:lstStyle/>
                  <a:p>
                    <a:pPr>
                      <a:defRPr sz="800"/>
                    </a:pPr>
                    <a:endParaRPr lang="en-US"/>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47-4081-A3AF-72C381CF88BE}"/>
                </c:ext>
              </c:extLst>
            </c:dLbl>
            <c:dLbl>
              <c:idx val="1"/>
              <c:tx>
                <c:rich>
                  <a:bodyPr/>
                  <a:lstStyle/>
                  <a:p>
                    <a:pPr>
                      <a:defRPr sz="800"/>
                    </a:pPr>
                    <a:endParaRPr lang="en-US"/>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47-4081-A3AF-72C381CF88BE}"/>
                </c:ext>
              </c:extLst>
            </c:dLbl>
            <c:dLbl>
              <c:idx val="2"/>
              <c:tx>
                <c:rich>
                  <a:bodyPr/>
                  <a:lstStyle/>
                  <a:p>
                    <a:pPr>
                      <a:defRPr sz="800"/>
                    </a:pPr>
                    <a:endParaRPr lang="en-US"/>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47-4081-A3AF-72C381CF88BE}"/>
                </c:ext>
              </c:extLst>
            </c:dLbl>
            <c:dLbl>
              <c:idx val="3"/>
              <c:tx>
                <c:rich>
                  <a:bodyPr/>
                  <a:lstStyle/>
                  <a:p>
                    <a:pPr>
                      <a:defRPr sz="800"/>
                    </a:pPr>
                    <a:endParaRPr lang="en-US"/>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47-4081-A3AF-72C381CF88BE}"/>
                </c:ext>
              </c:extLst>
            </c:dLbl>
            <c:dLbl>
              <c:idx val="4"/>
              <c:tx>
                <c:rich>
                  <a:bodyPr/>
                  <a:lstStyle/>
                  <a:p>
                    <a:pPr>
                      <a:defRPr sz="800"/>
                    </a:pPr>
                    <a:endParaRPr lang="en-US"/>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47-4081-A3AF-72C381CF88BE}"/>
                </c:ext>
              </c:extLst>
            </c:dLbl>
            <c:dLbl>
              <c:idx val="5"/>
              <c:tx>
                <c:rich>
                  <a:bodyPr/>
                  <a:lstStyle/>
                  <a:p>
                    <a:pPr>
                      <a:defRPr sz="800"/>
                    </a:pPr>
                    <a:endParaRPr lang="en-US"/>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47-4081-A3AF-72C381CF88BE}"/>
                </c:ext>
              </c:extLst>
            </c:dLbl>
            <c:dLbl>
              <c:idx val="6"/>
              <c:tx>
                <c:rich>
                  <a:bodyPr/>
                  <a:lstStyle/>
                  <a:p>
                    <a:pPr>
                      <a:defRPr sz="800"/>
                    </a:pPr>
                    <a:endParaRPr lang="en-US"/>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47-4081-A3AF-72C381CF88BE}"/>
                </c:ext>
              </c:extLst>
            </c:dLbl>
            <c:dLbl>
              <c:idx val="7"/>
              <c:tx>
                <c:rich>
                  <a:bodyPr/>
                  <a:lstStyle/>
                  <a:p>
                    <a:pPr>
                      <a:defRPr sz="800"/>
                    </a:pPr>
                    <a:endParaRPr lang="en-US"/>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447-4081-A3AF-72C381CF88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iScatter!$Z$19:$Z$48</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xVal>
          <c:yVal>
            <c:numRef>
              <c:f>iScatter!$AA$19:$AA$48</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yVal>
          <c:smooth val="0"/>
          <c:extLst>
            <c:ext xmlns:c16="http://schemas.microsoft.com/office/drawing/2014/chart" uri="{C3380CC4-5D6E-409C-BE32-E72D297353CC}">
              <c16:uniqueId val="{0000000A-6447-4081-A3AF-72C381CF88BE}"/>
            </c:ext>
          </c:extLst>
        </c:ser>
        <c:ser>
          <c:idx val="2"/>
          <c:order val="2"/>
          <c:tx>
            <c:v>Labels</c:v>
          </c:tx>
          <c:spPr>
            <a:ln w="28575">
              <a:noFill/>
            </a:ln>
          </c:spPr>
          <c:marker>
            <c:symbol val="none"/>
          </c:marker>
          <c:dLbls>
            <c:dLbl>
              <c:idx val="0"/>
              <c:tx>
                <c:strRef>
                  <c:f>iScatter!$B$19</c:f>
                  <c:strCache>
                    <c:ptCount val="1"/>
                    <c:pt idx="0">
                      <c:v>Amsterdam</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{B4D1BAE0-71DF-485C-B624-2C6150043C3F}</c15:txfldGUID>
                      <c15:f>iScatter!$B$19</c15:f>
                      <c15:dlblFieldTableCache>
                        <c:ptCount val="1"/>
                        <c:pt idx="0">
                          <c:v>Amsterdam</c:v>
                        </c:pt>
                      </c15:dlblFieldTableCache>
                    </c15:dlblFTEntry>
                  </c15:dlblFieldTable>
                  <c15:showDataLabelsRange val="0"/>
                </c:ext>
                <c:ext xmlns:c16="http://schemas.microsoft.com/office/drawing/2014/chart" uri="{C3380CC4-5D6E-409C-BE32-E72D297353CC}">
                  <c16:uniqueId val="{0000000B-6447-4081-A3AF-72C381CF88BE}"/>
                </c:ext>
              </c:extLst>
            </c:dLbl>
            <c:dLbl>
              <c:idx val="1"/>
              <c:tx>
                <c:strRef>
                  <c:f>iScatter!$B$20</c:f>
                  <c:strCache>
                    <c:ptCount val="1"/>
                    <c:pt idx="0">
                      <c:v>Auckland</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{CDDA688B-2BF3-4A44-A4CA-C89FE1456342}</c15:txfldGUID>
                      <c15:f>iScatter!$B$20</c15:f>
                      <c15:dlblFieldTableCache>
                        <c:ptCount val="1"/>
                        <c:pt idx="0">
                          <c:v>Auckland</c:v>
                        </c:pt>
                      </c15:dlblFieldTableCache>
                    </c15:dlblFTEntry>
                  </c15:dlblFieldTable>
                  <c15:showDataLabelsRange val="0"/>
                </c:ext>
                <c:ext xmlns:c16="http://schemas.microsoft.com/office/drawing/2014/chart" uri="{C3380CC4-5D6E-409C-BE32-E72D297353CC}">
                  <c16:uniqueId val="{0000000C-6447-4081-A3AF-72C381CF88BE}"/>
                </c:ext>
              </c:extLst>
            </c:dLbl>
            <c:dLbl>
              <c:idx val="2"/>
              <c:tx>
                <c:strRef>
                  <c:f>iScatter!$B$21</c:f>
                  <c:strCache>
                    <c:ptCount val="1"/>
                    <c:pt idx="0">
                      <c:v>Bangkok</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{055C55D8-DB35-4C37-9738-6BB1FB20E0F4}</c15:txfldGUID>
                      <c15:f>iScatter!$B$21</c15:f>
                      <c15:dlblFieldTableCache>
                        <c:ptCount val="1"/>
                        <c:pt idx="0">
                          <c:v>Bangkok</c:v>
                        </c:pt>
                      </c15:dlblFieldTableCache>
                    </c15:dlblFTEntry>
                  </c15:dlblFieldTable>
                  <c15:showDataLabelsRange val="0"/>
                </c:ext>
                <c:ext xmlns:c16="http://schemas.microsoft.com/office/drawing/2014/chart" uri="{C3380CC4-5D6E-409C-BE32-E72D297353CC}">
                  <c16:uniqueId val="{0000000D-6447-4081-A3AF-72C381CF88BE}"/>
                </c:ext>
              </c:extLst>
            </c:dLbl>
            <c:dLbl>
              <c:idx val="3"/>
              <c:tx>
                <c:strRef>
                  <c:f>iScatter!$B$22</c:f>
                  <c:strCache>
                    <c:ptCount val="1"/>
                    <c:pt idx="0">
                      <c:v>Barcelona</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{A2F24968-9A6D-4EAA-B1AB-A03A3E916B5F}</c15:txfldGUID>
                      <c15:f>iScatter!$B$22</c15:f>
                      <c15:dlblFieldTableCache>
                        <c:ptCount val="1"/>
                        <c:pt idx="0">
                          <c:v>Barcelona</c:v>
                        </c:pt>
                      </c15:dlblFieldTableCache>
                    </c15:dlblFTEntry>
                  </c15:dlblFieldTable>
                  <c15:showDataLabelsRange val="0"/>
                </c:ext>
                <c:ext xmlns:c16="http://schemas.microsoft.com/office/drawing/2014/chart" uri="{C3380CC4-5D6E-409C-BE32-E72D297353CC}">
                  <c16:uniqueId val="{0000000E-6447-4081-A3AF-72C381CF88BE}"/>
                </c:ext>
              </c:extLst>
            </c:dLbl>
            <c:dLbl>
              <c:idx val="4"/>
              <c:tx>
                <c:strRef>
                  <c:f>iScatter!$B$23</c:f>
                  <c:strCache>
                    <c:ptCount val="1"/>
                    <c:pt idx="0">
                      <c:v>Beijing</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{7E59A94F-90A2-4C24-8043-7364ED74C2F2}</c15:txfldGUID>
                      <c15:f>iScatter!$B$23</c15:f>
                      <c15:dlblFieldTableCache>
                        <c:ptCount val="1"/>
                        <c:pt idx="0">
                          <c:v>Beijing</c:v>
                        </c:pt>
                      </c15:dlblFieldTableCache>
                    </c15:dlblFTEntry>
                  </c15:dlblFieldTable>
                  <c15:showDataLabelsRange val="0"/>
                </c:ext>
                <c:ext xmlns:c16="http://schemas.microsoft.com/office/drawing/2014/chart" uri="{C3380CC4-5D6E-409C-BE32-E72D297353CC}">
                  <c16:uniqueId val="{0000000F-6447-4081-A3AF-72C381CF88BE}"/>
                </c:ext>
              </c:extLst>
            </c:dLbl>
            <c:dLbl>
              <c:idx val="5"/>
              <c:tx>
                <c:strRef>
                  <c:f>iScatter!$B$24</c:f>
                  <c:strCache>
                    <c:ptCount val="1"/>
                    <c:pt idx="0">
                      <c:v>Berlin</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{8066CF40-6BE2-436D-BF4F-190D78480363}</c15:txfldGUID>
                      <c15:f>iScatter!$B$24</c15:f>
                      <c15:dlblFieldTableCache>
                        <c:ptCount val="1"/>
                        <c:pt idx="0">
                          <c:v>Berlin</c:v>
                        </c:pt>
                      </c15:dlblFieldTableCache>
                    </c15:dlblFTEntry>
                  </c15:dlblFieldTable>
                  <c15:showDataLabelsRange val="0"/>
                </c:ext>
                <c:ext xmlns:c16="http://schemas.microsoft.com/office/drawing/2014/chart" uri="{C3380CC4-5D6E-409C-BE32-E72D297353CC}">
                  <c16:uniqueId val="{00000010-6447-4081-A3AF-72C381CF88BE}"/>
                </c:ext>
              </c:extLst>
            </c:dLbl>
            <c:dLbl>
              <c:idx val="6"/>
              <c:tx>
                <c:strRef>
                  <c:f>iScatter!$B$25</c:f>
                  <c:strCache>
                    <c:ptCount val="1"/>
                    <c:pt idx="0">
                      <c:v>Buenos Aires</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{E2C27DC5-FB7F-4A34-AAD3-0E8C7E1C557F}</c15:txfldGUID>
                      <c15:f>iScatter!$B$25</c15:f>
                      <c15:dlblFieldTableCache>
                        <c:ptCount val="1"/>
                        <c:pt idx="0">
                          <c:v>Buenos Aires</c:v>
                        </c:pt>
                      </c15:dlblFieldTableCache>
                    </c15:dlblFTEntry>
                  </c15:dlblFieldTable>
                  <c15:showDataLabelsRange val="0"/>
                </c:ext>
                <c:ext xmlns:c16="http://schemas.microsoft.com/office/drawing/2014/chart" uri="{C3380CC4-5D6E-409C-BE32-E72D297353CC}">
                  <c16:uniqueId val="{00000011-6447-4081-A3AF-72C381CF88BE}"/>
                </c:ext>
              </c:extLst>
            </c:dLbl>
            <c:dLbl>
              <c:idx val="7"/>
              <c:tx>
                <c:strRef>
                  <c:f>iScatter!$B$26</c:f>
                  <c:strCache>
                    <c:ptCount val="1"/>
                    <c:pt idx="0">
                      <c:v>Copenhagen</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{938D7109-3945-4630-BE41-FB329F0DDE3D}</c15:txfldGUID>
                      <c15:f>iScatter!$B$26</c15:f>
                      <c15:dlblFieldTableCache>
                        <c:ptCount val="1"/>
                        <c:pt idx="0">
                          <c:v>Copenhagen</c:v>
                        </c:pt>
                      </c15:dlblFieldTableCache>
                    </c15:dlblFTEntry>
                  </c15:dlblFieldTable>
                  <c15:showDataLabelsRange val="0"/>
                </c:ext>
                <c:ext xmlns:c16="http://schemas.microsoft.com/office/drawing/2014/chart" uri="{C3380CC4-5D6E-409C-BE32-E72D297353CC}">
                  <c16:uniqueId val="{00000012-6447-4081-A3AF-72C381CF88BE}"/>
                </c:ext>
              </c:extLst>
            </c:dLbl>
            <c:dLbl>
              <c:idx val="8"/>
              <c:tx>
                <c:strRef>
                  <c:f>iScatter!$B$27</c:f>
                  <c:strCache>
                    <c:ptCount val="1"/>
                    <c:pt idx="0">
                      <c:v>Dallas</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{25DEDEC4-A54E-4B74-95F0-4B7EDD688110}</c15:txfldGUID>
                      <c15:f>iScatter!$B$27</c15:f>
                      <c15:dlblFieldTableCache>
                        <c:ptCount val="1"/>
                        <c:pt idx="0">
                          <c:v>Dallas</c:v>
                        </c:pt>
                      </c15:dlblFieldTableCache>
                    </c15:dlblFTEntry>
                  </c15:dlblFieldTable>
                  <c15:showDataLabelsRange val="0"/>
                </c:ext>
                <c:ext xmlns:c16="http://schemas.microsoft.com/office/drawing/2014/chart" uri="{C3380CC4-5D6E-409C-BE32-E72D297353CC}">
                  <c16:uniqueId val="{00000013-6447-4081-A3AF-72C381CF88BE}"/>
                </c:ext>
              </c:extLst>
            </c:dLbl>
            <c:dLbl>
              <c:idx val="9"/>
              <c:tx>
                <c:strRef>
                  <c:f>iScatter!$B$28</c:f>
                  <c:strCache>
                    <c:ptCount val="1"/>
                    <c:pt idx="0">
                      <c:v>Dubai</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{F83535F6-9916-415D-9017-148FB5D79853}</c15:txfldGUID>
                      <c15:f>iScatter!$B$28</c15:f>
                      <c15:dlblFieldTableCache>
                        <c:ptCount val="1"/>
                        <c:pt idx="0">
                          <c:v>Dubai</c:v>
                        </c:pt>
                      </c15:dlblFieldTableCache>
                    </c15:dlblFTEntry>
                  </c15:dlblFieldTable>
                  <c15:showDataLabelsRange val="0"/>
                </c:ext>
                <c:ext xmlns:c16="http://schemas.microsoft.com/office/drawing/2014/chart" uri="{C3380CC4-5D6E-409C-BE32-E72D297353CC}">
                  <c16:uniqueId val="{00000014-6447-4081-A3AF-72C381CF88BE}"/>
                </c:ext>
              </c:extLst>
            </c:dLbl>
            <c:dLbl>
              <c:idx val="10"/>
              <c:tx>
                <c:strRef>
                  <c:f>iScatter!$B$29</c:f>
                  <c:strCache>
                    <c:ptCount val="1"/>
                    <c:pt idx="0">
                      <c:v>Frankfurt</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{AB58608A-56FB-4763-9723-F126998F733F}</c15:txfldGUID>
                      <c15:f>iScatter!$B$29</c15:f>
                      <c15:dlblFieldTableCache>
                        <c:ptCount val="1"/>
                        <c:pt idx="0">
                          <c:v>Frankfurt</c:v>
                        </c:pt>
                      </c15:dlblFieldTableCache>
                    </c15:dlblFTEntry>
                  </c15:dlblFieldTable>
                  <c15:showDataLabelsRange val="0"/>
                </c:ext>
                <c:ext xmlns:c16="http://schemas.microsoft.com/office/drawing/2014/chart" uri="{C3380CC4-5D6E-409C-BE32-E72D297353CC}">
                  <c16:uniqueId val="{00000015-6447-4081-A3AF-72C381CF88BE}"/>
                </c:ext>
              </c:extLst>
            </c:dLbl>
            <c:dLbl>
              <c:idx val="11"/>
              <c:tx>
                <c:strRef>
                  <c:f>iScatter!$B$30</c:f>
                  <c:strCache>
                    <c:ptCount val="1"/>
                    <c:pt idx="0">
                      <c:v>Hong Kong</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{99F384A5-400C-4732-AC82-5880F37F48A7}</c15:txfldGUID>
                      <c15:f>iScatter!$B$30</c15:f>
                      <c15:dlblFieldTableCache>
                        <c:ptCount val="1"/>
                        <c:pt idx="0">
                          <c:v>Hong Kong</c:v>
                        </c:pt>
                      </c15:dlblFieldTableCache>
                    </c15:dlblFTEntry>
                  </c15:dlblFieldTable>
                  <c15:showDataLabelsRange val="0"/>
                </c:ext>
                <c:ext xmlns:c16="http://schemas.microsoft.com/office/drawing/2014/chart" uri="{C3380CC4-5D6E-409C-BE32-E72D297353CC}">
                  <c16:uniqueId val="{00000016-6447-4081-A3AF-72C381CF88BE}"/>
                </c:ext>
              </c:extLst>
            </c:dLbl>
            <c:dLbl>
              <c:idx val="12"/>
              <c:tx>
                <c:strRef>
                  <c:f>iScatter!$B$31</c:f>
                  <c:strCache>
                    <c:ptCount val="1"/>
                    <c:pt idx="0">
                      <c:v>Jakarta</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{0D55EFE1-F317-46A4-99E3-7E1489195DCF}</c15:txfldGUID>
                      <c15:f>iScatter!$B$31</c15:f>
                      <c15:dlblFieldTableCache>
                        <c:ptCount val="1"/>
                        <c:pt idx="0">
                          <c:v>Jakarta</c:v>
                        </c:pt>
                      </c15:dlblFieldTableCache>
                    </c15:dlblFTEntry>
                  </c15:dlblFieldTable>
                  <c15:showDataLabelsRange val="0"/>
                </c:ext>
                <c:ext xmlns:c16="http://schemas.microsoft.com/office/drawing/2014/chart" uri="{C3380CC4-5D6E-409C-BE32-E72D297353CC}">
                  <c16:uniqueId val="{00000017-6447-4081-A3AF-72C381CF88BE}"/>
                </c:ext>
              </c:extLst>
            </c:dLbl>
            <c:dLbl>
              <c:idx val="13"/>
              <c:tx>
                <c:strRef>
                  <c:f>iScatter!$B$32</c:f>
                  <c:strCache>
                    <c:ptCount val="1"/>
                    <c:pt idx="0">
                      <c:v>Kuala Lumpur</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{4BE0C2F9-CC20-4671-B701-8F0DB17ED2F8}</c15:txfldGUID>
                      <c15:f>iScatter!$B$32</c15:f>
                      <c15:dlblFieldTableCache>
                        <c:ptCount val="1"/>
                        <c:pt idx="0">
                          <c:v>Kuala Lumpur</c:v>
                        </c:pt>
                      </c15:dlblFieldTableCache>
                    </c15:dlblFTEntry>
                  </c15:dlblFieldTable>
                  <c15:showDataLabelsRange val="0"/>
                </c:ext>
                <c:ext xmlns:c16="http://schemas.microsoft.com/office/drawing/2014/chart" uri="{C3380CC4-5D6E-409C-BE32-E72D297353CC}">
                  <c16:uniqueId val="{00000018-6447-4081-A3AF-72C381CF88BE}"/>
                </c:ext>
              </c:extLst>
            </c:dLbl>
            <c:dLbl>
              <c:idx val="14"/>
              <c:tx>
                <c:strRef>
                  <c:f>iScatter!$B$33</c:f>
                  <c:strCache>
                    <c:ptCount val="1"/>
                    <c:pt idx="0">
                      <c:v>London</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{5770AD1C-8A6E-466C-9D79-A49A9DA981DB}</c15:txfldGUID>
                      <c15:f>iScatter!$B$33</c15:f>
                      <c15:dlblFieldTableCache>
                        <c:ptCount val="1"/>
                        <c:pt idx="0">
                          <c:v>London</c:v>
                        </c:pt>
                      </c15:dlblFieldTableCache>
                    </c15:dlblFTEntry>
                  </c15:dlblFieldTable>
                  <c15:showDataLabelsRange val="0"/>
                </c:ext>
                <c:ext xmlns:c16="http://schemas.microsoft.com/office/drawing/2014/chart" uri="{C3380CC4-5D6E-409C-BE32-E72D297353CC}">
                  <c16:uniqueId val="{00000019-6447-4081-A3AF-72C381CF88BE}"/>
                </c:ext>
              </c:extLst>
            </c:dLbl>
            <c:dLbl>
              <c:idx val="15"/>
              <c:tx>
                <c:strRef>
                  <c:f>iScatter!$B$34</c:f>
                  <c:strCache>
                    <c:ptCount val="1"/>
                    <c:pt idx="0">
                      <c:v>Madrid</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{491BE46F-B383-49B9-B528-72FF27AA4FF6}</c15:txfldGUID>
                      <c15:f>iScatter!$B$34</c15:f>
                      <c15:dlblFieldTableCache>
                        <c:ptCount val="1"/>
                        <c:pt idx="0">
                          <c:v>Madrid</c:v>
                        </c:pt>
                      </c15:dlblFieldTableCache>
                    </c15:dlblFTEntry>
                  </c15:dlblFieldTable>
                  <c15:showDataLabelsRange val="0"/>
                </c:ext>
                <c:ext xmlns:c16="http://schemas.microsoft.com/office/drawing/2014/chart" uri="{C3380CC4-5D6E-409C-BE32-E72D297353CC}">
                  <c16:uniqueId val="{0000001A-6447-4081-A3AF-72C381CF88BE}"/>
                </c:ext>
              </c:extLst>
            </c:dLbl>
            <c:dLbl>
              <c:idx val="16"/>
              <c:tx>
                <c:strRef>
                  <c:f>iScatter!$B$35</c:f>
                  <c:strCache>
                    <c:ptCount val="1"/>
                    <c:pt idx="0">
                      <c:v>Manila</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{568EE182-D3B0-48F6-A28B-CE9F4E104FE6}</c15:txfldGUID>
                      <c15:f>iScatter!$B$35</c15:f>
                      <c15:dlblFieldTableCache>
                        <c:ptCount val="1"/>
                        <c:pt idx="0">
                          <c:v>Manila</c:v>
                        </c:pt>
                      </c15:dlblFieldTableCache>
                    </c15:dlblFTEntry>
                  </c15:dlblFieldTable>
                  <c15:showDataLabelsRange val="0"/>
                </c:ext>
                <c:ext xmlns:c16="http://schemas.microsoft.com/office/drawing/2014/chart" uri="{C3380CC4-5D6E-409C-BE32-E72D297353CC}">
                  <c16:uniqueId val="{0000001B-6447-4081-A3AF-72C381CF88BE}"/>
                </c:ext>
              </c:extLst>
            </c:dLbl>
            <c:dLbl>
              <c:idx val="17"/>
              <c:tx>
                <c:strRef>
                  <c:f>iScatter!$B$36</c:f>
                  <c:strCache>
                    <c:ptCount val="1"/>
                    <c:pt idx="0">
                      <c:v>Mexico City</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{C1B4738E-5135-4055-BD12-EDBD7F518106}</c15:txfldGUID>
                      <c15:f>iScatter!$B$36</c15:f>
                      <c15:dlblFieldTableCache>
                        <c:ptCount val="1"/>
                        <c:pt idx="0">
                          <c:v>Mexico City</c:v>
                        </c:pt>
                      </c15:dlblFieldTableCache>
                    </c15:dlblFTEntry>
                  </c15:dlblFieldTable>
                  <c15:showDataLabelsRange val="0"/>
                </c:ext>
                <c:ext xmlns:c16="http://schemas.microsoft.com/office/drawing/2014/chart" uri="{C3380CC4-5D6E-409C-BE32-E72D297353CC}">
                  <c16:uniqueId val="{0000001C-6447-4081-A3AF-72C381CF88BE}"/>
                </c:ext>
              </c:extLst>
            </c:dLbl>
            <c:dLbl>
              <c:idx val="18"/>
              <c:tx>
                <c:strRef>
                  <c:f>iScatter!$B$37</c:f>
                  <c:strCache>
                    <c:ptCount val="1"/>
                    <c:pt idx="0">
                      <c:v>New Delhi</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{DC82AA47-67D5-4771-AA2C-8FE8F1773C72}</c15:txfldGUID>
                      <c15:f>iScatter!$B$37</c15:f>
                      <c15:dlblFieldTableCache>
                        <c:ptCount val="1"/>
                        <c:pt idx="0">
                          <c:v>New Delhi</c:v>
                        </c:pt>
                      </c15:dlblFieldTableCache>
                    </c15:dlblFTEntry>
                  </c15:dlblFieldTable>
                  <c15:showDataLabelsRange val="0"/>
                </c:ext>
                <c:ext xmlns:c16="http://schemas.microsoft.com/office/drawing/2014/chart" uri="{C3380CC4-5D6E-409C-BE32-E72D297353CC}">
                  <c16:uniqueId val="{0000001D-6447-4081-A3AF-72C381CF88BE}"/>
                </c:ext>
              </c:extLst>
            </c:dLbl>
            <c:dLbl>
              <c:idx val="19"/>
              <c:tx>
                <c:strRef>
                  <c:f>iScatter!$B$38</c:f>
                  <c:strCache>
                    <c:ptCount val="1"/>
                    <c:pt idx="0">
                      <c:v>New York</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{471A87B2-0359-4220-AF6F-03F8BFE90A89}</c15:txfldGUID>
                      <c15:f>iScatter!$B$38</c15:f>
                      <c15:dlblFieldTableCache>
                        <c:ptCount val="1"/>
                        <c:pt idx="0">
                          <c:v>New York</c:v>
                        </c:pt>
                      </c15:dlblFieldTableCache>
                    </c15:dlblFTEntry>
                  </c15:dlblFieldTable>
                  <c15:showDataLabelsRange val="0"/>
                </c:ext>
                <c:ext xmlns:c16="http://schemas.microsoft.com/office/drawing/2014/chart" uri="{C3380CC4-5D6E-409C-BE32-E72D297353CC}">
                  <c16:uniqueId val="{0000001E-6447-4081-A3AF-72C381CF88BE}"/>
                </c:ext>
              </c:extLst>
            </c:dLbl>
            <c:dLbl>
              <c:idx val="20"/>
              <c:tx>
                <c:strRef>
                  <c:f>iScatter!$B$39</c:f>
                  <c:strCache>
                    <c:ptCount val="1"/>
                    <c:pt idx="0">
                      <c:v>Paris</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{0A6C1746-A407-43B0-A2F3-8B9CBF56955C}</c15:txfldGUID>
                      <c15:f>iScatter!$B$39</c15:f>
                      <c15:dlblFieldTableCache>
                        <c:ptCount val="1"/>
                        <c:pt idx="0">
                          <c:v>Paris</c:v>
                        </c:pt>
                      </c15:dlblFieldTableCache>
                    </c15:dlblFTEntry>
                  </c15:dlblFieldTable>
                  <c15:showDataLabelsRange val="0"/>
                </c:ext>
                <c:ext xmlns:c16="http://schemas.microsoft.com/office/drawing/2014/chart" uri="{C3380CC4-5D6E-409C-BE32-E72D297353CC}">
                  <c16:uniqueId val="{0000001F-6447-4081-A3AF-72C381CF88BE}"/>
                </c:ext>
              </c:extLst>
            </c:dLbl>
            <c:dLbl>
              <c:idx val="21"/>
              <c:tx>
                <c:strRef>
                  <c:f>iScatter!$B$40</c:f>
                  <c:strCache>
                    <c:ptCount val="1"/>
                    <c:pt idx="0">
                      <c:v>Rome</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{0290AAA2-F68C-461F-BD2F-1293D0A723E6}</c15:txfldGUID>
                      <c15:f>iScatter!$B$40</c15:f>
                      <c15:dlblFieldTableCache>
                        <c:ptCount val="1"/>
                        <c:pt idx="0">
                          <c:v>Rome</c:v>
                        </c:pt>
                      </c15:dlblFieldTableCache>
                    </c15:dlblFTEntry>
                  </c15:dlblFieldTable>
                  <c15:showDataLabelsRange val="0"/>
                </c:ext>
                <c:ext xmlns:c16="http://schemas.microsoft.com/office/drawing/2014/chart" uri="{C3380CC4-5D6E-409C-BE32-E72D297353CC}">
                  <c16:uniqueId val="{00000020-6447-4081-A3AF-72C381CF88BE}"/>
                </c:ext>
              </c:extLst>
            </c:dLbl>
            <c:dLbl>
              <c:idx val="22"/>
              <c:tx>
                <c:strRef>
                  <c:f>iScatter!$B$41</c:f>
                  <c:strCache>
                    <c:ptCount val="1"/>
                    <c:pt idx="0">
                      <c:v>Sao Paulo</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{7B5927EA-6AC0-49E2-922C-3DF00A801521}</c15:txfldGUID>
                      <c15:f>iScatter!$B$41</c15:f>
                      <c15:dlblFieldTableCache>
                        <c:ptCount val="1"/>
                        <c:pt idx="0">
                          <c:v>Sao Paulo</c:v>
                        </c:pt>
                      </c15:dlblFieldTableCache>
                    </c15:dlblFTEntry>
                  </c15:dlblFieldTable>
                  <c15:showDataLabelsRange val="0"/>
                </c:ext>
                <c:ext xmlns:c16="http://schemas.microsoft.com/office/drawing/2014/chart" uri="{C3380CC4-5D6E-409C-BE32-E72D297353CC}">
                  <c16:uniqueId val="{00000021-6447-4081-A3AF-72C381CF88BE}"/>
                </c:ext>
              </c:extLst>
            </c:dLbl>
            <c:dLbl>
              <c:idx val="23"/>
              <c:tx>
                <c:strRef>
                  <c:f>iScatter!$B$42</c:f>
                  <c:strCache>
                    <c:ptCount val="1"/>
                    <c:pt idx="0">
                      <c:v>Seoul</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{9CCCE6FB-7CDD-449A-A08E-E3D37DCD65D6}</c15:txfldGUID>
                      <c15:f>iScatter!$B$42</c15:f>
                      <c15:dlblFieldTableCache>
                        <c:ptCount val="1"/>
                        <c:pt idx="0">
                          <c:v>Seoul</c:v>
                        </c:pt>
                      </c15:dlblFieldTableCache>
                    </c15:dlblFTEntry>
                  </c15:dlblFieldTable>
                  <c15:showDataLabelsRange val="0"/>
                </c:ext>
                <c:ext xmlns:c16="http://schemas.microsoft.com/office/drawing/2014/chart" uri="{C3380CC4-5D6E-409C-BE32-E72D297353CC}">
                  <c16:uniqueId val="{00000022-6447-4081-A3AF-72C381CF88BE}"/>
                </c:ext>
              </c:extLst>
            </c:dLbl>
            <c:dLbl>
              <c:idx val="24"/>
              <c:tx>
                <c:strRef>
                  <c:f>iScatter!$B$43</c:f>
                  <c:strCache>
                    <c:ptCount val="1"/>
                    <c:pt idx="0">
                      <c:v>Singapore</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{FE700C64-712F-43EA-A14D-8BB53B20860B}</c15:txfldGUID>
                      <c15:f>iScatter!$B$43</c15:f>
                      <c15:dlblFieldTableCache>
                        <c:ptCount val="1"/>
                        <c:pt idx="0">
                          <c:v>Singapore</c:v>
                        </c:pt>
                      </c15:dlblFieldTableCache>
                    </c15:dlblFTEntry>
                  </c15:dlblFieldTable>
                  <c15:showDataLabelsRange val="0"/>
                </c:ext>
                <c:ext xmlns:c16="http://schemas.microsoft.com/office/drawing/2014/chart" uri="{C3380CC4-5D6E-409C-BE32-E72D297353CC}">
                  <c16:uniqueId val="{00000023-6447-4081-A3AF-72C381CF88BE}"/>
                </c:ext>
              </c:extLst>
            </c:dLbl>
            <c:dLbl>
              <c:idx val="25"/>
              <c:tx>
                <c:strRef>
                  <c:f>iScatter!$B$44</c:f>
                  <c:strCache>
                    <c:ptCount val="1"/>
                    <c:pt idx="0">
                      <c:v>Sydney</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{0991492D-D744-4D84-81F6-10086E954951}</c15:txfldGUID>
                      <c15:f>iScatter!$B$44</c15:f>
                      <c15:dlblFieldTableCache>
                        <c:ptCount val="1"/>
                        <c:pt idx="0">
                          <c:v>Sydney</c:v>
                        </c:pt>
                      </c15:dlblFieldTableCache>
                    </c15:dlblFTEntry>
                  </c15:dlblFieldTable>
                  <c15:showDataLabelsRange val="0"/>
                </c:ext>
                <c:ext xmlns:c16="http://schemas.microsoft.com/office/drawing/2014/chart" uri="{C3380CC4-5D6E-409C-BE32-E72D297353CC}">
                  <c16:uniqueId val="{00000024-6447-4081-A3AF-72C381CF88BE}"/>
                </c:ext>
              </c:extLst>
            </c:dLbl>
            <c:dLbl>
              <c:idx val="26"/>
              <c:tx>
                <c:strRef>
                  <c:f>iScatter!$B$45</c:f>
                  <c:strCache>
                    <c:ptCount val="1"/>
                    <c:pt idx="0">
                      <c:v>Tokyo</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{35FB3E53-BF29-47C7-A9E1-316967E29C47}</c15:txfldGUID>
                      <c15:f>iScatter!$B$45</c15:f>
                      <c15:dlblFieldTableCache>
                        <c:ptCount val="1"/>
                        <c:pt idx="0">
                          <c:v>Tokyo</c:v>
                        </c:pt>
                      </c15:dlblFieldTableCache>
                    </c15:dlblFTEntry>
                  </c15:dlblFieldTable>
                  <c15:showDataLabelsRange val="0"/>
                </c:ext>
                <c:ext xmlns:c16="http://schemas.microsoft.com/office/drawing/2014/chart" uri="{C3380CC4-5D6E-409C-BE32-E72D297353CC}">
                  <c16:uniqueId val="{00000025-6447-4081-A3AF-72C381CF88BE}"/>
                </c:ext>
              </c:extLst>
            </c:dLbl>
            <c:dLbl>
              <c:idx val="27"/>
              <c:tx>
                <c:strRef>
                  <c:f>iScatter!$B$46</c:f>
                  <c:strCache>
                    <c:ptCount val="1"/>
                    <c:pt idx="0">
                      <c:v>Toronto</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{349A6999-8B50-4CC7-B981-0B875E45F22F}</c15:txfldGUID>
                      <c15:f>iScatter!$B$46</c15:f>
                      <c15:dlblFieldTableCache>
                        <c:ptCount val="1"/>
                        <c:pt idx="0">
                          <c:v>Toronto</c:v>
                        </c:pt>
                      </c15:dlblFieldTableCache>
                    </c15:dlblFTEntry>
                  </c15:dlblFieldTable>
                  <c15:showDataLabelsRange val="0"/>
                </c:ext>
                <c:ext xmlns:c16="http://schemas.microsoft.com/office/drawing/2014/chart" uri="{C3380CC4-5D6E-409C-BE32-E72D297353CC}">
                  <c16:uniqueId val="{00000026-6447-4081-A3AF-72C381CF88BE}"/>
                </c:ext>
              </c:extLst>
            </c:dLbl>
            <c:dLbl>
              <c:idx val="28"/>
              <c:tx>
                <c:strRef>
                  <c:f>iScatter!$B$47</c:f>
                  <c:strCache>
                    <c:ptCount val="1"/>
                    <c:pt idx="0">
                      <c:v>Washington DC</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{AEF12241-8A80-4C99-9206-C34780FA9AFB}</c15:txfldGUID>
                      <c15:f>iScatter!$B$47</c15:f>
                      <c15:dlblFieldTableCache>
                        <c:ptCount val="1"/>
                        <c:pt idx="0">
                          <c:v>Washington DC</c:v>
                        </c:pt>
                      </c15:dlblFieldTableCache>
                    </c15:dlblFTEntry>
                  </c15:dlblFieldTable>
                  <c15:showDataLabelsRange val="0"/>
                </c:ext>
                <c:ext xmlns:c16="http://schemas.microsoft.com/office/drawing/2014/chart" uri="{C3380CC4-5D6E-409C-BE32-E72D297353CC}">
                  <c16:uniqueId val="{00000027-6447-4081-A3AF-72C381CF88BE}"/>
                </c:ext>
              </c:extLst>
            </c:dLbl>
            <c:dLbl>
              <c:idx val="29"/>
              <c:tx>
                <c:strRef>
                  <c:f>iScatter!$B$48</c:f>
                  <c:strCache>
                    <c:ptCount val="1"/>
                    <c:pt idx="0">
                      <c:v>Zurich</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{B38456C2-A5A4-4F1B-A85D-FA3CFF34AEFD}</c15:txfldGUID>
                      <c15:f>iScatter!$B$48</c15:f>
                      <c15:dlblFieldTableCache>
                        <c:ptCount val="1"/>
                        <c:pt idx="0">
                          <c:v>Zurich</c:v>
                        </c:pt>
                      </c15:dlblFieldTableCache>
                    </c15:dlblFTEntry>
                  </c15:dlblFieldTable>
                  <c15:showDataLabelsRange val="0"/>
                </c:ext>
                <c:ext xmlns:c16="http://schemas.microsoft.com/office/drawing/2014/chart" uri="{C3380CC4-5D6E-409C-BE32-E72D297353CC}">
                  <c16:uniqueId val="{00000028-6447-4081-A3AF-72C381CF88BE}"/>
                </c:ext>
              </c:extLst>
            </c:dLbl>
            <c:dLbl>
              <c:idx val="30"/>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{CB6DA519-79A6-4AD1-A1DF-77708909392F}</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29-6447-4081-A3AF-72C381CF88BE}"/>
                </c:ext>
              </c:extLst>
            </c:dLbl>
            <c:dLbl>
              <c:idx val="31"/>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{BF04FE0B-68BE-4821-A698-8D8DF99E3AE3}</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2A-6447-4081-A3AF-72C381CF88BE}"/>
                </c:ext>
              </c:extLst>
            </c:dLbl>
            <c:dLbl>
              <c:idx val="32"/>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{148C6011-1E7F-40D8-AA6B-16794C63D266}</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2B-6447-4081-A3AF-72C381CF88BE}"/>
                </c:ext>
              </c:extLst>
            </c:dLbl>
            <c:dLbl>
              <c:idx val="33"/>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{FA42E5BB-8735-44C5-AB29-FF3DFCF4A377}</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2C-6447-4081-A3AF-72C381CF88BE}"/>
                </c:ext>
              </c:extLst>
            </c:dLbl>
            <c:dLbl>
              <c:idx val="34"/>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{68DCB59F-E795-4B0E-B1A9-E87A86778CC9}</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2D-6447-4081-A3AF-72C381CF88BE}"/>
                </c:ext>
              </c:extLst>
            </c:dLbl>
            <c:dLbl>
              <c:idx val="35"/>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{F049B662-286B-47F6-8128-E0E726AC54E6}</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2E-6447-4081-A3AF-72C381CF88BE}"/>
                </c:ext>
              </c:extLst>
            </c:dLbl>
            <c:dLbl>
              <c:idx val="36"/>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{EFF9DA59-3344-4509-A227-6835877FA777}</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2F-6447-4081-A3AF-72C381CF88BE}"/>
                </c:ext>
              </c:extLst>
            </c:dLbl>
            <c:dLbl>
              <c:idx val="37"/>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{57FA6F6A-2B06-4FE8-A587-35DFBBECD384}</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30-6447-4081-A3AF-72C381CF88BE}"/>
                </c:ext>
              </c:extLst>
            </c:dLbl>
            <c:dLbl>
              <c:idx val="38"/>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{FF466A0D-F720-4CE2-AC9C-BEA3979E4335}</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31-6447-4081-A3AF-72C381CF88BE}"/>
                </c:ext>
              </c:extLst>
            </c:dLbl>
            <c:dLbl>
              <c:idx val="39"/>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{143781BA-EE20-4D5B-B55B-474ABEA3C2D6}</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32-6447-4081-A3AF-72C381CF88BE}"/>
                </c:ext>
              </c:extLst>
            </c:dLbl>
            <c:dLbl>
              <c:idx val="40"/>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{739CF48F-7878-486C-8B3B-ACF6EC351690}</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33-6447-4081-A3AF-72C381CF88BE}"/>
                </c:ext>
              </c:extLst>
            </c:dLbl>
            <c:dLbl>
              <c:idx val="41"/>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{ACB7C344-135D-4A62-8B88-C6E2961B2201}</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34-6447-4081-A3AF-72C381CF88BE}"/>
                </c:ext>
              </c:extLst>
            </c:dLbl>
            <c:dLbl>
              <c:idx val="42"/>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{47C17465-563D-4171-BB98-71E7FFA19584}</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35-6447-4081-A3AF-72C381CF88BE}"/>
                </c:ext>
              </c:extLst>
            </c:dLbl>
            <c:dLbl>
              <c:idx val="43"/>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{D0772C96-9DFB-474A-A204-DB80F752473A}</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36-6447-4081-A3AF-72C381CF88BE}"/>
                </c:ext>
              </c:extLst>
            </c:dLbl>
            <c:dLbl>
              <c:idx val="44"/>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{0FA2A49F-C24A-4B81-9A6A-A7658570F013}</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37-6447-4081-A3AF-72C381CF88BE}"/>
                </c:ext>
              </c:extLst>
            </c:dLbl>
            <c:dLbl>
              <c:idx val="45"/>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{635F53B9-E94D-4CB0-A041-4245D21CB776}</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38-6447-4081-A3AF-72C381CF88BE}"/>
                </c:ext>
              </c:extLst>
            </c:dLbl>
            <c:dLbl>
              <c:idx val="46"/>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{BC657075-622A-4885-8DC6-5CEDED698089}</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39-6447-4081-A3AF-72C381CF88BE}"/>
                </c:ext>
              </c:extLst>
            </c:dLbl>
            <c:dLbl>
              <c:idx val="47"/>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{9F509847-1053-4667-AE14-B1BEFBF80107}</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3A-6447-4081-A3AF-72C381CF88BE}"/>
                </c:ext>
              </c:extLst>
            </c:dLbl>
            <c:dLbl>
              <c:idx val="48"/>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{C23D5290-50E6-4F65-B3F2-A2F69295EFE9}</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3B-6447-4081-A3AF-72C381CF88BE}"/>
                </c:ext>
              </c:extLst>
            </c:dLbl>
            <c:dLbl>
              <c:idx val="49"/>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{3FF8BA10-97F9-4502-BD90-951BF3DFE3E4}</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3C-6447-4081-A3AF-72C381CF88BE}"/>
                </c:ext>
              </c:extLst>
            </c:dLbl>
            <c:dLbl>
              <c:idx val="50"/>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{1A655C56-615D-48B5-83F7-DD80FF42117C}</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3D-6447-4081-A3AF-72C381CF88BE}"/>
                </c:ext>
              </c:extLst>
            </c:dLbl>
            <c:dLbl>
              <c:idx val="51"/>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{728D9F49-4A23-4561-B399-F041F86149AE}</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3E-6447-4081-A3AF-72C381CF88BE}"/>
                </c:ext>
              </c:extLst>
            </c:dLbl>
            <c:dLbl>
              <c:idx val="52"/>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{2F9907B7-5B06-487F-AADE-ABA5F759E0E1}</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3F-6447-4081-A3AF-72C381CF88BE}"/>
                </c:ext>
              </c:extLst>
            </c:dLbl>
            <c:dLbl>
              <c:idx val="53"/>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{B49D908E-428D-4570-A4FD-F9B0DE2BE68E}</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40-6447-4081-A3AF-72C381CF88BE}"/>
                </c:ext>
              </c:extLst>
            </c:dLbl>
            <c:dLbl>
              <c:idx val="54"/>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{DD06D445-EF37-4096-A1F2-AB75C91AF9B8}</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41-6447-4081-A3AF-72C381CF88BE}"/>
                </c:ext>
              </c:extLst>
            </c:dLbl>
            <c:dLbl>
              <c:idx val="55"/>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{4D5D2456-DD48-4765-B049-E42E42BC3F63}</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42-6447-4081-A3AF-72C381CF88BE}"/>
                </c:ext>
              </c:extLst>
            </c:dLbl>
            <c:dLbl>
              <c:idx val="56"/>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{6D53B6D9-C964-44B0-ADC2-E986C7DC6B53}</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43-6447-4081-A3AF-72C381CF88BE}"/>
                </c:ext>
              </c:extLst>
            </c:dLbl>
            <c:dLbl>
              <c:idx val="57"/>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{02499B93-CC7B-432D-9AC0-4405022FCDAD}</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44-6447-4081-A3AF-72C381CF88BE}"/>
                </c:ext>
              </c:extLst>
            </c:dLbl>
            <c:dLbl>
              <c:idx val="58"/>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{0AEBFD0E-450F-4C71-832F-C018F7BA429D}</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45-6447-4081-A3AF-72C381CF88BE}"/>
                </c:ext>
              </c:extLst>
            </c:dLbl>
            <c:dLbl>
              <c:idx val="59"/>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{E1C2535F-573F-48C0-B88F-0C402B51CBDF}</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46-6447-4081-A3AF-72C381CF88BE}"/>
                </c:ext>
              </c:extLst>
            </c:dLbl>
            <c:dLbl>
              <c:idx val="60"/>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{DBF6D93F-78FF-4216-88D3-8A5D441F8E63}</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47-6447-4081-A3AF-72C381CF88BE}"/>
                </c:ext>
              </c:extLst>
            </c:dLbl>
            <c:dLbl>
              <c:idx val="61"/>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{BAD7D07C-47A3-4A61-BE49-7AF3B2A3E9EC}</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48-6447-4081-A3AF-72C381CF88BE}"/>
                </c:ext>
              </c:extLst>
            </c:dLbl>
            <c:dLbl>
              <c:idx val="62"/>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{ACD2C7CE-FB45-48BA-86E5-CB69F665DED4}</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49-6447-4081-A3AF-72C381CF88BE}"/>
                </c:ext>
              </c:extLst>
            </c:dLbl>
            <c:dLbl>
              <c:idx val="63"/>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{008B667D-97AB-4D20-A263-23AF2F478EF4}</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4A-6447-4081-A3AF-72C381CF88BE}"/>
                </c:ext>
              </c:extLst>
            </c:dLbl>
            <c:dLbl>
              <c:idx val="64"/>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{4AAD8DDD-6526-42CB-9ED6-ED6A12AC3DC3}</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4B-6447-4081-A3AF-72C381CF88BE}"/>
                </c:ext>
              </c:extLst>
            </c:dLbl>
            <c:dLbl>
              <c:idx val="65"/>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{1E7153E5-D166-4609-83C3-DB548A659D91}</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4C-6447-4081-A3AF-72C381CF88BE}"/>
                </c:ext>
              </c:extLst>
            </c:dLbl>
            <c:dLbl>
              <c:idx val="66"/>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{CA593E26-CD48-4BA3-8B3B-B8A7C2F12788}</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4D-6447-4081-A3AF-72C381CF88BE}"/>
                </c:ext>
              </c:extLst>
            </c:dLbl>
            <c:dLbl>
              <c:idx val="67"/>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{AA68A261-3740-4179-9AEA-3E8B1C3AF17B}</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4E-6447-4081-A3AF-72C381CF88BE}"/>
                </c:ext>
              </c:extLst>
            </c:dLbl>
            <c:dLbl>
              <c:idx val="68"/>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{0D006B21-3E04-40B1-BABA-3DFD65DBEBC4}</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4F-6447-4081-A3AF-72C381CF88BE}"/>
                </c:ext>
              </c:extLst>
            </c:dLbl>
            <c:dLbl>
              <c:idx val="69"/>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{1DFF1E88-FD94-417D-8BCB-B33BCD8687AA}</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50-6447-4081-A3AF-72C381CF88BE}"/>
                </c:ext>
              </c:extLst>
            </c:dLbl>
            <c:dLbl>
              <c:idx val="70"/>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{83366A7C-77F4-4AF0-ABDC-30F0C6AE9745}</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51-6447-4081-A3AF-72C381CF88BE}"/>
                </c:ext>
              </c:extLst>
            </c:dLbl>
            <c:dLbl>
              <c:idx val="71"/>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{8DF200D3-16F8-4D94-B2AF-8A4B71158837}</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52-6447-4081-A3AF-72C381CF88BE}"/>
                </c:ext>
              </c:extLst>
            </c:dLbl>
            <c:dLbl>
              <c:idx val="72"/>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{4DFBEEE1-0965-41A4-A860-1F7F09D48F22}</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53-6447-4081-A3AF-72C381CF88BE}"/>
                </c:ext>
              </c:extLst>
            </c:dLbl>
            <c:dLbl>
              <c:idx val="73"/>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{D432D88F-8B5F-41AE-9E07-F9E93E10FBFC}</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54-6447-4081-A3AF-72C381CF88BE}"/>
                </c:ext>
              </c:extLst>
            </c:dLbl>
            <c:dLbl>
              <c:idx val="74"/>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{CA6C1FE9-0F63-4E26-A267-FF647E8FFFC6}</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55-6447-4081-A3AF-72C381CF88BE}"/>
                </c:ext>
              </c:extLst>
            </c:dLbl>
            <c:dLbl>
              <c:idx val="75"/>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{1778F496-7B54-498F-AF36-62FEFD2BB549}</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56-6447-4081-A3AF-72C381CF88BE}"/>
                </c:ext>
              </c:extLst>
            </c:dLbl>
            <c:dLbl>
              <c:idx val="76"/>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{F4A95904-D5D4-4691-AF28-F63D1F54EEE1}</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57-6447-4081-A3AF-72C381CF88BE}"/>
                </c:ext>
              </c:extLst>
            </c:dLbl>
            <c:dLbl>
              <c:idx val="77"/>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{C0FBE54A-964F-4503-8E10-F3D1749DCD51}</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58-6447-4081-A3AF-72C381CF88BE}"/>
                </c:ext>
              </c:extLst>
            </c:dLbl>
            <c:dLbl>
              <c:idx val="78"/>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{7F518414-2BA8-43EA-B1D3-1C6A4805FD5B}</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59-6447-4081-A3AF-72C381CF88BE}"/>
                </c:ext>
              </c:extLst>
            </c:dLbl>
            <c:dLbl>
              <c:idx val="79"/>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{DF1578AC-86F1-413A-AC48-576CC46564F2}</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5A-6447-4081-A3AF-72C381CF88BE}"/>
                </c:ext>
              </c:extLst>
            </c:dLbl>
            <c:dLbl>
              <c:idx val="80"/>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{42EFA39D-A3CE-4D0F-BE2E-91E9E2A0A2B1}</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5B-6447-4081-A3AF-72C381CF88BE}"/>
                </c:ext>
              </c:extLst>
            </c:dLbl>
            <c:dLbl>
              <c:idx val="81"/>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{A562971A-4F29-4632-9645-ADBDD2B0E406}</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5C-6447-4081-A3AF-72C381CF88BE}"/>
                </c:ext>
              </c:extLst>
            </c:dLbl>
            <c:dLbl>
              <c:idx val="82"/>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{575FA06A-251B-419A-8C1B-6F1A5A62EFBE}</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5D-6447-4081-A3AF-72C381CF88BE}"/>
                </c:ext>
              </c:extLst>
            </c:dLbl>
            <c:dLbl>
              <c:idx val="83"/>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{1CF37D59-4A19-42E3-8C98-DECE3F17142C}</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5E-6447-4081-A3AF-72C381CF88BE}"/>
                </c:ext>
              </c:extLst>
            </c:dLbl>
            <c:dLbl>
              <c:idx val="84"/>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{E299BF02-C706-4E39-A914-69C1D809CED0}</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5F-6447-4081-A3AF-72C381CF88BE}"/>
                </c:ext>
              </c:extLst>
            </c:dLbl>
            <c:dLbl>
              <c:idx val="85"/>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{7762717B-6ABF-4A12-ABDD-33EA3F157C0D}</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60-6447-4081-A3AF-72C381CF88BE}"/>
                </c:ext>
              </c:extLst>
            </c:dLbl>
            <c:dLbl>
              <c:idx val="86"/>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{F5F3E4D2-AF29-4F98-97C6-108953917EE8}</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61-6447-4081-A3AF-72C381CF88BE}"/>
                </c:ext>
              </c:extLst>
            </c:dLbl>
            <c:dLbl>
              <c:idx val="87"/>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{A192EC8D-65FE-4AD6-AAD2-7DDDE7C86706}</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62-6447-4081-A3AF-72C381CF88BE}"/>
                </c:ext>
              </c:extLst>
            </c:dLbl>
            <c:dLbl>
              <c:idx val="88"/>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{E07ED898-4319-40C8-9D7E-E707848E7305}</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63-6447-4081-A3AF-72C381CF88BE}"/>
                </c:ext>
              </c:extLst>
            </c:dLbl>
            <c:dLbl>
              <c:idx val="89"/>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{7F866075-BEFB-4888-9796-5DA3965D3729}</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64-6447-4081-A3AF-72C381CF88BE}"/>
                </c:ext>
              </c:extLst>
            </c:dLbl>
            <c:dLbl>
              <c:idx val="90"/>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{17E7FCEC-F8D4-4934-9739-B8106A0ACD28}</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65-6447-4081-A3AF-72C381CF88BE}"/>
                </c:ext>
              </c:extLst>
            </c:dLbl>
            <c:dLbl>
              <c:idx val="91"/>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{B8288426-C79E-42F9-9255-02F6FBB5F024}</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66-6447-4081-A3AF-72C381CF88BE}"/>
                </c:ext>
              </c:extLst>
            </c:dLbl>
            <c:dLbl>
              <c:idx val="92"/>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{66305102-6AE1-4D04-9331-79D5869DF9E8}</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67-6447-4081-A3AF-72C381CF88BE}"/>
                </c:ext>
              </c:extLst>
            </c:dLbl>
            <c:dLbl>
              <c:idx val="93"/>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{1F8DE32E-F2F9-4205-BEC8-51340CD04357}</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68-6447-4081-A3AF-72C381CF88BE}"/>
                </c:ext>
              </c:extLst>
            </c:dLbl>
            <c:dLbl>
              <c:idx val="94"/>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{68261CD7-8B9D-4E3D-92C3-ED8E55EE2209}</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69-6447-4081-A3AF-72C381CF88BE}"/>
                </c:ext>
              </c:extLst>
            </c:dLbl>
            <c:dLbl>
              <c:idx val="95"/>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{F930CA7C-7926-4FAE-83DA-A7BFB22D43C7}</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6A-6447-4081-A3AF-72C381CF88BE}"/>
                </c:ext>
              </c:extLst>
            </c:dLbl>
            <c:dLbl>
              <c:idx val="96"/>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{FB1E1200-2D59-4D7A-A29D-2F560BF18FEF}</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6B-6447-4081-A3AF-72C381CF88BE}"/>
                </c:ext>
              </c:extLst>
            </c:dLbl>
            <c:dLbl>
              <c:idx val="97"/>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{708D576B-1D53-454F-BFCD-F14E5F191B63}</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6C-6447-4081-A3AF-72C381CF88BE}"/>
                </c:ext>
              </c:extLst>
            </c:dLbl>
            <c:dLbl>
              <c:idx val="98"/>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{EBAF0073-0F7A-4E8F-AA40-049E76CE1CE8}</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6D-6447-4081-A3AF-72C381CF88BE}"/>
                </c:ext>
              </c:extLst>
            </c:dLbl>
            <c:dLbl>
              <c:idx val="99"/>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{33A1E825-BADC-4F7C-AF1B-DF8BE84AF72E}</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6E-6447-4081-A3AF-72C381CF88BE}"/>
                </c:ext>
              </c:extLst>
            </c:dLbl>
            <c:dLbl>
              <c:idx val="100"/>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{BA99A905-B299-4CDC-9EDE-D3F81E102019}</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6F-6447-4081-A3AF-72C381CF88BE}"/>
                </c:ext>
              </c:extLst>
            </c:dLbl>
            <c:dLbl>
              <c:idx val="101"/>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{004327AA-77C9-4B12-B4FF-6DE472F653E2}</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70-6447-4081-A3AF-72C381CF88BE}"/>
                </c:ext>
              </c:extLst>
            </c:dLbl>
            <c:dLbl>
              <c:idx val="102"/>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{EAFABE52-89AF-4DE4-883A-7A655AB4032D}</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71-6447-4081-A3AF-72C381CF88BE}"/>
                </c:ext>
              </c:extLst>
            </c:dLbl>
            <c:dLbl>
              <c:idx val="103"/>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{86C6A3CA-5E0F-4304-97DA-DB2F2A60DB82}</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72-6447-4081-A3AF-72C381CF88BE}"/>
                </c:ext>
              </c:extLst>
            </c:dLbl>
            <c:dLbl>
              <c:idx val="104"/>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{FD222570-6A8D-45BA-8C3F-1540AB075FBA}</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73-6447-4081-A3AF-72C381CF88BE}"/>
                </c:ext>
              </c:extLst>
            </c:dLbl>
            <c:dLbl>
              <c:idx val="105"/>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{427132C4-5BCF-40FC-A7F3-8D042A13B98E}</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74-6447-4081-A3AF-72C381CF88BE}"/>
                </c:ext>
              </c:extLst>
            </c:dLbl>
            <c:dLbl>
              <c:idx val="106"/>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{32C2349D-E07F-4CD3-BEDF-6ADA46E21A8F}</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75-6447-4081-A3AF-72C381CF88BE}"/>
                </c:ext>
              </c:extLst>
            </c:dLbl>
            <c:dLbl>
              <c:idx val="107"/>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{44B019B3-FB2F-4367-B81A-45F182A61C38}</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76-6447-4081-A3AF-72C381CF88BE}"/>
                </c:ext>
              </c:extLst>
            </c:dLbl>
            <c:dLbl>
              <c:idx val="108"/>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{31646EFC-2208-45FE-93B8-A46BAAE19F40}</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77-6447-4081-A3AF-72C381CF88BE}"/>
                </c:ext>
              </c:extLst>
            </c:dLbl>
            <c:dLbl>
              <c:idx val="109"/>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{EE08883F-41E5-4413-934B-89B63C06175A}</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78-6447-4081-A3AF-72C381CF88BE}"/>
                </c:ext>
              </c:extLst>
            </c:dLbl>
            <c:dLbl>
              <c:idx val="110"/>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{DBAE31B9-E2EB-4A60-93EE-3122E5663024}</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79-6447-4081-A3AF-72C381CF88BE}"/>
                </c:ext>
              </c:extLst>
            </c:dLbl>
            <c:dLbl>
              <c:idx val="111"/>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{3211913F-7DC6-422A-B8F1-6CC8A9CA6D57}</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7A-6447-4081-A3AF-72C381CF88BE}"/>
                </c:ext>
              </c:extLst>
            </c:dLbl>
            <c:dLbl>
              <c:idx val="112"/>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{A02F3C7D-39AF-4A83-B8B3-4F93926B81B5}</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7B-6447-4081-A3AF-72C381CF88BE}"/>
                </c:ext>
              </c:extLst>
            </c:dLbl>
            <c:dLbl>
              <c:idx val="113"/>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{E277E0EC-7D4F-407E-9277-A8D77548DA87}</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7C-6447-4081-A3AF-72C381CF88BE}"/>
                </c:ext>
              </c:extLst>
            </c:dLbl>
            <c:dLbl>
              <c:idx val="114"/>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{F55E159F-2CDD-4A0A-B55D-5F2364B4CD6D}</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7D-6447-4081-A3AF-72C381CF88BE}"/>
                </c:ext>
              </c:extLst>
            </c:dLbl>
            <c:dLbl>
              <c:idx val="115"/>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{834B3304-1287-4CDE-AA79-658432310AD8}</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7E-6447-4081-A3AF-72C381CF88BE}"/>
                </c:ext>
              </c:extLst>
            </c:dLbl>
            <c:dLbl>
              <c:idx val="116"/>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{4906E9E0-95F9-4EFD-A198-3CFDC3516195}</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7F-6447-4081-A3AF-72C381CF88BE}"/>
                </c:ext>
              </c:extLst>
            </c:dLbl>
            <c:dLbl>
              <c:idx val="117"/>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{51A1DB0C-6546-4F2B-99BF-19629990A76B}</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80-6447-4081-A3AF-72C381CF88BE}"/>
                </c:ext>
              </c:extLst>
            </c:dLbl>
            <c:dLbl>
              <c:idx val="118"/>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{4BD33332-20BF-4B2F-A770-5F869A0BBD24}</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81-6447-4081-A3AF-72C381CF88BE}"/>
                </c:ext>
              </c:extLst>
            </c:dLbl>
            <c:dLbl>
              <c:idx val="119"/>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{C48E1712-13C8-4FDB-AF72-C788FD24A781}</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82-6447-4081-A3AF-72C381CF88BE}"/>
                </c:ext>
              </c:extLst>
            </c:dLbl>
            <c:dLbl>
              <c:idx val="120"/>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{568FB29C-9C7E-4050-A86F-DA25FBC884CA}</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83-6447-4081-A3AF-72C381CF88BE}"/>
                </c:ext>
              </c:extLst>
            </c:dLbl>
            <c:dLbl>
              <c:idx val="121"/>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{47D0A671-12E9-4C1B-8854-43C10EB7BEA3}</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84-6447-4081-A3AF-72C381CF88BE}"/>
                </c:ext>
              </c:extLst>
            </c:dLbl>
            <c:dLbl>
              <c:idx val="122"/>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{35A2AA6C-5BDC-470E-9DC8-EBB5EE4BCEC5}</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85-6447-4081-A3AF-72C381CF88BE}"/>
                </c:ext>
              </c:extLst>
            </c:dLbl>
            <c:dLbl>
              <c:idx val="123"/>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{FE2F32A7-753C-4B45-A2E2-9A47AB554077}</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86-6447-4081-A3AF-72C381CF88BE}"/>
                </c:ext>
              </c:extLst>
            </c:dLbl>
            <c:dLbl>
              <c:idx val="124"/>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{0E3A2E24-6069-40FE-A9CC-35529C721EFC}</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87-6447-4081-A3AF-72C381CF88BE}"/>
                </c:ext>
              </c:extLst>
            </c:dLbl>
            <c:dLbl>
              <c:idx val="125"/>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{5BEE818E-FC28-4D28-8583-890013C71F2A}</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88-6447-4081-A3AF-72C381CF88BE}"/>
                </c:ext>
              </c:extLst>
            </c:dLbl>
            <c:dLbl>
              <c:idx val="126"/>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{C7FCADC2-E3CE-47A4-BE9C-F392F0125F63}</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89-6447-4081-A3AF-72C381CF88BE}"/>
                </c:ext>
              </c:extLst>
            </c:dLbl>
            <c:dLbl>
              <c:idx val="127"/>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{F0BE771E-9AF9-42C6-B0E5-715E82E0266D}</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8A-6447-4081-A3AF-72C381CF88BE}"/>
                </c:ext>
              </c:extLst>
            </c:dLbl>
            <c:dLbl>
              <c:idx val="128"/>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{4BD71CCB-BDCC-4A79-9004-216FB3D91227}</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8B-6447-4081-A3AF-72C381CF88BE}"/>
                </c:ext>
              </c:extLst>
            </c:dLbl>
            <c:dLbl>
              <c:idx val="129"/>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{31E2338E-AD67-43D1-BF9E-0DF5019DFDBC}</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8C-6447-4081-A3AF-72C381CF88BE}"/>
                </c:ext>
              </c:extLst>
            </c:dLbl>
            <c:dLbl>
              <c:idx val="130"/>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{859626F6-32AB-493F-9A43-04E8C4464750}</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8D-6447-4081-A3AF-72C381CF88BE}"/>
                </c:ext>
              </c:extLst>
            </c:dLbl>
            <c:dLbl>
              <c:idx val="131"/>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{F6130352-9EC0-41CB-A3E4-26260DA8D1D3}</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8E-6447-4081-A3AF-72C381CF88BE}"/>
                </c:ext>
              </c:extLst>
            </c:dLbl>
            <c:dLbl>
              <c:idx val="132"/>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{53E381E6-5157-4C52-9970-C4FB5BD7F1D1}</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8F-6447-4081-A3AF-72C381CF88BE}"/>
                </c:ext>
              </c:extLst>
            </c:dLbl>
            <c:dLbl>
              <c:idx val="133"/>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{73BCED5D-3EAA-43DB-AEF0-61075BEC1A08}</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90-6447-4081-A3AF-72C381CF88BE}"/>
                </c:ext>
              </c:extLst>
            </c:dLbl>
            <c:dLbl>
              <c:idx val="134"/>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{94961449-A5DA-400C-9705-BC0EDE7284E9}</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91-6447-4081-A3AF-72C381CF88BE}"/>
                </c:ext>
              </c:extLst>
            </c:dLbl>
            <c:dLbl>
              <c:idx val="135"/>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{5AECE840-9E00-48E9-A02C-6E6D480E9397}</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92-6447-4081-A3AF-72C381CF88BE}"/>
                </c:ext>
              </c:extLst>
            </c:dLbl>
            <c:dLbl>
              <c:idx val="136"/>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{A51A4303-4A15-42DC-A706-A1E11FF54A55}</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93-6447-4081-A3AF-72C381CF88BE}"/>
                </c:ext>
              </c:extLst>
            </c:dLbl>
            <c:dLbl>
              <c:idx val="137"/>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{B3F2A9B4-863F-4C9E-A5EF-B7F1680C2E4C}</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94-6447-4081-A3AF-72C381CF88BE}"/>
                </c:ext>
              </c:extLst>
            </c:dLbl>
            <c:dLbl>
              <c:idx val="138"/>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{7F30A6B1-ED51-40E8-BD76-9B4F71951F2F}</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95-6447-4081-A3AF-72C381CF88BE}"/>
                </c:ext>
              </c:extLst>
            </c:dLbl>
            <c:dLbl>
              <c:idx val="139"/>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{01304E20-5F4C-472B-B018-4AE883CFD591}</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96-6447-4081-A3AF-72C381CF88BE}"/>
                </c:ext>
              </c:extLst>
            </c:dLbl>
            <c:dLbl>
              <c:idx val="140"/>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{8A3F61F9-3AB4-49FB-8871-6C0BE80C35BE}</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97-6447-4081-A3AF-72C381CF88BE}"/>
                </c:ext>
              </c:extLst>
            </c:dLbl>
            <c:dLbl>
              <c:idx val="141"/>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{6F2CD743-D98A-4CBB-8E00-BB831919DAEF}</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98-6447-4081-A3AF-72C381CF88BE}"/>
                </c:ext>
              </c:extLst>
            </c:dLbl>
            <c:dLbl>
              <c:idx val="142"/>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{4389CFE3-88EA-4BE3-8DB8-2D224E701E66}</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99-6447-4081-A3AF-72C381CF88BE}"/>
                </c:ext>
              </c:extLst>
            </c:dLbl>
            <c:dLbl>
              <c:idx val="143"/>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{91D520B7-1BD3-4730-9591-0D7CDE156BD0}</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9A-6447-4081-A3AF-72C381CF88BE}"/>
                </c:ext>
              </c:extLst>
            </c:dLbl>
            <c:dLbl>
              <c:idx val="144"/>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{2487C5B6-00C5-44B5-BD90-B2704E3602F3}</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9B-6447-4081-A3AF-72C381CF88BE}"/>
                </c:ext>
              </c:extLst>
            </c:dLbl>
            <c:dLbl>
              <c:idx val="145"/>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{39B5AFC6-D65E-494E-9420-A01DDF3F21DA}</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9C-6447-4081-A3AF-72C381CF88BE}"/>
                </c:ext>
              </c:extLst>
            </c:dLbl>
            <c:dLbl>
              <c:idx val="146"/>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{FB3F141D-A9C6-4ED2-BD2C-400A02191D40}</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9D-6447-4081-A3AF-72C381CF88BE}"/>
                </c:ext>
              </c:extLst>
            </c:dLbl>
            <c:dLbl>
              <c:idx val="147"/>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{5F0FB769-FE63-4A29-9C2D-FAB94CE78236}</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9E-6447-4081-A3AF-72C381CF88BE}"/>
                </c:ext>
              </c:extLst>
            </c:dLbl>
            <c:dLbl>
              <c:idx val="148"/>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{FD5B0199-46EA-410B-B6DA-5FC7ACF92DE0}</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9F-6447-4081-A3AF-72C381CF88BE}"/>
                </c:ext>
              </c:extLst>
            </c:dLbl>
            <c:dLbl>
              <c:idx val="149"/>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{E6518941-55E7-46A4-B37F-C99E5F614B2B}</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A0-6447-4081-A3AF-72C381CF88BE}"/>
                </c:ext>
              </c:extLst>
            </c:dLbl>
            <c:dLbl>
              <c:idx val="150"/>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{CDBA3CB4-CF4B-4119-BAB9-82C3C33D71E4}</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A1-6447-4081-A3AF-72C381CF88BE}"/>
                </c:ext>
              </c:extLst>
            </c:dLbl>
            <c:dLbl>
              <c:idx val="151"/>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{7475320F-6EBC-45B7-9A56-A439D435431F}</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A2-6447-4081-A3AF-72C381CF88BE}"/>
                </c:ext>
              </c:extLst>
            </c:dLbl>
            <c:dLbl>
              <c:idx val="152"/>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{6EFE5586-A981-40A4-9E75-48CE53C7E6FE}</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A3-6447-4081-A3AF-72C381CF88BE}"/>
                </c:ext>
              </c:extLst>
            </c:dLbl>
            <c:dLbl>
              <c:idx val="153"/>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{BCA9FA97-B956-4514-95CD-7ADCC8E8F8F2}</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A4-6447-4081-A3AF-72C381CF88BE}"/>
                </c:ext>
              </c:extLst>
            </c:dLbl>
            <c:dLbl>
              <c:idx val="154"/>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{02AD7D4B-FB81-484D-A3C7-D0E72B5957C6}</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A5-6447-4081-A3AF-72C381CF88BE}"/>
                </c:ext>
              </c:extLst>
            </c:dLbl>
            <c:dLbl>
              <c:idx val="155"/>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{E445F54E-C939-46B7-B6B6-A09643C73024}</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A6-6447-4081-A3AF-72C381CF88BE}"/>
                </c:ext>
              </c:extLst>
            </c:dLbl>
            <c:dLbl>
              <c:idx val="156"/>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{2E5CA364-5222-4680-9220-70A67FCD587B}</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A7-6447-4081-A3AF-72C381CF88BE}"/>
                </c:ext>
              </c:extLst>
            </c:dLbl>
            <c:dLbl>
              <c:idx val="157"/>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{37D8A7EB-5E6D-42E8-B630-C7E9477F393F}</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A8-6447-4081-A3AF-72C381CF88BE}"/>
                </c:ext>
              </c:extLst>
            </c:dLbl>
            <c:dLbl>
              <c:idx val="158"/>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{4406A035-5407-48E6-86FA-3520B6477B54}</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A9-6447-4081-A3AF-72C381CF88BE}"/>
                </c:ext>
              </c:extLst>
            </c:dLbl>
            <c:dLbl>
              <c:idx val="159"/>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{22FCD74E-D05C-4EB3-B746-8603A0EB8FF0}</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AA-6447-4081-A3AF-72C381CF88BE}"/>
                </c:ext>
              </c:extLst>
            </c:dLbl>
            <c:dLbl>
              <c:idx val="160"/>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{6E74FD64-84E6-4A03-A955-A978DF78CD65}</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AB-6447-4081-A3AF-72C381CF88BE}"/>
                </c:ext>
              </c:extLst>
            </c:dLbl>
            <c:dLbl>
              <c:idx val="161"/>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{E351B5DB-5E1F-42CD-9DCA-88194AC49DBD}</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AC-6447-4081-A3AF-72C381CF88BE}"/>
                </c:ext>
              </c:extLst>
            </c:dLbl>
            <c:dLbl>
              <c:idx val="162"/>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{16C2F960-632F-42D2-8AF7-D787827A9292}</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AD-6447-4081-A3AF-72C381CF88BE}"/>
                </c:ext>
              </c:extLst>
            </c:dLbl>
            <c:dLbl>
              <c:idx val="163"/>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{7AFBDD36-8A9A-44A4-B7EA-8F0E7761A4A0}</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AE-6447-4081-A3AF-72C381CF88BE}"/>
                </c:ext>
              </c:extLst>
            </c:dLbl>
            <c:dLbl>
              <c:idx val="164"/>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{213A3BF0-9874-4D12-8952-206B9F4C6B84}</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AF-6447-4081-A3AF-72C381CF88BE}"/>
                </c:ext>
              </c:extLst>
            </c:dLbl>
            <c:dLbl>
              <c:idx val="165"/>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{5507DD14-AC53-428B-9AEB-D8444A24FB7C}</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B0-6447-4081-A3AF-72C381CF88BE}"/>
                </c:ext>
              </c:extLst>
            </c:dLbl>
            <c:dLbl>
              <c:idx val="166"/>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{168DECFD-BEEA-440D-879C-57764E42CA9B}</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B1-6447-4081-A3AF-72C381CF88BE}"/>
                </c:ext>
              </c:extLst>
            </c:dLbl>
            <c:dLbl>
              <c:idx val="167"/>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{FB60E5B5-48F5-4013-B75E-898C275C1845}</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B2-6447-4081-A3AF-72C381CF88BE}"/>
                </c:ext>
              </c:extLst>
            </c:dLbl>
            <c:dLbl>
              <c:idx val="168"/>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{35947913-BF96-41E8-811A-18B8173339D4}</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B3-6447-4081-A3AF-72C381CF88BE}"/>
                </c:ext>
              </c:extLst>
            </c:dLbl>
            <c:dLbl>
              <c:idx val="169"/>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{243CB240-C3E0-4BBD-B49F-13D8644BD70A}</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B4-6447-4081-A3AF-72C381CF88BE}"/>
                </c:ext>
              </c:extLst>
            </c:dLbl>
            <c:dLbl>
              <c:idx val="170"/>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{A92DF5BF-F192-4005-A8BD-E742361D3D30}</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B5-6447-4081-A3AF-72C381CF88BE}"/>
                </c:ext>
              </c:extLst>
            </c:dLbl>
            <c:dLbl>
              <c:idx val="171"/>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{BBEE8FB0-ECD7-446D-BD3E-68C5BB023CA2}</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B6-6447-4081-A3AF-72C381CF88BE}"/>
                </c:ext>
              </c:extLst>
            </c:dLbl>
            <c:dLbl>
              <c:idx val="172"/>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{87F6BD81-DA9E-4C6B-8230-1B7CDEC63114}</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B7-6447-4081-A3AF-72C381CF88BE}"/>
                </c:ext>
              </c:extLst>
            </c:dLbl>
            <c:dLbl>
              <c:idx val="173"/>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{F5F3F8C9-5592-4122-A845-BC6F52DF11A7}</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B8-6447-4081-A3AF-72C381CF88BE}"/>
                </c:ext>
              </c:extLst>
            </c:dLbl>
            <c:dLbl>
              <c:idx val="174"/>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{5D130562-8E9F-46C5-8B0A-23D11F734058}</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B9-6447-4081-A3AF-72C381CF88BE}"/>
                </c:ext>
              </c:extLst>
            </c:dLbl>
            <c:dLbl>
              <c:idx val="175"/>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{8E715C3E-DA75-4322-A7C6-CDA4564D8378}</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BA-6447-4081-A3AF-72C381CF88BE}"/>
                </c:ext>
              </c:extLst>
            </c:dLbl>
            <c:dLbl>
              <c:idx val="176"/>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{44F08B24-37D5-44BE-9E04-29F58D6E9548}</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BB-6447-4081-A3AF-72C381CF88BE}"/>
                </c:ext>
              </c:extLst>
            </c:dLbl>
            <c:dLbl>
              <c:idx val="177"/>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{5E08E1C5-D440-41B7-82BF-A73B801C7220}</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BC-6447-4081-A3AF-72C381CF88BE}"/>
                </c:ext>
              </c:extLst>
            </c:dLbl>
            <c:dLbl>
              <c:idx val="178"/>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{5902EBF5-03D2-42B5-BE37-00F7592C630B}</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BD-6447-4081-A3AF-72C381CF88BE}"/>
                </c:ext>
              </c:extLst>
            </c:dLbl>
            <c:dLbl>
              <c:idx val="179"/>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{C813601C-E61A-44DE-8ECF-A91F8E2DD760}</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BE-6447-4081-A3AF-72C381CF88BE}"/>
                </c:ext>
              </c:extLst>
            </c:dLbl>
            <c:dLbl>
              <c:idx val="180"/>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{48AF8413-AE2D-4495-B1ED-BA969637FE86}</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BF-6447-4081-A3AF-72C381CF88BE}"/>
                </c:ext>
              </c:extLst>
            </c:dLbl>
            <c:dLbl>
              <c:idx val="181"/>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{8EEDA2FE-E978-4CE2-A01F-3C2834AF1E9C}</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C0-6447-4081-A3AF-72C381CF88BE}"/>
                </c:ext>
              </c:extLst>
            </c:dLbl>
            <c:dLbl>
              <c:idx val="182"/>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{80F3640A-4323-4EC0-AE5E-BA02D6577D01}</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C1-6447-4081-A3AF-72C381CF88BE}"/>
                </c:ext>
              </c:extLst>
            </c:dLbl>
            <c:dLbl>
              <c:idx val="183"/>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{A25E34A4-9BD5-4788-9D3A-5589BF11E398}</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C2-6447-4081-A3AF-72C381CF88BE}"/>
                </c:ext>
              </c:extLst>
            </c:dLbl>
            <c:dLbl>
              <c:idx val="184"/>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{081F0064-62EB-484C-8181-F8B98DD0EE30}</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C3-6447-4081-A3AF-72C381CF88BE}"/>
                </c:ext>
              </c:extLst>
            </c:dLbl>
            <c:dLbl>
              <c:idx val="185"/>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{9A2F6E4C-F29D-4723-9385-63BD1DB58CA2}</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C4-6447-4081-A3AF-72C381CF88BE}"/>
                </c:ext>
              </c:extLst>
            </c:dLbl>
            <c:dLbl>
              <c:idx val="186"/>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{82A709BE-6611-4643-8731-B8033B015EFA}</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C5-6447-4081-A3AF-72C381CF88BE}"/>
                </c:ext>
              </c:extLst>
            </c:dLbl>
            <c:dLbl>
              <c:idx val="187"/>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{C764031E-5CEE-4BB8-8F71-761A7E46EDB6}</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C6-6447-4081-A3AF-72C381CF88BE}"/>
                </c:ext>
              </c:extLst>
            </c:dLbl>
            <c:dLbl>
              <c:idx val="188"/>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{6873535D-1E08-467D-A8DD-EA740D816704}</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C7-6447-4081-A3AF-72C381CF88BE}"/>
                </c:ext>
              </c:extLst>
            </c:dLbl>
            <c:dLbl>
              <c:idx val="189"/>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{52377193-6DB6-4FAD-922E-0DC43EBBB4CA}</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C8-6447-4081-A3AF-72C381CF88BE}"/>
                </c:ext>
              </c:extLst>
            </c:dLbl>
            <c:dLbl>
              <c:idx val="190"/>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{FB0B486C-3CD4-4252-AA33-DC84C5BA4D06}</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C9-6447-4081-A3AF-72C381CF88BE}"/>
                </c:ext>
              </c:extLst>
            </c:dLbl>
            <c:dLbl>
              <c:idx val="191"/>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{ED002D0F-B016-4CB8-B52F-457021369070}</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CA-6447-4081-A3AF-72C381CF88BE}"/>
                </c:ext>
              </c:extLst>
            </c:dLbl>
            <c:dLbl>
              <c:idx val="192"/>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{D37DB0E6-3DEA-4293-8E9B-5F4B9F61F7FC}</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CB-6447-4081-A3AF-72C381CF88BE}"/>
                </c:ext>
              </c:extLst>
            </c:dLbl>
            <c:dLbl>
              <c:idx val="193"/>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{4879BD32-1D70-4E42-9099-717F4E894F8B}</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CC-6447-4081-A3AF-72C381CF88BE}"/>
                </c:ext>
              </c:extLst>
            </c:dLbl>
            <c:dLbl>
              <c:idx val="194"/>
              <c:tx>
                <c:strRef>
                  <c:f>iScatter!#REF!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{FB345A56-C94A-40C3-887D-5A5835575371}</c15:txfldGUID>
                      <c15:f>iScatter!#REF!</c15:f>
                      <c15:dlblFieldTableCache>
                        <c:ptCount val="1"/>
                        <c:pt idx="0">
                          <c:v>#REF!</c:v>
                        </c:pt>
                      </c15:dlblFieldTableCache>
                    </c15:dlblFTEntry>
                  </c15:dlblFieldTable>
                  <c15:showDataLabelsRange val="0"/>
                </c:ext>
                <c:ext xmlns:c16="http://schemas.microsoft.com/office/drawing/2014/chart" uri="{C3380CC4-5D6E-409C-BE32-E72D297353CC}">
                  <c16:uniqueId val="{000000CD-6447-4081-A3AF-72C381CF88BE}"/>
                </c:ext>
              </c:extLst>
            </c:dLbl>
            <c:spPr>
              <a:noFill/>
              <a:ln>
                <a:noFill/>
              </a:ln>
              <a:effectLst/>
            </c:sp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iScatter!$T$19:$T$48</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xVal>
          <c:yVal>
            <c:numRef>
              <c:f>iScatter!$U$19:$U$48</c:f>
              <c:numCache>
                <c:formatCode>General</c:formatCode>
                <c:ptCount val="3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yVal>
          <c:smooth val="0"/>
          <c:extLst>
            <c:ext xmlns:c16="http://schemas.microsoft.com/office/drawing/2014/chart" uri="{C3380CC4-5D6E-409C-BE32-E72D297353CC}">
              <c16:uniqueId val="{000000CE-6447-4081-A3AF-72C381CF88BE}"/>
            </c:ext>
          </c:extLst>
        </c:ser>
        <c:ser>
          <c:idx val="4"/>
          <c:order val="3"/>
          <c:tx>
            <c:strRef>
              <c:f>iScatter!$O$23</c:f>
              <c:strCache>
                <c:ptCount val="1"/>
                <c:pt idx="0">
                  <c:v>#N/A</c:v>
                </c:pt>
              </c:strCache>
            </c:strRef>
          </c:tx>
          <c:spPr>
            <a:ln w="28575">
              <a:noFill/>
            </a:ln>
          </c:spPr>
          <c:marker>
            <c:symbol val="circle"/>
            <c:size val="7"/>
            <c:spPr>
              <a:solidFill>
                <a:srgbClr val="31659C"/>
              </a:solidFill>
              <a:ln w="9525">
                <a:noFill/>
              </a:ln>
            </c:spPr>
          </c:marker>
          <c:dLbls>
            <c:dLbl>
              <c:idx val="0"/>
              <c:spPr>
                <a:noFill/>
                <a:ln w="25400">
                  <a:noFill/>
                </a:ln>
              </c:spPr>
              <c:txPr>
                <a:bodyPr/>
                <a:lstStyle/>
                <a:p>
                  <a:pPr>
                    <a:defRPr sz="900" b="0" i="0" u="none" strike="noStrike" baseline="0">
                      <a:solidFill>
                        <a:srgbClr val="31659C"/>
                      </a:solidFill>
                      <a:latin typeface="Calibri"/>
                      <a:ea typeface="Calibri"/>
                      <a:cs typeface="Calibri"/>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CF-6447-4081-A3AF-72C381CF88BE}"/>
                </c:ext>
              </c:extLst>
            </c:dLbl>
            <c:spPr>
              <a:noFill/>
              <a:ln w="25400">
                <a:noFill/>
              </a:ln>
            </c:spPr>
            <c:txPr>
              <a:bodyPr wrap="square" lIns="38100" tIns="19050" rIns="38100" bIns="19050" anchor="ctr">
                <a:spAutoFit/>
              </a:bodyPr>
              <a:lstStyle/>
              <a:p>
                <a:pPr>
                  <a:defRPr sz="900" b="0" i="0" u="none" strike="noStrike" baseline="0">
                    <a:solidFill>
                      <a:srgbClr val="31659C"/>
                    </a:solidFill>
                    <a:latin typeface="Calibri"/>
                    <a:ea typeface="Calibri"/>
                    <a:cs typeface="Calibri"/>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iScatter!$P$23</c:f>
              <c:numCache>
                <c:formatCode>General</c:formatCode>
                <c:ptCount val="1"/>
                <c:pt idx="0">
                  <c:v>#N/A</c:v>
                </c:pt>
              </c:numCache>
            </c:numRef>
          </c:xVal>
          <c:yVal>
            <c:numRef>
              <c:f>iScatter!$Q$23</c:f>
              <c:numCache>
                <c:formatCode>General</c:formatCode>
                <c:ptCount val="1"/>
                <c:pt idx="0">
                  <c:v>#N/A</c:v>
                </c:pt>
              </c:numCache>
            </c:numRef>
          </c:yVal>
          <c:smooth val="0"/>
          <c:extLst>
            <c:ext xmlns:c16="http://schemas.microsoft.com/office/drawing/2014/chart" uri="{C3380CC4-5D6E-409C-BE32-E72D297353CC}">
              <c16:uniqueId val="{000000D0-6447-4081-A3AF-72C381CF88BE}"/>
            </c:ext>
          </c:extLst>
        </c:ser>
        <c:ser>
          <c:idx val="5"/>
          <c:order val="4"/>
          <c:tx>
            <c:strRef>
              <c:f>iScatter!$O$27</c:f>
              <c:strCache>
                <c:ptCount val="1"/>
                <c:pt idx="0">
                  <c:v>#N/A</c:v>
                </c:pt>
              </c:strCache>
            </c:strRef>
          </c:tx>
          <c:spPr>
            <a:ln w="28575">
              <a:noFill/>
            </a:ln>
          </c:spPr>
          <c:marker>
            <c:symbol val="circle"/>
            <c:size val="7"/>
            <c:spPr>
              <a:solidFill>
                <a:srgbClr val="31659C"/>
              </a:solidFill>
              <a:ln w="9525">
                <a:noFill/>
              </a:ln>
            </c:spPr>
          </c:marker>
          <c:dLbls>
            <c:spPr>
              <a:noFill/>
              <a:ln>
                <a:noFill/>
              </a:ln>
              <a:effectLst/>
            </c:spPr>
            <c:txPr>
              <a:bodyPr wrap="square" lIns="38100" tIns="19050" rIns="38100" bIns="19050" anchor="ctr">
                <a:spAutoFit/>
              </a:bodyPr>
              <a:lstStyle/>
              <a:p>
                <a:pPr>
                  <a:defRPr>
                    <a:solidFill>
                      <a:schemeClr val="accent1">
                        <a:lumMod val="75000"/>
                      </a:schemeClr>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iScatter!$P$27</c:f>
              <c:numCache>
                <c:formatCode>General</c:formatCode>
                <c:ptCount val="1"/>
                <c:pt idx="0">
                  <c:v>#N/A</c:v>
                </c:pt>
              </c:numCache>
            </c:numRef>
          </c:xVal>
          <c:yVal>
            <c:numRef>
              <c:f>iScatter!$Q$27</c:f>
              <c:numCache>
                <c:formatCode>General</c:formatCode>
                <c:ptCount val="1"/>
                <c:pt idx="0">
                  <c:v>#N/A</c:v>
                </c:pt>
              </c:numCache>
            </c:numRef>
          </c:yVal>
          <c:smooth val="0"/>
          <c:extLst>
            <c:ext xmlns:c16="http://schemas.microsoft.com/office/drawing/2014/chart" uri="{C3380CC4-5D6E-409C-BE32-E72D297353CC}">
              <c16:uniqueId val="{000000D1-6447-4081-A3AF-72C381CF88BE}"/>
            </c:ext>
          </c:extLst>
        </c:ser>
        <c:ser>
          <c:idx val="3"/>
          <c:order val="5"/>
          <c:tx>
            <c:strRef>
              <c:f>iScatter!$O$19</c:f>
              <c:strCache>
                <c:ptCount val="1"/>
                <c:pt idx="0">
                  <c:v>&lt;none&gt;</c:v>
                </c:pt>
              </c:strCache>
            </c:strRef>
          </c:tx>
          <c:spPr>
            <a:ln w="28575">
              <a:noFill/>
            </a:ln>
          </c:spPr>
          <c:marker>
            <c:symbol val="circle"/>
            <c:size val="6"/>
            <c:spPr>
              <a:solidFill>
                <a:srgbClr val="FF0000"/>
              </a:solidFill>
              <a:ln>
                <a:noFill/>
              </a:ln>
            </c:spPr>
          </c:marker>
          <c:dLbls>
            <c:dLbl>
              <c:idx val="0"/>
              <c:tx>
                <c:strRef>
                  <c:f>iScatter!$O$19</c:f>
                  <c:strCache>
                    <c:ptCount val="1"/>
                    <c:pt idx="0">
                      <c:v>&lt;none&gt;</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{4DBD1B33-377E-42A3-A44B-BFEECA7B1794}</c15:txfldGUID>
                      <c15:f>iScatter!$O$19</c15:f>
                      <c15:dlblFieldTableCache>
                        <c:ptCount val="1"/>
                        <c:pt idx="0">
                          <c:v>&lt;none&gt;</c:v>
                        </c:pt>
                      </c15:dlblFieldTableCache>
                    </c15:dlblFTEntry>
                  </c15:dlblFieldTable>
                  <c15:showDataLabelsRange val="0"/>
                </c:ext>
                <c:ext xmlns:c16="http://schemas.microsoft.com/office/drawing/2014/chart" uri="{C3380CC4-5D6E-409C-BE32-E72D297353CC}">
                  <c16:uniqueId val="{000000D2-6447-4081-A3AF-72C381CF88BE}"/>
                </c:ext>
              </c:extLst>
            </c:dLbl>
            <c:spPr>
              <a:noFill/>
              <a:ln w="25400">
                <a:noFill/>
              </a:ln>
            </c:spPr>
            <c:txPr>
              <a:bodyPr wrap="square" lIns="38100" tIns="19050" rIns="38100" bIns="19050" anchor="ctr">
                <a:spAutoFit/>
              </a:bodyPr>
              <a:lstStyle/>
              <a:p>
                <a:pPr>
                  <a:defRPr sz="1000" b="0" i="0" u="none" strike="noStrike" baseline="0">
                    <a:solidFill>
                      <a:srgbClr val="FF0000"/>
                    </a:solidFill>
                    <a:latin typeface="Calibri"/>
                    <a:ea typeface="Calibri"/>
                    <a:cs typeface="Calibri"/>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iScatter!$P$19</c:f>
              <c:numCache>
                <c:formatCode>General</c:formatCode>
                <c:ptCount val="1"/>
                <c:pt idx="0">
                  <c:v>#N/A</c:v>
                </c:pt>
              </c:numCache>
            </c:numRef>
          </c:xVal>
          <c:yVal>
            <c:numRef>
              <c:f>iScatter!$Q$19</c:f>
              <c:numCache>
                <c:formatCode>General</c:formatCode>
                <c:ptCount val="1"/>
                <c:pt idx="0">
                  <c:v>#N/A</c:v>
                </c:pt>
              </c:numCache>
            </c:numRef>
          </c:yVal>
          <c:smooth val="0"/>
          <c:extLst>
            <c:ext xmlns:c16="http://schemas.microsoft.com/office/drawing/2014/chart" uri="{C3380CC4-5D6E-409C-BE32-E72D297353CC}">
              <c16:uniqueId val="{000000D3-6447-4081-A3AF-72C381CF88BE}"/>
            </c:ext>
          </c:extLst>
        </c:ser>
        <c:dLbls>
          <c:showLegendKey val="0"/>
          <c:showVal val="0"/>
          <c:showCatName val="0"/>
          <c:showSerName val="0"/>
          <c:showPercent val="0"/>
          <c:showBubbleSize val="0"/>
        </c:dLbls>
        <c:axId val="195556416"/>
        <c:axId val="195556992"/>
      </c:scatterChart>
      <c:valAx>
        <c:axId val="195556416"/>
        <c:scaling>
          <c:orientation val="minMax"/>
          <c:max val="100"/>
          <c:min val="0"/>
        </c:scaling>
        <c:delete val="0"/>
        <c:axPos val="b"/>
        <c:majorGridlines>
          <c:spPr>
            <a:ln w="9525" cap="flat" cmpd="sng" algn="ctr">
              <a:noFill/>
              <a:prstDash val="solid"/>
              <a:round/>
            </a:ln>
            <a:effectLst/>
            <a:extLst>
              <a:ext uri="{91240B29-F687-4F45-9708-019B960494DF}">
                <a14:hiddenLine xmlns:a14="http://schemas.microsoft.com/office/drawing/2010/main" w="9525" cap="flat" cmpd="sng" algn="ctr">
                  <a:solidFill>
                    <a:srgbClr val="4F81BD">
                      <a:lumMod val="60000"/>
                      <a:lumOff val="40000"/>
                    </a:srgbClr>
                  </a:solidFill>
                  <a:prstDash val="solid"/>
                  <a:round/>
                </a14:hiddenLine>
              </a:ext>
            </a:extLst>
          </c:spPr>
        </c:majorGridlines>
        <c:title>
          <c:tx>
            <c:strRef>
              <c:f>iScatter!$B$9</c:f>
              <c:strCache>
                <c:ptCount val="1"/>
                <c:pt idx="0">
                  <c:v>OVERALL SCORE </c:v>
                </c:pt>
              </c:strCache>
            </c:strRef>
          </c:tx>
          <c:layout>
            <c:manualLayout>
              <c:xMode val="edge"/>
              <c:yMode val="edge"/>
              <c:x val="0.35768072950663105"/>
              <c:y val="0.93708753879627693"/>
            </c:manualLayout>
          </c:layout>
          <c:overlay val="0"/>
          <c:spPr>
            <a:noFill/>
            <a:ln w="25400">
              <a:noFill/>
            </a:ln>
          </c:spPr>
          <c:txPr>
            <a:bodyPr/>
            <a:lstStyle/>
            <a:p>
              <a:pPr>
                <a:defRPr sz="1000" b="1" i="0" u="none" strike="noStrike" baseline="0">
                  <a:solidFill>
                    <a:srgbClr val="000000"/>
                  </a:solidFill>
                  <a:latin typeface="Calibri"/>
                  <a:ea typeface="Calibri"/>
                  <a:cs typeface="Calibri"/>
                </a:defRPr>
              </a:pPr>
              <a:endParaRPr lang="en-US"/>
            </a:p>
          </c:txPr>
        </c:title>
        <c:numFmt formatCode="#,##0" sourceLinked="0"/>
        <c:majorTickMark val="none"/>
        <c:minorTickMark val="none"/>
        <c:tickLblPos val="nextTo"/>
        <c:spPr>
          <a:ln>
            <a:noFill/>
          </a:ln>
        </c:spPr>
        <c:txPr>
          <a:bodyPr rot="0" vert="horz"/>
          <a:lstStyle/>
          <a:p>
            <a:pPr>
              <a:defRPr sz="1000" b="0" i="0" u="none" strike="noStrike" baseline="0">
                <a:solidFill>
                  <a:srgbClr val="969696"/>
                </a:solidFill>
                <a:latin typeface="Calibri"/>
                <a:ea typeface="Calibri"/>
                <a:cs typeface="Calibri"/>
              </a:defRPr>
            </a:pPr>
            <a:endParaRPr lang="en-US"/>
          </a:p>
        </c:txPr>
        <c:crossAx val="195556992"/>
        <c:crosses val="autoZero"/>
        <c:crossBetween val="midCat"/>
      </c:valAx>
      <c:valAx>
        <c:axId val="195556992"/>
        <c:scaling>
          <c:orientation val="minMax"/>
          <c:max val="100"/>
          <c:min val="0"/>
        </c:scaling>
        <c:delete val="0"/>
        <c:axPos val="l"/>
        <c:majorGridlines>
          <c:spPr>
            <a:ln w="9525" cap="flat" cmpd="sng" algn="ctr">
              <a:noFill/>
              <a:prstDash val="solid"/>
              <a:round/>
            </a:ln>
            <a:effectLst/>
            <a:extLst>
              <a:ext uri="{91240B29-F687-4F45-9708-019B960494DF}">
                <a14:hiddenLine xmlns:a14="http://schemas.microsoft.com/office/drawing/2010/main" w="9525" cap="flat" cmpd="sng" algn="ctr">
                  <a:solidFill>
                    <a:srgbClr val="4F81BD">
                      <a:lumMod val="60000"/>
                      <a:lumOff val="40000"/>
                    </a:srgbClr>
                  </a:solidFill>
                  <a:prstDash val="solid"/>
                  <a:round/>
                </a14:hiddenLine>
              </a:ext>
            </a:extLst>
          </c:spPr>
        </c:majorGridlines>
        <c:title>
          <c:tx>
            <c:strRef>
              <c:f>iScatter!$B$10</c:f>
              <c:strCache>
                <c:ptCount val="1"/>
                <c:pt idx="0">
                  <c:v>OVERALL SCORE </c:v>
                </c:pt>
              </c:strCache>
            </c:strRef>
          </c:tx>
          <c:layout>
            <c:manualLayout>
              <c:xMode val="edge"/>
              <c:yMode val="edge"/>
              <c:x val="1.1706673285915811E-2"/>
              <c:y val="0.16661525529752128"/>
            </c:manualLayout>
          </c:layout>
          <c:overlay val="0"/>
          <c:spPr>
            <a:noFill/>
            <a:ln w="25400">
              <a:noFill/>
            </a:ln>
          </c:spPr>
          <c:txPr>
            <a:bodyPr/>
            <a:lstStyle/>
            <a:p>
              <a:pPr>
                <a:defRPr sz="1000" b="1" i="0" u="none" strike="noStrike" baseline="0">
                  <a:solidFill>
                    <a:srgbClr val="000000"/>
                  </a:solidFill>
                  <a:latin typeface="Calibri"/>
                  <a:ea typeface="Calibri"/>
                  <a:cs typeface="Calibri"/>
                </a:defRPr>
              </a:pPr>
              <a:endParaRPr lang="en-US"/>
            </a:p>
          </c:txPr>
        </c:title>
        <c:numFmt formatCode="#,##0" sourceLinked="0"/>
        <c:majorTickMark val="none"/>
        <c:minorTickMark val="none"/>
        <c:tickLblPos val="nextTo"/>
        <c:txPr>
          <a:bodyPr rot="0" vert="horz"/>
          <a:lstStyle/>
          <a:p>
            <a:pPr>
              <a:defRPr sz="1000" b="0" i="0" u="none" strike="noStrike" baseline="0">
                <a:solidFill>
                  <a:srgbClr val="969696"/>
                </a:solidFill>
                <a:latin typeface="Calibri"/>
                <a:ea typeface="Calibri"/>
                <a:cs typeface="Calibri"/>
              </a:defRPr>
            </a:pPr>
            <a:endParaRPr lang="en-US"/>
          </a:p>
        </c:txPr>
        <c:crossAx val="195556416"/>
        <c:crosses val="autoZero"/>
        <c:crossBetween val="midCat"/>
      </c:valAx>
      <c:spPr>
        <a:solidFill>
          <a:schemeClr val="accent5">
            <a:lumMod val="20000"/>
            <a:lumOff val="80000"/>
            <a:alpha val="20000"/>
          </a:schemeClr>
        </a:solid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55E-2"/>
          <c:y val="5.0925925925925923E-2"/>
          <c:w val="0.93888888888888888"/>
          <c:h val="0.87739000366889641"/>
        </c:manualLayout>
      </c:layout>
      <c:barChart>
        <c:barDir val="bar"/>
        <c:grouping val="percentStacked"/>
        <c:varyColors val="0"/>
        <c:ser>
          <c:idx val="0"/>
          <c:order val="0"/>
          <c:spPr>
            <a:solidFill>
              <a:schemeClr val="accent1"/>
            </a:solidFill>
            <a:ln>
              <a:noFill/>
            </a:ln>
            <a:effectLst/>
          </c:spPr>
          <c:invertIfNegative val="0"/>
          <c:val>
            <c:numRef>
              <c:f>iIndiRank!$CG$5</c:f>
              <c:numCache>
                <c:formatCode>General</c:formatCode>
                <c:ptCount val="1"/>
                <c:pt idx="0">
                  <c:v>25</c:v>
                </c:pt>
              </c:numCache>
            </c:numRef>
          </c:val>
          <c:extLst>
            <c:ext xmlns:c16="http://schemas.microsoft.com/office/drawing/2014/chart" uri="{C3380CC4-5D6E-409C-BE32-E72D297353CC}">
              <c16:uniqueId val="{00000000-63BA-4D97-BE14-C8615AF22A8A}"/>
            </c:ext>
          </c:extLst>
        </c:ser>
        <c:ser>
          <c:idx val="1"/>
          <c:order val="1"/>
          <c:spPr>
            <a:solidFill>
              <a:srgbClr val="DCE6F1"/>
            </a:solidFill>
            <a:ln>
              <a:noFill/>
            </a:ln>
            <a:effectLst/>
          </c:spPr>
          <c:invertIfNegative val="0"/>
          <c:val>
            <c:numRef>
              <c:f>iIndiRank!$CG$6</c:f>
              <c:numCache>
                <c:formatCode>0.0000</c:formatCode>
                <c:ptCount val="1"/>
                <c:pt idx="0">
                  <c:v>25</c:v>
                </c:pt>
              </c:numCache>
            </c:numRef>
          </c:val>
          <c:extLst>
            <c:ext xmlns:c16="http://schemas.microsoft.com/office/drawing/2014/chart" uri="{C3380CC4-5D6E-409C-BE32-E72D297353CC}">
              <c16:uniqueId val="{00000001-63BA-4D97-BE14-C8615AF22A8A}"/>
            </c:ext>
          </c:extLst>
        </c:ser>
        <c:ser>
          <c:idx val="2"/>
          <c:order val="2"/>
          <c:spPr>
            <a:solidFill>
              <a:srgbClr val="92C5EB"/>
            </a:solidFill>
            <a:ln>
              <a:noFill/>
            </a:ln>
            <a:effectLst/>
          </c:spPr>
          <c:invertIfNegative val="0"/>
          <c:val>
            <c:numRef>
              <c:f>iIndiRank!#REF!</c:f>
              <c:numCache>
                <c:formatCode>General</c:formatCode>
                <c:ptCount val="1"/>
                <c:pt idx="0">
                  <c:v>1</c:v>
                </c:pt>
              </c:numCache>
            </c:numRef>
          </c:val>
          <c:extLst>
            <c:ext xmlns:c16="http://schemas.microsoft.com/office/drawing/2014/chart" uri="{C3380CC4-5D6E-409C-BE32-E72D297353CC}">
              <c16:uniqueId val="{00000002-63BA-4D97-BE14-C8615AF22A8A}"/>
            </c:ext>
          </c:extLst>
        </c:ser>
        <c:ser>
          <c:idx val="3"/>
          <c:order val="3"/>
          <c:spPr>
            <a:solidFill>
              <a:srgbClr val="0F8EC7"/>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4-63BA-4D97-BE14-C8615AF22A8A}"/>
              </c:ext>
            </c:extLst>
          </c:dPt>
          <c:val>
            <c:numRef>
              <c:f>iIndiRank!$CG$36</c:f>
              <c:numCache>
                <c:formatCode>General</c:formatCode>
                <c:ptCount val="1"/>
                <c:pt idx="0">
                  <c:v>25</c:v>
                </c:pt>
              </c:numCache>
            </c:numRef>
          </c:val>
          <c:extLst>
            <c:ext xmlns:c16="http://schemas.microsoft.com/office/drawing/2014/chart" uri="{C3380CC4-5D6E-409C-BE32-E72D297353CC}">
              <c16:uniqueId val="{00000005-63BA-4D97-BE14-C8615AF22A8A}"/>
            </c:ext>
          </c:extLst>
        </c:ser>
        <c:dLbls>
          <c:showLegendKey val="0"/>
          <c:showVal val="0"/>
          <c:showCatName val="0"/>
          <c:showSerName val="0"/>
          <c:showPercent val="0"/>
          <c:showBubbleSize val="0"/>
        </c:dLbls>
        <c:gapWidth val="150"/>
        <c:overlap val="100"/>
        <c:axId val="201217024"/>
        <c:axId val="195525952"/>
      </c:barChart>
      <c:catAx>
        <c:axId val="201217024"/>
        <c:scaling>
          <c:orientation val="minMax"/>
        </c:scaling>
        <c:delete val="1"/>
        <c:axPos val="l"/>
        <c:majorTickMark val="none"/>
        <c:minorTickMark val="none"/>
        <c:tickLblPos val="nextTo"/>
        <c:crossAx val="195525952"/>
        <c:crosses val="autoZero"/>
        <c:auto val="1"/>
        <c:lblAlgn val="ctr"/>
        <c:lblOffset val="100"/>
        <c:noMultiLvlLbl val="0"/>
      </c:catAx>
      <c:valAx>
        <c:axId val="195525952"/>
        <c:scaling>
          <c:orientation val="minMax"/>
        </c:scaling>
        <c:delete val="1"/>
        <c:axPos val="b"/>
        <c:numFmt formatCode="0%" sourceLinked="1"/>
        <c:majorTickMark val="none"/>
        <c:minorTickMark val="none"/>
        <c:tickLblPos val="nextTo"/>
        <c:crossAx val="2012170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accent6">
                <a:lumMod val="50000"/>
                <a:alpha val="50000"/>
              </a:schemeClr>
            </a:solidFill>
          </c:spPr>
          <c:invertIfNegative val="0"/>
          <c:val>
            <c:numRef>
              <c:f>#REF!</c:f>
              <c:numCache>
                <c:formatCode>General</c:formatCode>
                <c:ptCount val="1"/>
                <c:pt idx="0">
                  <c:v>1</c:v>
                </c:pt>
              </c:numCache>
            </c:numRef>
          </c:val>
          <c:extLst>
            <c:ext xmlns:c16="http://schemas.microsoft.com/office/drawing/2014/chart" uri="{C3380CC4-5D6E-409C-BE32-E72D297353CC}">
              <c16:uniqueId val="{00000000-423B-4232-B2BC-E98A77502304}"/>
            </c:ext>
          </c:extLst>
        </c:ser>
        <c:dLbls>
          <c:showLegendKey val="0"/>
          <c:showVal val="0"/>
          <c:showCatName val="0"/>
          <c:showSerName val="0"/>
          <c:showPercent val="0"/>
          <c:showBubbleSize val="0"/>
        </c:dLbls>
        <c:gapWidth val="0"/>
        <c:axId val="165253632"/>
        <c:axId val="145047552"/>
      </c:barChart>
      <c:scatterChart>
        <c:scatterStyle val="lineMarker"/>
        <c:varyColors val="0"/>
        <c:ser>
          <c:idx val="1"/>
          <c:order val="1"/>
          <c:spPr>
            <a:ln w="28575">
              <a:noFill/>
            </a:ln>
          </c:spPr>
          <c:marker>
            <c:spPr>
              <a:solidFill>
                <a:schemeClr val="tx2">
                  <a:lumMod val="75000"/>
                </a:schemeClr>
              </a:solidFill>
              <a:ln w="12700">
                <a:solidFill>
                  <a:schemeClr val="bg1"/>
                </a:solidFill>
              </a:ln>
            </c:spPr>
          </c:marker>
          <c:dLbls>
            <c:dLbl>
              <c:idx val="0"/>
              <c:layout>
                <c:manualLayout>
                  <c:x val="-6.6917044156018235E-2"/>
                  <c:y val="-0.34402521292524668"/>
                </c:manualLayout>
              </c:layout>
              <c:tx>
                <c:strRef>
                  <c:f>#REF!</c:f>
                  <c:strCache>
                    <c:ptCount val="1"/>
                    <c:pt idx="0">
                      <c:v>#REF!</c:v>
                    </c:pt>
                  </c:strCache>
                </c:strRef>
              </c:tx>
              <c:spPr>
                <a:noFill/>
                <a:ln>
                  <a:noFill/>
                </a:ln>
                <a:effectLst/>
              </c:spPr>
              <c:txPr>
                <a:bodyPr wrap="none" lIns="38100" tIns="19050" rIns="38100" bIns="19050" anchor="ctr">
                  <a:noAutofit/>
                </a:bodyPr>
                <a:lstStyle/>
                <a:p>
                  <a:pPr>
                    <a:defRPr sz="900"/>
                  </a:pPr>
                  <a:endParaRPr lang="en-US"/>
                </a:p>
              </c:txPr>
              <c:dLblPos val="r"/>
              <c:showLegendKey val="0"/>
              <c:showVal val="1"/>
              <c:showCatName val="0"/>
              <c:showSerName val="0"/>
              <c:showPercent val="0"/>
              <c:showBubbleSize val="0"/>
              <c:extLst>
                <c:ext xmlns:c15="http://schemas.microsoft.com/office/drawing/2012/chart" uri="{CE6537A1-D6FC-4f65-9D91-7224C49458BB}">
                  <c15:layout>
                    <c:manualLayout>
                      <c:w val="9.7685099328105804E-2"/>
                      <c:h val="0.31194957414950653"/>
                    </c:manualLayout>
                  </c15:layout>
                  <c15:dlblFieldTable>
                    <c15:dlblFTEntry>
                      <c15:txfldGUID>{872CC72A-44D3-4E17-B3F6-351120485B05}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423B-4232-B2BC-E98A77502304}"/>
                </c:ext>
              </c:extLst>
            </c:dLbl>
            <c:spPr>
              <a:noFill/>
              <a:ln>
                <a:noFill/>
              </a:ln>
              <a:effectLst/>
            </c:spPr>
            <c:txPr>
              <a:bodyPr wrap="none" lIns="38100" tIns="19050" rIns="38100" bIns="19050" anchor="ctr">
                <a:spAutoFit/>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#REF!</c:f>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2-423B-4232-B2BC-E98A77502304}"/>
            </c:ext>
          </c:extLst>
        </c:ser>
        <c:ser>
          <c:idx val="2"/>
          <c:order val="2"/>
          <c:spPr>
            <a:ln w="28575">
              <a:noFill/>
            </a:ln>
          </c:spPr>
          <c:marker>
            <c:symbol val="triangle"/>
            <c:size val="8"/>
            <c:spPr>
              <a:solidFill>
                <a:srgbClr val="FF0000"/>
              </a:solidFill>
              <a:ln>
                <a:solidFill>
                  <a:schemeClr val="bg1"/>
                </a:solidFill>
              </a:ln>
            </c:spPr>
          </c:marker>
          <c:dLbls>
            <c:dLbl>
              <c:idx val="0"/>
              <c:tx>
                <c:strRef>
                  <c:f>#REF!</c:f>
                  <c:strCache>
                    <c:ptCount val="1"/>
                    <c:pt idx="0">
                      <c:v>#REF!</c:v>
                    </c:pt>
                  </c:strCache>
                </c:strRef>
              </c:tx>
              <c:dLblPos val="l"/>
              <c:showLegendKey val="0"/>
              <c:showVal val="1"/>
              <c:showCatName val="0"/>
              <c:showSerName val="0"/>
              <c:showPercent val="0"/>
              <c:showBubbleSize val="0"/>
              <c:extLst>
                <c:ext xmlns:c15="http://schemas.microsoft.com/office/drawing/2012/chart" uri="{CE6537A1-D6FC-4f65-9D91-7224C49458BB}">
                  <c15:dlblFieldTable>
                    <c15:dlblFTEntry>
                      <c15:txfldGUID>{47A1FC3B-9211-4210-A4EF-E9DF85DB2D86}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423B-4232-B2BC-E98A77502304}"/>
                </c:ext>
              </c:extLst>
            </c:dLbl>
            <c:spPr>
              <a:noFill/>
              <a:ln>
                <a:noFill/>
              </a:ln>
              <a:effectLst/>
            </c:spPr>
            <c:txPr>
              <a:bodyPr wrap="square" lIns="38100" tIns="19050" rIns="38100" bIns="19050" anchor="ctr">
                <a:spAutoFit/>
              </a:bodyPr>
              <a:lstStyle/>
              <a:p>
                <a:pPr>
                  <a:defRPr sz="900"/>
                </a:pPr>
                <a:endParaRPr lang="en-US"/>
              </a:p>
            </c:txPr>
            <c:dLblPos val="l"/>
            <c:showLegendKey val="0"/>
            <c:showVal val="0"/>
            <c:showCatName val="0"/>
            <c:showSerName val="0"/>
            <c:showPercent val="0"/>
            <c:showBubbleSize val="0"/>
            <c:extLst>
              <c:ext xmlns:c15="http://schemas.microsoft.com/office/drawing/2012/chart" uri="{CE6537A1-D6FC-4f65-9D91-7224C49458BB}">
                <c15:showLeaderLines val="0"/>
              </c:ext>
            </c:extLst>
          </c:dLbls>
          <c:xVal>
            <c:numRef>
              <c:f>#REF!</c:f>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4-423B-4232-B2BC-E98A77502304}"/>
            </c:ext>
          </c:extLst>
        </c:ser>
        <c:ser>
          <c:idx val="3"/>
          <c:order val="3"/>
          <c:spPr>
            <a:ln w="28575">
              <a:noFill/>
            </a:ln>
          </c:spPr>
          <c:marker>
            <c:symbol val="triangle"/>
            <c:size val="8"/>
            <c:spPr>
              <a:solidFill>
                <a:srgbClr val="00B050"/>
              </a:solidFill>
              <a:ln w="12700">
                <a:solidFill>
                  <a:schemeClr val="bg1"/>
                </a:solidFill>
              </a:ln>
            </c:spPr>
          </c:marker>
          <c:dLbls>
            <c:dLbl>
              <c:idx val="0"/>
              <c:tx>
                <c:strRef>
                  <c:f>#REF!</c:f>
                  <c:strCache>
                    <c:ptCount val="1"/>
                    <c:pt idx="0">
                      <c:v>#REF!</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{41A15654-A598-4354-9251-83B6C950147F}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5-423B-4232-B2BC-E98A77502304}"/>
                </c:ext>
              </c:extLst>
            </c:dLbl>
            <c:spPr>
              <a:noFill/>
              <a:ln>
                <a:noFill/>
              </a:ln>
              <a:effectLst/>
            </c:spPr>
            <c:txPr>
              <a:bodyPr wrap="square" lIns="38100" tIns="19050" rIns="38100" bIns="19050" anchor="ctr">
                <a:spAutoFit/>
              </a:bodyPr>
              <a:lstStyle/>
              <a:p>
                <a:pPr>
                  <a:defRPr sz="900"/>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xVal>
            <c:numRef>
              <c:f>#REF!</c:f>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6-423B-4232-B2BC-E98A77502304}"/>
            </c:ext>
          </c:extLst>
        </c:ser>
        <c:dLbls>
          <c:showLegendKey val="0"/>
          <c:showVal val="0"/>
          <c:showCatName val="0"/>
          <c:showSerName val="0"/>
          <c:showPercent val="0"/>
          <c:showBubbleSize val="0"/>
        </c:dLbls>
        <c:axId val="192248576"/>
        <c:axId val="192249152"/>
      </c:scatterChart>
      <c:valAx>
        <c:axId val="192248576"/>
        <c:scaling>
          <c:orientation val="minMax"/>
          <c:max val="100"/>
          <c:min val="0"/>
        </c:scaling>
        <c:delete val="1"/>
        <c:axPos val="b"/>
        <c:majorGridlines>
          <c:spPr>
            <a:ln>
              <a:solidFill>
                <a:srgbClr val="808080"/>
              </a:solidFill>
            </a:ln>
          </c:spPr>
        </c:majorGridlines>
        <c:numFmt formatCode="0.0" sourceLinked="1"/>
        <c:majorTickMark val="none"/>
        <c:minorTickMark val="none"/>
        <c:tickLblPos val="low"/>
        <c:crossAx val="192249152"/>
        <c:crosses val="autoZero"/>
        <c:crossBetween val="midCat"/>
        <c:majorUnit val="10"/>
      </c:valAx>
      <c:valAx>
        <c:axId val="192249152"/>
        <c:scaling>
          <c:orientation val="minMax"/>
          <c:max val="100"/>
          <c:min val="0"/>
        </c:scaling>
        <c:delete val="1"/>
        <c:axPos val="l"/>
        <c:numFmt formatCode="General" sourceLinked="1"/>
        <c:majorTickMark val="out"/>
        <c:minorTickMark val="none"/>
        <c:tickLblPos val="nextTo"/>
        <c:crossAx val="192248576"/>
        <c:crosses val="autoZero"/>
        <c:crossBetween val="midCat"/>
        <c:majorUnit val="10"/>
      </c:valAx>
      <c:valAx>
        <c:axId val="145047552"/>
        <c:scaling>
          <c:orientation val="minMax"/>
          <c:max val="100"/>
          <c:min val="0"/>
        </c:scaling>
        <c:delete val="1"/>
        <c:axPos val="t"/>
        <c:numFmt formatCode="General" sourceLinked="1"/>
        <c:majorTickMark val="out"/>
        <c:minorTickMark val="none"/>
        <c:tickLblPos val="nextTo"/>
        <c:crossAx val="165253632"/>
        <c:crosses val="max"/>
        <c:crossBetween val="between"/>
      </c:valAx>
      <c:catAx>
        <c:axId val="165253632"/>
        <c:scaling>
          <c:orientation val="minMax"/>
        </c:scaling>
        <c:delete val="1"/>
        <c:axPos val="l"/>
        <c:majorTickMark val="out"/>
        <c:minorTickMark val="none"/>
        <c:tickLblPos val="nextTo"/>
        <c:crossAx val="145047552"/>
        <c:crosses val="autoZero"/>
        <c:auto val="1"/>
        <c:lblAlgn val="ctr"/>
        <c:lblOffset val="100"/>
        <c:noMultiLvlLbl val="0"/>
      </c:catAx>
      <c:spPr>
        <a:noFill/>
      </c:spPr>
    </c:plotArea>
    <c:plotVisOnly val="1"/>
    <c:dispBlanksAs val="gap"/>
    <c:showDLblsOverMax val="0"/>
  </c:chart>
  <c:spPr>
    <a:noFill/>
    <a:ln>
      <a:noFill/>
    </a:ln>
  </c:spPr>
  <c:printSettings>
    <c:headerFooter/>
    <c:pageMargins b="0.75000000000000522" l="0.70000000000000062" r="0.70000000000000062" t="0.7500000000000052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accent6">
                <a:lumMod val="50000"/>
                <a:alpha val="50000"/>
              </a:schemeClr>
            </a:solidFill>
          </c:spPr>
          <c:invertIfNegative val="0"/>
          <c:val>
            <c:numRef>
              <c:f>#REF!</c:f>
              <c:numCache>
                <c:formatCode>General</c:formatCode>
                <c:ptCount val="1"/>
                <c:pt idx="0">
                  <c:v>1</c:v>
                </c:pt>
              </c:numCache>
            </c:numRef>
          </c:val>
          <c:extLst>
            <c:ext xmlns:c16="http://schemas.microsoft.com/office/drawing/2014/chart" uri="{C3380CC4-5D6E-409C-BE32-E72D297353CC}">
              <c16:uniqueId val="{00000000-1CEB-4389-9D59-06E004E89FF0}"/>
            </c:ext>
          </c:extLst>
        </c:ser>
        <c:dLbls>
          <c:showLegendKey val="0"/>
          <c:showVal val="0"/>
          <c:showCatName val="0"/>
          <c:showSerName val="0"/>
          <c:showPercent val="0"/>
          <c:showBubbleSize val="0"/>
        </c:dLbls>
        <c:gapWidth val="0"/>
        <c:axId val="165255168"/>
        <c:axId val="145050432"/>
      </c:barChart>
      <c:scatterChart>
        <c:scatterStyle val="lineMarker"/>
        <c:varyColors val="0"/>
        <c:ser>
          <c:idx val="1"/>
          <c:order val="1"/>
          <c:spPr>
            <a:ln w="28575">
              <a:noFill/>
            </a:ln>
          </c:spPr>
          <c:marker>
            <c:spPr>
              <a:solidFill>
                <a:schemeClr val="tx2">
                  <a:lumMod val="75000"/>
                </a:schemeClr>
              </a:solidFill>
              <a:ln w="12700">
                <a:solidFill>
                  <a:schemeClr val="bg1"/>
                </a:solidFill>
              </a:ln>
            </c:spPr>
          </c:marker>
          <c:xVal>
            <c:numRef>
              <c:f>#REF!</c:f>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1-1CEB-4389-9D59-06E004E89FF0}"/>
            </c:ext>
          </c:extLst>
        </c:ser>
        <c:ser>
          <c:idx val="2"/>
          <c:order val="2"/>
          <c:spPr>
            <a:ln w="28575">
              <a:noFill/>
            </a:ln>
          </c:spPr>
          <c:marker>
            <c:symbol val="triangle"/>
            <c:size val="8"/>
            <c:spPr>
              <a:solidFill>
                <a:srgbClr val="FF0000"/>
              </a:solidFill>
              <a:ln>
                <a:solidFill>
                  <a:schemeClr val="bg1"/>
                </a:solidFill>
              </a:ln>
            </c:spPr>
          </c:marker>
          <c:xVal>
            <c:numRef>
              <c:f>#REF!</c:f>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2-1CEB-4389-9D59-06E004E89FF0}"/>
            </c:ext>
          </c:extLst>
        </c:ser>
        <c:ser>
          <c:idx val="3"/>
          <c:order val="3"/>
          <c:spPr>
            <a:ln w="28575">
              <a:noFill/>
            </a:ln>
          </c:spPr>
          <c:marker>
            <c:symbol val="triangle"/>
            <c:size val="8"/>
            <c:spPr>
              <a:solidFill>
                <a:srgbClr val="00B050"/>
              </a:solidFill>
              <a:ln w="12700">
                <a:solidFill>
                  <a:schemeClr val="bg1"/>
                </a:solidFill>
              </a:ln>
            </c:spPr>
          </c:marker>
          <c:xVal>
            <c:numRef>
              <c:f>#REF!</c:f>
            </c:numRef>
          </c:xVal>
          <c:yVal>
            <c:numRef>
              <c:f>#REF!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3-1CEB-4389-9D59-06E004E89FF0}"/>
            </c:ext>
          </c:extLst>
        </c:ser>
        <c:dLbls>
          <c:showLegendKey val="0"/>
          <c:showVal val="0"/>
          <c:showCatName val="0"/>
          <c:showSerName val="0"/>
          <c:showPercent val="0"/>
          <c:showBubbleSize val="0"/>
        </c:dLbls>
        <c:axId val="145049280"/>
        <c:axId val="145049856"/>
      </c:scatterChart>
      <c:valAx>
        <c:axId val="145049280"/>
        <c:scaling>
          <c:orientation val="minMax"/>
          <c:max val="100"/>
          <c:min val="0"/>
        </c:scaling>
        <c:delete val="1"/>
        <c:axPos val="b"/>
        <c:majorGridlines>
          <c:spPr>
            <a:ln>
              <a:solidFill>
                <a:srgbClr val="808080"/>
              </a:solidFill>
            </a:ln>
          </c:spPr>
        </c:majorGridlines>
        <c:numFmt formatCode="0.0" sourceLinked="1"/>
        <c:majorTickMark val="none"/>
        <c:minorTickMark val="none"/>
        <c:tickLblPos val="low"/>
        <c:crossAx val="145049856"/>
        <c:crosses val="autoZero"/>
        <c:crossBetween val="midCat"/>
        <c:majorUnit val="10"/>
      </c:valAx>
      <c:valAx>
        <c:axId val="145049856"/>
        <c:scaling>
          <c:orientation val="minMax"/>
          <c:max val="100"/>
          <c:min val="0"/>
        </c:scaling>
        <c:delete val="1"/>
        <c:axPos val="l"/>
        <c:numFmt formatCode="General" sourceLinked="1"/>
        <c:majorTickMark val="out"/>
        <c:minorTickMark val="none"/>
        <c:tickLblPos val="nextTo"/>
        <c:crossAx val="145049280"/>
        <c:crosses val="autoZero"/>
        <c:crossBetween val="midCat"/>
        <c:majorUnit val="10"/>
      </c:valAx>
      <c:valAx>
        <c:axId val="145050432"/>
        <c:scaling>
          <c:orientation val="minMax"/>
          <c:max val="100"/>
          <c:min val="0"/>
        </c:scaling>
        <c:delete val="1"/>
        <c:axPos val="t"/>
        <c:numFmt formatCode="General" sourceLinked="1"/>
        <c:majorTickMark val="out"/>
        <c:minorTickMark val="none"/>
        <c:tickLblPos val="nextTo"/>
        <c:crossAx val="165255168"/>
        <c:crosses val="max"/>
        <c:crossBetween val="between"/>
      </c:valAx>
      <c:catAx>
        <c:axId val="165255168"/>
        <c:scaling>
          <c:orientation val="minMax"/>
        </c:scaling>
        <c:delete val="1"/>
        <c:axPos val="l"/>
        <c:majorTickMark val="out"/>
        <c:minorTickMark val="none"/>
        <c:tickLblPos val="nextTo"/>
        <c:crossAx val="145050432"/>
        <c:crosses val="autoZero"/>
        <c:auto val="1"/>
        <c:lblAlgn val="ctr"/>
        <c:lblOffset val="100"/>
        <c:noMultiLvlLbl val="0"/>
      </c:catAx>
      <c:spPr>
        <a:noFill/>
      </c:spPr>
    </c:plotArea>
    <c:plotVisOnly val="1"/>
    <c:dispBlanksAs val="gap"/>
    <c:showDLblsOverMax val="0"/>
  </c:chart>
  <c:spPr>
    <a:noFill/>
    <a:ln>
      <a:noFill/>
    </a:ln>
  </c:spPr>
  <c:printSettings>
    <c:headerFooter/>
    <c:pageMargins b="0.75000000000000522" l="0.70000000000000062" r="0.70000000000000062" t="0.75000000000000522"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13437580865771E-2"/>
          <c:y val="3.4808477951419475E-2"/>
          <c:w val="0.83948615577982333"/>
          <c:h val="0.9594984854765034"/>
        </c:manualLayout>
      </c:layout>
      <c:doughnutChart>
        <c:varyColors val="1"/>
        <c:ser>
          <c:idx val="0"/>
          <c:order val="0"/>
          <c:tx>
            <c:strRef>
              <c:f>iCP_Chart!$G$24</c:f>
              <c:strCache>
                <c:ptCount val="1"/>
                <c:pt idx="0">
                  <c:v>Low: 0 to 25.0</c:v>
                </c:pt>
              </c:strCache>
            </c:strRef>
          </c:tx>
          <c:spPr>
            <a:solidFill>
              <a:schemeClr val="accent1">
                <a:lumMod val="20000"/>
                <a:lumOff val="80000"/>
              </a:schemeClr>
            </a:solidFill>
            <a:ln>
              <a:solidFill>
                <a:schemeClr val="bg2">
                  <a:lumMod val="90000"/>
                </a:schemeClr>
              </a:solidFill>
            </a:ln>
          </c:spPr>
          <c:dPt>
            <c:idx val="0"/>
            <c:bubble3D val="0"/>
            <c:spPr>
              <a:solidFill>
                <a:srgbClr val="DCE6F1"/>
              </a:solidFill>
              <a:ln>
                <a:solidFill>
                  <a:srgbClr val="F2F2F2"/>
                </a:solidFill>
              </a:ln>
              <a:effectLst/>
            </c:spPr>
            <c:extLst>
              <c:ext xmlns:c16="http://schemas.microsoft.com/office/drawing/2014/chart" uri="{C3380CC4-5D6E-409C-BE32-E72D297353CC}">
                <c16:uniqueId val="{00000001-40FD-4968-8D42-E8F74AAE807B}"/>
              </c:ext>
            </c:extLst>
          </c:dPt>
          <c:dPt>
            <c:idx val="1"/>
            <c:bubble3D val="0"/>
            <c:spPr>
              <a:solidFill>
                <a:srgbClr val="DCE6F1"/>
              </a:solidFill>
              <a:ln>
                <a:solidFill>
                  <a:srgbClr val="F2F2F2"/>
                </a:solidFill>
              </a:ln>
              <a:effectLst/>
            </c:spPr>
            <c:extLst>
              <c:ext xmlns:c16="http://schemas.microsoft.com/office/drawing/2014/chart" uri="{C3380CC4-5D6E-409C-BE32-E72D297353CC}">
                <c16:uniqueId val="{00000003-40FD-4968-8D42-E8F74AAE807B}"/>
              </c:ext>
            </c:extLst>
          </c:dPt>
          <c:dPt>
            <c:idx val="2"/>
            <c:bubble3D val="0"/>
            <c:spPr>
              <a:solidFill>
                <a:srgbClr val="DCE6F1"/>
              </a:solidFill>
              <a:ln>
                <a:solidFill>
                  <a:srgbClr val="F2F2F2"/>
                </a:solidFill>
              </a:ln>
              <a:effectLst/>
            </c:spPr>
            <c:extLst>
              <c:ext xmlns:c16="http://schemas.microsoft.com/office/drawing/2014/chart" uri="{C3380CC4-5D6E-409C-BE32-E72D297353CC}">
                <c16:uniqueId val="{00000005-40FD-4968-8D42-E8F74AAE807B}"/>
              </c:ext>
            </c:extLst>
          </c:dPt>
          <c:dPt>
            <c:idx val="3"/>
            <c:bubble3D val="0"/>
            <c:spPr>
              <a:solidFill>
                <a:srgbClr val="DCE6F1"/>
              </a:solidFill>
              <a:ln>
                <a:solidFill>
                  <a:srgbClr val="F2F2F2"/>
                </a:solidFill>
              </a:ln>
              <a:effectLst/>
            </c:spPr>
            <c:extLst>
              <c:ext xmlns:c16="http://schemas.microsoft.com/office/drawing/2014/chart" uri="{C3380CC4-5D6E-409C-BE32-E72D297353CC}">
                <c16:uniqueId val="{00000007-40FD-4968-8D42-E8F74AAE807B}"/>
              </c:ext>
            </c:extLst>
          </c:dPt>
          <c:dPt>
            <c:idx val="4"/>
            <c:bubble3D val="0"/>
            <c:spPr>
              <a:solidFill>
                <a:srgbClr val="DCE6F1"/>
              </a:solidFill>
              <a:ln>
                <a:solidFill>
                  <a:srgbClr val="F2F2F2"/>
                </a:solidFill>
              </a:ln>
              <a:effectLst/>
            </c:spPr>
            <c:extLst>
              <c:ext xmlns:c16="http://schemas.microsoft.com/office/drawing/2014/chart" uri="{C3380CC4-5D6E-409C-BE32-E72D297353CC}">
                <c16:uniqueId val="{00000009-40FD-4968-8D42-E8F74AAE807B}"/>
              </c:ext>
            </c:extLst>
          </c:dPt>
          <c:dPt>
            <c:idx val="5"/>
            <c:bubble3D val="0"/>
            <c:spPr>
              <a:solidFill>
                <a:srgbClr val="DCE6F1"/>
              </a:solidFill>
              <a:ln>
                <a:solidFill>
                  <a:srgbClr val="F2F2F2"/>
                </a:solidFill>
              </a:ln>
              <a:effectLst/>
            </c:spPr>
            <c:extLst>
              <c:ext xmlns:c16="http://schemas.microsoft.com/office/drawing/2014/chart" uri="{C3380CC4-5D6E-409C-BE32-E72D297353CC}">
                <c16:uniqueId val="{0000000B-40FD-4968-8D42-E8F74AAE807B}"/>
              </c:ext>
            </c:extLst>
          </c:dPt>
          <c:dPt>
            <c:idx val="6"/>
            <c:bubble3D val="0"/>
            <c:spPr>
              <a:solidFill>
                <a:srgbClr val="DCE6F1"/>
              </a:solidFill>
              <a:ln>
                <a:solidFill>
                  <a:srgbClr val="F2F2F2"/>
                </a:solidFill>
              </a:ln>
              <a:effectLst/>
            </c:spPr>
            <c:extLst>
              <c:ext xmlns:c16="http://schemas.microsoft.com/office/drawing/2014/chart" uri="{C3380CC4-5D6E-409C-BE32-E72D297353CC}">
                <c16:uniqueId val="{0000000D-40FD-4968-8D42-E8F74AAE807B}"/>
              </c:ext>
            </c:extLst>
          </c:dPt>
          <c:dPt>
            <c:idx val="7"/>
            <c:bubble3D val="0"/>
            <c:spPr>
              <a:solidFill>
                <a:schemeClr val="accent1">
                  <a:lumMod val="20000"/>
                  <a:lumOff val="80000"/>
                </a:schemeClr>
              </a:solidFill>
              <a:ln>
                <a:solidFill>
                  <a:schemeClr val="bg2">
                    <a:lumMod val="90000"/>
                  </a:schemeClr>
                </a:solidFill>
              </a:ln>
              <a:effectLst/>
            </c:spPr>
            <c:extLst>
              <c:ext xmlns:c16="http://schemas.microsoft.com/office/drawing/2014/chart" uri="{C3380CC4-5D6E-409C-BE32-E72D297353CC}">
                <c16:uniqueId val="{0000000F-40FD-4968-8D42-E8F74AAE807B}"/>
              </c:ext>
            </c:extLst>
          </c:dPt>
          <c:dPt>
            <c:idx val="8"/>
            <c:bubble3D val="0"/>
            <c:spPr>
              <a:solidFill>
                <a:schemeClr val="accent1">
                  <a:lumMod val="20000"/>
                  <a:lumOff val="80000"/>
                </a:schemeClr>
              </a:solidFill>
              <a:ln>
                <a:solidFill>
                  <a:schemeClr val="bg2">
                    <a:lumMod val="90000"/>
                  </a:schemeClr>
                </a:solidFill>
              </a:ln>
              <a:effectLst/>
            </c:spPr>
            <c:extLst>
              <c:ext xmlns:c16="http://schemas.microsoft.com/office/drawing/2014/chart" uri="{C3380CC4-5D6E-409C-BE32-E72D297353CC}">
                <c16:uniqueId val="{00000011-40FD-4968-8D42-E8F74AAE807B}"/>
              </c:ext>
            </c:extLst>
          </c:dPt>
          <c:dPt>
            <c:idx val="9"/>
            <c:bubble3D val="0"/>
            <c:spPr>
              <a:solidFill>
                <a:schemeClr val="accent1">
                  <a:lumMod val="20000"/>
                  <a:lumOff val="80000"/>
                </a:schemeClr>
              </a:solidFill>
              <a:ln>
                <a:solidFill>
                  <a:schemeClr val="bg2">
                    <a:lumMod val="90000"/>
                  </a:schemeClr>
                </a:solidFill>
              </a:ln>
              <a:effectLst/>
            </c:spPr>
            <c:extLst>
              <c:ext xmlns:c16="http://schemas.microsoft.com/office/drawing/2014/chart" uri="{C3380CC4-5D6E-409C-BE32-E72D297353CC}">
                <c16:uniqueId val="{00000013-40FD-4968-8D42-E8F74AAE807B}"/>
              </c:ext>
            </c:extLst>
          </c:dPt>
          <c:dPt>
            <c:idx val="10"/>
            <c:bubble3D val="0"/>
            <c:spPr>
              <a:solidFill>
                <a:schemeClr val="accent1">
                  <a:lumMod val="20000"/>
                  <a:lumOff val="80000"/>
                </a:schemeClr>
              </a:solidFill>
              <a:ln>
                <a:solidFill>
                  <a:schemeClr val="bg2">
                    <a:lumMod val="90000"/>
                  </a:schemeClr>
                </a:solidFill>
              </a:ln>
              <a:effectLst/>
            </c:spPr>
            <c:extLst>
              <c:ext xmlns:c16="http://schemas.microsoft.com/office/drawing/2014/chart" uri="{C3380CC4-5D6E-409C-BE32-E72D297353CC}">
                <c16:uniqueId val="{00000015-40FD-4968-8D42-E8F74AAE807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iCP_Chart!$G$25:$G$35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16-40FD-4968-8D42-E8F74AAE807B}"/>
            </c:ext>
          </c:extLst>
        </c:ser>
        <c:ser>
          <c:idx val="1"/>
          <c:order val="1"/>
          <c:tx>
            <c:strRef>
              <c:f>iCP_Chart!$H$24</c:f>
              <c:strCache>
                <c:ptCount val="1"/>
                <c:pt idx="0">
                  <c:v>Medium: 25.1 to 50.0</c:v>
                </c:pt>
              </c:strCache>
            </c:strRef>
          </c:tx>
          <c:spPr>
            <a:solidFill>
              <a:schemeClr val="accent1">
                <a:lumMod val="20000"/>
                <a:lumOff val="80000"/>
              </a:schemeClr>
            </a:solidFill>
            <a:ln>
              <a:solidFill>
                <a:schemeClr val="bg2">
                  <a:lumMod val="90000"/>
                </a:schemeClr>
              </a:solidFill>
            </a:ln>
          </c:spPr>
          <c:dPt>
            <c:idx val="0"/>
            <c:bubble3D val="0"/>
            <c:spPr>
              <a:solidFill>
                <a:srgbClr val="DCE6F1"/>
              </a:solidFill>
              <a:ln>
                <a:solidFill>
                  <a:srgbClr val="F2F2F2"/>
                </a:solidFill>
              </a:ln>
              <a:effectLst/>
            </c:spPr>
            <c:extLst>
              <c:ext xmlns:c16="http://schemas.microsoft.com/office/drawing/2014/chart" uri="{C3380CC4-5D6E-409C-BE32-E72D297353CC}">
                <c16:uniqueId val="{00000018-40FD-4968-8D42-E8F74AAE807B}"/>
              </c:ext>
            </c:extLst>
          </c:dPt>
          <c:dPt>
            <c:idx val="1"/>
            <c:bubble3D val="0"/>
            <c:spPr>
              <a:solidFill>
                <a:srgbClr val="DCE6F1"/>
              </a:solidFill>
              <a:ln>
                <a:solidFill>
                  <a:srgbClr val="F2F2F2"/>
                </a:solidFill>
              </a:ln>
              <a:effectLst/>
            </c:spPr>
            <c:extLst>
              <c:ext xmlns:c16="http://schemas.microsoft.com/office/drawing/2014/chart" uri="{C3380CC4-5D6E-409C-BE32-E72D297353CC}">
                <c16:uniqueId val="{0000001A-40FD-4968-8D42-E8F74AAE807B}"/>
              </c:ext>
            </c:extLst>
          </c:dPt>
          <c:dPt>
            <c:idx val="2"/>
            <c:bubble3D val="0"/>
            <c:spPr>
              <a:solidFill>
                <a:srgbClr val="DCE6F1"/>
              </a:solidFill>
              <a:ln>
                <a:solidFill>
                  <a:srgbClr val="F2F2F2"/>
                </a:solidFill>
              </a:ln>
              <a:effectLst/>
            </c:spPr>
            <c:extLst>
              <c:ext xmlns:c16="http://schemas.microsoft.com/office/drawing/2014/chart" uri="{C3380CC4-5D6E-409C-BE32-E72D297353CC}">
                <c16:uniqueId val="{0000001C-40FD-4968-8D42-E8F74AAE807B}"/>
              </c:ext>
            </c:extLst>
          </c:dPt>
          <c:dPt>
            <c:idx val="3"/>
            <c:bubble3D val="0"/>
            <c:spPr>
              <a:solidFill>
                <a:srgbClr val="DCE6F1"/>
              </a:solidFill>
              <a:ln>
                <a:solidFill>
                  <a:srgbClr val="F2F2F2"/>
                </a:solidFill>
              </a:ln>
              <a:effectLst/>
            </c:spPr>
            <c:extLst>
              <c:ext xmlns:c16="http://schemas.microsoft.com/office/drawing/2014/chart" uri="{C3380CC4-5D6E-409C-BE32-E72D297353CC}">
                <c16:uniqueId val="{0000001E-40FD-4968-8D42-E8F74AAE807B}"/>
              </c:ext>
            </c:extLst>
          </c:dPt>
          <c:dPt>
            <c:idx val="4"/>
            <c:bubble3D val="0"/>
            <c:spPr>
              <a:solidFill>
                <a:srgbClr val="DCE6F1"/>
              </a:solidFill>
              <a:ln>
                <a:solidFill>
                  <a:srgbClr val="F2F2F2"/>
                </a:solidFill>
              </a:ln>
              <a:effectLst/>
            </c:spPr>
            <c:extLst>
              <c:ext xmlns:c16="http://schemas.microsoft.com/office/drawing/2014/chart" uri="{C3380CC4-5D6E-409C-BE32-E72D297353CC}">
                <c16:uniqueId val="{00000020-40FD-4968-8D42-E8F74AAE807B}"/>
              </c:ext>
            </c:extLst>
          </c:dPt>
          <c:dPt>
            <c:idx val="5"/>
            <c:bubble3D val="0"/>
            <c:spPr>
              <a:solidFill>
                <a:srgbClr val="DCE6F1"/>
              </a:solidFill>
              <a:ln>
                <a:solidFill>
                  <a:srgbClr val="F2F2F2"/>
                </a:solidFill>
              </a:ln>
              <a:effectLst/>
            </c:spPr>
            <c:extLst>
              <c:ext xmlns:c16="http://schemas.microsoft.com/office/drawing/2014/chart" uri="{C3380CC4-5D6E-409C-BE32-E72D297353CC}">
                <c16:uniqueId val="{00000022-40FD-4968-8D42-E8F74AAE807B}"/>
              </c:ext>
            </c:extLst>
          </c:dPt>
          <c:dPt>
            <c:idx val="6"/>
            <c:bubble3D val="0"/>
            <c:spPr>
              <a:solidFill>
                <a:srgbClr val="DCE6F1"/>
              </a:solidFill>
              <a:ln>
                <a:solidFill>
                  <a:srgbClr val="F2F2F2"/>
                </a:solidFill>
              </a:ln>
              <a:effectLst/>
            </c:spPr>
            <c:extLst>
              <c:ext xmlns:c16="http://schemas.microsoft.com/office/drawing/2014/chart" uri="{C3380CC4-5D6E-409C-BE32-E72D297353CC}">
                <c16:uniqueId val="{00000024-40FD-4968-8D42-E8F74AAE807B}"/>
              </c:ext>
            </c:extLst>
          </c:dPt>
          <c:dPt>
            <c:idx val="7"/>
            <c:bubble3D val="0"/>
            <c:spPr>
              <a:solidFill>
                <a:schemeClr val="accent1">
                  <a:lumMod val="20000"/>
                  <a:lumOff val="80000"/>
                </a:schemeClr>
              </a:solidFill>
              <a:ln>
                <a:solidFill>
                  <a:schemeClr val="bg2">
                    <a:lumMod val="90000"/>
                  </a:schemeClr>
                </a:solidFill>
              </a:ln>
              <a:effectLst/>
            </c:spPr>
            <c:extLst>
              <c:ext xmlns:c16="http://schemas.microsoft.com/office/drawing/2014/chart" uri="{C3380CC4-5D6E-409C-BE32-E72D297353CC}">
                <c16:uniqueId val="{00000026-40FD-4968-8D42-E8F74AAE807B}"/>
              </c:ext>
            </c:extLst>
          </c:dPt>
          <c:dPt>
            <c:idx val="8"/>
            <c:bubble3D val="0"/>
            <c:spPr>
              <a:solidFill>
                <a:schemeClr val="accent1">
                  <a:lumMod val="20000"/>
                  <a:lumOff val="80000"/>
                </a:schemeClr>
              </a:solidFill>
              <a:ln>
                <a:solidFill>
                  <a:schemeClr val="bg2">
                    <a:lumMod val="90000"/>
                  </a:schemeClr>
                </a:solidFill>
              </a:ln>
              <a:effectLst/>
            </c:spPr>
            <c:extLst>
              <c:ext xmlns:c16="http://schemas.microsoft.com/office/drawing/2014/chart" uri="{C3380CC4-5D6E-409C-BE32-E72D297353CC}">
                <c16:uniqueId val="{00000028-40FD-4968-8D42-E8F74AAE807B}"/>
              </c:ext>
            </c:extLst>
          </c:dPt>
          <c:dPt>
            <c:idx val="9"/>
            <c:bubble3D val="0"/>
            <c:spPr>
              <a:solidFill>
                <a:schemeClr val="accent1">
                  <a:lumMod val="20000"/>
                  <a:lumOff val="80000"/>
                </a:schemeClr>
              </a:solidFill>
              <a:ln>
                <a:solidFill>
                  <a:schemeClr val="bg2">
                    <a:lumMod val="90000"/>
                  </a:schemeClr>
                </a:solidFill>
              </a:ln>
              <a:effectLst/>
            </c:spPr>
            <c:extLst>
              <c:ext xmlns:c16="http://schemas.microsoft.com/office/drawing/2014/chart" uri="{C3380CC4-5D6E-409C-BE32-E72D297353CC}">
                <c16:uniqueId val="{0000002A-40FD-4968-8D42-E8F74AAE807B}"/>
              </c:ext>
            </c:extLst>
          </c:dPt>
          <c:dPt>
            <c:idx val="10"/>
            <c:bubble3D val="0"/>
            <c:spPr>
              <a:solidFill>
                <a:schemeClr val="accent1">
                  <a:lumMod val="20000"/>
                  <a:lumOff val="80000"/>
                </a:schemeClr>
              </a:solidFill>
              <a:ln>
                <a:solidFill>
                  <a:schemeClr val="bg2">
                    <a:lumMod val="90000"/>
                  </a:schemeClr>
                </a:solidFill>
              </a:ln>
              <a:effectLst/>
            </c:spPr>
            <c:extLst>
              <c:ext xmlns:c16="http://schemas.microsoft.com/office/drawing/2014/chart" uri="{C3380CC4-5D6E-409C-BE32-E72D297353CC}">
                <c16:uniqueId val="{0000002C-40FD-4968-8D42-E8F74AAE807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iCP_Chart!$H$25:$H$35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2D-40FD-4968-8D42-E8F74AAE807B}"/>
            </c:ext>
          </c:extLst>
        </c:ser>
        <c:ser>
          <c:idx val="2"/>
          <c:order val="2"/>
          <c:tx>
            <c:strRef>
              <c:f>iCP_Chart!$I$24</c:f>
              <c:strCache>
                <c:ptCount val="1"/>
                <c:pt idx="0">
                  <c:v>High: 50.1 to 75.0</c:v>
                </c:pt>
              </c:strCache>
            </c:strRef>
          </c:tx>
          <c:spPr>
            <a:solidFill>
              <a:schemeClr val="accent1">
                <a:lumMod val="20000"/>
                <a:lumOff val="80000"/>
              </a:schemeClr>
            </a:solidFill>
            <a:ln>
              <a:solidFill>
                <a:schemeClr val="bg2">
                  <a:lumMod val="90000"/>
                </a:schemeClr>
              </a:solidFill>
            </a:ln>
          </c:spPr>
          <c:dPt>
            <c:idx val="0"/>
            <c:bubble3D val="0"/>
            <c:spPr>
              <a:solidFill>
                <a:srgbClr val="DCE6F1"/>
              </a:solidFill>
              <a:ln>
                <a:solidFill>
                  <a:srgbClr val="F2F2F2"/>
                </a:solidFill>
              </a:ln>
              <a:effectLst/>
            </c:spPr>
            <c:extLst>
              <c:ext xmlns:c16="http://schemas.microsoft.com/office/drawing/2014/chart" uri="{C3380CC4-5D6E-409C-BE32-E72D297353CC}">
                <c16:uniqueId val="{0000002F-40FD-4968-8D42-E8F74AAE807B}"/>
              </c:ext>
            </c:extLst>
          </c:dPt>
          <c:dPt>
            <c:idx val="1"/>
            <c:bubble3D val="0"/>
            <c:spPr>
              <a:solidFill>
                <a:srgbClr val="DCE6F1"/>
              </a:solidFill>
              <a:ln>
                <a:solidFill>
                  <a:srgbClr val="F2F2F2"/>
                </a:solidFill>
              </a:ln>
              <a:effectLst/>
            </c:spPr>
            <c:extLst>
              <c:ext xmlns:c16="http://schemas.microsoft.com/office/drawing/2014/chart" uri="{C3380CC4-5D6E-409C-BE32-E72D297353CC}">
                <c16:uniqueId val="{00000031-40FD-4968-8D42-E8F74AAE807B}"/>
              </c:ext>
            </c:extLst>
          </c:dPt>
          <c:dPt>
            <c:idx val="2"/>
            <c:bubble3D val="0"/>
            <c:spPr>
              <a:solidFill>
                <a:srgbClr val="DCE6F1"/>
              </a:solidFill>
              <a:ln>
                <a:solidFill>
                  <a:srgbClr val="F2F2F2"/>
                </a:solidFill>
              </a:ln>
              <a:effectLst/>
            </c:spPr>
            <c:extLst>
              <c:ext xmlns:c16="http://schemas.microsoft.com/office/drawing/2014/chart" uri="{C3380CC4-5D6E-409C-BE32-E72D297353CC}">
                <c16:uniqueId val="{00000033-40FD-4968-8D42-E8F74AAE807B}"/>
              </c:ext>
            </c:extLst>
          </c:dPt>
          <c:dPt>
            <c:idx val="3"/>
            <c:bubble3D val="0"/>
            <c:spPr>
              <a:solidFill>
                <a:srgbClr val="DCE6F1"/>
              </a:solidFill>
              <a:ln>
                <a:solidFill>
                  <a:srgbClr val="F2F2F2"/>
                </a:solidFill>
              </a:ln>
              <a:effectLst/>
            </c:spPr>
            <c:extLst>
              <c:ext xmlns:c16="http://schemas.microsoft.com/office/drawing/2014/chart" uri="{C3380CC4-5D6E-409C-BE32-E72D297353CC}">
                <c16:uniqueId val="{00000035-40FD-4968-8D42-E8F74AAE807B}"/>
              </c:ext>
            </c:extLst>
          </c:dPt>
          <c:dPt>
            <c:idx val="4"/>
            <c:bubble3D val="0"/>
            <c:spPr>
              <a:solidFill>
                <a:srgbClr val="DCE6F1"/>
              </a:solidFill>
              <a:ln>
                <a:solidFill>
                  <a:srgbClr val="F2F2F2"/>
                </a:solidFill>
              </a:ln>
              <a:effectLst/>
            </c:spPr>
            <c:extLst>
              <c:ext xmlns:c16="http://schemas.microsoft.com/office/drawing/2014/chart" uri="{C3380CC4-5D6E-409C-BE32-E72D297353CC}">
                <c16:uniqueId val="{00000037-40FD-4968-8D42-E8F74AAE807B}"/>
              </c:ext>
            </c:extLst>
          </c:dPt>
          <c:dPt>
            <c:idx val="5"/>
            <c:bubble3D val="0"/>
            <c:spPr>
              <a:solidFill>
                <a:srgbClr val="DCE6F1"/>
              </a:solidFill>
              <a:ln>
                <a:solidFill>
                  <a:srgbClr val="F2F2F2"/>
                </a:solidFill>
              </a:ln>
              <a:effectLst/>
            </c:spPr>
            <c:extLst>
              <c:ext xmlns:c16="http://schemas.microsoft.com/office/drawing/2014/chart" uri="{C3380CC4-5D6E-409C-BE32-E72D297353CC}">
                <c16:uniqueId val="{00000039-40FD-4968-8D42-E8F74AAE807B}"/>
              </c:ext>
            </c:extLst>
          </c:dPt>
          <c:dPt>
            <c:idx val="6"/>
            <c:bubble3D val="0"/>
            <c:spPr>
              <a:solidFill>
                <a:srgbClr val="DCE6F1"/>
              </a:solidFill>
              <a:ln>
                <a:solidFill>
                  <a:srgbClr val="F2F2F2"/>
                </a:solidFill>
              </a:ln>
              <a:effectLst/>
            </c:spPr>
            <c:extLst>
              <c:ext xmlns:c16="http://schemas.microsoft.com/office/drawing/2014/chart" uri="{C3380CC4-5D6E-409C-BE32-E72D297353CC}">
                <c16:uniqueId val="{0000003B-40FD-4968-8D42-E8F74AAE807B}"/>
              </c:ext>
            </c:extLst>
          </c:dPt>
          <c:dPt>
            <c:idx val="7"/>
            <c:bubble3D val="0"/>
            <c:spPr>
              <a:solidFill>
                <a:schemeClr val="accent1">
                  <a:lumMod val="20000"/>
                  <a:lumOff val="80000"/>
                </a:schemeClr>
              </a:solidFill>
              <a:ln>
                <a:solidFill>
                  <a:schemeClr val="bg2">
                    <a:lumMod val="90000"/>
                  </a:schemeClr>
                </a:solidFill>
              </a:ln>
              <a:effectLst/>
            </c:spPr>
            <c:extLst>
              <c:ext xmlns:c16="http://schemas.microsoft.com/office/drawing/2014/chart" uri="{C3380CC4-5D6E-409C-BE32-E72D297353CC}">
                <c16:uniqueId val="{0000003D-40FD-4968-8D42-E8F74AAE807B}"/>
              </c:ext>
            </c:extLst>
          </c:dPt>
          <c:dPt>
            <c:idx val="8"/>
            <c:bubble3D val="0"/>
            <c:spPr>
              <a:solidFill>
                <a:schemeClr val="accent1">
                  <a:lumMod val="20000"/>
                  <a:lumOff val="80000"/>
                </a:schemeClr>
              </a:solidFill>
              <a:ln>
                <a:solidFill>
                  <a:schemeClr val="bg2">
                    <a:lumMod val="90000"/>
                  </a:schemeClr>
                </a:solidFill>
              </a:ln>
              <a:effectLst/>
            </c:spPr>
            <c:extLst>
              <c:ext xmlns:c16="http://schemas.microsoft.com/office/drawing/2014/chart" uri="{C3380CC4-5D6E-409C-BE32-E72D297353CC}">
                <c16:uniqueId val="{0000003F-40FD-4968-8D42-E8F74AAE807B}"/>
              </c:ext>
            </c:extLst>
          </c:dPt>
          <c:dPt>
            <c:idx val="9"/>
            <c:bubble3D val="0"/>
            <c:spPr>
              <a:solidFill>
                <a:schemeClr val="accent1">
                  <a:lumMod val="20000"/>
                  <a:lumOff val="80000"/>
                </a:schemeClr>
              </a:solidFill>
              <a:ln>
                <a:solidFill>
                  <a:schemeClr val="bg2">
                    <a:lumMod val="90000"/>
                  </a:schemeClr>
                </a:solidFill>
              </a:ln>
              <a:effectLst/>
            </c:spPr>
            <c:extLst>
              <c:ext xmlns:c16="http://schemas.microsoft.com/office/drawing/2014/chart" uri="{C3380CC4-5D6E-409C-BE32-E72D297353CC}">
                <c16:uniqueId val="{00000041-40FD-4968-8D42-E8F74AAE807B}"/>
              </c:ext>
            </c:extLst>
          </c:dPt>
          <c:dPt>
            <c:idx val="10"/>
            <c:bubble3D val="0"/>
            <c:spPr>
              <a:solidFill>
                <a:schemeClr val="accent1">
                  <a:lumMod val="20000"/>
                  <a:lumOff val="80000"/>
                </a:schemeClr>
              </a:solidFill>
              <a:ln>
                <a:solidFill>
                  <a:schemeClr val="bg2">
                    <a:lumMod val="90000"/>
                  </a:schemeClr>
                </a:solidFill>
              </a:ln>
              <a:effectLst/>
            </c:spPr>
            <c:extLst>
              <c:ext xmlns:c16="http://schemas.microsoft.com/office/drawing/2014/chart" uri="{C3380CC4-5D6E-409C-BE32-E72D297353CC}">
                <c16:uniqueId val="{00000043-40FD-4968-8D42-E8F74AAE807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iCP_Chart!$I$25:$I$35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44-40FD-4968-8D42-E8F74AAE807B}"/>
            </c:ext>
          </c:extLst>
        </c:ser>
        <c:ser>
          <c:idx val="3"/>
          <c:order val="3"/>
          <c:tx>
            <c:strRef>
              <c:f>iCP_Chart!$J$24</c:f>
              <c:strCache>
                <c:ptCount val="1"/>
                <c:pt idx="0">
                  <c:v>lbl</c:v>
                </c:pt>
              </c:strCache>
            </c:strRef>
          </c:tx>
          <c:spPr>
            <a:solidFill>
              <a:schemeClr val="accent1">
                <a:lumMod val="20000"/>
                <a:lumOff val="80000"/>
              </a:schemeClr>
            </a:solidFill>
            <a:ln>
              <a:solidFill>
                <a:schemeClr val="bg2">
                  <a:lumMod val="90000"/>
                </a:schemeClr>
              </a:solidFill>
            </a:ln>
          </c:spPr>
          <c:dPt>
            <c:idx val="0"/>
            <c:bubble3D val="0"/>
            <c:spPr>
              <a:solidFill>
                <a:srgbClr val="DCE6F1"/>
              </a:solidFill>
              <a:ln>
                <a:solidFill>
                  <a:srgbClr val="F2F2F2"/>
                </a:solidFill>
              </a:ln>
              <a:effectLst/>
            </c:spPr>
            <c:extLst xmlns:c15="http://schemas.microsoft.com/office/drawing/2012/chart">
              <c:ext xmlns:c16="http://schemas.microsoft.com/office/drawing/2014/chart" uri="{C3380CC4-5D6E-409C-BE32-E72D297353CC}">
                <c16:uniqueId val="{00000046-40FD-4968-8D42-E8F74AAE807B}"/>
              </c:ext>
            </c:extLst>
          </c:dPt>
          <c:dPt>
            <c:idx val="1"/>
            <c:bubble3D val="0"/>
            <c:spPr>
              <a:solidFill>
                <a:srgbClr val="DCE6F1"/>
              </a:solidFill>
              <a:ln>
                <a:solidFill>
                  <a:srgbClr val="F2F2F2"/>
                </a:solidFill>
              </a:ln>
              <a:effectLst/>
            </c:spPr>
            <c:extLst xmlns:c15="http://schemas.microsoft.com/office/drawing/2012/chart">
              <c:ext xmlns:c16="http://schemas.microsoft.com/office/drawing/2014/chart" uri="{C3380CC4-5D6E-409C-BE32-E72D297353CC}">
                <c16:uniqueId val="{00000048-40FD-4968-8D42-E8F74AAE807B}"/>
              </c:ext>
            </c:extLst>
          </c:dPt>
          <c:dPt>
            <c:idx val="2"/>
            <c:bubble3D val="0"/>
            <c:spPr>
              <a:solidFill>
                <a:srgbClr val="DCE6F1"/>
              </a:solidFill>
              <a:ln>
                <a:solidFill>
                  <a:srgbClr val="F2F2F2"/>
                </a:solidFill>
              </a:ln>
              <a:effectLst/>
            </c:spPr>
            <c:extLst xmlns:c15="http://schemas.microsoft.com/office/drawing/2012/chart">
              <c:ext xmlns:c16="http://schemas.microsoft.com/office/drawing/2014/chart" uri="{C3380CC4-5D6E-409C-BE32-E72D297353CC}">
                <c16:uniqueId val="{0000004A-40FD-4968-8D42-E8F74AAE807B}"/>
              </c:ext>
            </c:extLst>
          </c:dPt>
          <c:dPt>
            <c:idx val="3"/>
            <c:bubble3D val="0"/>
            <c:spPr>
              <a:solidFill>
                <a:srgbClr val="DCE6F1"/>
              </a:solidFill>
              <a:ln>
                <a:solidFill>
                  <a:srgbClr val="F2F2F2"/>
                </a:solidFill>
              </a:ln>
              <a:effectLst/>
            </c:spPr>
            <c:extLst xmlns:c15="http://schemas.microsoft.com/office/drawing/2012/chart">
              <c:ext xmlns:c16="http://schemas.microsoft.com/office/drawing/2014/chart" uri="{C3380CC4-5D6E-409C-BE32-E72D297353CC}">
                <c16:uniqueId val="{0000004C-40FD-4968-8D42-E8F74AAE807B}"/>
              </c:ext>
            </c:extLst>
          </c:dPt>
          <c:dPt>
            <c:idx val="4"/>
            <c:bubble3D val="0"/>
            <c:spPr>
              <a:solidFill>
                <a:srgbClr val="DCE6F1"/>
              </a:solidFill>
              <a:ln>
                <a:solidFill>
                  <a:srgbClr val="F2F2F2"/>
                </a:solidFill>
              </a:ln>
              <a:effectLst/>
            </c:spPr>
            <c:extLst xmlns:c15="http://schemas.microsoft.com/office/drawing/2012/chart">
              <c:ext xmlns:c16="http://schemas.microsoft.com/office/drawing/2014/chart" uri="{C3380CC4-5D6E-409C-BE32-E72D297353CC}">
                <c16:uniqueId val="{0000004E-40FD-4968-8D42-E8F74AAE807B}"/>
              </c:ext>
            </c:extLst>
          </c:dPt>
          <c:dPt>
            <c:idx val="5"/>
            <c:bubble3D val="0"/>
            <c:spPr>
              <a:solidFill>
                <a:srgbClr val="DCE6F1"/>
              </a:solidFill>
              <a:ln>
                <a:solidFill>
                  <a:srgbClr val="F2F2F2"/>
                </a:solidFill>
              </a:ln>
              <a:effectLst/>
            </c:spPr>
            <c:extLst xmlns:c15="http://schemas.microsoft.com/office/drawing/2012/chart">
              <c:ext xmlns:c16="http://schemas.microsoft.com/office/drawing/2014/chart" uri="{C3380CC4-5D6E-409C-BE32-E72D297353CC}">
                <c16:uniqueId val="{00000050-40FD-4968-8D42-E8F74AAE807B}"/>
              </c:ext>
            </c:extLst>
          </c:dPt>
          <c:dPt>
            <c:idx val="6"/>
            <c:bubble3D val="0"/>
            <c:spPr>
              <a:solidFill>
                <a:srgbClr val="DCE6F1"/>
              </a:solidFill>
              <a:ln>
                <a:solidFill>
                  <a:srgbClr val="F2F2F2"/>
                </a:solidFill>
              </a:ln>
              <a:effectLst/>
            </c:spPr>
            <c:extLst xmlns:c15="http://schemas.microsoft.com/office/drawing/2012/chart">
              <c:ext xmlns:c16="http://schemas.microsoft.com/office/drawing/2014/chart" uri="{C3380CC4-5D6E-409C-BE32-E72D297353CC}">
                <c16:uniqueId val="{00000052-40FD-4968-8D42-E8F74AAE807B}"/>
              </c:ext>
            </c:extLst>
          </c:dPt>
          <c:dPt>
            <c:idx val="7"/>
            <c:bubble3D val="0"/>
            <c:spPr>
              <a:solidFill>
                <a:schemeClr val="accent1">
                  <a:lumMod val="20000"/>
                  <a:lumOff val="80000"/>
                </a:schemeClr>
              </a:solidFill>
              <a:ln>
                <a:solidFill>
                  <a:schemeClr val="bg2">
                    <a:lumMod val="90000"/>
                  </a:schemeClr>
                </a:solidFill>
              </a:ln>
              <a:effectLst/>
            </c:spPr>
            <c:extLst xmlns:c15="http://schemas.microsoft.com/office/drawing/2012/chart">
              <c:ext xmlns:c16="http://schemas.microsoft.com/office/drawing/2014/chart" uri="{C3380CC4-5D6E-409C-BE32-E72D297353CC}">
                <c16:uniqueId val="{00000054-40FD-4968-8D42-E8F74AAE807B}"/>
              </c:ext>
            </c:extLst>
          </c:dPt>
          <c:dPt>
            <c:idx val="8"/>
            <c:bubble3D val="0"/>
            <c:spPr>
              <a:solidFill>
                <a:schemeClr val="accent1">
                  <a:lumMod val="20000"/>
                  <a:lumOff val="80000"/>
                </a:schemeClr>
              </a:solidFill>
              <a:ln>
                <a:solidFill>
                  <a:schemeClr val="bg2">
                    <a:lumMod val="90000"/>
                  </a:schemeClr>
                </a:solidFill>
              </a:ln>
              <a:effectLst/>
            </c:spPr>
            <c:extLst xmlns:c15="http://schemas.microsoft.com/office/drawing/2012/chart">
              <c:ext xmlns:c16="http://schemas.microsoft.com/office/drawing/2014/chart" uri="{C3380CC4-5D6E-409C-BE32-E72D297353CC}">
                <c16:uniqueId val="{00000056-40FD-4968-8D42-E8F74AAE807B}"/>
              </c:ext>
            </c:extLst>
          </c:dPt>
          <c:dPt>
            <c:idx val="9"/>
            <c:bubble3D val="0"/>
            <c:spPr>
              <a:solidFill>
                <a:schemeClr val="accent1">
                  <a:lumMod val="20000"/>
                  <a:lumOff val="80000"/>
                </a:schemeClr>
              </a:solidFill>
              <a:ln>
                <a:solidFill>
                  <a:schemeClr val="bg2">
                    <a:lumMod val="90000"/>
                  </a:schemeClr>
                </a:solidFill>
              </a:ln>
              <a:effectLst/>
            </c:spPr>
            <c:extLst xmlns:c15="http://schemas.microsoft.com/office/drawing/2012/chart">
              <c:ext xmlns:c16="http://schemas.microsoft.com/office/drawing/2014/chart" uri="{C3380CC4-5D6E-409C-BE32-E72D297353CC}">
                <c16:uniqueId val="{00000058-40FD-4968-8D42-E8F74AAE807B}"/>
              </c:ext>
            </c:extLst>
          </c:dPt>
          <c:dPt>
            <c:idx val="10"/>
            <c:bubble3D val="0"/>
            <c:spPr>
              <a:solidFill>
                <a:schemeClr val="accent1">
                  <a:lumMod val="20000"/>
                  <a:lumOff val="80000"/>
                </a:schemeClr>
              </a:solidFill>
              <a:ln>
                <a:solidFill>
                  <a:schemeClr val="bg2">
                    <a:lumMod val="90000"/>
                  </a:schemeClr>
                </a:solidFill>
              </a:ln>
              <a:effectLst/>
            </c:spPr>
            <c:extLst xmlns:c15="http://schemas.microsoft.com/office/drawing/2012/chart">
              <c:ext xmlns:c16="http://schemas.microsoft.com/office/drawing/2014/chart" uri="{C3380CC4-5D6E-409C-BE32-E72D297353CC}">
                <c16:uniqueId val="{0000005A-40FD-4968-8D42-E8F74AAE807B}"/>
              </c:ext>
            </c:extLst>
          </c:dPt>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46-40FD-4968-8D42-E8F74AAE807B}"/>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48-40FD-4968-8D42-E8F74AAE807B}"/>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4A-40FD-4968-8D42-E8F74AAE807B}"/>
                </c:ext>
              </c:extLst>
            </c:dLbl>
            <c:dLbl>
              <c:idx val="3"/>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4C-40FD-4968-8D42-E8F74AAE807B}"/>
                </c:ext>
              </c:extLst>
            </c:dLbl>
            <c:dLbl>
              <c:idx val="4"/>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4E-40FD-4968-8D42-E8F74AAE807B}"/>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50-40FD-4968-8D42-E8F74AAE807B}"/>
                </c:ext>
              </c:extLst>
            </c:dLbl>
            <c:dLbl>
              <c:idx val="6"/>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52-40FD-4968-8D42-E8F74AAE807B}"/>
                </c:ext>
              </c:extLst>
            </c:dLbl>
            <c:dLbl>
              <c:idx val="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54-40FD-4968-8D42-E8F74AAE807B}"/>
                </c:ext>
              </c:extLst>
            </c:dLbl>
            <c:dLbl>
              <c:idx val="8"/>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56-40FD-4968-8D42-E8F74AAE807B}"/>
                </c:ext>
              </c:extLst>
            </c:dLbl>
            <c:dLbl>
              <c:idx val="9"/>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58-40FD-4968-8D42-E8F74AAE807B}"/>
                </c:ext>
              </c:extLst>
            </c:dLbl>
            <c:dLbl>
              <c:idx val="1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5A-40FD-4968-8D42-E8F74AAE807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en-US"/>
              </a:p>
            </c:txPr>
            <c:showLegendKey val="0"/>
            <c:showVal val="0"/>
            <c:showCatName val="0"/>
            <c:showSerName val="1"/>
            <c:showPercent val="0"/>
            <c:showBubbleSize val="0"/>
            <c:showLeaderLines val="0"/>
            <c:extLst xmlns:c15="http://schemas.microsoft.com/office/drawing/2012/chart">
              <c:ext xmlns:c15="http://schemas.microsoft.com/office/drawing/2012/chart" uri="{CE6537A1-D6FC-4f65-9D91-7224C49458BB}"/>
            </c:extLst>
          </c:dLbls>
          <c:cat>
            <c:strRef>
              <c:f>iCP_Chart!$F$25:$F$35</c:f>
              <c:strCache>
                <c:ptCount val="5"/>
                <c:pt idx="0">
                  <c:v>OVERALL SCORE</c:v>
                </c:pt>
                <c:pt idx="1">
                  <c:v> 1) CONNECTIVITY</c:v>
                </c:pt>
                <c:pt idx="2">
                  <c:v> 2) SERVICES</c:v>
                </c:pt>
                <c:pt idx="3">
                  <c:v> 3) CULTURE</c:v>
                </c:pt>
                <c:pt idx="4">
                  <c:v> 4) SUSTAINABILITY</c:v>
                </c:pt>
              </c:strCache>
            </c:strRef>
          </c:cat>
          <c:val>
            <c:numRef>
              <c:f>iCP_Chart!$J$25:$J$35</c:f>
              <c:numCache>
                <c:formatCode>General</c:formatCode>
                <c:ptCount val="5"/>
                <c:pt idx="0">
                  <c:v>1</c:v>
                </c:pt>
                <c:pt idx="1">
                  <c:v>1</c:v>
                </c:pt>
                <c:pt idx="2">
                  <c:v>1</c:v>
                </c:pt>
                <c:pt idx="3">
                  <c:v>1</c:v>
                </c:pt>
                <c:pt idx="4">
                  <c:v>1</c:v>
                </c:pt>
              </c:numCache>
            </c:numRef>
          </c:val>
          <c:extLst xmlns:c15="http://schemas.microsoft.com/office/drawing/2012/chart">
            <c:ext xmlns:c16="http://schemas.microsoft.com/office/drawing/2014/chart" uri="{C3380CC4-5D6E-409C-BE32-E72D297353CC}">
              <c16:uniqueId val="{0000005B-40FD-4968-8D42-E8F74AAE807B}"/>
            </c:ext>
          </c:extLst>
        </c:ser>
        <c:ser>
          <c:idx val="4"/>
          <c:order val="4"/>
          <c:tx>
            <c:strRef>
              <c:f>iCP_Chart!$K$24</c:f>
              <c:strCache>
                <c:ptCount val="1"/>
                <c:pt idx="0">
                  <c:v>lbl</c:v>
                </c:pt>
              </c:strCache>
            </c:strRef>
          </c:tx>
          <c:spPr>
            <a:solidFill>
              <a:schemeClr val="accent1">
                <a:lumMod val="20000"/>
                <a:lumOff val="80000"/>
              </a:schemeClr>
            </a:solidFill>
            <a:ln>
              <a:solidFill>
                <a:schemeClr val="bg2">
                  <a:lumMod val="90000"/>
                </a:schemeClr>
              </a:solidFill>
            </a:ln>
          </c:spPr>
          <c:explosion val="35"/>
          <c:dPt>
            <c:idx val="0"/>
            <c:bubble3D val="0"/>
            <c:spPr>
              <a:solidFill>
                <a:srgbClr val="DCE6F1"/>
              </a:solidFill>
              <a:ln>
                <a:solidFill>
                  <a:srgbClr val="F2F2F2"/>
                </a:solidFill>
              </a:ln>
              <a:effectLst/>
            </c:spPr>
            <c:extLst>
              <c:ext xmlns:c16="http://schemas.microsoft.com/office/drawing/2014/chart" uri="{C3380CC4-5D6E-409C-BE32-E72D297353CC}">
                <c16:uniqueId val="{0000005D-40FD-4968-8D42-E8F74AAE807B}"/>
              </c:ext>
            </c:extLst>
          </c:dPt>
          <c:dPt>
            <c:idx val="1"/>
            <c:bubble3D val="0"/>
            <c:spPr>
              <a:solidFill>
                <a:srgbClr val="DCE6F1"/>
              </a:solidFill>
              <a:ln>
                <a:solidFill>
                  <a:srgbClr val="F2F2F2"/>
                </a:solidFill>
              </a:ln>
              <a:effectLst/>
            </c:spPr>
            <c:extLst>
              <c:ext xmlns:c16="http://schemas.microsoft.com/office/drawing/2014/chart" uri="{C3380CC4-5D6E-409C-BE32-E72D297353CC}">
                <c16:uniqueId val="{0000005F-40FD-4968-8D42-E8F74AAE807B}"/>
              </c:ext>
            </c:extLst>
          </c:dPt>
          <c:dPt>
            <c:idx val="2"/>
            <c:bubble3D val="0"/>
            <c:spPr>
              <a:solidFill>
                <a:srgbClr val="DCE6F1"/>
              </a:solidFill>
              <a:ln>
                <a:solidFill>
                  <a:srgbClr val="F2F2F2"/>
                </a:solidFill>
              </a:ln>
              <a:effectLst/>
            </c:spPr>
            <c:extLst>
              <c:ext xmlns:c16="http://schemas.microsoft.com/office/drawing/2014/chart" uri="{C3380CC4-5D6E-409C-BE32-E72D297353CC}">
                <c16:uniqueId val="{00000061-40FD-4968-8D42-E8F74AAE807B}"/>
              </c:ext>
            </c:extLst>
          </c:dPt>
          <c:dPt>
            <c:idx val="3"/>
            <c:bubble3D val="0"/>
            <c:spPr>
              <a:solidFill>
                <a:srgbClr val="DCE6F1"/>
              </a:solidFill>
              <a:ln>
                <a:solidFill>
                  <a:srgbClr val="F2F2F2"/>
                </a:solidFill>
              </a:ln>
              <a:effectLst/>
            </c:spPr>
            <c:extLst>
              <c:ext xmlns:c16="http://schemas.microsoft.com/office/drawing/2014/chart" uri="{C3380CC4-5D6E-409C-BE32-E72D297353CC}">
                <c16:uniqueId val="{00000063-40FD-4968-8D42-E8F74AAE807B}"/>
              </c:ext>
            </c:extLst>
          </c:dPt>
          <c:dPt>
            <c:idx val="4"/>
            <c:bubble3D val="0"/>
            <c:spPr>
              <a:solidFill>
                <a:srgbClr val="DCE6F1"/>
              </a:solidFill>
              <a:ln>
                <a:solidFill>
                  <a:srgbClr val="F2F2F2"/>
                </a:solidFill>
              </a:ln>
              <a:effectLst/>
            </c:spPr>
            <c:extLst>
              <c:ext xmlns:c16="http://schemas.microsoft.com/office/drawing/2014/chart" uri="{C3380CC4-5D6E-409C-BE32-E72D297353CC}">
                <c16:uniqueId val="{00000065-40FD-4968-8D42-E8F74AAE807B}"/>
              </c:ext>
            </c:extLst>
          </c:dPt>
          <c:dPt>
            <c:idx val="5"/>
            <c:bubble3D val="0"/>
            <c:spPr>
              <a:solidFill>
                <a:srgbClr val="DCE6F1"/>
              </a:solidFill>
              <a:ln>
                <a:solidFill>
                  <a:srgbClr val="F2F2F2"/>
                </a:solidFill>
              </a:ln>
              <a:effectLst/>
            </c:spPr>
            <c:extLst>
              <c:ext xmlns:c16="http://schemas.microsoft.com/office/drawing/2014/chart" uri="{C3380CC4-5D6E-409C-BE32-E72D297353CC}">
                <c16:uniqueId val="{00000067-40FD-4968-8D42-E8F74AAE807B}"/>
              </c:ext>
            </c:extLst>
          </c:dPt>
          <c:dPt>
            <c:idx val="6"/>
            <c:bubble3D val="0"/>
            <c:spPr>
              <a:solidFill>
                <a:srgbClr val="DCE6F1"/>
              </a:solidFill>
              <a:ln>
                <a:solidFill>
                  <a:srgbClr val="F2F2F2"/>
                </a:solidFill>
              </a:ln>
              <a:effectLst/>
            </c:spPr>
            <c:extLst>
              <c:ext xmlns:c16="http://schemas.microsoft.com/office/drawing/2014/chart" uri="{C3380CC4-5D6E-409C-BE32-E72D297353CC}">
                <c16:uniqueId val="{00000069-40FD-4968-8D42-E8F74AAE807B}"/>
              </c:ext>
            </c:extLst>
          </c:dPt>
          <c:dPt>
            <c:idx val="7"/>
            <c:bubble3D val="0"/>
            <c:spPr>
              <a:solidFill>
                <a:schemeClr val="accent1">
                  <a:lumMod val="20000"/>
                  <a:lumOff val="80000"/>
                </a:schemeClr>
              </a:solidFill>
              <a:ln>
                <a:solidFill>
                  <a:schemeClr val="bg2">
                    <a:lumMod val="90000"/>
                  </a:schemeClr>
                </a:solidFill>
              </a:ln>
              <a:effectLst/>
            </c:spPr>
            <c:extLst>
              <c:ext xmlns:c16="http://schemas.microsoft.com/office/drawing/2014/chart" uri="{C3380CC4-5D6E-409C-BE32-E72D297353CC}">
                <c16:uniqueId val="{0000006B-40FD-4968-8D42-E8F74AAE807B}"/>
              </c:ext>
            </c:extLst>
          </c:dPt>
          <c:dPt>
            <c:idx val="8"/>
            <c:bubble3D val="0"/>
            <c:spPr>
              <a:solidFill>
                <a:schemeClr val="accent1">
                  <a:lumMod val="20000"/>
                  <a:lumOff val="80000"/>
                </a:schemeClr>
              </a:solidFill>
              <a:ln>
                <a:solidFill>
                  <a:schemeClr val="bg2">
                    <a:lumMod val="90000"/>
                  </a:schemeClr>
                </a:solidFill>
              </a:ln>
              <a:effectLst/>
            </c:spPr>
            <c:extLst>
              <c:ext xmlns:c16="http://schemas.microsoft.com/office/drawing/2014/chart" uri="{C3380CC4-5D6E-409C-BE32-E72D297353CC}">
                <c16:uniqueId val="{0000006D-40FD-4968-8D42-E8F74AAE807B}"/>
              </c:ext>
            </c:extLst>
          </c:dPt>
          <c:dPt>
            <c:idx val="9"/>
            <c:bubble3D val="0"/>
            <c:spPr>
              <a:solidFill>
                <a:schemeClr val="accent1">
                  <a:lumMod val="20000"/>
                  <a:lumOff val="80000"/>
                </a:schemeClr>
              </a:solidFill>
              <a:ln>
                <a:solidFill>
                  <a:schemeClr val="bg2">
                    <a:lumMod val="90000"/>
                  </a:schemeClr>
                </a:solidFill>
              </a:ln>
              <a:effectLst/>
            </c:spPr>
            <c:extLst>
              <c:ext xmlns:c16="http://schemas.microsoft.com/office/drawing/2014/chart" uri="{C3380CC4-5D6E-409C-BE32-E72D297353CC}">
                <c16:uniqueId val="{0000006F-40FD-4968-8D42-E8F74AAE807B}"/>
              </c:ext>
            </c:extLst>
          </c:dPt>
          <c:dPt>
            <c:idx val="10"/>
            <c:bubble3D val="0"/>
            <c:spPr>
              <a:solidFill>
                <a:schemeClr val="accent1">
                  <a:lumMod val="20000"/>
                  <a:lumOff val="80000"/>
                </a:schemeClr>
              </a:solidFill>
              <a:ln>
                <a:solidFill>
                  <a:schemeClr val="bg2">
                    <a:lumMod val="90000"/>
                  </a:schemeClr>
                </a:solidFill>
              </a:ln>
              <a:effectLst/>
            </c:spPr>
            <c:extLst>
              <c:ext xmlns:c16="http://schemas.microsoft.com/office/drawing/2014/chart" uri="{C3380CC4-5D6E-409C-BE32-E72D297353CC}">
                <c16:uniqueId val="{00000071-40FD-4968-8D42-E8F74AAE807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iCP_Chart!$K$25:$K$35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72-40FD-4968-8D42-E8F74AAE807B}"/>
            </c:ext>
          </c:extLst>
        </c:ser>
        <c:ser>
          <c:idx val="5"/>
          <c:order val="5"/>
          <c:tx>
            <c:strRef>
              <c:f>iCP_Chart!$L$24</c:f>
              <c:strCache>
                <c:ptCount val="1"/>
                <c:pt idx="0">
                  <c:v>lbl</c:v>
                </c:pt>
              </c:strCache>
            </c:strRef>
          </c:tx>
          <c:spPr>
            <a:solidFill>
              <a:schemeClr val="accent1">
                <a:lumMod val="20000"/>
                <a:lumOff val="80000"/>
              </a:schemeClr>
            </a:solidFill>
            <a:ln>
              <a:solidFill>
                <a:schemeClr val="bg2">
                  <a:lumMod val="90000"/>
                </a:schemeClr>
              </a:solidFill>
            </a:ln>
          </c:spPr>
          <c:dPt>
            <c:idx val="0"/>
            <c:bubble3D val="0"/>
            <c:spPr>
              <a:solidFill>
                <a:srgbClr val="DCE6F1"/>
              </a:solidFill>
              <a:ln>
                <a:solidFill>
                  <a:srgbClr val="F2F2F2"/>
                </a:solidFill>
              </a:ln>
            </c:spPr>
            <c:extLst>
              <c:ext xmlns:c16="http://schemas.microsoft.com/office/drawing/2014/chart" uri="{C3380CC4-5D6E-409C-BE32-E72D297353CC}">
                <c16:uniqueId val="{00000092-EC62-4838-A2E0-29E4245763D8}"/>
              </c:ext>
            </c:extLst>
          </c:dPt>
          <c:dPt>
            <c:idx val="1"/>
            <c:bubble3D val="0"/>
            <c:spPr>
              <a:solidFill>
                <a:srgbClr val="DCE6F1"/>
              </a:solidFill>
              <a:ln>
                <a:solidFill>
                  <a:srgbClr val="F2F2F2"/>
                </a:solidFill>
              </a:ln>
            </c:spPr>
            <c:extLst>
              <c:ext xmlns:c16="http://schemas.microsoft.com/office/drawing/2014/chart" uri="{C3380CC4-5D6E-409C-BE32-E72D297353CC}">
                <c16:uniqueId val="{000000B5-EC62-4838-A2E0-29E4245763D8}"/>
              </c:ext>
            </c:extLst>
          </c:dPt>
          <c:dPt>
            <c:idx val="2"/>
            <c:bubble3D val="0"/>
            <c:spPr>
              <a:solidFill>
                <a:srgbClr val="DCE6F1"/>
              </a:solidFill>
              <a:ln>
                <a:solidFill>
                  <a:srgbClr val="F2F2F2"/>
                </a:solidFill>
              </a:ln>
            </c:spPr>
            <c:extLst>
              <c:ext xmlns:c16="http://schemas.microsoft.com/office/drawing/2014/chart" uri="{C3380CC4-5D6E-409C-BE32-E72D297353CC}">
                <c16:uniqueId val="{000000D8-EC62-4838-A2E0-29E4245763D8}"/>
              </c:ext>
            </c:extLst>
          </c:dPt>
          <c:dPt>
            <c:idx val="3"/>
            <c:bubble3D val="0"/>
            <c:spPr>
              <a:solidFill>
                <a:srgbClr val="DCE6F1"/>
              </a:solidFill>
              <a:ln>
                <a:solidFill>
                  <a:srgbClr val="F2F2F2"/>
                </a:solidFill>
              </a:ln>
            </c:spPr>
            <c:extLst>
              <c:ext xmlns:c16="http://schemas.microsoft.com/office/drawing/2014/chart" uri="{C3380CC4-5D6E-409C-BE32-E72D297353CC}">
                <c16:uniqueId val="{000000FB-EC62-4838-A2E0-29E4245763D8}"/>
              </c:ext>
            </c:extLst>
          </c:dPt>
          <c:dPt>
            <c:idx val="4"/>
            <c:bubble3D val="0"/>
            <c:spPr>
              <a:solidFill>
                <a:srgbClr val="DCE6F1"/>
              </a:solidFill>
              <a:ln>
                <a:solidFill>
                  <a:srgbClr val="F2F2F2"/>
                </a:solidFill>
              </a:ln>
            </c:spPr>
            <c:extLst>
              <c:ext xmlns:c16="http://schemas.microsoft.com/office/drawing/2014/chart" uri="{C3380CC4-5D6E-409C-BE32-E72D297353CC}">
                <c16:uniqueId val="{0000011E-EC62-4838-A2E0-29E4245763D8}"/>
              </c:ext>
            </c:extLst>
          </c:dPt>
          <c:dPt>
            <c:idx val="5"/>
            <c:bubble3D val="0"/>
            <c:spPr>
              <a:solidFill>
                <a:srgbClr val="DCE6F1"/>
              </a:solidFill>
              <a:ln>
                <a:solidFill>
                  <a:srgbClr val="F2F2F2"/>
                </a:solidFill>
              </a:ln>
            </c:spPr>
            <c:extLst>
              <c:ext xmlns:c16="http://schemas.microsoft.com/office/drawing/2014/chart" uri="{C3380CC4-5D6E-409C-BE32-E72D297353CC}">
                <c16:uniqueId val="{000001CD-C756-4532-8734-88E38CB5A3CF}"/>
              </c:ext>
            </c:extLst>
          </c:dPt>
          <c:dPt>
            <c:idx val="6"/>
            <c:bubble3D val="0"/>
            <c:spPr>
              <a:solidFill>
                <a:srgbClr val="DCE6F1"/>
              </a:solidFill>
              <a:ln>
                <a:solidFill>
                  <a:srgbClr val="F2F2F2"/>
                </a:solidFill>
              </a:ln>
            </c:spPr>
            <c:extLst>
              <c:ext xmlns:c16="http://schemas.microsoft.com/office/drawing/2014/chart" uri="{C3380CC4-5D6E-409C-BE32-E72D297353CC}">
                <c16:uniqueId val="{00000213-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iCP_Chart!$L$25:$L$35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6F-EC62-4838-A2E0-29E4245763D8}"/>
            </c:ext>
          </c:extLst>
        </c:ser>
        <c:ser>
          <c:idx val="6"/>
          <c:order val="6"/>
          <c:tx>
            <c:strRef>
              <c:f>iCP_Chart!$M$24</c:f>
              <c:strCache>
                <c:ptCount val="1"/>
                <c:pt idx="0">
                  <c:v>lbl</c:v>
                </c:pt>
              </c:strCache>
            </c:strRef>
          </c:tx>
          <c:dPt>
            <c:idx val="0"/>
            <c:bubble3D val="0"/>
            <c:spPr>
              <a:solidFill>
                <a:srgbClr val="DCE6F1"/>
              </a:solidFill>
              <a:ln>
                <a:solidFill>
                  <a:srgbClr val="F2F2F2"/>
                </a:solidFill>
              </a:ln>
            </c:spPr>
            <c:extLst>
              <c:ext xmlns:c16="http://schemas.microsoft.com/office/drawing/2014/chart" uri="{C3380CC4-5D6E-409C-BE32-E72D297353CC}">
                <c16:uniqueId val="{00000093-EC62-4838-A2E0-29E4245763D8}"/>
              </c:ext>
            </c:extLst>
          </c:dPt>
          <c:dPt>
            <c:idx val="1"/>
            <c:bubble3D val="0"/>
            <c:spPr>
              <a:solidFill>
                <a:srgbClr val="DCE6F1"/>
              </a:solidFill>
              <a:ln>
                <a:solidFill>
                  <a:srgbClr val="F2F2F2"/>
                </a:solidFill>
              </a:ln>
            </c:spPr>
            <c:extLst>
              <c:ext xmlns:c16="http://schemas.microsoft.com/office/drawing/2014/chart" uri="{C3380CC4-5D6E-409C-BE32-E72D297353CC}">
                <c16:uniqueId val="{000000B6-EC62-4838-A2E0-29E4245763D8}"/>
              </c:ext>
            </c:extLst>
          </c:dPt>
          <c:dPt>
            <c:idx val="2"/>
            <c:bubble3D val="0"/>
            <c:spPr>
              <a:solidFill>
                <a:srgbClr val="DCE6F1"/>
              </a:solidFill>
              <a:ln>
                <a:solidFill>
                  <a:srgbClr val="F2F2F2"/>
                </a:solidFill>
              </a:ln>
            </c:spPr>
            <c:extLst>
              <c:ext xmlns:c16="http://schemas.microsoft.com/office/drawing/2014/chart" uri="{C3380CC4-5D6E-409C-BE32-E72D297353CC}">
                <c16:uniqueId val="{000000D9-EC62-4838-A2E0-29E4245763D8}"/>
              </c:ext>
            </c:extLst>
          </c:dPt>
          <c:dPt>
            <c:idx val="3"/>
            <c:bubble3D val="0"/>
            <c:spPr>
              <a:solidFill>
                <a:srgbClr val="DCE6F1"/>
              </a:solidFill>
              <a:ln>
                <a:solidFill>
                  <a:srgbClr val="F2F2F2"/>
                </a:solidFill>
              </a:ln>
            </c:spPr>
            <c:extLst>
              <c:ext xmlns:c16="http://schemas.microsoft.com/office/drawing/2014/chart" uri="{C3380CC4-5D6E-409C-BE32-E72D297353CC}">
                <c16:uniqueId val="{000000FC-EC62-4838-A2E0-29E4245763D8}"/>
              </c:ext>
            </c:extLst>
          </c:dPt>
          <c:dPt>
            <c:idx val="4"/>
            <c:bubble3D val="0"/>
            <c:spPr>
              <a:solidFill>
                <a:srgbClr val="DCE6F1"/>
              </a:solidFill>
              <a:ln>
                <a:solidFill>
                  <a:srgbClr val="F2F2F2"/>
                </a:solidFill>
              </a:ln>
            </c:spPr>
            <c:extLst>
              <c:ext xmlns:c16="http://schemas.microsoft.com/office/drawing/2014/chart" uri="{C3380CC4-5D6E-409C-BE32-E72D297353CC}">
                <c16:uniqueId val="{0000011F-EC62-4838-A2E0-29E4245763D8}"/>
              </c:ext>
            </c:extLst>
          </c:dPt>
          <c:dPt>
            <c:idx val="5"/>
            <c:bubble3D val="0"/>
            <c:spPr>
              <a:solidFill>
                <a:srgbClr val="DCE6F1"/>
              </a:solidFill>
              <a:ln>
                <a:solidFill>
                  <a:srgbClr val="F2F2F2"/>
                </a:solidFill>
              </a:ln>
            </c:spPr>
            <c:extLst>
              <c:ext xmlns:c16="http://schemas.microsoft.com/office/drawing/2014/chart" uri="{C3380CC4-5D6E-409C-BE32-E72D297353CC}">
                <c16:uniqueId val="{000001CE-C756-4532-8734-88E38CB5A3CF}"/>
              </c:ext>
            </c:extLst>
          </c:dPt>
          <c:dPt>
            <c:idx val="6"/>
            <c:bubble3D val="0"/>
            <c:spPr>
              <a:solidFill>
                <a:srgbClr val="DCE6F1"/>
              </a:solidFill>
              <a:ln>
                <a:solidFill>
                  <a:srgbClr val="F2F2F2"/>
                </a:solidFill>
              </a:ln>
            </c:spPr>
            <c:extLst>
              <c:ext xmlns:c16="http://schemas.microsoft.com/office/drawing/2014/chart" uri="{C3380CC4-5D6E-409C-BE32-E72D297353CC}">
                <c16:uniqueId val="{00000214-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iCP_Chart!$M$25:$M$35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70-EC62-4838-A2E0-29E4245763D8}"/>
            </c:ext>
          </c:extLst>
        </c:ser>
        <c:ser>
          <c:idx val="7"/>
          <c:order val="7"/>
          <c:tx>
            <c:strRef>
              <c:f>iCP_Chart!$N$24</c:f>
              <c:strCache>
                <c:ptCount val="1"/>
                <c:pt idx="0">
                  <c:v>lbl</c:v>
                </c:pt>
              </c:strCache>
            </c:strRef>
          </c:tx>
          <c:dPt>
            <c:idx val="0"/>
            <c:bubble3D val="0"/>
            <c:spPr>
              <a:solidFill>
                <a:srgbClr val="DCE6F1"/>
              </a:solidFill>
              <a:ln>
                <a:solidFill>
                  <a:srgbClr val="F2F2F2"/>
                </a:solidFill>
              </a:ln>
            </c:spPr>
            <c:extLst>
              <c:ext xmlns:c16="http://schemas.microsoft.com/office/drawing/2014/chart" uri="{C3380CC4-5D6E-409C-BE32-E72D297353CC}">
                <c16:uniqueId val="{00000094-EC62-4838-A2E0-29E4245763D8}"/>
              </c:ext>
            </c:extLst>
          </c:dPt>
          <c:dPt>
            <c:idx val="1"/>
            <c:bubble3D val="0"/>
            <c:spPr>
              <a:solidFill>
                <a:srgbClr val="DCE6F1"/>
              </a:solidFill>
              <a:ln>
                <a:solidFill>
                  <a:srgbClr val="F2F2F2"/>
                </a:solidFill>
              </a:ln>
            </c:spPr>
            <c:extLst>
              <c:ext xmlns:c16="http://schemas.microsoft.com/office/drawing/2014/chart" uri="{C3380CC4-5D6E-409C-BE32-E72D297353CC}">
                <c16:uniqueId val="{000000B7-EC62-4838-A2E0-29E4245763D8}"/>
              </c:ext>
            </c:extLst>
          </c:dPt>
          <c:dPt>
            <c:idx val="2"/>
            <c:bubble3D val="0"/>
            <c:spPr>
              <a:solidFill>
                <a:srgbClr val="DCE6F1"/>
              </a:solidFill>
              <a:ln>
                <a:solidFill>
                  <a:srgbClr val="F2F2F2"/>
                </a:solidFill>
              </a:ln>
            </c:spPr>
            <c:extLst>
              <c:ext xmlns:c16="http://schemas.microsoft.com/office/drawing/2014/chart" uri="{C3380CC4-5D6E-409C-BE32-E72D297353CC}">
                <c16:uniqueId val="{000000DA-EC62-4838-A2E0-29E4245763D8}"/>
              </c:ext>
            </c:extLst>
          </c:dPt>
          <c:dPt>
            <c:idx val="3"/>
            <c:bubble3D val="0"/>
            <c:spPr>
              <a:solidFill>
                <a:srgbClr val="DCE6F1"/>
              </a:solidFill>
              <a:ln>
                <a:solidFill>
                  <a:srgbClr val="F2F2F2"/>
                </a:solidFill>
              </a:ln>
            </c:spPr>
            <c:extLst>
              <c:ext xmlns:c16="http://schemas.microsoft.com/office/drawing/2014/chart" uri="{C3380CC4-5D6E-409C-BE32-E72D297353CC}">
                <c16:uniqueId val="{000000FD-EC62-4838-A2E0-29E4245763D8}"/>
              </c:ext>
            </c:extLst>
          </c:dPt>
          <c:dPt>
            <c:idx val="4"/>
            <c:bubble3D val="0"/>
            <c:spPr>
              <a:solidFill>
                <a:srgbClr val="DCE6F1"/>
              </a:solidFill>
              <a:ln>
                <a:solidFill>
                  <a:srgbClr val="F2F2F2"/>
                </a:solidFill>
              </a:ln>
            </c:spPr>
            <c:extLst>
              <c:ext xmlns:c16="http://schemas.microsoft.com/office/drawing/2014/chart" uri="{C3380CC4-5D6E-409C-BE32-E72D297353CC}">
                <c16:uniqueId val="{00000120-EC62-4838-A2E0-29E4245763D8}"/>
              </c:ext>
            </c:extLst>
          </c:dPt>
          <c:dPt>
            <c:idx val="5"/>
            <c:bubble3D val="0"/>
            <c:spPr>
              <a:solidFill>
                <a:srgbClr val="DCE6F1"/>
              </a:solidFill>
              <a:ln>
                <a:solidFill>
                  <a:srgbClr val="F2F2F2"/>
                </a:solidFill>
              </a:ln>
            </c:spPr>
            <c:extLst>
              <c:ext xmlns:c16="http://schemas.microsoft.com/office/drawing/2014/chart" uri="{C3380CC4-5D6E-409C-BE32-E72D297353CC}">
                <c16:uniqueId val="{000001CF-C756-4532-8734-88E38CB5A3CF}"/>
              </c:ext>
            </c:extLst>
          </c:dPt>
          <c:dPt>
            <c:idx val="6"/>
            <c:bubble3D val="0"/>
            <c:spPr>
              <a:solidFill>
                <a:srgbClr val="DCE6F1"/>
              </a:solidFill>
              <a:ln>
                <a:solidFill>
                  <a:srgbClr val="F2F2F2"/>
                </a:solidFill>
              </a:ln>
            </c:spPr>
            <c:extLst>
              <c:ext xmlns:c16="http://schemas.microsoft.com/office/drawing/2014/chart" uri="{C3380CC4-5D6E-409C-BE32-E72D297353CC}">
                <c16:uniqueId val="{00000215-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iCP_Chart!$N$25:$N$35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71-EC62-4838-A2E0-29E4245763D8}"/>
            </c:ext>
          </c:extLst>
        </c:ser>
        <c:ser>
          <c:idx val="8"/>
          <c:order val="8"/>
          <c:tx>
            <c:strRef>
              <c:f>iCP_Chart!$O$24</c:f>
              <c:strCache>
                <c:ptCount val="1"/>
                <c:pt idx="0">
                  <c:v>lbl</c:v>
                </c:pt>
              </c:strCache>
            </c:strRef>
          </c:tx>
          <c:dPt>
            <c:idx val="0"/>
            <c:bubble3D val="0"/>
            <c:spPr>
              <a:solidFill>
                <a:srgbClr val="DCE6F1"/>
              </a:solidFill>
              <a:ln>
                <a:solidFill>
                  <a:srgbClr val="F2F2F2"/>
                </a:solidFill>
              </a:ln>
            </c:spPr>
            <c:extLst>
              <c:ext xmlns:c16="http://schemas.microsoft.com/office/drawing/2014/chart" uri="{C3380CC4-5D6E-409C-BE32-E72D297353CC}">
                <c16:uniqueId val="{00000095-EC62-4838-A2E0-29E4245763D8}"/>
              </c:ext>
            </c:extLst>
          </c:dPt>
          <c:dPt>
            <c:idx val="1"/>
            <c:bubble3D val="0"/>
            <c:spPr>
              <a:solidFill>
                <a:srgbClr val="DCE6F1"/>
              </a:solidFill>
              <a:ln>
                <a:solidFill>
                  <a:srgbClr val="F2F2F2"/>
                </a:solidFill>
              </a:ln>
            </c:spPr>
            <c:extLst>
              <c:ext xmlns:c16="http://schemas.microsoft.com/office/drawing/2014/chart" uri="{C3380CC4-5D6E-409C-BE32-E72D297353CC}">
                <c16:uniqueId val="{000000B8-EC62-4838-A2E0-29E4245763D8}"/>
              </c:ext>
            </c:extLst>
          </c:dPt>
          <c:dPt>
            <c:idx val="2"/>
            <c:bubble3D val="0"/>
            <c:spPr>
              <a:solidFill>
                <a:srgbClr val="DCE6F1"/>
              </a:solidFill>
              <a:ln>
                <a:solidFill>
                  <a:srgbClr val="F2F2F2"/>
                </a:solidFill>
              </a:ln>
            </c:spPr>
            <c:extLst>
              <c:ext xmlns:c16="http://schemas.microsoft.com/office/drawing/2014/chart" uri="{C3380CC4-5D6E-409C-BE32-E72D297353CC}">
                <c16:uniqueId val="{000000DB-EC62-4838-A2E0-29E4245763D8}"/>
              </c:ext>
            </c:extLst>
          </c:dPt>
          <c:dPt>
            <c:idx val="3"/>
            <c:bubble3D val="0"/>
            <c:spPr>
              <a:solidFill>
                <a:srgbClr val="DCE6F1"/>
              </a:solidFill>
              <a:ln>
                <a:solidFill>
                  <a:srgbClr val="F2F2F2"/>
                </a:solidFill>
              </a:ln>
            </c:spPr>
            <c:extLst>
              <c:ext xmlns:c16="http://schemas.microsoft.com/office/drawing/2014/chart" uri="{C3380CC4-5D6E-409C-BE32-E72D297353CC}">
                <c16:uniqueId val="{000000FE-EC62-4838-A2E0-29E4245763D8}"/>
              </c:ext>
            </c:extLst>
          </c:dPt>
          <c:dPt>
            <c:idx val="4"/>
            <c:bubble3D val="0"/>
            <c:spPr>
              <a:solidFill>
                <a:srgbClr val="DCE6F1"/>
              </a:solidFill>
              <a:ln>
                <a:solidFill>
                  <a:srgbClr val="F2F2F2"/>
                </a:solidFill>
              </a:ln>
            </c:spPr>
            <c:extLst>
              <c:ext xmlns:c16="http://schemas.microsoft.com/office/drawing/2014/chart" uri="{C3380CC4-5D6E-409C-BE32-E72D297353CC}">
                <c16:uniqueId val="{00000121-EC62-4838-A2E0-29E4245763D8}"/>
              </c:ext>
            </c:extLst>
          </c:dPt>
          <c:dPt>
            <c:idx val="5"/>
            <c:bubble3D val="0"/>
            <c:spPr>
              <a:solidFill>
                <a:srgbClr val="DCE6F1"/>
              </a:solidFill>
              <a:ln>
                <a:solidFill>
                  <a:srgbClr val="F2F2F2"/>
                </a:solidFill>
              </a:ln>
            </c:spPr>
            <c:extLst>
              <c:ext xmlns:c16="http://schemas.microsoft.com/office/drawing/2014/chart" uri="{C3380CC4-5D6E-409C-BE32-E72D297353CC}">
                <c16:uniqueId val="{000001D0-C756-4532-8734-88E38CB5A3CF}"/>
              </c:ext>
            </c:extLst>
          </c:dPt>
          <c:dPt>
            <c:idx val="6"/>
            <c:bubble3D val="0"/>
            <c:spPr>
              <a:solidFill>
                <a:srgbClr val="DCE6F1"/>
              </a:solidFill>
              <a:ln>
                <a:solidFill>
                  <a:srgbClr val="F2F2F2"/>
                </a:solidFill>
              </a:ln>
            </c:spPr>
            <c:extLst>
              <c:ext xmlns:c16="http://schemas.microsoft.com/office/drawing/2014/chart" uri="{C3380CC4-5D6E-409C-BE32-E72D297353CC}">
                <c16:uniqueId val="{00000216-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iCP_Chart!$O$25:$O$35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72-EC62-4838-A2E0-29E4245763D8}"/>
            </c:ext>
          </c:extLst>
        </c:ser>
        <c:ser>
          <c:idx val="9"/>
          <c:order val="9"/>
          <c:tx>
            <c:strRef>
              <c:f>iCP_Chart!$P$24</c:f>
              <c:strCache>
                <c:ptCount val="1"/>
                <c:pt idx="0">
                  <c:v>lbl</c:v>
                </c:pt>
              </c:strCache>
            </c:strRef>
          </c:tx>
          <c:dPt>
            <c:idx val="0"/>
            <c:bubble3D val="0"/>
            <c:spPr>
              <a:solidFill>
                <a:srgbClr val="DCE6F1"/>
              </a:solidFill>
              <a:ln>
                <a:solidFill>
                  <a:srgbClr val="F2F2F2"/>
                </a:solidFill>
              </a:ln>
            </c:spPr>
            <c:extLst>
              <c:ext xmlns:c16="http://schemas.microsoft.com/office/drawing/2014/chart" uri="{C3380CC4-5D6E-409C-BE32-E72D297353CC}">
                <c16:uniqueId val="{00000096-EC62-4838-A2E0-29E4245763D8}"/>
              </c:ext>
            </c:extLst>
          </c:dPt>
          <c:dPt>
            <c:idx val="1"/>
            <c:bubble3D val="0"/>
            <c:spPr>
              <a:solidFill>
                <a:srgbClr val="DCE6F1"/>
              </a:solidFill>
              <a:ln>
                <a:solidFill>
                  <a:srgbClr val="F2F2F2"/>
                </a:solidFill>
              </a:ln>
            </c:spPr>
            <c:extLst>
              <c:ext xmlns:c16="http://schemas.microsoft.com/office/drawing/2014/chart" uri="{C3380CC4-5D6E-409C-BE32-E72D297353CC}">
                <c16:uniqueId val="{000000B9-EC62-4838-A2E0-29E4245763D8}"/>
              </c:ext>
            </c:extLst>
          </c:dPt>
          <c:dPt>
            <c:idx val="2"/>
            <c:bubble3D val="0"/>
            <c:spPr>
              <a:solidFill>
                <a:srgbClr val="DCE6F1"/>
              </a:solidFill>
              <a:ln>
                <a:solidFill>
                  <a:srgbClr val="F2F2F2"/>
                </a:solidFill>
              </a:ln>
            </c:spPr>
            <c:extLst>
              <c:ext xmlns:c16="http://schemas.microsoft.com/office/drawing/2014/chart" uri="{C3380CC4-5D6E-409C-BE32-E72D297353CC}">
                <c16:uniqueId val="{000000DC-EC62-4838-A2E0-29E4245763D8}"/>
              </c:ext>
            </c:extLst>
          </c:dPt>
          <c:dPt>
            <c:idx val="3"/>
            <c:bubble3D val="0"/>
            <c:spPr>
              <a:solidFill>
                <a:srgbClr val="DCE6F1"/>
              </a:solidFill>
              <a:ln>
                <a:solidFill>
                  <a:srgbClr val="F2F2F2"/>
                </a:solidFill>
              </a:ln>
            </c:spPr>
            <c:extLst>
              <c:ext xmlns:c16="http://schemas.microsoft.com/office/drawing/2014/chart" uri="{C3380CC4-5D6E-409C-BE32-E72D297353CC}">
                <c16:uniqueId val="{000000FF-EC62-4838-A2E0-29E4245763D8}"/>
              </c:ext>
            </c:extLst>
          </c:dPt>
          <c:dPt>
            <c:idx val="4"/>
            <c:bubble3D val="0"/>
            <c:spPr>
              <a:solidFill>
                <a:srgbClr val="DCE6F1"/>
              </a:solidFill>
              <a:ln>
                <a:solidFill>
                  <a:srgbClr val="F2F2F2"/>
                </a:solidFill>
              </a:ln>
            </c:spPr>
            <c:extLst>
              <c:ext xmlns:c16="http://schemas.microsoft.com/office/drawing/2014/chart" uri="{C3380CC4-5D6E-409C-BE32-E72D297353CC}">
                <c16:uniqueId val="{00000122-EC62-4838-A2E0-29E4245763D8}"/>
              </c:ext>
            </c:extLst>
          </c:dPt>
          <c:dPt>
            <c:idx val="5"/>
            <c:bubble3D val="0"/>
            <c:spPr>
              <a:solidFill>
                <a:srgbClr val="DCE6F1"/>
              </a:solidFill>
              <a:ln>
                <a:solidFill>
                  <a:srgbClr val="F2F2F2"/>
                </a:solidFill>
              </a:ln>
            </c:spPr>
            <c:extLst>
              <c:ext xmlns:c16="http://schemas.microsoft.com/office/drawing/2014/chart" uri="{C3380CC4-5D6E-409C-BE32-E72D297353CC}">
                <c16:uniqueId val="{000001D1-C756-4532-8734-88E38CB5A3CF}"/>
              </c:ext>
            </c:extLst>
          </c:dPt>
          <c:dPt>
            <c:idx val="6"/>
            <c:bubble3D val="0"/>
            <c:spPr>
              <a:solidFill>
                <a:srgbClr val="DCE6F1"/>
              </a:solidFill>
              <a:ln>
                <a:solidFill>
                  <a:srgbClr val="F2F2F2"/>
                </a:solidFill>
              </a:ln>
            </c:spPr>
            <c:extLst>
              <c:ext xmlns:c16="http://schemas.microsoft.com/office/drawing/2014/chart" uri="{C3380CC4-5D6E-409C-BE32-E72D297353CC}">
                <c16:uniqueId val="{00000217-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iCP_Chart!$P$25:$P$35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73-EC62-4838-A2E0-29E4245763D8}"/>
            </c:ext>
          </c:extLst>
        </c:ser>
        <c:ser>
          <c:idx val="10"/>
          <c:order val="10"/>
          <c:tx>
            <c:strRef>
              <c:f>iCP_Chart!$Q$24</c:f>
              <c:strCache>
                <c:ptCount val="1"/>
                <c:pt idx="0">
                  <c:v>lbl</c:v>
                </c:pt>
              </c:strCache>
            </c:strRef>
          </c:tx>
          <c:dPt>
            <c:idx val="0"/>
            <c:bubble3D val="0"/>
            <c:spPr>
              <a:solidFill>
                <a:srgbClr val="B8CCE4"/>
              </a:solidFill>
              <a:ln>
                <a:solidFill>
                  <a:srgbClr val="F2F2F2"/>
                </a:solidFill>
              </a:ln>
            </c:spPr>
            <c:extLst>
              <c:ext xmlns:c16="http://schemas.microsoft.com/office/drawing/2014/chart" uri="{C3380CC4-5D6E-409C-BE32-E72D297353CC}">
                <c16:uniqueId val="{00000097-EC62-4838-A2E0-29E4245763D8}"/>
              </c:ext>
            </c:extLst>
          </c:dPt>
          <c:dPt>
            <c:idx val="1"/>
            <c:bubble3D val="0"/>
            <c:spPr>
              <a:solidFill>
                <a:srgbClr val="B8CCE4"/>
              </a:solidFill>
              <a:ln>
                <a:solidFill>
                  <a:srgbClr val="F2F2F2"/>
                </a:solidFill>
              </a:ln>
            </c:spPr>
            <c:extLst>
              <c:ext xmlns:c16="http://schemas.microsoft.com/office/drawing/2014/chart" uri="{C3380CC4-5D6E-409C-BE32-E72D297353CC}">
                <c16:uniqueId val="{000000BA-EC62-4838-A2E0-29E4245763D8}"/>
              </c:ext>
            </c:extLst>
          </c:dPt>
          <c:dPt>
            <c:idx val="2"/>
            <c:bubble3D val="0"/>
            <c:spPr>
              <a:solidFill>
                <a:srgbClr val="B8CCE4"/>
              </a:solidFill>
              <a:ln>
                <a:solidFill>
                  <a:srgbClr val="F2F2F2"/>
                </a:solidFill>
              </a:ln>
            </c:spPr>
            <c:extLst>
              <c:ext xmlns:c16="http://schemas.microsoft.com/office/drawing/2014/chart" uri="{C3380CC4-5D6E-409C-BE32-E72D297353CC}">
                <c16:uniqueId val="{000000DD-EC62-4838-A2E0-29E4245763D8}"/>
              </c:ext>
            </c:extLst>
          </c:dPt>
          <c:dPt>
            <c:idx val="3"/>
            <c:bubble3D val="0"/>
            <c:spPr>
              <a:solidFill>
                <a:srgbClr val="B8CCE4"/>
              </a:solidFill>
              <a:ln>
                <a:solidFill>
                  <a:srgbClr val="F2F2F2"/>
                </a:solidFill>
              </a:ln>
            </c:spPr>
            <c:extLst>
              <c:ext xmlns:c16="http://schemas.microsoft.com/office/drawing/2014/chart" uri="{C3380CC4-5D6E-409C-BE32-E72D297353CC}">
                <c16:uniqueId val="{00000100-EC62-4838-A2E0-29E4245763D8}"/>
              </c:ext>
            </c:extLst>
          </c:dPt>
          <c:dPt>
            <c:idx val="4"/>
            <c:bubble3D val="0"/>
            <c:spPr>
              <a:solidFill>
                <a:srgbClr val="B8CCE4"/>
              </a:solidFill>
              <a:ln>
                <a:solidFill>
                  <a:srgbClr val="F2F2F2"/>
                </a:solidFill>
              </a:ln>
            </c:spPr>
            <c:extLst>
              <c:ext xmlns:c16="http://schemas.microsoft.com/office/drawing/2014/chart" uri="{C3380CC4-5D6E-409C-BE32-E72D297353CC}">
                <c16:uniqueId val="{00000123-EC62-4838-A2E0-29E4245763D8}"/>
              </c:ext>
            </c:extLst>
          </c:dPt>
          <c:dPt>
            <c:idx val="5"/>
            <c:bubble3D val="0"/>
            <c:spPr>
              <a:solidFill>
                <a:srgbClr val="B8CCE4"/>
              </a:solidFill>
              <a:ln>
                <a:solidFill>
                  <a:srgbClr val="F2F2F2"/>
                </a:solidFill>
              </a:ln>
            </c:spPr>
            <c:extLst>
              <c:ext xmlns:c16="http://schemas.microsoft.com/office/drawing/2014/chart" uri="{C3380CC4-5D6E-409C-BE32-E72D297353CC}">
                <c16:uniqueId val="{000001D2-C756-4532-8734-88E38CB5A3CF}"/>
              </c:ext>
            </c:extLst>
          </c:dPt>
          <c:dPt>
            <c:idx val="6"/>
            <c:bubble3D val="0"/>
            <c:spPr>
              <a:solidFill>
                <a:srgbClr val="B8CCE4"/>
              </a:solidFill>
              <a:ln>
                <a:solidFill>
                  <a:srgbClr val="F2F2F2"/>
                </a:solidFill>
              </a:ln>
            </c:spPr>
            <c:extLst>
              <c:ext xmlns:c16="http://schemas.microsoft.com/office/drawing/2014/chart" uri="{C3380CC4-5D6E-409C-BE32-E72D297353CC}">
                <c16:uniqueId val="{00000218-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iCP_Chart!$Q$25:$Q$35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74-EC62-4838-A2E0-29E4245763D8}"/>
            </c:ext>
          </c:extLst>
        </c:ser>
        <c:ser>
          <c:idx val="11"/>
          <c:order val="11"/>
          <c:tx>
            <c:strRef>
              <c:f>iCP_Chart!$R$24</c:f>
              <c:strCache>
                <c:ptCount val="1"/>
                <c:pt idx="0">
                  <c:v>lbl</c:v>
                </c:pt>
              </c:strCache>
            </c:strRef>
          </c:tx>
          <c:dPt>
            <c:idx val="0"/>
            <c:bubble3D val="0"/>
            <c:spPr>
              <a:solidFill>
                <a:srgbClr val="B8CCE4"/>
              </a:solidFill>
              <a:ln>
                <a:solidFill>
                  <a:srgbClr val="F2F2F2"/>
                </a:solidFill>
              </a:ln>
            </c:spPr>
            <c:extLst>
              <c:ext xmlns:c16="http://schemas.microsoft.com/office/drawing/2014/chart" uri="{C3380CC4-5D6E-409C-BE32-E72D297353CC}">
                <c16:uniqueId val="{00000098-EC62-4838-A2E0-29E4245763D8}"/>
              </c:ext>
            </c:extLst>
          </c:dPt>
          <c:dPt>
            <c:idx val="1"/>
            <c:bubble3D val="0"/>
            <c:spPr>
              <a:solidFill>
                <a:srgbClr val="B8CCE4"/>
              </a:solidFill>
              <a:ln>
                <a:solidFill>
                  <a:srgbClr val="F2F2F2"/>
                </a:solidFill>
              </a:ln>
            </c:spPr>
            <c:extLst>
              <c:ext xmlns:c16="http://schemas.microsoft.com/office/drawing/2014/chart" uri="{C3380CC4-5D6E-409C-BE32-E72D297353CC}">
                <c16:uniqueId val="{000000BB-EC62-4838-A2E0-29E4245763D8}"/>
              </c:ext>
            </c:extLst>
          </c:dPt>
          <c:dPt>
            <c:idx val="2"/>
            <c:bubble3D val="0"/>
            <c:spPr>
              <a:solidFill>
                <a:srgbClr val="B8CCE4"/>
              </a:solidFill>
              <a:ln>
                <a:solidFill>
                  <a:srgbClr val="F2F2F2"/>
                </a:solidFill>
              </a:ln>
            </c:spPr>
            <c:extLst>
              <c:ext xmlns:c16="http://schemas.microsoft.com/office/drawing/2014/chart" uri="{C3380CC4-5D6E-409C-BE32-E72D297353CC}">
                <c16:uniqueId val="{000000DE-EC62-4838-A2E0-29E4245763D8}"/>
              </c:ext>
            </c:extLst>
          </c:dPt>
          <c:dPt>
            <c:idx val="3"/>
            <c:bubble3D val="0"/>
            <c:spPr>
              <a:solidFill>
                <a:srgbClr val="B8CCE4"/>
              </a:solidFill>
              <a:ln>
                <a:solidFill>
                  <a:srgbClr val="F2F2F2"/>
                </a:solidFill>
              </a:ln>
            </c:spPr>
            <c:extLst>
              <c:ext xmlns:c16="http://schemas.microsoft.com/office/drawing/2014/chart" uri="{C3380CC4-5D6E-409C-BE32-E72D297353CC}">
                <c16:uniqueId val="{00000101-EC62-4838-A2E0-29E4245763D8}"/>
              </c:ext>
            </c:extLst>
          </c:dPt>
          <c:dPt>
            <c:idx val="4"/>
            <c:bubble3D val="0"/>
            <c:spPr>
              <a:solidFill>
                <a:srgbClr val="B8CCE4"/>
              </a:solidFill>
              <a:ln>
                <a:solidFill>
                  <a:srgbClr val="F2F2F2"/>
                </a:solidFill>
              </a:ln>
            </c:spPr>
            <c:extLst>
              <c:ext xmlns:c16="http://schemas.microsoft.com/office/drawing/2014/chart" uri="{C3380CC4-5D6E-409C-BE32-E72D297353CC}">
                <c16:uniqueId val="{00000124-EC62-4838-A2E0-29E4245763D8}"/>
              </c:ext>
            </c:extLst>
          </c:dPt>
          <c:dPt>
            <c:idx val="5"/>
            <c:bubble3D val="0"/>
            <c:spPr>
              <a:solidFill>
                <a:srgbClr val="B8CCE4"/>
              </a:solidFill>
              <a:ln>
                <a:solidFill>
                  <a:srgbClr val="F2F2F2"/>
                </a:solidFill>
              </a:ln>
            </c:spPr>
            <c:extLst>
              <c:ext xmlns:c16="http://schemas.microsoft.com/office/drawing/2014/chart" uri="{C3380CC4-5D6E-409C-BE32-E72D297353CC}">
                <c16:uniqueId val="{000001D3-C756-4532-8734-88E38CB5A3CF}"/>
              </c:ext>
            </c:extLst>
          </c:dPt>
          <c:dPt>
            <c:idx val="6"/>
            <c:bubble3D val="0"/>
            <c:spPr>
              <a:solidFill>
                <a:srgbClr val="B8CCE4"/>
              </a:solidFill>
              <a:ln>
                <a:solidFill>
                  <a:srgbClr val="F2F2F2"/>
                </a:solidFill>
              </a:ln>
            </c:spPr>
            <c:extLst>
              <c:ext xmlns:c16="http://schemas.microsoft.com/office/drawing/2014/chart" uri="{C3380CC4-5D6E-409C-BE32-E72D297353CC}">
                <c16:uniqueId val="{00000219-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iCP_Chart!$R$25:$R$35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75-EC62-4838-A2E0-29E4245763D8}"/>
            </c:ext>
          </c:extLst>
        </c:ser>
        <c:ser>
          <c:idx val="12"/>
          <c:order val="12"/>
          <c:tx>
            <c:strRef>
              <c:f>iCP_Chart!$S$24</c:f>
              <c:strCache>
                <c:ptCount val="1"/>
                <c:pt idx="0">
                  <c:v>lbl</c:v>
                </c:pt>
              </c:strCache>
            </c:strRef>
          </c:tx>
          <c:dPt>
            <c:idx val="0"/>
            <c:bubble3D val="0"/>
            <c:spPr>
              <a:solidFill>
                <a:srgbClr val="B8CCE4"/>
              </a:solidFill>
              <a:ln>
                <a:solidFill>
                  <a:srgbClr val="F2F2F2"/>
                </a:solidFill>
              </a:ln>
            </c:spPr>
            <c:extLst>
              <c:ext xmlns:c16="http://schemas.microsoft.com/office/drawing/2014/chart" uri="{C3380CC4-5D6E-409C-BE32-E72D297353CC}">
                <c16:uniqueId val="{00000099-EC62-4838-A2E0-29E4245763D8}"/>
              </c:ext>
            </c:extLst>
          </c:dPt>
          <c:dPt>
            <c:idx val="1"/>
            <c:bubble3D val="0"/>
            <c:spPr>
              <a:solidFill>
                <a:srgbClr val="B8CCE4"/>
              </a:solidFill>
              <a:ln>
                <a:solidFill>
                  <a:srgbClr val="F2F2F2"/>
                </a:solidFill>
              </a:ln>
            </c:spPr>
            <c:extLst>
              <c:ext xmlns:c16="http://schemas.microsoft.com/office/drawing/2014/chart" uri="{C3380CC4-5D6E-409C-BE32-E72D297353CC}">
                <c16:uniqueId val="{000000BC-EC62-4838-A2E0-29E4245763D8}"/>
              </c:ext>
            </c:extLst>
          </c:dPt>
          <c:dPt>
            <c:idx val="2"/>
            <c:bubble3D val="0"/>
            <c:spPr>
              <a:solidFill>
                <a:srgbClr val="B8CCE4"/>
              </a:solidFill>
              <a:ln>
                <a:solidFill>
                  <a:srgbClr val="F2F2F2"/>
                </a:solidFill>
              </a:ln>
            </c:spPr>
            <c:extLst>
              <c:ext xmlns:c16="http://schemas.microsoft.com/office/drawing/2014/chart" uri="{C3380CC4-5D6E-409C-BE32-E72D297353CC}">
                <c16:uniqueId val="{000000DF-EC62-4838-A2E0-29E4245763D8}"/>
              </c:ext>
            </c:extLst>
          </c:dPt>
          <c:dPt>
            <c:idx val="3"/>
            <c:bubble3D val="0"/>
            <c:spPr>
              <a:solidFill>
                <a:srgbClr val="B8CCE4"/>
              </a:solidFill>
              <a:ln>
                <a:solidFill>
                  <a:srgbClr val="F2F2F2"/>
                </a:solidFill>
              </a:ln>
            </c:spPr>
            <c:extLst>
              <c:ext xmlns:c16="http://schemas.microsoft.com/office/drawing/2014/chart" uri="{C3380CC4-5D6E-409C-BE32-E72D297353CC}">
                <c16:uniqueId val="{00000102-EC62-4838-A2E0-29E4245763D8}"/>
              </c:ext>
            </c:extLst>
          </c:dPt>
          <c:dPt>
            <c:idx val="4"/>
            <c:bubble3D val="0"/>
            <c:spPr>
              <a:solidFill>
                <a:srgbClr val="B8CCE4"/>
              </a:solidFill>
              <a:ln>
                <a:solidFill>
                  <a:srgbClr val="F2F2F2"/>
                </a:solidFill>
              </a:ln>
            </c:spPr>
            <c:extLst>
              <c:ext xmlns:c16="http://schemas.microsoft.com/office/drawing/2014/chart" uri="{C3380CC4-5D6E-409C-BE32-E72D297353CC}">
                <c16:uniqueId val="{00000125-EC62-4838-A2E0-29E4245763D8}"/>
              </c:ext>
            </c:extLst>
          </c:dPt>
          <c:dPt>
            <c:idx val="5"/>
            <c:bubble3D val="0"/>
            <c:spPr>
              <a:solidFill>
                <a:srgbClr val="B8CCE4"/>
              </a:solidFill>
              <a:ln>
                <a:solidFill>
                  <a:srgbClr val="F2F2F2"/>
                </a:solidFill>
              </a:ln>
            </c:spPr>
            <c:extLst>
              <c:ext xmlns:c16="http://schemas.microsoft.com/office/drawing/2014/chart" uri="{C3380CC4-5D6E-409C-BE32-E72D297353CC}">
                <c16:uniqueId val="{000001D4-C756-4532-8734-88E38CB5A3CF}"/>
              </c:ext>
            </c:extLst>
          </c:dPt>
          <c:dPt>
            <c:idx val="6"/>
            <c:bubble3D val="0"/>
            <c:spPr>
              <a:solidFill>
                <a:srgbClr val="B8CCE4"/>
              </a:solidFill>
              <a:ln>
                <a:solidFill>
                  <a:srgbClr val="F2F2F2"/>
                </a:solidFill>
              </a:ln>
            </c:spPr>
            <c:extLst>
              <c:ext xmlns:c16="http://schemas.microsoft.com/office/drawing/2014/chart" uri="{C3380CC4-5D6E-409C-BE32-E72D297353CC}">
                <c16:uniqueId val="{0000021A-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iCP_Chart!$S$25:$S$35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76-EC62-4838-A2E0-29E4245763D8}"/>
            </c:ext>
          </c:extLst>
        </c:ser>
        <c:ser>
          <c:idx val="13"/>
          <c:order val="13"/>
          <c:tx>
            <c:strRef>
              <c:f>iCP_Chart!$T$24</c:f>
              <c:strCache>
                <c:ptCount val="1"/>
                <c:pt idx="0">
                  <c:v>lbl</c:v>
                </c:pt>
              </c:strCache>
            </c:strRef>
          </c:tx>
          <c:dPt>
            <c:idx val="0"/>
            <c:bubble3D val="0"/>
            <c:spPr>
              <a:solidFill>
                <a:srgbClr val="B8CCE4"/>
              </a:solidFill>
              <a:ln>
                <a:solidFill>
                  <a:srgbClr val="F2F2F2"/>
                </a:solidFill>
              </a:ln>
            </c:spPr>
            <c:extLst>
              <c:ext xmlns:c16="http://schemas.microsoft.com/office/drawing/2014/chart" uri="{C3380CC4-5D6E-409C-BE32-E72D297353CC}">
                <c16:uniqueId val="{0000009A-EC62-4838-A2E0-29E4245763D8}"/>
              </c:ext>
            </c:extLst>
          </c:dPt>
          <c:dPt>
            <c:idx val="1"/>
            <c:bubble3D val="0"/>
            <c:spPr>
              <a:solidFill>
                <a:srgbClr val="B8CCE4"/>
              </a:solidFill>
              <a:ln>
                <a:solidFill>
                  <a:srgbClr val="F2F2F2"/>
                </a:solidFill>
              </a:ln>
            </c:spPr>
            <c:extLst>
              <c:ext xmlns:c16="http://schemas.microsoft.com/office/drawing/2014/chart" uri="{C3380CC4-5D6E-409C-BE32-E72D297353CC}">
                <c16:uniqueId val="{000000BD-EC62-4838-A2E0-29E4245763D8}"/>
              </c:ext>
            </c:extLst>
          </c:dPt>
          <c:dPt>
            <c:idx val="2"/>
            <c:bubble3D val="0"/>
            <c:spPr>
              <a:solidFill>
                <a:srgbClr val="B8CCE4"/>
              </a:solidFill>
              <a:ln>
                <a:solidFill>
                  <a:srgbClr val="F2F2F2"/>
                </a:solidFill>
              </a:ln>
            </c:spPr>
            <c:extLst>
              <c:ext xmlns:c16="http://schemas.microsoft.com/office/drawing/2014/chart" uri="{C3380CC4-5D6E-409C-BE32-E72D297353CC}">
                <c16:uniqueId val="{000000E0-EC62-4838-A2E0-29E4245763D8}"/>
              </c:ext>
            </c:extLst>
          </c:dPt>
          <c:dPt>
            <c:idx val="3"/>
            <c:bubble3D val="0"/>
            <c:spPr>
              <a:solidFill>
                <a:srgbClr val="B8CCE4"/>
              </a:solidFill>
              <a:ln>
                <a:solidFill>
                  <a:srgbClr val="F2F2F2"/>
                </a:solidFill>
              </a:ln>
            </c:spPr>
            <c:extLst>
              <c:ext xmlns:c16="http://schemas.microsoft.com/office/drawing/2014/chart" uri="{C3380CC4-5D6E-409C-BE32-E72D297353CC}">
                <c16:uniqueId val="{00000103-EC62-4838-A2E0-29E4245763D8}"/>
              </c:ext>
            </c:extLst>
          </c:dPt>
          <c:dPt>
            <c:idx val="4"/>
            <c:bubble3D val="0"/>
            <c:spPr>
              <a:solidFill>
                <a:srgbClr val="B8CCE4"/>
              </a:solidFill>
              <a:ln>
                <a:solidFill>
                  <a:srgbClr val="F2F2F2"/>
                </a:solidFill>
              </a:ln>
            </c:spPr>
            <c:extLst>
              <c:ext xmlns:c16="http://schemas.microsoft.com/office/drawing/2014/chart" uri="{C3380CC4-5D6E-409C-BE32-E72D297353CC}">
                <c16:uniqueId val="{00000126-EC62-4838-A2E0-29E4245763D8}"/>
              </c:ext>
            </c:extLst>
          </c:dPt>
          <c:dPt>
            <c:idx val="5"/>
            <c:bubble3D val="0"/>
            <c:spPr>
              <a:solidFill>
                <a:srgbClr val="B8CCE4"/>
              </a:solidFill>
              <a:ln>
                <a:solidFill>
                  <a:srgbClr val="F2F2F2"/>
                </a:solidFill>
              </a:ln>
            </c:spPr>
            <c:extLst>
              <c:ext xmlns:c16="http://schemas.microsoft.com/office/drawing/2014/chart" uri="{C3380CC4-5D6E-409C-BE32-E72D297353CC}">
                <c16:uniqueId val="{000001D5-C756-4532-8734-88E38CB5A3CF}"/>
              </c:ext>
            </c:extLst>
          </c:dPt>
          <c:dPt>
            <c:idx val="6"/>
            <c:bubble3D val="0"/>
            <c:spPr>
              <a:solidFill>
                <a:srgbClr val="B8CCE4"/>
              </a:solidFill>
              <a:ln>
                <a:solidFill>
                  <a:srgbClr val="F2F2F2"/>
                </a:solidFill>
              </a:ln>
            </c:spPr>
            <c:extLst>
              <c:ext xmlns:c16="http://schemas.microsoft.com/office/drawing/2014/chart" uri="{C3380CC4-5D6E-409C-BE32-E72D297353CC}">
                <c16:uniqueId val="{0000021B-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iCP_Chart!$T$25:$T$35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77-EC62-4838-A2E0-29E4245763D8}"/>
            </c:ext>
          </c:extLst>
        </c:ser>
        <c:ser>
          <c:idx val="14"/>
          <c:order val="14"/>
          <c:tx>
            <c:strRef>
              <c:f>iCP_Chart!$U$24</c:f>
              <c:strCache>
                <c:ptCount val="1"/>
                <c:pt idx="0">
                  <c:v>lbl</c:v>
                </c:pt>
              </c:strCache>
            </c:strRef>
          </c:tx>
          <c:dPt>
            <c:idx val="0"/>
            <c:bubble3D val="0"/>
            <c:spPr>
              <a:solidFill>
                <a:srgbClr val="B8CCE4"/>
              </a:solidFill>
              <a:ln>
                <a:solidFill>
                  <a:srgbClr val="F2F2F2"/>
                </a:solidFill>
              </a:ln>
            </c:spPr>
            <c:extLst>
              <c:ext xmlns:c16="http://schemas.microsoft.com/office/drawing/2014/chart" uri="{C3380CC4-5D6E-409C-BE32-E72D297353CC}">
                <c16:uniqueId val="{0000009B-EC62-4838-A2E0-29E4245763D8}"/>
              </c:ext>
            </c:extLst>
          </c:dPt>
          <c:dPt>
            <c:idx val="1"/>
            <c:bubble3D val="0"/>
            <c:spPr>
              <a:solidFill>
                <a:srgbClr val="B8CCE4"/>
              </a:solidFill>
              <a:ln>
                <a:solidFill>
                  <a:srgbClr val="F2F2F2"/>
                </a:solidFill>
              </a:ln>
            </c:spPr>
            <c:extLst>
              <c:ext xmlns:c16="http://schemas.microsoft.com/office/drawing/2014/chart" uri="{C3380CC4-5D6E-409C-BE32-E72D297353CC}">
                <c16:uniqueId val="{000000BE-EC62-4838-A2E0-29E4245763D8}"/>
              </c:ext>
            </c:extLst>
          </c:dPt>
          <c:dPt>
            <c:idx val="2"/>
            <c:bubble3D val="0"/>
            <c:spPr>
              <a:solidFill>
                <a:srgbClr val="B8CCE4"/>
              </a:solidFill>
              <a:ln>
                <a:solidFill>
                  <a:srgbClr val="F2F2F2"/>
                </a:solidFill>
              </a:ln>
            </c:spPr>
            <c:extLst>
              <c:ext xmlns:c16="http://schemas.microsoft.com/office/drawing/2014/chart" uri="{C3380CC4-5D6E-409C-BE32-E72D297353CC}">
                <c16:uniqueId val="{000000E1-EC62-4838-A2E0-29E4245763D8}"/>
              </c:ext>
            </c:extLst>
          </c:dPt>
          <c:dPt>
            <c:idx val="3"/>
            <c:bubble3D val="0"/>
            <c:spPr>
              <a:solidFill>
                <a:srgbClr val="B8CCE4"/>
              </a:solidFill>
              <a:ln>
                <a:solidFill>
                  <a:srgbClr val="F2F2F2"/>
                </a:solidFill>
              </a:ln>
            </c:spPr>
            <c:extLst>
              <c:ext xmlns:c16="http://schemas.microsoft.com/office/drawing/2014/chart" uri="{C3380CC4-5D6E-409C-BE32-E72D297353CC}">
                <c16:uniqueId val="{00000104-EC62-4838-A2E0-29E4245763D8}"/>
              </c:ext>
            </c:extLst>
          </c:dPt>
          <c:dPt>
            <c:idx val="4"/>
            <c:bubble3D val="0"/>
            <c:spPr>
              <a:solidFill>
                <a:srgbClr val="B8CCE4"/>
              </a:solidFill>
              <a:ln>
                <a:solidFill>
                  <a:srgbClr val="F2F2F2"/>
                </a:solidFill>
              </a:ln>
            </c:spPr>
            <c:extLst>
              <c:ext xmlns:c16="http://schemas.microsoft.com/office/drawing/2014/chart" uri="{C3380CC4-5D6E-409C-BE32-E72D297353CC}">
                <c16:uniqueId val="{00000127-EC62-4838-A2E0-29E4245763D8}"/>
              </c:ext>
            </c:extLst>
          </c:dPt>
          <c:dPt>
            <c:idx val="5"/>
            <c:bubble3D val="0"/>
            <c:spPr>
              <a:solidFill>
                <a:srgbClr val="B8CCE4"/>
              </a:solidFill>
              <a:ln>
                <a:solidFill>
                  <a:srgbClr val="F2F2F2"/>
                </a:solidFill>
              </a:ln>
            </c:spPr>
            <c:extLst>
              <c:ext xmlns:c16="http://schemas.microsoft.com/office/drawing/2014/chart" uri="{C3380CC4-5D6E-409C-BE32-E72D297353CC}">
                <c16:uniqueId val="{000001D6-C756-4532-8734-88E38CB5A3CF}"/>
              </c:ext>
            </c:extLst>
          </c:dPt>
          <c:dPt>
            <c:idx val="6"/>
            <c:bubble3D val="0"/>
            <c:spPr>
              <a:solidFill>
                <a:srgbClr val="B8CCE4"/>
              </a:solidFill>
              <a:ln>
                <a:solidFill>
                  <a:srgbClr val="F2F2F2"/>
                </a:solidFill>
              </a:ln>
            </c:spPr>
            <c:extLst>
              <c:ext xmlns:c16="http://schemas.microsoft.com/office/drawing/2014/chart" uri="{C3380CC4-5D6E-409C-BE32-E72D297353CC}">
                <c16:uniqueId val="{0000021C-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iCP_Chart!$U$25:$U$35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78-EC62-4838-A2E0-29E4245763D8}"/>
            </c:ext>
          </c:extLst>
        </c:ser>
        <c:ser>
          <c:idx val="15"/>
          <c:order val="15"/>
          <c:tx>
            <c:strRef>
              <c:f>iCP_Chart!$V$24</c:f>
              <c:strCache>
                <c:ptCount val="1"/>
                <c:pt idx="0">
                  <c:v>lbl</c:v>
                </c:pt>
              </c:strCache>
            </c:strRef>
          </c:tx>
          <c:dPt>
            <c:idx val="0"/>
            <c:bubble3D val="0"/>
            <c:spPr>
              <a:solidFill>
                <a:srgbClr val="B8CCE4"/>
              </a:solidFill>
              <a:ln>
                <a:solidFill>
                  <a:srgbClr val="F2F2F2"/>
                </a:solidFill>
              </a:ln>
            </c:spPr>
            <c:extLst>
              <c:ext xmlns:c16="http://schemas.microsoft.com/office/drawing/2014/chart" uri="{C3380CC4-5D6E-409C-BE32-E72D297353CC}">
                <c16:uniqueId val="{0000009C-EC62-4838-A2E0-29E4245763D8}"/>
              </c:ext>
            </c:extLst>
          </c:dPt>
          <c:dPt>
            <c:idx val="1"/>
            <c:bubble3D val="0"/>
            <c:spPr>
              <a:solidFill>
                <a:srgbClr val="B8CCE4"/>
              </a:solidFill>
              <a:ln>
                <a:solidFill>
                  <a:srgbClr val="F2F2F2"/>
                </a:solidFill>
              </a:ln>
            </c:spPr>
            <c:extLst>
              <c:ext xmlns:c16="http://schemas.microsoft.com/office/drawing/2014/chart" uri="{C3380CC4-5D6E-409C-BE32-E72D297353CC}">
                <c16:uniqueId val="{000000BF-EC62-4838-A2E0-29E4245763D8}"/>
              </c:ext>
            </c:extLst>
          </c:dPt>
          <c:dPt>
            <c:idx val="2"/>
            <c:bubble3D val="0"/>
            <c:spPr>
              <a:solidFill>
                <a:srgbClr val="B8CCE4"/>
              </a:solidFill>
              <a:ln>
                <a:solidFill>
                  <a:srgbClr val="F2F2F2"/>
                </a:solidFill>
              </a:ln>
            </c:spPr>
            <c:extLst>
              <c:ext xmlns:c16="http://schemas.microsoft.com/office/drawing/2014/chart" uri="{C3380CC4-5D6E-409C-BE32-E72D297353CC}">
                <c16:uniqueId val="{000000E2-EC62-4838-A2E0-29E4245763D8}"/>
              </c:ext>
            </c:extLst>
          </c:dPt>
          <c:dPt>
            <c:idx val="3"/>
            <c:bubble3D val="0"/>
            <c:spPr>
              <a:solidFill>
                <a:srgbClr val="B8CCE4"/>
              </a:solidFill>
              <a:ln>
                <a:solidFill>
                  <a:srgbClr val="F2F2F2"/>
                </a:solidFill>
              </a:ln>
            </c:spPr>
            <c:extLst>
              <c:ext xmlns:c16="http://schemas.microsoft.com/office/drawing/2014/chart" uri="{C3380CC4-5D6E-409C-BE32-E72D297353CC}">
                <c16:uniqueId val="{00000105-EC62-4838-A2E0-29E4245763D8}"/>
              </c:ext>
            </c:extLst>
          </c:dPt>
          <c:dPt>
            <c:idx val="4"/>
            <c:bubble3D val="0"/>
            <c:spPr>
              <a:solidFill>
                <a:srgbClr val="B8CCE4"/>
              </a:solidFill>
              <a:ln>
                <a:solidFill>
                  <a:srgbClr val="F2F2F2"/>
                </a:solidFill>
              </a:ln>
            </c:spPr>
            <c:extLst>
              <c:ext xmlns:c16="http://schemas.microsoft.com/office/drawing/2014/chart" uri="{C3380CC4-5D6E-409C-BE32-E72D297353CC}">
                <c16:uniqueId val="{00000128-EC62-4838-A2E0-29E4245763D8}"/>
              </c:ext>
            </c:extLst>
          </c:dPt>
          <c:dPt>
            <c:idx val="5"/>
            <c:bubble3D val="0"/>
            <c:spPr>
              <a:solidFill>
                <a:srgbClr val="B8CCE4"/>
              </a:solidFill>
              <a:ln>
                <a:solidFill>
                  <a:srgbClr val="F2F2F2"/>
                </a:solidFill>
              </a:ln>
            </c:spPr>
            <c:extLst>
              <c:ext xmlns:c16="http://schemas.microsoft.com/office/drawing/2014/chart" uri="{C3380CC4-5D6E-409C-BE32-E72D297353CC}">
                <c16:uniqueId val="{000001D7-C756-4532-8734-88E38CB5A3CF}"/>
              </c:ext>
            </c:extLst>
          </c:dPt>
          <c:dPt>
            <c:idx val="6"/>
            <c:bubble3D val="0"/>
            <c:spPr>
              <a:solidFill>
                <a:srgbClr val="B8CCE4"/>
              </a:solidFill>
              <a:ln>
                <a:solidFill>
                  <a:srgbClr val="F2F2F2"/>
                </a:solidFill>
              </a:ln>
            </c:spPr>
            <c:extLst>
              <c:ext xmlns:c16="http://schemas.microsoft.com/office/drawing/2014/chart" uri="{C3380CC4-5D6E-409C-BE32-E72D297353CC}">
                <c16:uniqueId val="{0000021D-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iCP_Chart!$V$25:$V$35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79-EC62-4838-A2E0-29E4245763D8}"/>
            </c:ext>
          </c:extLst>
        </c:ser>
        <c:ser>
          <c:idx val="16"/>
          <c:order val="16"/>
          <c:tx>
            <c:strRef>
              <c:f>iCP_Chart!$W$24</c:f>
              <c:strCache>
                <c:ptCount val="1"/>
                <c:pt idx="0">
                  <c:v>lbl</c:v>
                </c:pt>
              </c:strCache>
            </c:strRef>
          </c:tx>
          <c:dPt>
            <c:idx val="0"/>
            <c:bubble3D val="0"/>
            <c:spPr>
              <a:solidFill>
                <a:srgbClr val="B8CCE4"/>
              </a:solidFill>
              <a:ln>
                <a:solidFill>
                  <a:srgbClr val="F2F2F2"/>
                </a:solidFill>
              </a:ln>
            </c:spPr>
            <c:extLst>
              <c:ext xmlns:c16="http://schemas.microsoft.com/office/drawing/2014/chart" uri="{C3380CC4-5D6E-409C-BE32-E72D297353CC}">
                <c16:uniqueId val="{0000009D-EC62-4838-A2E0-29E4245763D8}"/>
              </c:ext>
            </c:extLst>
          </c:dPt>
          <c:dPt>
            <c:idx val="1"/>
            <c:bubble3D val="0"/>
            <c:spPr>
              <a:solidFill>
                <a:srgbClr val="B8CCE4"/>
              </a:solidFill>
              <a:ln>
                <a:solidFill>
                  <a:srgbClr val="F2F2F2"/>
                </a:solidFill>
              </a:ln>
            </c:spPr>
            <c:extLst>
              <c:ext xmlns:c16="http://schemas.microsoft.com/office/drawing/2014/chart" uri="{C3380CC4-5D6E-409C-BE32-E72D297353CC}">
                <c16:uniqueId val="{000000C0-EC62-4838-A2E0-29E4245763D8}"/>
              </c:ext>
            </c:extLst>
          </c:dPt>
          <c:dPt>
            <c:idx val="2"/>
            <c:bubble3D val="0"/>
            <c:spPr>
              <a:solidFill>
                <a:srgbClr val="B8CCE4"/>
              </a:solidFill>
              <a:ln>
                <a:solidFill>
                  <a:srgbClr val="F2F2F2"/>
                </a:solidFill>
              </a:ln>
            </c:spPr>
            <c:extLst>
              <c:ext xmlns:c16="http://schemas.microsoft.com/office/drawing/2014/chart" uri="{C3380CC4-5D6E-409C-BE32-E72D297353CC}">
                <c16:uniqueId val="{000000E3-EC62-4838-A2E0-29E4245763D8}"/>
              </c:ext>
            </c:extLst>
          </c:dPt>
          <c:dPt>
            <c:idx val="3"/>
            <c:bubble3D val="0"/>
            <c:spPr>
              <a:solidFill>
                <a:srgbClr val="B8CCE4"/>
              </a:solidFill>
              <a:ln>
                <a:solidFill>
                  <a:srgbClr val="F2F2F2"/>
                </a:solidFill>
              </a:ln>
            </c:spPr>
            <c:extLst>
              <c:ext xmlns:c16="http://schemas.microsoft.com/office/drawing/2014/chart" uri="{C3380CC4-5D6E-409C-BE32-E72D297353CC}">
                <c16:uniqueId val="{00000106-EC62-4838-A2E0-29E4245763D8}"/>
              </c:ext>
            </c:extLst>
          </c:dPt>
          <c:dPt>
            <c:idx val="4"/>
            <c:bubble3D val="0"/>
            <c:spPr>
              <a:solidFill>
                <a:srgbClr val="B8CCE4"/>
              </a:solidFill>
              <a:ln>
                <a:solidFill>
                  <a:srgbClr val="F2F2F2"/>
                </a:solidFill>
              </a:ln>
            </c:spPr>
            <c:extLst>
              <c:ext xmlns:c16="http://schemas.microsoft.com/office/drawing/2014/chart" uri="{C3380CC4-5D6E-409C-BE32-E72D297353CC}">
                <c16:uniqueId val="{00000129-EC62-4838-A2E0-29E4245763D8}"/>
              </c:ext>
            </c:extLst>
          </c:dPt>
          <c:dPt>
            <c:idx val="5"/>
            <c:bubble3D val="0"/>
            <c:spPr>
              <a:solidFill>
                <a:srgbClr val="B8CCE4"/>
              </a:solidFill>
              <a:ln>
                <a:solidFill>
                  <a:srgbClr val="F2F2F2"/>
                </a:solidFill>
              </a:ln>
            </c:spPr>
            <c:extLst>
              <c:ext xmlns:c16="http://schemas.microsoft.com/office/drawing/2014/chart" uri="{C3380CC4-5D6E-409C-BE32-E72D297353CC}">
                <c16:uniqueId val="{000001D8-C756-4532-8734-88E38CB5A3CF}"/>
              </c:ext>
            </c:extLst>
          </c:dPt>
          <c:dPt>
            <c:idx val="6"/>
            <c:bubble3D val="0"/>
            <c:spPr>
              <a:solidFill>
                <a:srgbClr val="B8CCE4"/>
              </a:solidFill>
              <a:ln>
                <a:solidFill>
                  <a:srgbClr val="F2F2F2"/>
                </a:solidFill>
              </a:ln>
            </c:spPr>
            <c:extLst>
              <c:ext xmlns:c16="http://schemas.microsoft.com/office/drawing/2014/chart" uri="{C3380CC4-5D6E-409C-BE32-E72D297353CC}">
                <c16:uniqueId val="{0000021E-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iCP_Chart!$W$25:$W$35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7A-EC62-4838-A2E0-29E4245763D8}"/>
            </c:ext>
          </c:extLst>
        </c:ser>
        <c:ser>
          <c:idx val="17"/>
          <c:order val="17"/>
          <c:tx>
            <c:strRef>
              <c:f>iCP_Chart!$X$24</c:f>
              <c:strCache>
                <c:ptCount val="1"/>
                <c:pt idx="0">
                  <c:v>lbl</c:v>
                </c:pt>
              </c:strCache>
            </c:strRef>
          </c:tx>
          <c:dPt>
            <c:idx val="0"/>
            <c:bubble3D val="0"/>
            <c:spPr>
              <a:solidFill>
                <a:srgbClr val="B8CCE4"/>
              </a:solidFill>
              <a:ln>
                <a:solidFill>
                  <a:srgbClr val="F2F2F2"/>
                </a:solidFill>
              </a:ln>
            </c:spPr>
            <c:extLst>
              <c:ext xmlns:c16="http://schemas.microsoft.com/office/drawing/2014/chart" uri="{C3380CC4-5D6E-409C-BE32-E72D297353CC}">
                <c16:uniqueId val="{0000009E-EC62-4838-A2E0-29E4245763D8}"/>
              </c:ext>
            </c:extLst>
          </c:dPt>
          <c:dPt>
            <c:idx val="1"/>
            <c:bubble3D val="0"/>
            <c:spPr>
              <a:solidFill>
                <a:srgbClr val="B8CCE4"/>
              </a:solidFill>
              <a:ln>
                <a:solidFill>
                  <a:srgbClr val="F2F2F2"/>
                </a:solidFill>
              </a:ln>
            </c:spPr>
            <c:extLst>
              <c:ext xmlns:c16="http://schemas.microsoft.com/office/drawing/2014/chart" uri="{C3380CC4-5D6E-409C-BE32-E72D297353CC}">
                <c16:uniqueId val="{000000C1-EC62-4838-A2E0-29E4245763D8}"/>
              </c:ext>
            </c:extLst>
          </c:dPt>
          <c:dPt>
            <c:idx val="2"/>
            <c:bubble3D val="0"/>
            <c:spPr>
              <a:solidFill>
                <a:srgbClr val="B8CCE4"/>
              </a:solidFill>
              <a:ln>
                <a:solidFill>
                  <a:srgbClr val="F2F2F2"/>
                </a:solidFill>
              </a:ln>
            </c:spPr>
            <c:extLst>
              <c:ext xmlns:c16="http://schemas.microsoft.com/office/drawing/2014/chart" uri="{C3380CC4-5D6E-409C-BE32-E72D297353CC}">
                <c16:uniqueId val="{000000E4-EC62-4838-A2E0-29E4245763D8}"/>
              </c:ext>
            </c:extLst>
          </c:dPt>
          <c:dPt>
            <c:idx val="3"/>
            <c:bubble3D val="0"/>
            <c:spPr>
              <a:solidFill>
                <a:srgbClr val="B8CCE4"/>
              </a:solidFill>
              <a:ln>
                <a:solidFill>
                  <a:srgbClr val="F2F2F2"/>
                </a:solidFill>
              </a:ln>
            </c:spPr>
            <c:extLst>
              <c:ext xmlns:c16="http://schemas.microsoft.com/office/drawing/2014/chart" uri="{C3380CC4-5D6E-409C-BE32-E72D297353CC}">
                <c16:uniqueId val="{00000107-EC62-4838-A2E0-29E4245763D8}"/>
              </c:ext>
            </c:extLst>
          </c:dPt>
          <c:dPt>
            <c:idx val="4"/>
            <c:bubble3D val="0"/>
            <c:spPr>
              <a:solidFill>
                <a:srgbClr val="B8CCE4"/>
              </a:solidFill>
              <a:ln>
                <a:solidFill>
                  <a:srgbClr val="F2F2F2"/>
                </a:solidFill>
              </a:ln>
            </c:spPr>
            <c:extLst>
              <c:ext xmlns:c16="http://schemas.microsoft.com/office/drawing/2014/chart" uri="{C3380CC4-5D6E-409C-BE32-E72D297353CC}">
                <c16:uniqueId val="{0000012A-EC62-4838-A2E0-29E4245763D8}"/>
              </c:ext>
            </c:extLst>
          </c:dPt>
          <c:dPt>
            <c:idx val="5"/>
            <c:bubble3D val="0"/>
            <c:spPr>
              <a:solidFill>
                <a:srgbClr val="B8CCE4"/>
              </a:solidFill>
              <a:ln>
                <a:solidFill>
                  <a:srgbClr val="F2F2F2"/>
                </a:solidFill>
              </a:ln>
            </c:spPr>
            <c:extLst>
              <c:ext xmlns:c16="http://schemas.microsoft.com/office/drawing/2014/chart" uri="{C3380CC4-5D6E-409C-BE32-E72D297353CC}">
                <c16:uniqueId val="{000001D9-C756-4532-8734-88E38CB5A3CF}"/>
              </c:ext>
            </c:extLst>
          </c:dPt>
          <c:dPt>
            <c:idx val="6"/>
            <c:bubble3D val="0"/>
            <c:spPr>
              <a:solidFill>
                <a:srgbClr val="FFFFFF"/>
              </a:solidFill>
              <a:ln>
                <a:solidFill>
                  <a:srgbClr val="F2F2F2"/>
                </a:solidFill>
              </a:ln>
            </c:spPr>
            <c:extLst>
              <c:ext xmlns:c16="http://schemas.microsoft.com/office/drawing/2014/chart" uri="{C3380CC4-5D6E-409C-BE32-E72D297353CC}">
                <c16:uniqueId val="{0000021F-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iCP_Chart!$X$25:$X$35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7B-EC62-4838-A2E0-29E4245763D8}"/>
            </c:ext>
          </c:extLst>
        </c:ser>
        <c:ser>
          <c:idx val="18"/>
          <c:order val="18"/>
          <c:tx>
            <c:strRef>
              <c:f>iCP_Chart!$Y$24</c:f>
              <c:strCache>
                <c:ptCount val="1"/>
                <c:pt idx="0">
                  <c:v>lbl</c:v>
                </c:pt>
              </c:strCache>
            </c:strRef>
          </c:tx>
          <c:dPt>
            <c:idx val="0"/>
            <c:bubble3D val="0"/>
            <c:spPr>
              <a:solidFill>
                <a:srgbClr val="B8CCE4"/>
              </a:solidFill>
              <a:ln>
                <a:solidFill>
                  <a:srgbClr val="F2F2F2"/>
                </a:solidFill>
              </a:ln>
            </c:spPr>
            <c:extLst>
              <c:ext xmlns:c16="http://schemas.microsoft.com/office/drawing/2014/chart" uri="{C3380CC4-5D6E-409C-BE32-E72D297353CC}">
                <c16:uniqueId val="{0000009F-EC62-4838-A2E0-29E4245763D8}"/>
              </c:ext>
            </c:extLst>
          </c:dPt>
          <c:dPt>
            <c:idx val="1"/>
            <c:bubble3D val="0"/>
            <c:spPr>
              <a:solidFill>
                <a:srgbClr val="B8CCE4"/>
              </a:solidFill>
              <a:ln>
                <a:solidFill>
                  <a:srgbClr val="F2F2F2"/>
                </a:solidFill>
              </a:ln>
            </c:spPr>
            <c:extLst>
              <c:ext xmlns:c16="http://schemas.microsoft.com/office/drawing/2014/chart" uri="{C3380CC4-5D6E-409C-BE32-E72D297353CC}">
                <c16:uniqueId val="{000000C2-EC62-4838-A2E0-29E4245763D8}"/>
              </c:ext>
            </c:extLst>
          </c:dPt>
          <c:dPt>
            <c:idx val="2"/>
            <c:bubble3D val="0"/>
            <c:spPr>
              <a:solidFill>
                <a:srgbClr val="B8CCE4"/>
              </a:solidFill>
              <a:ln>
                <a:solidFill>
                  <a:srgbClr val="F2F2F2"/>
                </a:solidFill>
              </a:ln>
            </c:spPr>
            <c:extLst>
              <c:ext xmlns:c16="http://schemas.microsoft.com/office/drawing/2014/chart" uri="{C3380CC4-5D6E-409C-BE32-E72D297353CC}">
                <c16:uniqueId val="{000000E5-EC62-4838-A2E0-29E4245763D8}"/>
              </c:ext>
            </c:extLst>
          </c:dPt>
          <c:dPt>
            <c:idx val="3"/>
            <c:bubble3D val="0"/>
            <c:spPr>
              <a:solidFill>
                <a:srgbClr val="B8CCE4"/>
              </a:solidFill>
              <a:ln>
                <a:solidFill>
                  <a:srgbClr val="F2F2F2"/>
                </a:solidFill>
              </a:ln>
            </c:spPr>
            <c:extLst>
              <c:ext xmlns:c16="http://schemas.microsoft.com/office/drawing/2014/chart" uri="{C3380CC4-5D6E-409C-BE32-E72D297353CC}">
                <c16:uniqueId val="{00000108-EC62-4838-A2E0-29E4245763D8}"/>
              </c:ext>
            </c:extLst>
          </c:dPt>
          <c:dPt>
            <c:idx val="4"/>
            <c:bubble3D val="0"/>
            <c:spPr>
              <a:solidFill>
                <a:srgbClr val="B8CCE4"/>
              </a:solidFill>
              <a:ln>
                <a:solidFill>
                  <a:srgbClr val="F2F2F2"/>
                </a:solidFill>
              </a:ln>
            </c:spPr>
            <c:extLst>
              <c:ext xmlns:c16="http://schemas.microsoft.com/office/drawing/2014/chart" uri="{C3380CC4-5D6E-409C-BE32-E72D297353CC}">
                <c16:uniqueId val="{0000012B-EC62-4838-A2E0-29E4245763D8}"/>
              </c:ext>
            </c:extLst>
          </c:dPt>
          <c:dPt>
            <c:idx val="5"/>
            <c:bubble3D val="0"/>
            <c:spPr>
              <a:solidFill>
                <a:srgbClr val="B8CCE4"/>
              </a:solidFill>
              <a:ln>
                <a:solidFill>
                  <a:srgbClr val="F2F2F2"/>
                </a:solidFill>
              </a:ln>
            </c:spPr>
            <c:extLst>
              <c:ext xmlns:c16="http://schemas.microsoft.com/office/drawing/2014/chart" uri="{C3380CC4-5D6E-409C-BE32-E72D297353CC}">
                <c16:uniqueId val="{000001DA-C756-4532-8734-88E38CB5A3CF}"/>
              </c:ext>
            </c:extLst>
          </c:dPt>
          <c:dPt>
            <c:idx val="6"/>
            <c:bubble3D val="0"/>
            <c:spPr>
              <a:solidFill>
                <a:srgbClr val="FFFFFF"/>
              </a:solidFill>
              <a:ln>
                <a:solidFill>
                  <a:srgbClr val="F2F2F2"/>
                </a:solidFill>
              </a:ln>
            </c:spPr>
            <c:extLst>
              <c:ext xmlns:c16="http://schemas.microsoft.com/office/drawing/2014/chart" uri="{C3380CC4-5D6E-409C-BE32-E72D297353CC}">
                <c16:uniqueId val="{00000220-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iCP_Chart!$Y$25:$Y$35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7C-EC62-4838-A2E0-29E4245763D8}"/>
            </c:ext>
          </c:extLst>
        </c:ser>
        <c:ser>
          <c:idx val="19"/>
          <c:order val="19"/>
          <c:tx>
            <c:strRef>
              <c:f>iCP_Chart!$Z$24</c:f>
              <c:strCache>
                <c:ptCount val="1"/>
                <c:pt idx="0">
                  <c:v>lbl</c:v>
                </c:pt>
              </c:strCache>
            </c:strRef>
          </c:tx>
          <c:dPt>
            <c:idx val="0"/>
            <c:bubble3D val="0"/>
            <c:spPr>
              <a:solidFill>
                <a:srgbClr val="B8CCE4"/>
              </a:solidFill>
              <a:ln>
                <a:solidFill>
                  <a:srgbClr val="F2F2F2"/>
                </a:solidFill>
              </a:ln>
            </c:spPr>
            <c:extLst>
              <c:ext xmlns:c16="http://schemas.microsoft.com/office/drawing/2014/chart" uri="{C3380CC4-5D6E-409C-BE32-E72D297353CC}">
                <c16:uniqueId val="{000000A0-EC62-4838-A2E0-29E4245763D8}"/>
              </c:ext>
            </c:extLst>
          </c:dPt>
          <c:dPt>
            <c:idx val="1"/>
            <c:bubble3D val="0"/>
            <c:spPr>
              <a:solidFill>
                <a:srgbClr val="B8CCE4"/>
              </a:solidFill>
              <a:ln>
                <a:solidFill>
                  <a:srgbClr val="F2F2F2"/>
                </a:solidFill>
              </a:ln>
            </c:spPr>
            <c:extLst>
              <c:ext xmlns:c16="http://schemas.microsoft.com/office/drawing/2014/chart" uri="{C3380CC4-5D6E-409C-BE32-E72D297353CC}">
                <c16:uniqueId val="{000000C3-EC62-4838-A2E0-29E4245763D8}"/>
              </c:ext>
            </c:extLst>
          </c:dPt>
          <c:dPt>
            <c:idx val="2"/>
            <c:bubble3D val="0"/>
            <c:spPr>
              <a:solidFill>
                <a:srgbClr val="B8CCE4"/>
              </a:solidFill>
              <a:ln>
                <a:solidFill>
                  <a:srgbClr val="F2F2F2"/>
                </a:solidFill>
              </a:ln>
            </c:spPr>
            <c:extLst>
              <c:ext xmlns:c16="http://schemas.microsoft.com/office/drawing/2014/chart" uri="{C3380CC4-5D6E-409C-BE32-E72D297353CC}">
                <c16:uniqueId val="{000000E6-EC62-4838-A2E0-29E4245763D8}"/>
              </c:ext>
            </c:extLst>
          </c:dPt>
          <c:dPt>
            <c:idx val="3"/>
            <c:bubble3D val="0"/>
            <c:spPr>
              <a:solidFill>
                <a:srgbClr val="B8CCE4"/>
              </a:solidFill>
              <a:ln>
                <a:solidFill>
                  <a:srgbClr val="F2F2F2"/>
                </a:solidFill>
              </a:ln>
            </c:spPr>
            <c:extLst>
              <c:ext xmlns:c16="http://schemas.microsoft.com/office/drawing/2014/chart" uri="{C3380CC4-5D6E-409C-BE32-E72D297353CC}">
                <c16:uniqueId val="{00000109-EC62-4838-A2E0-29E4245763D8}"/>
              </c:ext>
            </c:extLst>
          </c:dPt>
          <c:dPt>
            <c:idx val="4"/>
            <c:bubble3D val="0"/>
            <c:spPr>
              <a:solidFill>
                <a:srgbClr val="B8CCE4"/>
              </a:solidFill>
              <a:ln>
                <a:solidFill>
                  <a:srgbClr val="F2F2F2"/>
                </a:solidFill>
              </a:ln>
            </c:spPr>
            <c:extLst>
              <c:ext xmlns:c16="http://schemas.microsoft.com/office/drawing/2014/chart" uri="{C3380CC4-5D6E-409C-BE32-E72D297353CC}">
                <c16:uniqueId val="{0000012C-EC62-4838-A2E0-29E4245763D8}"/>
              </c:ext>
            </c:extLst>
          </c:dPt>
          <c:dPt>
            <c:idx val="5"/>
            <c:bubble3D val="0"/>
            <c:spPr>
              <a:solidFill>
                <a:srgbClr val="B8CCE4"/>
              </a:solidFill>
              <a:ln>
                <a:solidFill>
                  <a:srgbClr val="F2F2F2"/>
                </a:solidFill>
              </a:ln>
            </c:spPr>
            <c:extLst>
              <c:ext xmlns:c16="http://schemas.microsoft.com/office/drawing/2014/chart" uri="{C3380CC4-5D6E-409C-BE32-E72D297353CC}">
                <c16:uniqueId val="{000001DB-C756-4532-8734-88E38CB5A3CF}"/>
              </c:ext>
            </c:extLst>
          </c:dPt>
          <c:dPt>
            <c:idx val="6"/>
            <c:bubble3D val="0"/>
            <c:spPr>
              <a:solidFill>
                <a:srgbClr val="FFFFFF"/>
              </a:solidFill>
              <a:ln>
                <a:solidFill>
                  <a:srgbClr val="F2F2F2"/>
                </a:solidFill>
              </a:ln>
            </c:spPr>
            <c:extLst>
              <c:ext xmlns:c16="http://schemas.microsoft.com/office/drawing/2014/chart" uri="{C3380CC4-5D6E-409C-BE32-E72D297353CC}">
                <c16:uniqueId val="{00000221-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iCP_Chart!$Z$25:$Z$35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7D-EC62-4838-A2E0-29E4245763D8}"/>
            </c:ext>
          </c:extLst>
        </c:ser>
        <c:ser>
          <c:idx val="20"/>
          <c:order val="20"/>
          <c:tx>
            <c:strRef>
              <c:f>iCP_Chart!$AA$24</c:f>
              <c:strCache>
                <c:ptCount val="1"/>
                <c:pt idx="0">
                  <c:v>lbl</c:v>
                </c:pt>
              </c:strCache>
            </c:strRef>
          </c:tx>
          <c:dPt>
            <c:idx val="0"/>
            <c:bubble3D val="0"/>
            <c:spPr>
              <a:solidFill>
                <a:srgbClr val="95B3D7"/>
              </a:solidFill>
              <a:ln>
                <a:solidFill>
                  <a:srgbClr val="F2F2F2"/>
                </a:solidFill>
              </a:ln>
            </c:spPr>
            <c:extLst>
              <c:ext xmlns:c16="http://schemas.microsoft.com/office/drawing/2014/chart" uri="{C3380CC4-5D6E-409C-BE32-E72D297353CC}">
                <c16:uniqueId val="{000000A1-EC62-4838-A2E0-29E4245763D8}"/>
              </c:ext>
            </c:extLst>
          </c:dPt>
          <c:dPt>
            <c:idx val="1"/>
            <c:bubble3D val="0"/>
            <c:spPr>
              <a:solidFill>
                <a:srgbClr val="95B3D7"/>
              </a:solidFill>
              <a:ln>
                <a:solidFill>
                  <a:srgbClr val="F2F2F2"/>
                </a:solidFill>
              </a:ln>
            </c:spPr>
            <c:extLst>
              <c:ext xmlns:c16="http://schemas.microsoft.com/office/drawing/2014/chart" uri="{C3380CC4-5D6E-409C-BE32-E72D297353CC}">
                <c16:uniqueId val="{000000C4-EC62-4838-A2E0-29E4245763D8}"/>
              </c:ext>
            </c:extLst>
          </c:dPt>
          <c:dPt>
            <c:idx val="2"/>
            <c:bubble3D val="0"/>
            <c:spPr>
              <a:solidFill>
                <a:srgbClr val="95B3D7"/>
              </a:solidFill>
              <a:ln>
                <a:solidFill>
                  <a:srgbClr val="F2F2F2"/>
                </a:solidFill>
              </a:ln>
            </c:spPr>
            <c:extLst>
              <c:ext xmlns:c16="http://schemas.microsoft.com/office/drawing/2014/chart" uri="{C3380CC4-5D6E-409C-BE32-E72D297353CC}">
                <c16:uniqueId val="{000000E7-EC62-4838-A2E0-29E4245763D8}"/>
              </c:ext>
            </c:extLst>
          </c:dPt>
          <c:dPt>
            <c:idx val="3"/>
            <c:bubble3D val="0"/>
            <c:spPr>
              <a:solidFill>
                <a:srgbClr val="95B3D7"/>
              </a:solidFill>
              <a:ln>
                <a:solidFill>
                  <a:srgbClr val="F2F2F2"/>
                </a:solidFill>
              </a:ln>
            </c:spPr>
            <c:extLst>
              <c:ext xmlns:c16="http://schemas.microsoft.com/office/drawing/2014/chart" uri="{C3380CC4-5D6E-409C-BE32-E72D297353CC}">
                <c16:uniqueId val="{0000010A-EC62-4838-A2E0-29E4245763D8}"/>
              </c:ext>
            </c:extLst>
          </c:dPt>
          <c:dPt>
            <c:idx val="4"/>
            <c:bubble3D val="0"/>
            <c:spPr>
              <a:solidFill>
                <a:srgbClr val="95B3D7"/>
              </a:solidFill>
              <a:ln>
                <a:solidFill>
                  <a:srgbClr val="F2F2F2"/>
                </a:solidFill>
              </a:ln>
            </c:spPr>
            <c:extLst>
              <c:ext xmlns:c16="http://schemas.microsoft.com/office/drawing/2014/chart" uri="{C3380CC4-5D6E-409C-BE32-E72D297353CC}">
                <c16:uniqueId val="{0000012D-EC62-4838-A2E0-29E4245763D8}"/>
              </c:ext>
            </c:extLst>
          </c:dPt>
          <c:dPt>
            <c:idx val="5"/>
            <c:bubble3D val="0"/>
            <c:spPr>
              <a:solidFill>
                <a:srgbClr val="95B3D7"/>
              </a:solidFill>
              <a:ln>
                <a:solidFill>
                  <a:srgbClr val="F2F2F2"/>
                </a:solidFill>
              </a:ln>
            </c:spPr>
            <c:extLst>
              <c:ext xmlns:c16="http://schemas.microsoft.com/office/drawing/2014/chart" uri="{C3380CC4-5D6E-409C-BE32-E72D297353CC}">
                <c16:uniqueId val="{000001DC-C756-4532-8734-88E38CB5A3CF}"/>
              </c:ext>
            </c:extLst>
          </c:dPt>
          <c:dPt>
            <c:idx val="6"/>
            <c:bubble3D val="0"/>
            <c:spPr>
              <a:solidFill>
                <a:srgbClr val="FFFFFF"/>
              </a:solidFill>
              <a:ln>
                <a:solidFill>
                  <a:srgbClr val="F2F2F2"/>
                </a:solidFill>
              </a:ln>
            </c:spPr>
            <c:extLst>
              <c:ext xmlns:c16="http://schemas.microsoft.com/office/drawing/2014/chart" uri="{C3380CC4-5D6E-409C-BE32-E72D297353CC}">
                <c16:uniqueId val="{00000222-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iCP_Chart!$AA$25:$AA$35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7E-EC62-4838-A2E0-29E4245763D8}"/>
            </c:ext>
          </c:extLst>
        </c:ser>
        <c:ser>
          <c:idx val="21"/>
          <c:order val="21"/>
          <c:tx>
            <c:strRef>
              <c:f>iCP_Chart!$AB$24</c:f>
              <c:strCache>
                <c:ptCount val="1"/>
                <c:pt idx="0">
                  <c:v>lbl</c:v>
                </c:pt>
              </c:strCache>
            </c:strRef>
          </c:tx>
          <c:dPt>
            <c:idx val="0"/>
            <c:bubble3D val="0"/>
            <c:spPr>
              <a:solidFill>
                <a:srgbClr val="95B3D7"/>
              </a:solidFill>
              <a:ln>
                <a:solidFill>
                  <a:srgbClr val="F2F2F2"/>
                </a:solidFill>
              </a:ln>
            </c:spPr>
            <c:extLst>
              <c:ext xmlns:c16="http://schemas.microsoft.com/office/drawing/2014/chart" uri="{C3380CC4-5D6E-409C-BE32-E72D297353CC}">
                <c16:uniqueId val="{000000A2-EC62-4838-A2E0-29E4245763D8}"/>
              </c:ext>
            </c:extLst>
          </c:dPt>
          <c:dPt>
            <c:idx val="1"/>
            <c:bubble3D val="0"/>
            <c:spPr>
              <a:solidFill>
                <a:srgbClr val="95B3D7"/>
              </a:solidFill>
              <a:ln>
                <a:solidFill>
                  <a:srgbClr val="F2F2F2"/>
                </a:solidFill>
              </a:ln>
            </c:spPr>
            <c:extLst>
              <c:ext xmlns:c16="http://schemas.microsoft.com/office/drawing/2014/chart" uri="{C3380CC4-5D6E-409C-BE32-E72D297353CC}">
                <c16:uniqueId val="{000000C5-EC62-4838-A2E0-29E4245763D8}"/>
              </c:ext>
            </c:extLst>
          </c:dPt>
          <c:dPt>
            <c:idx val="2"/>
            <c:bubble3D val="0"/>
            <c:spPr>
              <a:solidFill>
                <a:srgbClr val="95B3D7"/>
              </a:solidFill>
              <a:ln>
                <a:solidFill>
                  <a:srgbClr val="F2F2F2"/>
                </a:solidFill>
              </a:ln>
            </c:spPr>
            <c:extLst>
              <c:ext xmlns:c16="http://schemas.microsoft.com/office/drawing/2014/chart" uri="{C3380CC4-5D6E-409C-BE32-E72D297353CC}">
                <c16:uniqueId val="{000000E8-EC62-4838-A2E0-29E4245763D8}"/>
              </c:ext>
            </c:extLst>
          </c:dPt>
          <c:dPt>
            <c:idx val="3"/>
            <c:bubble3D val="0"/>
            <c:spPr>
              <a:solidFill>
                <a:srgbClr val="95B3D7"/>
              </a:solidFill>
              <a:ln>
                <a:solidFill>
                  <a:srgbClr val="F2F2F2"/>
                </a:solidFill>
              </a:ln>
            </c:spPr>
            <c:extLst>
              <c:ext xmlns:c16="http://schemas.microsoft.com/office/drawing/2014/chart" uri="{C3380CC4-5D6E-409C-BE32-E72D297353CC}">
                <c16:uniqueId val="{0000010B-EC62-4838-A2E0-29E4245763D8}"/>
              </c:ext>
            </c:extLst>
          </c:dPt>
          <c:dPt>
            <c:idx val="4"/>
            <c:bubble3D val="0"/>
            <c:spPr>
              <a:solidFill>
                <a:srgbClr val="95B3D7"/>
              </a:solidFill>
              <a:ln>
                <a:solidFill>
                  <a:srgbClr val="F2F2F2"/>
                </a:solidFill>
              </a:ln>
            </c:spPr>
            <c:extLst>
              <c:ext xmlns:c16="http://schemas.microsoft.com/office/drawing/2014/chart" uri="{C3380CC4-5D6E-409C-BE32-E72D297353CC}">
                <c16:uniqueId val="{0000012E-EC62-4838-A2E0-29E4245763D8}"/>
              </c:ext>
            </c:extLst>
          </c:dPt>
          <c:dPt>
            <c:idx val="5"/>
            <c:bubble3D val="0"/>
            <c:spPr>
              <a:solidFill>
                <a:srgbClr val="95B3D7"/>
              </a:solidFill>
              <a:ln>
                <a:solidFill>
                  <a:srgbClr val="F2F2F2"/>
                </a:solidFill>
              </a:ln>
            </c:spPr>
            <c:extLst>
              <c:ext xmlns:c16="http://schemas.microsoft.com/office/drawing/2014/chart" uri="{C3380CC4-5D6E-409C-BE32-E72D297353CC}">
                <c16:uniqueId val="{000001DD-C756-4532-8734-88E38CB5A3CF}"/>
              </c:ext>
            </c:extLst>
          </c:dPt>
          <c:dPt>
            <c:idx val="6"/>
            <c:bubble3D val="0"/>
            <c:spPr>
              <a:solidFill>
                <a:srgbClr val="FFFFFF"/>
              </a:solidFill>
              <a:ln>
                <a:solidFill>
                  <a:srgbClr val="F2F2F2"/>
                </a:solidFill>
              </a:ln>
            </c:spPr>
            <c:extLst>
              <c:ext xmlns:c16="http://schemas.microsoft.com/office/drawing/2014/chart" uri="{C3380CC4-5D6E-409C-BE32-E72D297353CC}">
                <c16:uniqueId val="{00000223-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iCP_Chart!$AB$25:$AB$35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7F-EC62-4838-A2E0-29E4245763D8}"/>
            </c:ext>
          </c:extLst>
        </c:ser>
        <c:ser>
          <c:idx val="22"/>
          <c:order val="22"/>
          <c:tx>
            <c:strRef>
              <c:f>iCP_Chart!$AC$24</c:f>
              <c:strCache>
                <c:ptCount val="1"/>
                <c:pt idx="0">
                  <c:v>lbl</c:v>
                </c:pt>
              </c:strCache>
            </c:strRef>
          </c:tx>
          <c:dPt>
            <c:idx val="0"/>
            <c:bubble3D val="0"/>
            <c:spPr>
              <a:solidFill>
                <a:srgbClr val="95B3D7"/>
              </a:solidFill>
              <a:ln>
                <a:solidFill>
                  <a:srgbClr val="F2F2F2"/>
                </a:solidFill>
              </a:ln>
            </c:spPr>
            <c:extLst>
              <c:ext xmlns:c16="http://schemas.microsoft.com/office/drawing/2014/chart" uri="{C3380CC4-5D6E-409C-BE32-E72D297353CC}">
                <c16:uniqueId val="{000000A3-EC62-4838-A2E0-29E4245763D8}"/>
              </c:ext>
            </c:extLst>
          </c:dPt>
          <c:dPt>
            <c:idx val="1"/>
            <c:bubble3D val="0"/>
            <c:spPr>
              <a:solidFill>
                <a:srgbClr val="95B3D7"/>
              </a:solidFill>
              <a:ln>
                <a:solidFill>
                  <a:srgbClr val="F2F2F2"/>
                </a:solidFill>
              </a:ln>
            </c:spPr>
            <c:extLst>
              <c:ext xmlns:c16="http://schemas.microsoft.com/office/drawing/2014/chart" uri="{C3380CC4-5D6E-409C-BE32-E72D297353CC}">
                <c16:uniqueId val="{000000C6-EC62-4838-A2E0-29E4245763D8}"/>
              </c:ext>
            </c:extLst>
          </c:dPt>
          <c:dPt>
            <c:idx val="2"/>
            <c:bubble3D val="0"/>
            <c:spPr>
              <a:solidFill>
                <a:srgbClr val="95B3D7"/>
              </a:solidFill>
              <a:ln>
                <a:solidFill>
                  <a:srgbClr val="F2F2F2"/>
                </a:solidFill>
              </a:ln>
            </c:spPr>
            <c:extLst>
              <c:ext xmlns:c16="http://schemas.microsoft.com/office/drawing/2014/chart" uri="{C3380CC4-5D6E-409C-BE32-E72D297353CC}">
                <c16:uniqueId val="{000000E9-EC62-4838-A2E0-29E4245763D8}"/>
              </c:ext>
            </c:extLst>
          </c:dPt>
          <c:dPt>
            <c:idx val="3"/>
            <c:bubble3D val="0"/>
            <c:spPr>
              <a:solidFill>
                <a:srgbClr val="95B3D7"/>
              </a:solidFill>
              <a:ln>
                <a:solidFill>
                  <a:srgbClr val="F2F2F2"/>
                </a:solidFill>
              </a:ln>
            </c:spPr>
            <c:extLst>
              <c:ext xmlns:c16="http://schemas.microsoft.com/office/drawing/2014/chart" uri="{C3380CC4-5D6E-409C-BE32-E72D297353CC}">
                <c16:uniqueId val="{0000010C-EC62-4838-A2E0-29E4245763D8}"/>
              </c:ext>
            </c:extLst>
          </c:dPt>
          <c:dPt>
            <c:idx val="4"/>
            <c:bubble3D val="0"/>
            <c:spPr>
              <a:solidFill>
                <a:srgbClr val="95B3D7"/>
              </a:solidFill>
              <a:ln>
                <a:solidFill>
                  <a:srgbClr val="F2F2F2"/>
                </a:solidFill>
              </a:ln>
            </c:spPr>
            <c:extLst>
              <c:ext xmlns:c16="http://schemas.microsoft.com/office/drawing/2014/chart" uri="{C3380CC4-5D6E-409C-BE32-E72D297353CC}">
                <c16:uniqueId val="{0000012F-EC62-4838-A2E0-29E4245763D8}"/>
              </c:ext>
            </c:extLst>
          </c:dPt>
          <c:dPt>
            <c:idx val="5"/>
            <c:bubble3D val="0"/>
            <c:spPr>
              <a:solidFill>
                <a:srgbClr val="95B3D7"/>
              </a:solidFill>
              <a:ln>
                <a:solidFill>
                  <a:srgbClr val="F2F2F2"/>
                </a:solidFill>
              </a:ln>
            </c:spPr>
            <c:extLst>
              <c:ext xmlns:c16="http://schemas.microsoft.com/office/drawing/2014/chart" uri="{C3380CC4-5D6E-409C-BE32-E72D297353CC}">
                <c16:uniqueId val="{000001DE-C756-4532-8734-88E38CB5A3CF}"/>
              </c:ext>
            </c:extLst>
          </c:dPt>
          <c:dPt>
            <c:idx val="6"/>
            <c:bubble3D val="0"/>
            <c:spPr>
              <a:solidFill>
                <a:srgbClr val="FFFFFF"/>
              </a:solidFill>
              <a:ln>
                <a:solidFill>
                  <a:srgbClr val="F2F2F2"/>
                </a:solidFill>
              </a:ln>
            </c:spPr>
            <c:extLst>
              <c:ext xmlns:c16="http://schemas.microsoft.com/office/drawing/2014/chart" uri="{C3380CC4-5D6E-409C-BE32-E72D297353CC}">
                <c16:uniqueId val="{00000224-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iCP_Chart!$AC$25:$AC$35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80-EC62-4838-A2E0-29E4245763D8}"/>
            </c:ext>
          </c:extLst>
        </c:ser>
        <c:ser>
          <c:idx val="23"/>
          <c:order val="23"/>
          <c:tx>
            <c:strRef>
              <c:f>iCP_Chart!$AD$24</c:f>
              <c:strCache>
                <c:ptCount val="1"/>
                <c:pt idx="0">
                  <c:v>lbl</c:v>
                </c:pt>
              </c:strCache>
            </c:strRef>
          </c:tx>
          <c:dPt>
            <c:idx val="0"/>
            <c:bubble3D val="0"/>
            <c:spPr>
              <a:solidFill>
                <a:srgbClr val="95B3D7"/>
              </a:solidFill>
              <a:ln>
                <a:solidFill>
                  <a:srgbClr val="F2F2F2"/>
                </a:solidFill>
              </a:ln>
            </c:spPr>
            <c:extLst>
              <c:ext xmlns:c16="http://schemas.microsoft.com/office/drawing/2014/chart" uri="{C3380CC4-5D6E-409C-BE32-E72D297353CC}">
                <c16:uniqueId val="{000000A4-EC62-4838-A2E0-29E4245763D8}"/>
              </c:ext>
            </c:extLst>
          </c:dPt>
          <c:dPt>
            <c:idx val="1"/>
            <c:bubble3D val="0"/>
            <c:spPr>
              <a:solidFill>
                <a:srgbClr val="95B3D7"/>
              </a:solidFill>
              <a:ln>
                <a:solidFill>
                  <a:srgbClr val="F2F2F2"/>
                </a:solidFill>
              </a:ln>
            </c:spPr>
            <c:extLst>
              <c:ext xmlns:c16="http://schemas.microsoft.com/office/drawing/2014/chart" uri="{C3380CC4-5D6E-409C-BE32-E72D297353CC}">
                <c16:uniqueId val="{000000C7-EC62-4838-A2E0-29E4245763D8}"/>
              </c:ext>
            </c:extLst>
          </c:dPt>
          <c:dPt>
            <c:idx val="2"/>
            <c:bubble3D val="0"/>
            <c:spPr>
              <a:solidFill>
                <a:srgbClr val="95B3D7"/>
              </a:solidFill>
              <a:ln>
                <a:solidFill>
                  <a:srgbClr val="F2F2F2"/>
                </a:solidFill>
              </a:ln>
            </c:spPr>
            <c:extLst>
              <c:ext xmlns:c16="http://schemas.microsoft.com/office/drawing/2014/chart" uri="{C3380CC4-5D6E-409C-BE32-E72D297353CC}">
                <c16:uniqueId val="{000000EA-EC62-4838-A2E0-29E4245763D8}"/>
              </c:ext>
            </c:extLst>
          </c:dPt>
          <c:dPt>
            <c:idx val="3"/>
            <c:bubble3D val="0"/>
            <c:spPr>
              <a:solidFill>
                <a:srgbClr val="95B3D7"/>
              </a:solidFill>
              <a:ln>
                <a:solidFill>
                  <a:srgbClr val="F2F2F2"/>
                </a:solidFill>
              </a:ln>
            </c:spPr>
            <c:extLst>
              <c:ext xmlns:c16="http://schemas.microsoft.com/office/drawing/2014/chart" uri="{C3380CC4-5D6E-409C-BE32-E72D297353CC}">
                <c16:uniqueId val="{0000010D-EC62-4838-A2E0-29E4245763D8}"/>
              </c:ext>
            </c:extLst>
          </c:dPt>
          <c:dPt>
            <c:idx val="4"/>
            <c:bubble3D val="0"/>
            <c:spPr>
              <a:solidFill>
                <a:srgbClr val="95B3D7"/>
              </a:solidFill>
              <a:ln>
                <a:solidFill>
                  <a:srgbClr val="F2F2F2"/>
                </a:solidFill>
              </a:ln>
            </c:spPr>
            <c:extLst>
              <c:ext xmlns:c16="http://schemas.microsoft.com/office/drawing/2014/chart" uri="{C3380CC4-5D6E-409C-BE32-E72D297353CC}">
                <c16:uniqueId val="{00000130-EC62-4838-A2E0-29E4245763D8}"/>
              </c:ext>
            </c:extLst>
          </c:dPt>
          <c:dPt>
            <c:idx val="5"/>
            <c:bubble3D val="0"/>
            <c:spPr>
              <a:solidFill>
                <a:srgbClr val="95B3D7"/>
              </a:solidFill>
              <a:ln>
                <a:solidFill>
                  <a:srgbClr val="F2F2F2"/>
                </a:solidFill>
              </a:ln>
            </c:spPr>
            <c:extLst>
              <c:ext xmlns:c16="http://schemas.microsoft.com/office/drawing/2014/chart" uri="{C3380CC4-5D6E-409C-BE32-E72D297353CC}">
                <c16:uniqueId val="{000001DF-C756-4532-8734-88E38CB5A3CF}"/>
              </c:ext>
            </c:extLst>
          </c:dPt>
          <c:dPt>
            <c:idx val="6"/>
            <c:bubble3D val="0"/>
            <c:spPr>
              <a:solidFill>
                <a:srgbClr val="FFFFFF"/>
              </a:solidFill>
              <a:ln>
                <a:solidFill>
                  <a:srgbClr val="F2F2F2"/>
                </a:solidFill>
              </a:ln>
            </c:spPr>
            <c:extLst>
              <c:ext xmlns:c16="http://schemas.microsoft.com/office/drawing/2014/chart" uri="{C3380CC4-5D6E-409C-BE32-E72D297353CC}">
                <c16:uniqueId val="{00000225-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iCP_Chart!$AD$25:$AD$35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81-EC62-4838-A2E0-29E4245763D8}"/>
            </c:ext>
          </c:extLst>
        </c:ser>
        <c:ser>
          <c:idx val="24"/>
          <c:order val="24"/>
          <c:tx>
            <c:strRef>
              <c:f>iCP_Chart!$AE$24</c:f>
              <c:strCache>
                <c:ptCount val="1"/>
                <c:pt idx="0">
                  <c:v>lbl</c:v>
                </c:pt>
              </c:strCache>
            </c:strRef>
          </c:tx>
          <c:dPt>
            <c:idx val="0"/>
            <c:bubble3D val="0"/>
            <c:spPr>
              <a:solidFill>
                <a:srgbClr val="95B3D7"/>
              </a:solidFill>
              <a:ln>
                <a:solidFill>
                  <a:srgbClr val="F2F2F2"/>
                </a:solidFill>
              </a:ln>
            </c:spPr>
            <c:extLst>
              <c:ext xmlns:c16="http://schemas.microsoft.com/office/drawing/2014/chart" uri="{C3380CC4-5D6E-409C-BE32-E72D297353CC}">
                <c16:uniqueId val="{000000A5-EC62-4838-A2E0-29E4245763D8}"/>
              </c:ext>
            </c:extLst>
          </c:dPt>
          <c:dPt>
            <c:idx val="1"/>
            <c:bubble3D val="0"/>
            <c:spPr>
              <a:solidFill>
                <a:srgbClr val="95B3D7"/>
              </a:solidFill>
              <a:ln>
                <a:solidFill>
                  <a:srgbClr val="F2F2F2"/>
                </a:solidFill>
              </a:ln>
            </c:spPr>
            <c:extLst>
              <c:ext xmlns:c16="http://schemas.microsoft.com/office/drawing/2014/chart" uri="{C3380CC4-5D6E-409C-BE32-E72D297353CC}">
                <c16:uniqueId val="{000000C8-EC62-4838-A2E0-29E4245763D8}"/>
              </c:ext>
            </c:extLst>
          </c:dPt>
          <c:dPt>
            <c:idx val="2"/>
            <c:bubble3D val="0"/>
            <c:spPr>
              <a:solidFill>
                <a:srgbClr val="95B3D7"/>
              </a:solidFill>
              <a:ln>
                <a:solidFill>
                  <a:srgbClr val="F2F2F2"/>
                </a:solidFill>
              </a:ln>
            </c:spPr>
            <c:extLst>
              <c:ext xmlns:c16="http://schemas.microsoft.com/office/drawing/2014/chart" uri="{C3380CC4-5D6E-409C-BE32-E72D297353CC}">
                <c16:uniqueId val="{000000EB-EC62-4838-A2E0-29E4245763D8}"/>
              </c:ext>
            </c:extLst>
          </c:dPt>
          <c:dPt>
            <c:idx val="3"/>
            <c:bubble3D val="0"/>
            <c:spPr>
              <a:solidFill>
                <a:srgbClr val="95B3D7"/>
              </a:solidFill>
              <a:ln>
                <a:solidFill>
                  <a:srgbClr val="F2F2F2"/>
                </a:solidFill>
              </a:ln>
            </c:spPr>
            <c:extLst>
              <c:ext xmlns:c16="http://schemas.microsoft.com/office/drawing/2014/chart" uri="{C3380CC4-5D6E-409C-BE32-E72D297353CC}">
                <c16:uniqueId val="{0000010E-EC62-4838-A2E0-29E4245763D8}"/>
              </c:ext>
            </c:extLst>
          </c:dPt>
          <c:dPt>
            <c:idx val="4"/>
            <c:bubble3D val="0"/>
            <c:spPr>
              <a:solidFill>
                <a:srgbClr val="95B3D7"/>
              </a:solidFill>
              <a:ln>
                <a:solidFill>
                  <a:srgbClr val="F2F2F2"/>
                </a:solidFill>
              </a:ln>
            </c:spPr>
            <c:extLst>
              <c:ext xmlns:c16="http://schemas.microsoft.com/office/drawing/2014/chart" uri="{C3380CC4-5D6E-409C-BE32-E72D297353CC}">
                <c16:uniqueId val="{00000131-EC62-4838-A2E0-29E4245763D8}"/>
              </c:ext>
            </c:extLst>
          </c:dPt>
          <c:dPt>
            <c:idx val="5"/>
            <c:bubble3D val="0"/>
            <c:spPr>
              <a:solidFill>
                <a:srgbClr val="95B3D7"/>
              </a:solidFill>
              <a:ln>
                <a:solidFill>
                  <a:srgbClr val="F2F2F2"/>
                </a:solidFill>
              </a:ln>
            </c:spPr>
            <c:extLst>
              <c:ext xmlns:c16="http://schemas.microsoft.com/office/drawing/2014/chart" uri="{C3380CC4-5D6E-409C-BE32-E72D297353CC}">
                <c16:uniqueId val="{000001E0-C756-4532-8734-88E38CB5A3CF}"/>
              </c:ext>
            </c:extLst>
          </c:dPt>
          <c:dPt>
            <c:idx val="6"/>
            <c:bubble3D val="0"/>
            <c:spPr>
              <a:solidFill>
                <a:srgbClr val="FFFFFF"/>
              </a:solidFill>
              <a:ln>
                <a:solidFill>
                  <a:srgbClr val="F2F2F2"/>
                </a:solidFill>
              </a:ln>
            </c:spPr>
            <c:extLst>
              <c:ext xmlns:c16="http://schemas.microsoft.com/office/drawing/2014/chart" uri="{C3380CC4-5D6E-409C-BE32-E72D297353CC}">
                <c16:uniqueId val="{00000226-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iCP_Chart!$AE$25:$AE$35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82-EC62-4838-A2E0-29E4245763D8}"/>
            </c:ext>
          </c:extLst>
        </c:ser>
        <c:ser>
          <c:idx val="25"/>
          <c:order val="25"/>
          <c:tx>
            <c:strRef>
              <c:f>iCP_Chart!$AF$24</c:f>
              <c:strCache>
                <c:ptCount val="1"/>
                <c:pt idx="0">
                  <c:v>lbl</c:v>
                </c:pt>
              </c:strCache>
            </c:strRef>
          </c:tx>
          <c:dPt>
            <c:idx val="0"/>
            <c:bubble3D val="0"/>
            <c:spPr>
              <a:solidFill>
                <a:srgbClr val="95B3D7"/>
              </a:solidFill>
              <a:ln>
                <a:solidFill>
                  <a:srgbClr val="F2F2F2"/>
                </a:solidFill>
              </a:ln>
            </c:spPr>
            <c:extLst>
              <c:ext xmlns:c16="http://schemas.microsoft.com/office/drawing/2014/chart" uri="{C3380CC4-5D6E-409C-BE32-E72D297353CC}">
                <c16:uniqueId val="{000000A6-EC62-4838-A2E0-29E4245763D8}"/>
              </c:ext>
            </c:extLst>
          </c:dPt>
          <c:dPt>
            <c:idx val="1"/>
            <c:bubble3D val="0"/>
            <c:spPr>
              <a:solidFill>
                <a:srgbClr val="95B3D7"/>
              </a:solidFill>
              <a:ln>
                <a:solidFill>
                  <a:srgbClr val="F2F2F2"/>
                </a:solidFill>
              </a:ln>
            </c:spPr>
            <c:extLst>
              <c:ext xmlns:c16="http://schemas.microsoft.com/office/drawing/2014/chart" uri="{C3380CC4-5D6E-409C-BE32-E72D297353CC}">
                <c16:uniqueId val="{000000C9-EC62-4838-A2E0-29E4245763D8}"/>
              </c:ext>
            </c:extLst>
          </c:dPt>
          <c:dPt>
            <c:idx val="2"/>
            <c:bubble3D val="0"/>
            <c:spPr>
              <a:solidFill>
                <a:srgbClr val="95B3D7"/>
              </a:solidFill>
              <a:ln>
                <a:solidFill>
                  <a:srgbClr val="F2F2F2"/>
                </a:solidFill>
              </a:ln>
            </c:spPr>
            <c:extLst>
              <c:ext xmlns:c16="http://schemas.microsoft.com/office/drawing/2014/chart" uri="{C3380CC4-5D6E-409C-BE32-E72D297353CC}">
                <c16:uniqueId val="{000000EC-EC62-4838-A2E0-29E4245763D8}"/>
              </c:ext>
            </c:extLst>
          </c:dPt>
          <c:dPt>
            <c:idx val="3"/>
            <c:bubble3D val="0"/>
            <c:spPr>
              <a:solidFill>
                <a:srgbClr val="FFFFFF"/>
              </a:solidFill>
              <a:ln>
                <a:solidFill>
                  <a:srgbClr val="F2F2F2"/>
                </a:solidFill>
              </a:ln>
            </c:spPr>
            <c:extLst>
              <c:ext xmlns:c16="http://schemas.microsoft.com/office/drawing/2014/chart" uri="{C3380CC4-5D6E-409C-BE32-E72D297353CC}">
                <c16:uniqueId val="{0000010F-EC62-4838-A2E0-29E4245763D8}"/>
              </c:ext>
            </c:extLst>
          </c:dPt>
          <c:dPt>
            <c:idx val="4"/>
            <c:bubble3D val="0"/>
            <c:spPr>
              <a:solidFill>
                <a:srgbClr val="95B3D7"/>
              </a:solidFill>
              <a:ln>
                <a:solidFill>
                  <a:srgbClr val="F2F2F2"/>
                </a:solidFill>
              </a:ln>
            </c:spPr>
            <c:extLst>
              <c:ext xmlns:c16="http://schemas.microsoft.com/office/drawing/2014/chart" uri="{C3380CC4-5D6E-409C-BE32-E72D297353CC}">
                <c16:uniqueId val="{00000132-EC62-4838-A2E0-29E4245763D8}"/>
              </c:ext>
            </c:extLst>
          </c:dPt>
          <c:dPt>
            <c:idx val="5"/>
            <c:bubble3D val="0"/>
            <c:spPr>
              <a:solidFill>
                <a:srgbClr val="95B3D7"/>
              </a:solidFill>
              <a:ln>
                <a:solidFill>
                  <a:srgbClr val="F2F2F2"/>
                </a:solidFill>
              </a:ln>
            </c:spPr>
            <c:extLst>
              <c:ext xmlns:c16="http://schemas.microsoft.com/office/drawing/2014/chart" uri="{C3380CC4-5D6E-409C-BE32-E72D297353CC}">
                <c16:uniqueId val="{000001E1-C756-4532-8734-88E38CB5A3CF}"/>
              </c:ext>
            </c:extLst>
          </c:dPt>
          <c:dPt>
            <c:idx val="6"/>
            <c:bubble3D val="0"/>
            <c:spPr>
              <a:solidFill>
                <a:srgbClr val="FFFFFF"/>
              </a:solidFill>
              <a:ln>
                <a:solidFill>
                  <a:srgbClr val="F2F2F2"/>
                </a:solidFill>
              </a:ln>
            </c:spPr>
            <c:extLst>
              <c:ext xmlns:c16="http://schemas.microsoft.com/office/drawing/2014/chart" uri="{C3380CC4-5D6E-409C-BE32-E72D297353CC}">
                <c16:uniqueId val="{00000227-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iCP_Chart!$AF$25:$AF$35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83-EC62-4838-A2E0-29E4245763D8}"/>
            </c:ext>
          </c:extLst>
        </c:ser>
        <c:ser>
          <c:idx val="26"/>
          <c:order val="26"/>
          <c:tx>
            <c:strRef>
              <c:f>iCP_Chart!$AG$24</c:f>
              <c:strCache>
                <c:ptCount val="1"/>
                <c:pt idx="0">
                  <c:v>lbl</c:v>
                </c:pt>
              </c:strCache>
            </c:strRef>
          </c:tx>
          <c:dPt>
            <c:idx val="0"/>
            <c:bubble3D val="0"/>
            <c:spPr>
              <a:solidFill>
                <a:srgbClr val="95B3D7"/>
              </a:solidFill>
              <a:ln>
                <a:solidFill>
                  <a:srgbClr val="F2F2F2"/>
                </a:solidFill>
              </a:ln>
            </c:spPr>
            <c:extLst>
              <c:ext xmlns:c16="http://schemas.microsoft.com/office/drawing/2014/chart" uri="{C3380CC4-5D6E-409C-BE32-E72D297353CC}">
                <c16:uniqueId val="{000000A7-EC62-4838-A2E0-29E4245763D8}"/>
              </c:ext>
            </c:extLst>
          </c:dPt>
          <c:dPt>
            <c:idx val="1"/>
            <c:bubble3D val="0"/>
            <c:spPr>
              <a:solidFill>
                <a:srgbClr val="95B3D7"/>
              </a:solidFill>
              <a:ln>
                <a:solidFill>
                  <a:srgbClr val="F2F2F2"/>
                </a:solidFill>
              </a:ln>
            </c:spPr>
            <c:extLst>
              <c:ext xmlns:c16="http://schemas.microsoft.com/office/drawing/2014/chart" uri="{C3380CC4-5D6E-409C-BE32-E72D297353CC}">
                <c16:uniqueId val="{000000CA-EC62-4838-A2E0-29E4245763D8}"/>
              </c:ext>
            </c:extLst>
          </c:dPt>
          <c:dPt>
            <c:idx val="2"/>
            <c:bubble3D val="0"/>
            <c:spPr>
              <a:solidFill>
                <a:srgbClr val="95B3D7"/>
              </a:solidFill>
              <a:ln>
                <a:solidFill>
                  <a:srgbClr val="F2F2F2"/>
                </a:solidFill>
              </a:ln>
            </c:spPr>
            <c:extLst>
              <c:ext xmlns:c16="http://schemas.microsoft.com/office/drawing/2014/chart" uri="{C3380CC4-5D6E-409C-BE32-E72D297353CC}">
                <c16:uniqueId val="{000000ED-EC62-4838-A2E0-29E4245763D8}"/>
              </c:ext>
            </c:extLst>
          </c:dPt>
          <c:dPt>
            <c:idx val="3"/>
            <c:bubble3D val="0"/>
            <c:spPr>
              <a:solidFill>
                <a:srgbClr val="FFFFFF"/>
              </a:solidFill>
              <a:ln>
                <a:solidFill>
                  <a:srgbClr val="F2F2F2"/>
                </a:solidFill>
              </a:ln>
            </c:spPr>
            <c:extLst>
              <c:ext xmlns:c16="http://schemas.microsoft.com/office/drawing/2014/chart" uri="{C3380CC4-5D6E-409C-BE32-E72D297353CC}">
                <c16:uniqueId val="{00000110-EC62-4838-A2E0-29E4245763D8}"/>
              </c:ext>
            </c:extLst>
          </c:dPt>
          <c:dPt>
            <c:idx val="4"/>
            <c:bubble3D val="0"/>
            <c:spPr>
              <a:solidFill>
                <a:srgbClr val="95B3D7"/>
              </a:solidFill>
              <a:ln>
                <a:solidFill>
                  <a:srgbClr val="F2F2F2"/>
                </a:solidFill>
              </a:ln>
            </c:spPr>
            <c:extLst>
              <c:ext xmlns:c16="http://schemas.microsoft.com/office/drawing/2014/chart" uri="{C3380CC4-5D6E-409C-BE32-E72D297353CC}">
                <c16:uniqueId val="{00000133-EC62-4838-A2E0-29E4245763D8}"/>
              </c:ext>
            </c:extLst>
          </c:dPt>
          <c:dPt>
            <c:idx val="5"/>
            <c:bubble3D val="0"/>
            <c:spPr>
              <a:solidFill>
                <a:srgbClr val="95B3D7"/>
              </a:solidFill>
              <a:ln>
                <a:solidFill>
                  <a:srgbClr val="F2F2F2"/>
                </a:solidFill>
              </a:ln>
            </c:spPr>
            <c:extLst>
              <c:ext xmlns:c16="http://schemas.microsoft.com/office/drawing/2014/chart" uri="{C3380CC4-5D6E-409C-BE32-E72D297353CC}">
                <c16:uniqueId val="{000001E2-C756-4532-8734-88E38CB5A3CF}"/>
              </c:ext>
            </c:extLst>
          </c:dPt>
          <c:dPt>
            <c:idx val="6"/>
            <c:bubble3D val="0"/>
            <c:spPr>
              <a:solidFill>
                <a:srgbClr val="FFFFFF"/>
              </a:solidFill>
              <a:ln>
                <a:solidFill>
                  <a:srgbClr val="F2F2F2"/>
                </a:solidFill>
              </a:ln>
            </c:spPr>
            <c:extLst>
              <c:ext xmlns:c16="http://schemas.microsoft.com/office/drawing/2014/chart" uri="{C3380CC4-5D6E-409C-BE32-E72D297353CC}">
                <c16:uniqueId val="{00000228-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iCP_Chart!$AG$25:$AG$35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84-EC62-4838-A2E0-29E4245763D8}"/>
            </c:ext>
          </c:extLst>
        </c:ser>
        <c:ser>
          <c:idx val="27"/>
          <c:order val="27"/>
          <c:tx>
            <c:strRef>
              <c:f>iCP_Chart!$AH$24</c:f>
              <c:strCache>
                <c:ptCount val="1"/>
                <c:pt idx="0">
                  <c:v>lbl</c:v>
                </c:pt>
              </c:strCache>
            </c:strRef>
          </c:tx>
          <c:dPt>
            <c:idx val="0"/>
            <c:bubble3D val="0"/>
            <c:spPr>
              <a:solidFill>
                <a:srgbClr val="95B3D7"/>
              </a:solidFill>
              <a:ln>
                <a:solidFill>
                  <a:srgbClr val="F2F2F2"/>
                </a:solidFill>
              </a:ln>
            </c:spPr>
            <c:extLst>
              <c:ext xmlns:c16="http://schemas.microsoft.com/office/drawing/2014/chart" uri="{C3380CC4-5D6E-409C-BE32-E72D297353CC}">
                <c16:uniqueId val="{000000A8-EC62-4838-A2E0-29E4245763D8}"/>
              </c:ext>
            </c:extLst>
          </c:dPt>
          <c:dPt>
            <c:idx val="1"/>
            <c:bubble3D val="0"/>
            <c:spPr>
              <a:solidFill>
                <a:srgbClr val="95B3D7"/>
              </a:solidFill>
              <a:ln>
                <a:solidFill>
                  <a:srgbClr val="F2F2F2"/>
                </a:solidFill>
              </a:ln>
            </c:spPr>
            <c:extLst>
              <c:ext xmlns:c16="http://schemas.microsoft.com/office/drawing/2014/chart" uri="{C3380CC4-5D6E-409C-BE32-E72D297353CC}">
                <c16:uniqueId val="{000000CB-EC62-4838-A2E0-29E4245763D8}"/>
              </c:ext>
            </c:extLst>
          </c:dPt>
          <c:dPt>
            <c:idx val="2"/>
            <c:bubble3D val="0"/>
            <c:spPr>
              <a:solidFill>
                <a:srgbClr val="95B3D7"/>
              </a:solidFill>
              <a:ln>
                <a:solidFill>
                  <a:srgbClr val="F2F2F2"/>
                </a:solidFill>
              </a:ln>
            </c:spPr>
            <c:extLst>
              <c:ext xmlns:c16="http://schemas.microsoft.com/office/drawing/2014/chart" uri="{C3380CC4-5D6E-409C-BE32-E72D297353CC}">
                <c16:uniqueId val="{000000EE-EC62-4838-A2E0-29E4245763D8}"/>
              </c:ext>
            </c:extLst>
          </c:dPt>
          <c:dPt>
            <c:idx val="3"/>
            <c:bubble3D val="0"/>
            <c:spPr>
              <a:solidFill>
                <a:srgbClr val="FFFFFF"/>
              </a:solidFill>
              <a:ln>
                <a:solidFill>
                  <a:srgbClr val="F2F2F2"/>
                </a:solidFill>
              </a:ln>
            </c:spPr>
            <c:extLst>
              <c:ext xmlns:c16="http://schemas.microsoft.com/office/drawing/2014/chart" uri="{C3380CC4-5D6E-409C-BE32-E72D297353CC}">
                <c16:uniqueId val="{00000111-EC62-4838-A2E0-29E4245763D8}"/>
              </c:ext>
            </c:extLst>
          </c:dPt>
          <c:dPt>
            <c:idx val="4"/>
            <c:bubble3D val="0"/>
            <c:spPr>
              <a:solidFill>
                <a:srgbClr val="95B3D7"/>
              </a:solidFill>
              <a:ln>
                <a:solidFill>
                  <a:srgbClr val="F2F2F2"/>
                </a:solidFill>
              </a:ln>
            </c:spPr>
            <c:extLst>
              <c:ext xmlns:c16="http://schemas.microsoft.com/office/drawing/2014/chart" uri="{C3380CC4-5D6E-409C-BE32-E72D297353CC}">
                <c16:uniqueId val="{00000134-EC62-4838-A2E0-29E4245763D8}"/>
              </c:ext>
            </c:extLst>
          </c:dPt>
          <c:dPt>
            <c:idx val="5"/>
            <c:bubble3D val="0"/>
            <c:spPr>
              <a:solidFill>
                <a:srgbClr val="95B3D7"/>
              </a:solidFill>
              <a:ln>
                <a:solidFill>
                  <a:srgbClr val="F2F2F2"/>
                </a:solidFill>
              </a:ln>
            </c:spPr>
            <c:extLst>
              <c:ext xmlns:c16="http://schemas.microsoft.com/office/drawing/2014/chart" uri="{C3380CC4-5D6E-409C-BE32-E72D297353CC}">
                <c16:uniqueId val="{000001E3-C756-4532-8734-88E38CB5A3CF}"/>
              </c:ext>
            </c:extLst>
          </c:dPt>
          <c:dPt>
            <c:idx val="6"/>
            <c:bubble3D val="0"/>
            <c:spPr>
              <a:solidFill>
                <a:srgbClr val="FFFFFF"/>
              </a:solidFill>
              <a:ln>
                <a:solidFill>
                  <a:srgbClr val="F2F2F2"/>
                </a:solidFill>
              </a:ln>
            </c:spPr>
            <c:extLst>
              <c:ext xmlns:c16="http://schemas.microsoft.com/office/drawing/2014/chart" uri="{C3380CC4-5D6E-409C-BE32-E72D297353CC}">
                <c16:uniqueId val="{00000229-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iCP_Chart!$AH$25:$AH$35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85-EC62-4838-A2E0-29E4245763D8}"/>
            </c:ext>
          </c:extLst>
        </c:ser>
        <c:ser>
          <c:idx val="28"/>
          <c:order val="28"/>
          <c:tx>
            <c:strRef>
              <c:f>iCP_Chart!$AI$24</c:f>
              <c:strCache>
                <c:ptCount val="1"/>
                <c:pt idx="0">
                  <c:v>lbl</c:v>
                </c:pt>
              </c:strCache>
            </c:strRef>
          </c:tx>
          <c:dPt>
            <c:idx val="0"/>
            <c:bubble3D val="0"/>
            <c:spPr>
              <a:solidFill>
                <a:srgbClr val="95B3D7"/>
              </a:solidFill>
              <a:ln>
                <a:solidFill>
                  <a:srgbClr val="F2F2F2"/>
                </a:solidFill>
              </a:ln>
            </c:spPr>
            <c:extLst>
              <c:ext xmlns:c16="http://schemas.microsoft.com/office/drawing/2014/chart" uri="{C3380CC4-5D6E-409C-BE32-E72D297353CC}">
                <c16:uniqueId val="{000000A9-EC62-4838-A2E0-29E4245763D8}"/>
              </c:ext>
            </c:extLst>
          </c:dPt>
          <c:dPt>
            <c:idx val="1"/>
            <c:bubble3D val="0"/>
            <c:spPr>
              <a:solidFill>
                <a:srgbClr val="95B3D7"/>
              </a:solidFill>
              <a:ln>
                <a:solidFill>
                  <a:srgbClr val="F2F2F2"/>
                </a:solidFill>
              </a:ln>
            </c:spPr>
            <c:extLst>
              <c:ext xmlns:c16="http://schemas.microsoft.com/office/drawing/2014/chart" uri="{C3380CC4-5D6E-409C-BE32-E72D297353CC}">
                <c16:uniqueId val="{000000CC-EC62-4838-A2E0-29E4245763D8}"/>
              </c:ext>
            </c:extLst>
          </c:dPt>
          <c:dPt>
            <c:idx val="2"/>
            <c:bubble3D val="0"/>
            <c:spPr>
              <a:solidFill>
                <a:srgbClr val="95B3D7"/>
              </a:solidFill>
              <a:ln>
                <a:solidFill>
                  <a:srgbClr val="F2F2F2"/>
                </a:solidFill>
              </a:ln>
            </c:spPr>
            <c:extLst>
              <c:ext xmlns:c16="http://schemas.microsoft.com/office/drawing/2014/chart" uri="{C3380CC4-5D6E-409C-BE32-E72D297353CC}">
                <c16:uniqueId val="{000000EF-EC62-4838-A2E0-29E4245763D8}"/>
              </c:ext>
            </c:extLst>
          </c:dPt>
          <c:dPt>
            <c:idx val="3"/>
            <c:bubble3D val="0"/>
            <c:spPr>
              <a:solidFill>
                <a:srgbClr val="FFFFFF"/>
              </a:solidFill>
              <a:ln>
                <a:solidFill>
                  <a:srgbClr val="F2F2F2"/>
                </a:solidFill>
              </a:ln>
            </c:spPr>
            <c:extLst>
              <c:ext xmlns:c16="http://schemas.microsoft.com/office/drawing/2014/chart" uri="{C3380CC4-5D6E-409C-BE32-E72D297353CC}">
                <c16:uniqueId val="{00000112-EC62-4838-A2E0-29E4245763D8}"/>
              </c:ext>
            </c:extLst>
          </c:dPt>
          <c:dPt>
            <c:idx val="4"/>
            <c:bubble3D val="0"/>
            <c:spPr>
              <a:solidFill>
                <a:srgbClr val="95B3D7"/>
              </a:solidFill>
              <a:ln>
                <a:solidFill>
                  <a:srgbClr val="F2F2F2"/>
                </a:solidFill>
              </a:ln>
            </c:spPr>
            <c:extLst>
              <c:ext xmlns:c16="http://schemas.microsoft.com/office/drawing/2014/chart" uri="{C3380CC4-5D6E-409C-BE32-E72D297353CC}">
                <c16:uniqueId val="{00000135-EC62-4838-A2E0-29E4245763D8}"/>
              </c:ext>
            </c:extLst>
          </c:dPt>
          <c:dPt>
            <c:idx val="5"/>
            <c:bubble3D val="0"/>
            <c:spPr>
              <a:solidFill>
                <a:srgbClr val="95B3D7"/>
              </a:solidFill>
              <a:ln>
                <a:solidFill>
                  <a:srgbClr val="F2F2F2"/>
                </a:solidFill>
              </a:ln>
            </c:spPr>
            <c:extLst>
              <c:ext xmlns:c16="http://schemas.microsoft.com/office/drawing/2014/chart" uri="{C3380CC4-5D6E-409C-BE32-E72D297353CC}">
                <c16:uniqueId val="{000001E4-C756-4532-8734-88E38CB5A3CF}"/>
              </c:ext>
            </c:extLst>
          </c:dPt>
          <c:dPt>
            <c:idx val="6"/>
            <c:bubble3D val="0"/>
            <c:spPr>
              <a:solidFill>
                <a:srgbClr val="FFFFFF"/>
              </a:solidFill>
              <a:ln>
                <a:solidFill>
                  <a:srgbClr val="F2F2F2"/>
                </a:solidFill>
              </a:ln>
            </c:spPr>
            <c:extLst>
              <c:ext xmlns:c16="http://schemas.microsoft.com/office/drawing/2014/chart" uri="{C3380CC4-5D6E-409C-BE32-E72D297353CC}">
                <c16:uniqueId val="{0000022A-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iCP_Chart!$AI$25:$AI$35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86-EC62-4838-A2E0-29E4245763D8}"/>
            </c:ext>
          </c:extLst>
        </c:ser>
        <c:ser>
          <c:idx val="29"/>
          <c:order val="29"/>
          <c:tx>
            <c:strRef>
              <c:f>iCP_Chart!$AJ$24</c:f>
              <c:strCache>
                <c:ptCount val="1"/>
                <c:pt idx="0">
                  <c:v>lbl</c:v>
                </c:pt>
              </c:strCache>
            </c:strRef>
          </c:tx>
          <c:dPt>
            <c:idx val="0"/>
            <c:bubble3D val="0"/>
            <c:spPr>
              <a:solidFill>
                <a:srgbClr val="95B3D7"/>
              </a:solidFill>
              <a:ln>
                <a:solidFill>
                  <a:srgbClr val="F2F2F2"/>
                </a:solidFill>
              </a:ln>
            </c:spPr>
            <c:extLst>
              <c:ext xmlns:c16="http://schemas.microsoft.com/office/drawing/2014/chart" uri="{C3380CC4-5D6E-409C-BE32-E72D297353CC}">
                <c16:uniqueId val="{000000AA-EC62-4838-A2E0-29E4245763D8}"/>
              </c:ext>
            </c:extLst>
          </c:dPt>
          <c:dPt>
            <c:idx val="1"/>
            <c:bubble3D val="0"/>
            <c:spPr>
              <a:solidFill>
                <a:srgbClr val="95B3D7"/>
              </a:solidFill>
              <a:ln>
                <a:solidFill>
                  <a:srgbClr val="F2F2F2"/>
                </a:solidFill>
              </a:ln>
            </c:spPr>
            <c:extLst>
              <c:ext xmlns:c16="http://schemas.microsoft.com/office/drawing/2014/chart" uri="{C3380CC4-5D6E-409C-BE32-E72D297353CC}">
                <c16:uniqueId val="{000000CD-EC62-4838-A2E0-29E4245763D8}"/>
              </c:ext>
            </c:extLst>
          </c:dPt>
          <c:dPt>
            <c:idx val="2"/>
            <c:bubble3D val="0"/>
            <c:spPr>
              <a:solidFill>
                <a:srgbClr val="95B3D7"/>
              </a:solidFill>
              <a:ln>
                <a:solidFill>
                  <a:srgbClr val="F2F2F2"/>
                </a:solidFill>
              </a:ln>
            </c:spPr>
            <c:extLst>
              <c:ext xmlns:c16="http://schemas.microsoft.com/office/drawing/2014/chart" uri="{C3380CC4-5D6E-409C-BE32-E72D297353CC}">
                <c16:uniqueId val="{000000F0-EC62-4838-A2E0-29E4245763D8}"/>
              </c:ext>
            </c:extLst>
          </c:dPt>
          <c:dPt>
            <c:idx val="3"/>
            <c:bubble3D val="0"/>
            <c:spPr>
              <a:solidFill>
                <a:srgbClr val="FFFFFF"/>
              </a:solidFill>
              <a:ln>
                <a:solidFill>
                  <a:srgbClr val="F2F2F2"/>
                </a:solidFill>
              </a:ln>
            </c:spPr>
            <c:extLst>
              <c:ext xmlns:c16="http://schemas.microsoft.com/office/drawing/2014/chart" uri="{C3380CC4-5D6E-409C-BE32-E72D297353CC}">
                <c16:uniqueId val="{00000113-EC62-4838-A2E0-29E4245763D8}"/>
              </c:ext>
            </c:extLst>
          </c:dPt>
          <c:dPt>
            <c:idx val="4"/>
            <c:bubble3D val="0"/>
            <c:spPr>
              <a:solidFill>
                <a:srgbClr val="95B3D7"/>
              </a:solidFill>
              <a:ln>
                <a:solidFill>
                  <a:srgbClr val="F2F2F2"/>
                </a:solidFill>
              </a:ln>
            </c:spPr>
            <c:extLst>
              <c:ext xmlns:c16="http://schemas.microsoft.com/office/drawing/2014/chart" uri="{C3380CC4-5D6E-409C-BE32-E72D297353CC}">
                <c16:uniqueId val="{00000136-EC62-4838-A2E0-29E4245763D8}"/>
              </c:ext>
            </c:extLst>
          </c:dPt>
          <c:dPt>
            <c:idx val="5"/>
            <c:bubble3D val="0"/>
            <c:spPr>
              <a:solidFill>
                <a:srgbClr val="95B3D7"/>
              </a:solidFill>
              <a:ln>
                <a:solidFill>
                  <a:srgbClr val="F2F2F2"/>
                </a:solidFill>
              </a:ln>
            </c:spPr>
            <c:extLst>
              <c:ext xmlns:c16="http://schemas.microsoft.com/office/drawing/2014/chart" uri="{C3380CC4-5D6E-409C-BE32-E72D297353CC}">
                <c16:uniqueId val="{000001E5-C756-4532-8734-88E38CB5A3CF}"/>
              </c:ext>
            </c:extLst>
          </c:dPt>
          <c:dPt>
            <c:idx val="6"/>
            <c:bubble3D val="0"/>
            <c:spPr>
              <a:solidFill>
                <a:srgbClr val="FFFFFF"/>
              </a:solidFill>
              <a:ln>
                <a:solidFill>
                  <a:srgbClr val="F2F2F2"/>
                </a:solidFill>
              </a:ln>
            </c:spPr>
            <c:extLst>
              <c:ext xmlns:c16="http://schemas.microsoft.com/office/drawing/2014/chart" uri="{C3380CC4-5D6E-409C-BE32-E72D297353CC}">
                <c16:uniqueId val="{0000022B-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iCP_Chart!$AJ$25:$AJ$35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87-EC62-4838-A2E0-29E4245763D8}"/>
            </c:ext>
          </c:extLst>
        </c:ser>
        <c:ser>
          <c:idx val="30"/>
          <c:order val="30"/>
          <c:tx>
            <c:strRef>
              <c:f>iCP_Chart!$AK$24</c:f>
              <c:strCache>
                <c:ptCount val="1"/>
                <c:pt idx="0">
                  <c:v>lbl</c:v>
                </c:pt>
              </c:strCache>
            </c:strRef>
          </c:tx>
          <c:dPt>
            <c:idx val="0"/>
            <c:bubble3D val="0"/>
            <c:spPr>
              <a:solidFill>
                <a:srgbClr val="FFFFFF"/>
              </a:solidFill>
              <a:ln>
                <a:solidFill>
                  <a:srgbClr val="F2F2F2"/>
                </a:solidFill>
              </a:ln>
            </c:spPr>
            <c:extLst>
              <c:ext xmlns:c16="http://schemas.microsoft.com/office/drawing/2014/chart" uri="{C3380CC4-5D6E-409C-BE32-E72D297353CC}">
                <c16:uniqueId val="{000000AB-EC62-4838-A2E0-29E4245763D8}"/>
              </c:ext>
            </c:extLst>
          </c:dPt>
          <c:dPt>
            <c:idx val="1"/>
            <c:bubble3D val="0"/>
            <c:spPr>
              <a:solidFill>
                <a:srgbClr val="366092"/>
              </a:solidFill>
              <a:ln>
                <a:solidFill>
                  <a:srgbClr val="F2F2F2"/>
                </a:solidFill>
              </a:ln>
            </c:spPr>
            <c:extLst>
              <c:ext xmlns:c16="http://schemas.microsoft.com/office/drawing/2014/chart" uri="{C3380CC4-5D6E-409C-BE32-E72D297353CC}">
                <c16:uniqueId val="{000000CE-EC62-4838-A2E0-29E4245763D8}"/>
              </c:ext>
            </c:extLst>
          </c:dPt>
          <c:dPt>
            <c:idx val="2"/>
            <c:bubble3D val="0"/>
            <c:spPr>
              <a:solidFill>
                <a:srgbClr val="FFFFFF"/>
              </a:solidFill>
              <a:ln>
                <a:solidFill>
                  <a:srgbClr val="F2F2F2"/>
                </a:solidFill>
              </a:ln>
            </c:spPr>
            <c:extLst>
              <c:ext xmlns:c16="http://schemas.microsoft.com/office/drawing/2014/chart" uri="{C3380CC4-5D6E-409C-BE32-E72D297353CC}">
                <c16:uniqueId val="{000000F1-EC62-4838-A2E0-29E4245763D8}"/>
              </c:ext>
            </c:extLst>
          </c:dPt>
          <c:dPt>
            <c:idx val="3"/>
            <c:bubble3D val="0"/>
            <c:spPr>
              <a:solidFill>
                <a:srgbClr val="FFFFFF"/>
              </a:solidFill>
              <a:ln>
                <a:solidFill>
                  <a:srgbClr val="F2F2F2"/>
                </a:solidFill>
              </a:ln>
            </c:spPr>
            <c:extLst>
              <c:ext xmlns:c16="http://schemas.microsoft.com/office/drawing/2014/chart" uri="{C3380CC4-5D6E-409C-BE32-E72D297353CC}">
                <c16:uniqueId val="{00000114-EC62-4838-A2E0-29E4245763D8}"/>
              </c:ext>
            </c:extLst>
          </c:dPt>
          <c:dPt>
            <c:idx val="4"/>
            <c:bubble3D val="0"/>
            <c:spPr>
              <a:solidFill>
                <a:srgbClr val="366092"/>
              </a:solidFill>
              <a:ln>
                <a:solidFill>
                  <a:srgbClr val="F2F2F2"/>
                </a:solidFill>
              </a:ln>
            </c:spPr>
            <c:extLst>
              <c:ext xmlns:c16="http://schemas.microsoft.com/office/drawing/2014/chart" uri="{C3380CC4-5D6E-409C-BE32-E72D297353CC}">
                <c16:uniqueId val="{00000137-EC62-4838-A2E0-29E4245763D8}"/>
              </c:ext>
            </c:extLst>
          </c:dPt>
          <c:dPt>
            <c:idx val="5"/>
            <c:bubble3D val="0"/>
            <c:spPr>
              <a:solidFill>
                <a:srgbClr val="366092"/>
              </a:solidFill>
              <a:ln>
                <a:solidFill>
                  <a:srgbClr val="F2F2F2"/>
                </a:solidFill>
              </a:ln>
            </c:spPr>
            <c:extLst>
              <c:ext xmlns:c16="http://schemas.microsoft.com/office/drawing/2014/chart" uri="{C3380CC4-5D6E-409C-BE32-E72D297353CC}">
                <c16:uniqueId val="{000001E6-C756-4532-8734-88E38CB5A3CF}"/>
              </c:ext>
            </c:extLst>
          </c:dPt>
          <c:dPt>
            <c:idx val="6"/>
            <c:bubble3D val="0"/>
            <c:spPr>
              <a:solidFill>
                <a:srgbClr val="FFFFFF"/>
              </a:solidFill>
              <a:ln>
                <a:solidFill>
                  <a:srgbClr val="F2F2F2"/>
                </a:solidFill>
              </a:ln>
            </c:spPr>
            <c:extLst>
              <c:ext xmlns:c16="http://schemas.microsoft.com/office/drawing/2014/chart" uri="{C3380CC4-5D6E-409C-BE32-E72D297353CC}">
                <c16:uniqueId val="{0000022C-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iCP_Chart!$AK$25:$AK$35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88-EC62-4838-A2E0-29E4245763D8}"/>
            </c:ext>
          </c:extLst>
        </c:ser>
        <c:ser>
          <c:idx val="31"/>
          <c:order val="31"/>
          <c:tx>
            <c:strRef>
              <c:f>iCP_Chart!$AL$24</c:f>
              <c:strCache>
                <c:ptCount val="1"/>
                <c:pt idx="0">
                  <c:v>lbl</c:v>
                </c:pt>
              </c:strCache>
            </c:strRef>
          </c:tx>
          <c:dPt>
            <c:idx val="0"/>
            <c:bubble3D val="0"/>
            <c:spPr>
              <a:solidFill>
                <a:srgbClr val="FFFFFF"/>
              </a:solidFill>
              <a:ln>
                <a:solidFill>
                  <a:srgbClr val="F2F2F2"/>
                </a:solidFill>
              </a:ln>
            </c:spPr>
            <c:extLst>
              <c:ext xmlns:c16="http://schemas.microsoft.com/office/drawing/2014/chart" uri="{C3380CC4-5D6E-409C-BE32-E72D297353CC}">
                <c16:uniqueId val="{000000AC-EC62-4838-A2E0-29E4245763D8}"/>
              </c:ext>
            </c:extLst>
          </c:dPt>
          <c:dPt>
            <c:idx val="1"/>
            <c:bubble3D val="0"/>
            <c:spPr>
              <a:solidFill>
                <a:srgbClr val="FFFFFF"/>
              </a:solidFill>
              <a:ln>
                <a:solidFill>
                  <a:srgbClr val="F2F2F2"/>
                </a:solidFill>
              </a:ln>
            </c:spPr>
            <c:extLst>
              <c:ext xmlns:c16="http://schemas.microsoft.com/office/drawing/2014/chart" uri="{C3380CC4-5D6E-409C-BE32-E72D297353CC}">
                <c16:uniqueId val="{000000CF-EC62-4838-A2E0-29E4245763D8}"/>
              </c:ext>
            </c:extLst>
          </c:dPt>
          <c:dPt>
            <c:idx val="2"/>
            <c:bubble3D val="0"/>
            <c:spPr>
              <a:solidFill>
                <a:srgbClr val="FFFFFF"/>
              </a:solidFill>
              <a:ln>
                <a:solidFill>
                  <a:srgbClr val="F2F2F2"/>
                </a:solidFill>
              </a:ln>
            </c:spPr>
            <c:extLst>
              <c:ext xmlns:c16="http://schemas.microsoft.com/office/drawing/2014/chart" uri="{C3380CC4-5D6E-409C-BE32-E72D297353CC}">
                <c16:uniqueId val="{000000F2-EC62-4838-A2E0-29E4245763D8}"/>
              </c:ext>
            </c:extLst>
          </c:dPt>
          <c:dPt>
            <c:idx val="3"/>
            <c:bubble3D val="0"/>
            <c:spPr>
              <a:solidFill>
                <a:srgbClr val="FFFFFF"/>
              </a:solidFill>
              <a:ln>
                <a:solidFill>
                  <a:srgbClr val="F2F2F2"/>
                </a:solidFill>
              </a:ln>
            </c:spPr>
            <c:extLst>
              <c:ext xmlns:c16="http://schemas.microsoft.com/office/drawing/2014/chart" uri="{C3380CC4-5D6E-409C-BE32-E72D297353CC}">
                <c16:uniqueId val="{00000115-EC62-4838-A2E0-29E4245763D8}"/>
              </c:ext>
            </c:extLst>
          </c:dPt>
          <c:dPt>
            <c:idx val="4"/>
            <c:bubble3D val="0"/>
            <c:spPr>
              <a:solidFill>
                <a:srgbClr val="366092"/>
              </a:solidFill>
              <a:ln>
                <a:solidFill>
                  <a:srgbClr val="F2F2F2"/>
                </a:solidFill>
              </a:ln>
            </c:spPr>
            <c:extLst>
              <c:ext xmlns:c16="http://schemas.microsoft.com/office/drawing/2014/chart" uri="{C3380CC4-5D6E-409C-BE32-E72D297353CC}">
                <c16:uniqueId val="{00000138-EC62-4838-A2E0-29E4245763D8}"/>
              </c:ext>
            </c:extLst>
          </c:dPt>
          <c:dPt>
            <c:idx val="5"/>
            <c:bubble3D val="0"/>
            <c:spPr>
              <a:solidFill>
                <a:srgbClr val="366092"/>
              </a:solidFill>
              <a:ln>
                <a:solidFill>
                  <a:srgbClr val="F2F2F2"/>
                </a:solidFill>
              </a:ln>
            </c:spPr>
            <c:extLst>
              <c:ext xmlns:c16="http://schemas.microsoft.com/office/drawing/2014/chart" uri="{C3380CC4-5D6E-409C-BE32-E72D297353CC}">
                <c16:uniqueId val="{000001E7-C756-4532-8734-88E38CB5A3CF}"/>
              </c:ext>
            </c:extLst>
          </c:dPt>
          <c:dPt>
            <c:idx val="6"/>
            <c:bubble3D val="0"/>
            <c:spPr>
              <a:solidFill>
                <a:srgbClr val="FFFFFF"/>
              </a:solidFill>
              <a:ln>
                <a:solidFill>
                  <a:srgbClr val="F2F2F2"/>
                </a:solidFill>
              </a:ln>
            </c:spPr>
            <c:extLst>
              <c:ext xmlns:c16="http://schemas.microsoft.com/office/drawing/2014/chart" uri="{C3380CC4-5D6E-409C-BE32-E72D297353CC}">
                <c16:uniqueId val="{0000022D-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iCP_Chart!$AL$25:$AL$35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89-EC62-4838-A2E0-29E4245763D8}"/>
            </c:ext>
          </c:extLst>
        </c:ser>
        <c:ser>
          <c:idx val="32"/>
          <c:order val="32"/>
          <c:tx>
            <c:strRef>
              <c:f>iCP_Chart!$AM$24</c:f>
              <c:strCache>
                <c:ptCount val="1"/>
                <c:pt idx="0">
                  <c:v>lbl</c:v>
                </c:pt>
              </c:strCache>
            </c:strRef>
          </c:tx>
          <c:dPt>
            <c:idx val="0"/>
            <c:bubble3D val="0"/>
            <c:spPr>
              <a:solidFill>
                <a:srgbClr val="FFFFFF"/>
              </a:solidFill>
              <a:ln>
                <a:solidFill>
                  <a:srgbClr val="F2F2F2"/>
                </a:solidFill>
              </a:ln>
            </c:spPr>
            <c:extLst>
              <c:ext xmlns:c16="http://schemas.microsoft.com/office/drawing/2014/chart" uri="{C3380CC4-5D6E-409C-BE32-E72D297353CC}">
                <c16:uniqueId val="{000000AD-EC62-4838-A2E0-29E4245763D8}"/>
              </c:ext>
            </c:extLst>
          </c:dPt>
          <c:dPt>
            <c:idx val="1"/>
            <c:bubble3D val="0"/>
            <c:spPr>
              <a:solidFill>
                <a:srgbClr val="FFFFFF"/>
              </a:solidFill>
              <a:ln>
                <a:solidFill>
                  <a:srgbClr val="F2F2F2"/>
                </a:solidFill>
              </a:ln>
            </c:spPr>
            <c:extLst>
              <c:ext xmlns:c16="http://schemas.microsoft.com/office/drawing/2014/chart" uri="{C3380CC4-5D6E-409C-BE32-E72D297353CC}">
                <c16:uniqueId val="{000000D0-EC62-4838-A2E0-29E4245763D8}"/>
              </c:ext>
            </c:extLst>
          </c:dPt>
          <c:dPt>
            <c:idx val="2"/>
            <c:bubble3D val="0"/>
            <c:spPr>
              <a:solidFill>
                <a:srgbClr val="FFFFFF"/>
              </a:solidFill>
              <a:ln>
                <a:solidFill>
                  <a:srgbClr val="F2F2F2"/>
                </a:solidFill>
              </a:ln>
            </c:spPr>
            <c:extLst>
              <c:ext xmlns:c16="http://schemas.microsoft.com/office/drawing/2014/chart" uri="{C3380CC4-5D6E-409C-BE32-E72D297353CC}">
                <c16:uniqueId val="{000000F3-EC62-4838-A2E0-29E4245763D8}"/>
              </c:ext>
            </c:extLst>
          </c:dPt>
          <c:dPt>
            <c:idx val="3"/>
            <c:bubble3D val="0"/>
            <c:spPr>
              <a:solidFill>
                <a:srgbClr val="FFFFFF"/>
              </a:solidFill>
              <a:ln>
                <a:solidFill>
                  <a:srgbClr val="F2F2F2"/>
                </a:solidFill>
              </a:ln>
            </c:spPr>
            <c:extLst>
              <c:ext xmlns:c16="http://schemas.microsoft.com/office/drawing/2014/chart" uri="{C3380CC4-5D6E-409C-BE32-E72D297353CC}">
                <c16:uniqueId val="{00000116-EC62-4838-A2E0-29E4245763D8}"/>
              </c:ext>
            </c:extLst>
          </c:dPt>
          <c:dPt>
            <c:idx val="4"/>
            <c:bubble3D val="0"/>
            <c:spPr>
              <a:solidFill>
                <a:srgbClr val="366092"/>
              </a:solidFill>
              <a:ln>
                <a:solidFill>
                  <a:srgbClr val="F2F2F2"/>
                </a:solidFill>
              </a:ln>
            </c:spPr>
            <c:extLst>
              <c:ext xmlns:c16="http://schemas.microsoft.com/office/drawing/2014/chart" uri="{C3380CC4-5D6E-409C-BE32-E72D297353CC}">
                <c16:uniqueId val="{00000139-EC62-4838-A2E0-29E4245763D8}"/>
              </c:ext>
            </c:extLst>
          </c:dPt>
          <c:dPt>
            <c:idx val="5"/>
            <c:bubble3D val="0"/>
            <c:spPr>
              <a:solidFill>
                <a:srgbClr val="366092"/>
              </a:solidFill>
              <a:ln>
                <a:solidFill>
                  <a:srgbClr val="F2F2F2"/>
                </a:solidFill>
              </a:ln>
            </c:spPr>
            <c:extLst>
              <c:ext xmlns:c16="http://schemas.microsoft.com/office/drawing/2014/chart" uri="{C3380CC4-5D6E-409C-BE32-E72D297353CC}">
                <c16:uniqueId val="{000001E8-C756-4532-8734-88E38CB5A3CF}"/>
              </c:ext>
            </c:extLst>
          </c:dPt>
          <c:dPt>
            <c:idx val="6"/>
            <c:bubble3D val="0"/>
            <c:spPr>
              <a:solidFill>
                <a:srgbClr val="FFFFFF"/>
              </a:solidFill>
              <a:ln>
                <a:solidFill>
                  <a:srgbClr val="F2F2F2"/>
                </a:solidFill>
              </a:ln>
            </c:spPr>
            <c:extLst>
              <c:ext xmlns:c16="http://schemas.microsoft.com/office/drawing/2014/chart" uri="{C3380CC4-5D6E-409C-BE32-E72D297353CC}">
                <c16:uniqueId val="{0000022E-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iCP_Chart!$AM$25:$AM$35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8A-EC62-4838-A2E0-29E4245763D8}"/>
            </c:ext>
          </c:extLst>
        </c:ser>
        <c:ser>
          <c:idx val="33"/>
          <c:order val="33"/>
          <c:tx>
            <c:strRef>
              <c:f>iCP_Chart!$AN$24</c:f>
              <c:strCache>
                <c:ptCount val="1"/>
                <c:pt idx="0">
                  <c:v>lbl</c:v>
                </c:pt>
              </c:strCache>
            </c:strRef>
          </c:tx>
          <c:dPt>
            <c:idx val="0"/>
            <c:bubble3D val="0"/>
            <c:spPr>
              <a:solidFill>
                <a:srgbClr val="FFFFFF"/>
              </a:solidFill>
              <a:ln>
                <a:solidFill>
                  <a:srgbClr val="F2F2F2"/>
                </a:solidFill>
              </a:ln>
            </c:spPr>
            <c:extLst>
              <c:ext xmlns:c16="http://schemas.microsoft.com/office/drawing/2014/chart" uri="{C3380CC4-5D6E-409C-BE32-E72D297353CC}">
                <c16:uniqueId val="{000000AE-EC62-4838-A2E0-29E4245763D8}"/>
              </c:ext>
            </c:extLst>
          </c:dPt>
          <c:dPt>
            <c:idx val="1"/>
            <c:bubble3D val="0"/>
            <c:spPr>
              <a:solidFill>
                <a:srgbClr val="FFFFFF"/>
              </a:solidFill>
              <a:ln>
                <a:solidFill>
                  <a:srgbClr val="F2F2F2"/>
                </a:solidFill>
              </a:ln>
            </c:spPr>
            <c:extLst>
              <c:ext xmlns:c16="http://schemas.microsoft.com/office/drawing/2014/chart" uri="{C3380CC4-5D6E-409C-BE32-E72D297353CC}">
                <c16:uniqueId val="{000000D1-EC62-4838-A2E0-29E4245763D8}"/>
              </c:ext>
            </c:extLst>
          </c:dPt>
          <c:dPt>
            <c:idx val="2"/>
            <c:bubble3D val="0"/>
            <c:spPr>
              <a:solidFill>
                <a:srgbClr val="FFFFFF"/>
              </a:solidFill>
              <a:ln>
                <a:solidFill>
                  <a:srgbClr val="F2F2F2"/>
                </a:solidFill>
              </a:ln>
            </c:spPr>
            <c:extLst>
              <c:ext xmlns:c16="http://schemas.microsoft.com/office/drawing/2014/chart" uri="{C3380CC4-5D6E-409C-BE32-E72D297353CC}">
                <c16:uniqueId val="{000000F4-EC62-4838-A2E0-29E4245763D8}"/>
              </c:ext>
            </c:extLst>
          </c:dPt>
          <c:dPt>
            <c:idx val="3"/>
            <c:bubble3D val="0"/>
            <c:spPr>
              <a:solidFill>
                <a:srgbClr val="FFFFFF"/>
              </a:solidFill>
              <a:ln>
                <a:solidFill>
                  <a:srgbClr val="F2F2F2"/>
                </a:solidFill>
              </a:ln>
            </c:spPr>
            <c:extLst>
              <c:ext xmlns:c16="http://schemas.microsoft.com/office/drawing/2014/chart" uri="{C3380CC4-5D6E-409C-BE32-E72D297353CC}">
                <c16:uniqueId val="{00000117-EC62-4838-A2E0-29E4245763D8}"/>
              </c:ext>
            </c:extLst>
          </c:dPt>
          <c:dPt>
            <c:idx val="4"/>
            <c:bubble3D val="0"/>
            <c:spPr>
              <a:solidFill>
                <a:srgbClr val="366092"/>
              </a:solidFill>
              <a:ln>
                <a:solidFill>
                  <a:srgbClr val="F2F2F2"/>
                </a:solidFill>
              </a:ln>
            </c:spPr>
            <c:extLst>
              <c:ext xmlns:c16="http://schemas.microsoft.com/office/drawing/2014/chart" uri="{C3380CC4-5D6E-409C-BE32-E72D297353CC}">
                <c16:uniqueId val="{0000013A-EC62-4838-A2E0-29E4245763D8}"/>
              </c:ext>
            </c:extLst>
          </c:dPt>
          <c:dPt>
            <c:idx val="5"/>
            <c:bubble3D val="0"/>
            <c:spPr>
              <a:solidFill>
                <a:srgbClr val="366092"/>
              </a:solidFill>
              <a:ln>
                <a:solidFill>
                  <a:srgbClr val="F2F2F2"/>
                </a:solidFill>
              </a:ln>
            </c:spPr>
            <c:extLst>
              <c:ext xmlns:c16="http://schemas.microsoft.com/office/drawing/2014/chart" uri="{C3380CC4-5D6E-409C-BE32-E72D297353CC}">
                <c16:uniqueId val="{000001E9-C756-4532-8734-88E38CB5A3CF}"/>
              </c:ext>
            </c:extLst>
          </c:dPt>
          <c:dPt>
            <c:idx val="6"/>
            <c:bubble3D val="0"/>
            <c:spPr>
              <a:solidFill>
                <a:srgbClr val="FFFFFF"/>
              </a:solidFill>
              <a:ln>
                <a:solidFill>
                  <a:srgbClr val="F2F2F2"/>
                </a:solidFill>
              </a:ln>
            </c:spPr>
            <c:extLst>
              <c:ext xmlns:c16="http://schemas.microsoft.com/office/drawing/2014/chart" uri="{C3380CC4-5D6E-409C-BE32-E72D297353CC}">
                <c16:uniqueId val="{0000022F-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iCP_Chart!$AN$25:$AN$35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8B-EC62-4838-A2E0-29E4245763D8}"/>
            </c:ext>
          </c:extLst>
        </c:ser>
        <c:ser>
          <c:idx val="34"/>
          <c:order val="34"/>
          <c:tx>
            <c:strRef>
              <c:f>iCP_Chart!$AO$24</c:f>
              <c:strCache>
                <c:ptCount val="1"/>
                <c:pt idx="0">
                  <c:v>lbl</c:v>
                </c:pt>
              </c:strCache>
            </c:strRef>
          </c:tx>
          <c:dPt>
            <c:idx val="0"/>
            <c:bubble3D val="0"/>
            <c:spPr>
              <a:solidFill>
                <a:srgbClr val="FFFFFF"/>
              </a:solidFill>
              <a:ln>
                <a:solidFill>
                  <a:srgbClr val="F2F2F2"/>
                </a:solidFill>
              </a:ln>
            </c:spPr>
            <c:extLst>
              <c:ext xmlns:c16="http://schemas.microsoft.com/office/drawing/2014/chart" uri="{C3380CC4-5D6E-409C-BE32-E72D297353CC}">
                <c16:uniqueId val="{000000AF-EC62-4838-A2E0-29E4245763D8}"/>
              </c:ext>
            </c:extLst>
          </c:dPt>
          <c:dPt>
            <c:idx val="1"/>
            <c:bubble3D val="0"/>
            <c:spPr>
              <a:solidFill>
                <a:srgbClr val="FFFFFF"/>
              </a:solidFill>
              <a:ln>
                <a:solidFill>
                  <a:srgbClr val="F2F2F2"/>
                </a:solidFill>
              </a:ln>
            </c:spPr>
            <c:extLst>
              <c:ext xmlns:c16="http://schemas.microsoft.com/office/drawing/2014/chart" uri="{C3380CC4-5D6E-409C-BE32-E72D297353CC}">
                <c16:uniqueId val="{000000D2-EC62-4838-A2E0-29E4245763D8}"/>
              </c:ext>
            </c:extLst>
          </c:dPt>
          <c:dPt>
            <c:idx val="2"/>
            <c:bubble3D val="0"/>
            <c:spPr>
              <a:solidFill>
                <a:srgbClr val="FFFFFF"/>
              </a:solidFill>
              <a:ln>
                <a:solidFill>
                  <a:srgbClr val="F2F2F2"/>
                </a:solidFill>
              </a:ln>
            </c:spPr>
            <c:extLst>
              <c:ext xmlns:c16="http://schemas.microsoft.com/office/drawing/2014/chart" uri="{C3380CC4-5D6E-409C-BE32-E72D297353CC}">
                <c16:uniqueId val="{000000F5-EC62-4838-A2E0-29E4245763D8}"/>
              </c:ext>
            </c:extLst>
          </c:dPt>
          <c:dPt>
            <c:idx val="3"/>
            <c:bubble3D val="0"/>
            <c:spPr>
              <a:solidFill>
                <a:srgbClr val="FFFFFF"/>
              </a:solidFill>
              <a:ln>
                <a:solidFill>
                  <a:srgbClr val="F2F2F2"/>
                </a:solidFill>
              </a:ln>
            </c:spPr>
            <c:extLst>
              <c:ext xmlns:c16="http://schemas.microsoft.com/office/drawing/2014/chart" uri="{C3380CC4-5D6E-409C-BE32-E72D297353CC}">
                <c16:uniqueId val="{00000118-EC62-4838-A2E0-29E4245763D8}"/>
              </c:ext>
            </c:extLst>
          </c:dPt>
          <c:dPt>
            <c:idx val="4"/>
            <c:bubble3D val="0"/>
            <c:spPr>
              <a:solidFill>
                <a:srgbClr val="366092"/>
              </a:solidFill>
              <a:ln>
                <a:solidFill>
                  <a:srgbClr val="F2F2F2"/>
                </a:solidFill>
              </a:ln>
            </c:spPr>
            <c:extLst>
              <c:ext xmlns:c16="http://schemas.microsoft.com/office/drawing/2014/chart" uri="{C3380CC4-5D6E-409C-BE32-E72D297353CC}">
                <c16:uniqueId val="{0000013B-EC62-4838-A2E0-29E4245763D8}"/>
              </c:ext>
            </c:extLst>
          </c:dPt>
          <c:dPt>
            <c:idx val="5"/>
            <c:bubble3D val="0"/>
            <c:spPr>
              <a:solidFill>
                <a:srgbClr val="366092"/>
              </a:solidFill>
              <a:ln>
                <a:solidFill>
                  <a:srgbClr val="F2F2F2"/>
                </a:solidFill>
              </a:ln>
            </c:spPr>
            <c:extLst>
              <c:ext xmlns:c16="http://schemas.microsoft.com/office/drawing/2014/chart" uri="{C3380CC4-5D6E-409C-BE32-E72D297353CC}">
                <c16:uniqueId val="{000001EA-C756-4532-8734-88E38CB5A3CF}"/>
              </c:ext>
            </c:extLst>
          </c:dPt>
          <c:dPt>
            <c:idx val="6"/>
            <c:bubble3D val="0"/>
            <c:spPr>
              <a:solidFill>
                <a:srgbClr val="FFFFFF"/>
              </a:solidFill>
              <a:ln>
                <a:solidFill>
                  <a:srgbClr val="F2F2F2"/>
                </a:solidFill>
              </a:ln>
            </c:spPr>
            <c:extLst>
              <c:ext xmlns:c16="http://schemas.microsoft.com/office/drawing/2014/chart" uri="{C3380CC4-5D6E-409C-BE32-E72D297353CC}">
                <c16:uniqueId val="{00000230-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iCP_Chart!$AO$25:$AO$35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8C-EC62-4838-A2E0-29E4245763D8}"/>
            </c:ext>
          </c:extLst>
        </c:ser>
        <c:ser>
          <c:idx val="35"/>
          <c:order val="35"/>
          <c:tx>
            <c:strRef>
              <c:f>iCP_Chart!$AP$24</c:f>
              <c:strCache>
                <c:ptCount val="1"/>
                <c:pt idx="0">
                  <c:v>lbl</c:v>
                </c:pt>
              </c:strCache>
            </c:strRef>
          </c:tx>
          <c:dPt>
            <c:idx val="0"/>
            <c:bubble3D val="0"/>
            <c:spPr>
              <a:solidFill>
                <a:srgbClr val="FFFFFF"/>
              </a:solidFill>
              <a:ln>
                <a:solidFill>
                  <a:srgbClr val="F2F2F2"/>
                </a:solidFill>
              </a:ln>
            </c:spPr>
            <c:extLst>
              <c:ext xmlns:c16="http://schemas.microsoft.com/office/drawing/2014/chart" uri="{C3380CC4-5D6E-409C-BE32-E72D297353CC}">
                <c16:uniqueId val="{000000B0-EC62-4838-A2E0-29E4245763D8}"/>
              </c:ext>
            </c:extLst>
          </c:dPt>
          <c:dPt>
            <c:idx val="1"/>
            <c:bubble3D val="0"/>
            <c:spPr>
              <a:solidFill>
                <a:srgbClr val="FFFFFF"/>
              </a:solidFill>
              <a:ln>
                <a:solidFill>
                  <a:srgbClr val="F2F2F2"/>
                </a:solidFill>
              </a:ln>
            </c:spPr>
            <c:extLst>
              <c:ext xmlns:c16="http://schemas.microsoft.com/office/drawing/2014/chart" uri="{C3380CC4-5D6E-409C-BE32-E72D297353CC}">
                <c16:uniqueId val="{000000D3-EC62-4838-A2E0-29E4245763D8}"/>
              </c:ext>
            </c:extLst>
          </c:dPt>
          <c:dPt>
            <c:idx val="2"/>
            <c:bubble3D val="0"/>
            <c:spPr>
              <a:solidFill>
                <a:srgbClr val="FFFFFF"/>
              </a:solidFill>
              <a:ln>
                <a:solidFill>
                  <a:srgbClr val="F2F2F2"/>
                </a:solidFill>
              </a:ln>
            </c:spPr>
            <c:extLst>
              <c:ext xmlns:c16="http://schemas.microsoft.com/office/drawing/2014/chart" uri="{C3380CC4-5D6E-409C-BE32-E72D297353CC}">
                <c16:uniqueId val="{000000F6-EC62-4838-A2E0-29E4245763D8}"/>
              </c:ext>
            </c:extLst>
          </c:dPt>
          <c:dPt>
            <c:idx val="3"/>
            <c:bubble3D val="0"/>
            <c:spPr>
              <a:solidFill>
                <a:srgbClr val="FFFFFF"/>
              </a:solidFill>
              <a:ln>
                <a:solidFill>
                  <a:srgbClr val="F2F2F2"/>
                </a:solidFill>
              </a:ln>
            </c:spPr>
            <c:extLst>
              <c:ext xmlns:c16="http://schemas.microsoft.com/office/drawing/2014/chart" uri="{C3380CC4-5D6E-409C-BE32-E72D297353CC}">
                <c16:uniqueId val="{00000119-EC62-4838-A2E0-29E4245763D8}"/>
              </c:ext>
            </c:extLst>
          </c:dPt>
          <c:dPt>
            <c:idx val="4"/>
            <c:bubble3D val="0"/>
            <c:spPr>
              <a:solidFill>
                <a:srgbClr val="FFFFFF"/>
              </a:solidFill>
              <a:ln>
                <a:solidFill>
                  <a:srgbClr val="F2F2F2"/>
                </a:solidFill>
              </a:ln>
            </c:spPr>
            <c:extLst>
              <c:ext xmlns:c16="http://schemas.microsoft.com/office/drawing/2014/chart" uri="{C3380CC4-5D6E-409C-BE32-E72D297353CC}">
                <c16:uniqueId val="{0000013C-EC62-4838-A2E0-29E4245763D8}"/>
              </c:ext>
            </c:extLst>
          </c:dPt>
          <c:dPt>
            <c:idx val="5"/>
            <c:bubble3D val="0"/>
            <c:spPr>
              <a:solidFill>
                <a:srgbClr val="366092"/>
              </a:solidFill>
              <a:ln>
                <a:solidFill>
                  <a:srgbClr val="F2F2F2"/>
                </a:solidFill>
              </a:ln>
            </c:spPr>
            <c:extLst>
              <c:ext xmlns:c16="http://schemas.microsoft.com/office/drawing/2014/chart" uri="{C3380CC4-5D6E-409C-BE32-E72D297353CC}">
                <c16:uniqueId val="{000001EB-C756-4532-8734-88E38CB5A3CF}"/>
              </c:ext>
            </c:extLst>
          </c:dPt>
          <c:dPt>
            <c:idx val="6"/>
            <c:bubble3D val="0"/>
            <c:spPr>
              <a:solidFill>
                <a:srgbClr val="FFFFFF"/>
              </a:solidFill>
              <a:ln>
                <a:solidFill>
                  <a:srgbClr val="F2F2F2"/>
                </a:solidFill>
              </a:ln>
            </c:spPr>
            <c:extLst>
              <c:ext xmlns:c16="http://schemas.microsoft.com/office/drawing/2014/chart" uri="{C3380CC4-5D6E-409C-BE32-E72D297353CC}">
                <c16:uniqueId val="{00000231-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iCP_Chart!$AP$25:$AP$35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8D-EC62-4838-A2E0-29E4245763D8}"/>
            </c:ext>
          </c:extLst>
        </c:ser>
        <c:ser>
          <c:idx val="36"/>
          <c:order val="36"/>
          <c:tx>
            <c:strRef>
              <c:f>iCP_Chart!$AQ$24</c:f>
              <c:strCache>
                <c:ptCount val="1"/>
                <c:pt idx="0">
                  <c:v>lbl</c:v>
                </c:pt>
              </c:strCache>
            </c:strRef>
          </c:tx>
          <c:dPt>
            <c:idx val="0"/>
            <c:bubble3D val="0"/>
            <c:spPr>
              <a:solidFill>
                <a:srgbClr val="FFFFFF"/>
              </a:solidFill>
              <a:ln>
                <a:solidFill>
                  <a:srgbClr val="F2F2F2"/>
                </a:solidFill>
              </a:ln>
            </c:spPr>
            <c:extLst>
              <c:ext xmlns:c16="http://schemas.microsoft.com/office/drawing/2014/chart" uri="{C3380CC4-5D6E-409C-BE32-E72D297353CC}">
                <c16:uniqueId val="{000000B1-EC62-4838-A2E0-29E4245763D8}"/>
              </c:ext>
            </c:extLst>
          </c:dPt>
          <c:dPt>
            <c:idx val="1"/>
            <c:bubble3D val="0"/>
            <c:spPr>
              <a:solidFill>
                <a:srgbClr val="FFFFFF"/>
              </a:solidFill>
              <a:ln>
                <a:solidFill>
                  <a:srgbClr val="F2F2F2"/>
                </a:solidFill>
              </a:ln>
            </c:spPr>
            <c:extLst>
              <c:ext xmlns:c16="http://schemas.microsoft.com/office/drawing/2014/chart" uri="{C3380CC4-5D6E-409C-BE32-E72D297353CC}">
                <c16:uniqueId val="{000000D4-EC62-4838-A2E0-29E4245763D8}"/>
              </c:ext>
            </c:extLst>
          </c:dPt>
          <c:dPt>
            <c:idx val="2"/>
            <c:bubble3D val="0"/>
            <c:spPr>
              <a:solidFill>
                <a:srgbClr val="FFFFFF"/>
              </a:solidFill>
              <a:ln>
                <a:solidFill>
                  <a:srgbClr val="F2F2F2"/>
                </a:solidFill>
              </a:ln>
            </c:spPr>
            <c:extLst>
              <c:ext xmlns:c16="http://schemas.microsoft.com/office/drawing/2014/chart" uri="{C3380CC4-5D6E-409C-BE32-E72D297353CC}">
                <c16:uniqueId val="{000000F7-EC62-4838-A2E0-29E4245763D8}"/>
              </c:ext>
            </c:extLst>
          </c:dPt>
          <c:dPt>
            <c:idx val="3"/>
            <c:bubble3D val="0"/>
            <c:spPr>
              <a:solidFill>
                <a:srgbClr val="FFFFFF"/>
              </a:solidFill>
              <a:ln>
                <a:solidFill>
                  <a:srgbClr val="F2F2F2"/>
                </a:solidFill>
              </a:ln>
            </c:spPr>
            <c:extLst>
              <c:ext xmlns:c16="http://schemas.microsoft.com/office/drawing/2014/chart" uri="{C3380CC4-5D6E-409C-BE32-E72D297353CC}">
                <c16:uniqueId val="{0000011A-EC62-4838-A2E0-29E4245763D8}"/>
              </c:ext>
            </c:extLst>
          </c:dPt>
          <c:dPt>
            <c:idx val="4"/>
            <c:bubble3D val="0"/>
            <c:spPr>
              <a:solidFill>
                <a:srgbClr val="FFFFFF"/>
              </a:solidFill>
              <a:ln>
                <a:solidFill>
                  <a:srgbClr val="F2F2F2"/>
                </a:solidFill>
              </a:ln>
            </c:spPr>
            <c:extLst>
              <c:ext xmlns:c16="http://schemas.microsoft.com/office/drawing/2014/chart" uri="{C3380CC4-5D6E-409C-BE32-E72D297353CC}">
                <c16:uniqueId val="{0000013D-EC62-4838-A2E0-29E4245763D8}"/>
              </c:ext>
            </c:extLst>
          </c:dPt>
          <c:dPt>
            <c:idx val="5"/>
            <c:bubble3D val="0"/>
            <c:spPr>
              <a:solidFill>
                <a:srgbClr val="366092"/>
              </a:solidFill>
              <a:ln>
                <a:solidFill>
                  <a:srgbClr val="F2F2F2"/>
                </a:solidFill>
              </a:ln>
            </c:spPr>
            <c:extLst>
              <c:ext xmlns:c16="http://schemas.microsoft.com/office/drawing/2014/chart" uri="{C3380CC4-5D6E-409C-BE32-E72D297353CC}">
                <c16:uniqueId val="{000001EC-C756-4532-8734-88E38CB5A3CF}"/>
              </c:ext>
            </c:extLst>
          </c:dPt>
          <c:dPt>
            <c:idx val="6"/>
            <c:bubble3D val="0"/>
            <c:spPr>
              <a:solidFill>
                <a:srgbClr val="FFFFFF"/>
              </a:solidFill>
              <a:ln>
                <a:solidFill>
                  <a:srgbClr val="F2F2F2"/>
                </a:solidFill>
              </a:ln>
            </c:spPr>
            <c:extLst>
              <c:ext xmlns:c16="http://schemas.microsoft.com/office/drawing/2014/chart" uri="{C3380CC4-5D6E-409C-BE32-E72D297353CC}">
                <c16:uniqueId val="{00000232-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iCP_Chart!$AQ$25:$AQ$35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8E-EC62-4838-A2E0-29E4245763D8}"/>
            </c:ext>
          </c:extLst>
        </c:ser>
        <c:ser>
          <c:idx val="37"/>
          <c:order val="37"/>
          <c:tx>
            <c:strRef>
              <c:f>iCP_Chart!$AR$24</c:f>
              <c:strCache>
                <c:ptCount val="1"/>
                <c:pt idx="0">
                  <c:v>lbl</c:v>
                </c:pt>
              </c:strCache>
            </c:strRef>
          </c:tx>
          <c:dPt>
            <c:idx val="0"/>
            <c:bubble3D val="0"/>
            <c:spPr>
              <a:solidFill>
                <a:srgbClr val="FFFFFF"/>
              </a:solidFill>
              <a:ln>
                <a:solidFill>
                  <a:srgbClr val="F2F2F2"/>
                </a:solidFill>
              </a:ln>
            </c:spPr>
            <c:extLst>
              <c:ext xmlns:c16="http://schemas.microsoft.com/office/drawing/2014/chart" uri="{C3380CC4-5D6E-409C-BE32-E72D297353CC}">
                <c16:uniqueId val="{000000B2-EC62-4838-A2E0-29E4245763D8}"/>
              </c:ext>
            </c:extLst>
          </c:dPt>
          <c:dPt>
            <c:idx val="1"/>
            <c:bubble3D val="0"/>
            <c:spPr>
              <a:solidFill>
                <a:srgbClr val="FFFFFF"/>
              </a:solidFill>
              <a:ln>
                <a:solidFill>
                  <a:srgbClr val="F2F2F2"/>
                </a:solidFill>
              </a:ln>
            </c:spPr>
            <c:extLst>
              <c:ext xmlns:c16="http://schemas.microsoft.com/office/drawing/2014/chart" uri="{C3380CC4-5D6E-409C-BE32-E72D297353CC}">
                <c16:uniqueId val="{000000D5-EC62-4838-A2E0-29E4245763D8}"/>
              </c:ext>
            </c:extLst>
          </c:dPt>
          <c:dPt>
            <c:idx val="2"/>
            <c:bubble3D val="0"/>
            <c:spPr>
              <a:solidFill>
                <a:srgbClr val="FFFFFF"/>
              </a:solidFill>
              <a:ln>
                <a:solidFill>
                  <a:srgbClr val="F2F2F2"/>
                </a:solidFill>
              </a:ln>
            </c:spPr>
            <c:extLst>
              <c:ext xmlns:c16="http://schemas.microsoft.com/office/drawing/2014/chart" uri="{C3380CC4-5D6E-409C-BE32-E72D297353CC}">
                <c16:uniqueId val="{000000F8-EC62-4838-A2E0-29E4245763D8}"/>
              </c:ext>
            </c:extLst>
          </c:dPt>
          <c:dPt>
            <c:idx val="3"/>
            <c:bubble3D val="0"/>
            <c:spPr>
              <a:solidFill>
                <a:srgbClr val="FFFFFF"/>
              </a:solidFill>
              <a:ln>
                <a:solidFill>
                  <a:srgbClr val="F2F2F2"/>
                </a:solidFill>
              </a:ln>
            </c:spPr>
            <c:extLst>
              <c:ext xmlns:c16="http://schemas.microsoft.com/office/drawing/2014/chart" uri="{C3380CC4-5D6E-409C-BE32-E72D297353CC}">
                <c16:uniqueId val="{0000011B-EC62-4838-A2E0-29E4245763D8}"/>
              </c:ext>
            </c:extLst>
          </c:dPt>
          <c:dPt>
            <c:idx val="4"/>
            <c:bubble3D val="0"/>
            <c:spPr>
              <a:solidFill>
                <a:srgbClr val="FFFFFF"/>
              </a:solidFill>
              <a:ln>
                <a:solidFill>
                  <a:srgbClr val="F2F2F2"/>
                </a:solidFill>
              </a:ln>
            </c:spPr>
            <c:extLst>
              <c:ext xmlns:c16="http://schemas.microsoft.com/office/drawing/2014/chart" uri="{C3380CC4-5D6E-409C-BE32-E72D297353CC}">
                <c16:uniqueId val="{0000013E-EC62-4838-A2E0-29E4245763D8}"/>
              </c:ext>
            </c:extLst>
          </c:dPt>
          <c:dPt>
            <c:idx val="5"/>
            <c:bubble3D val="0"/>
            <c:spPr>
              <a:solidFill>
                <a:srgbClr val="366092"/>
              </a:solidFill>
              <a:ln>
                <a:solidFill>
                  <a:srgbClr val="F2F2F2"/>
                </a:solidFill>
              </a:ln>
            </c:spPr>
            <c:extLst>
              <c:ext xmlns:c16="http://schemas.microsoft.com/office/drawing/2014/chart" uri="{C3380CC4-5D6E-409C-BE32-E72D297353CC}">
                <c16:uniqueId val="{000001ED-C756-4532-8734-88E38CB5A3CF}"/>
              </c:ext>
            </c:extLst>
          </c:dPt>
          <c:dPt>
            <c:idx val="6"/>
            <c:bubble3D val="0"/>
            <c:spPr>
              <a:solidFill>
                <a:srgbClr val="FFFFFF"/>
              </a:solidFill>
              <a:ln>
                <a:solidFill>
                  <a:srgbClr val="F2F2F2"/>
                </a:solidFill>
              </a:ln>
            </c:spPr>
            <c:extLst>
              <c:ext xmlns:c16="http://schemas.microsoft.com/office/drawing/2014/chart" uri="{C3380CC4-5D6E-409C-BE32-E72D297353CC}">
                <c16:uniqueId val="{00000233-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iCP_Chart!$AR$25:$AR$35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8F-EC62-4838-A2E0-29E4245763D8}"/>
            </c:ext>
          </c:extLst>
        </c:ser>
        <c:ser>
          <c:idx val="38"/>
          <c:order val="38"/>
          <c:tx>
            <c:strRef>
              <c:f>iCP_Chart!$AS$24</c:f>
              <c:strCache>
                <c:ptCount val="1"/>
                <c:pt idx="0">
                  <c:v>lbl</c:v>
                </c:pt>
              </c:strCache>
            </c:strRef>
          </c:tx>
          <c:spPr>
            <a:ln>
              <a:solidFill>
                <a:schemeClr val="accent1">
                  <a:lumMod val="75000"/>
                </a:schemeClr>
              </a:solidFill>
            </a:ln>
          </c:spPr>
          <c:dPt>
            <c:idx val="0"/>
            <c:bubble3D val="0"/>
            <c:spPr>
              <a:solidFill>
                <a:srgbClr val="FFFFFF"/>
              </a:solidFill>
              <a:ln>
                <a:solidFill>
                  <a:srgbClr val="F2F2F2"/>
                </a:solidFill>
              </a:ln>
            </c:spPr>
            <c:extLst>
              <c:ext xmlns:c16="http://schemas.microsoft.com/office/drawing/2014/chart" uri="{C3380CC4-5D6E-409C-BE32-E72D297353CC}">
                <c16:uniqueId val="{000000B3-EC62-4838-A2E0-29E4245763D8}"/>
              </c:ext>
            </c:extLst>
          </c:dPt>
          <c:dPt>
            <c:idx val="1"/>
            <c:bubble3D val="0"/>
            <c:spPr>
              <a:solidFill>
                <a:srgbClr val="FFFFFF"/>
              </a:solidFill>
              <a:ln>
                <a:solidFill>
                  <a:srgbClr val="F2F2F2"/>
                </a:solidFill>
              </a:ln>
            </c:spPr>
            <c:extLst>
              <c:ext xmlns:c16="http://schemas.microsoft.com/office/drawing/2014/chart" uri="{C3380CC4-5D6E-409C-BE32-E72D297353CC}">
                <c16:uniqueId val="{000000D6-EC62-4838-A2E0-29E4245763D8}"/>
              </c:ext>
            </c:extLst>
          </c:dPt>
          <c:dPt>
            <c:idx val="2"/>
            <c:bubble3D val="0"/>
            <c:spPr>
              <a:solidFill>
                <a:srgbClr val="FFFFFF"/>
              </a:solidFill>
              <a:ln>
                <a:solidFill>
                  <a:srgbClr val="F2F2F2"/>
                </a:solidFill>
              </a:ln>
            </c:spPr>
            <c:extLst>
              <c:ext xmlns:c16="http://schemas.microsoft.com/office/drawing/2014/chart" uri="{C3380CC4-5D6E-409C-BE32-E72D297353CC}">
                <c16:uniqueId val="{000000F9-EC62-4838-A2E0-29E4245763D8}"/>
              </c:ext>
            </c:extLst>
          </c:dPt>
          <c:dPt>
            <c:idx val="3"/>
            <c:bubble3D val="0"/>
            <c:spPr>
              <a:solidFill>
                <a:srgbClr val="FFFFFF"/>
              </a:solidFill>
              <a:ln>
                <a:solidFill>
                  <a:srgbClr val="F2F2F2"/>
                </a:solidFill>
              </a:ln>
            </c:spPr>
            <c:extLst>
              <c:ext xmlns:c16="http://schemas.microsoft.com/office/drawing/2014/chart" uri="{C3380CC4-5D6E-409C-BE32-E72D297353CC}">
                <c16:uniqueId val="{0000011C-EC62-4838-A2E0-29E4245763D8}"/>
              </c:ext>
            </c:extLst>
          </c:dPt>
          <c:dPt>
            <c:idx val="4"/>
            <c:bubble3D val="0"/>
            <c:spPr>
              <a:solidFill>
                <a:srgbClr val="FFFFFF"/>
              </a:solidFill>
              <a:ln>
                <a:solidFill>
                  <a:srgbClr val="F2F2F2"/>
                </a:solidFill>
              </a:ln>
            </c:spPr>
            <c:extLst>
              <c:ext xmlns:c16="http://schemas.microsoft.com/office/drawing/2014/chart" uri="{C3380CC4-5D6E-409C-BE32-E72D297353CC}">
                <c16:uniqueId val="{0000013F-EC62-4838-A2E0-29E4245763D8}"/>
              </c:ext>
            </c:extLst>
          </c:dPt>
          <c:dPt>
            <c:idx val="5"/>
            <c:bubble3D val="0"/>
            <c:spPr>
              <a:solidFill>
                <a:srgbClr val="366092"/>
              </a:solidFill>
              <a:ln>
                <a:solidFill>
                  <a:srgbClr val="F2F2F2"/>
                </a:solidFill>
              </a:ln>
            </c:spPr>
            <c:extLst>
              <c:ext xmlns:c16="http://schemas.microsoft.com/office/drawing/2014/chart" uri="{C3380CC4-5D6E-409C-BE32-E72D297353CC}">
                <c16:uniqueId val="{000001EE-C756-4532-8734-88E38CB5A3CF}"/>
              </c:ext>
            </c:extLst>
          </c:dPt>
          <c:dPt>
            <c:idx val="6"/>
            <c:bubble3D val="0"/>
            <c:spPr>
              <a:solidFill>
                <a:srgbClr val="FFFFFF"/>
              </a:solidFill>
              <a:ln>
                <a:solidFill>
                  <a:srgbClr val="F2F2F2"/>
                </a:solidFill>
              </a:ln>
            </c:spPr>
            <c:extLst>
              <c:ext xmlns:c16="http://schemas.microsoft.com/office/drawing/2014/chart" uri="{C3380CC4-5D6E-409C-BE32-E72D297353CC}">
                <c16:uniqueId val="{00000234-1180-424C-8D63-F5898E55F41B}"/>
              </c:ext>
            </c:extLst>
          </c:dPt>
          <c:cat>
            <c:strRef>
              <c:f>iCP_Chart!$F$25:$F$35</c:f>
              <c:strCache>
                <c:ptCount val="5"/>
                <c:pt idx="0">
                  <c:v>OVERALL SCORE</c:v>
                </c:pt>
                <c:pt idx="1">
                  <c:v> 1) CONNECTIVITY</c:v>
                </c:pt>
                <c:pt idx="2">
                  <c:v> 2) SERVICES</c:v>
                </c:pt>
                <c:pt idx="3">
                  <c:v> 3) CULTURE</c:v>
                </c:pt>
                <c:pt idx="4">
                  <c:v> 4) SUSTAINABILITY</c:v>
                </c:pt>
              </c:strCache>
            </c:strRef>
          </c:cat>
          <c:val>
            <c:numRef>
              <c:f>iCP_Chart!$AS$25:$AS$35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90-EC62-4838-A2E0-29E4245763D8}"/>
            </c:ext>
          </c:extLst>
        </c:ser>
        <c:ser>
          <c:idx val="39"/>
          <c:order val="39"/>
          <c:tx>
            <c:strRef>
              <c:f>iCP_Chart!$AT$24</c:f>
              <c:strCache>
                <c:ptCount val="1"/>
                <c:pt idx="0">
                  <c:v>lbl</c:v>
                </c:pt>
              </c:strCache>
            </c:strRef>
          </c:tx>
          <c:explosion val="20"/>
          <c:dPt>
            <c:idx val="0"/>
            <c:bubble3D val="0"/>
            <c:spPr>
              <a:solidFill>
                <a:srgbClr val="FFFFFF"/>
              </a:solidFill>
              <a:ln>
                <a:solidFill>
                  <a:srgbClr val="FFFFFF"/>
                </a:solidFill>
              </a:ln>
            </c:spPr>
            <c:extLst>
              <c:ext xmlns:c16="http://schemas.microsoft.com/office/drawing/2014/chart" uri="{C3380CC4-5D6E-409C-BE32-E72D297353CC}">
                <c16:uniqueId val="{000000B4-EC62-4838-A2E0-29E4245763D8}"/>
              </c:ext>
            </c:extLst>
          </c:dPt>
          <c:dPt>
            <c:idx val="1"/>
            <c:bubble3D val="0"/>
            <c:spPr>
              <a:solidFill>
                <a:srgbClr val="FFFFFF"/>
              </a:solidFill>
              <a:ln>
                <a:solidFill>
                  <a:srgbClr val="FFFFFF"/>
                </a:solidFill>
              </a:ln>
            </c:spPr>
            <c:extLst>
              <c:ext xmlns:c16="http://schemas.microsoft.com/office/drawing/2014/chart" uri="{C3380CC4-5D6E-409C-BE32-E72D297353CC}">
                <c16:uniqueId val="{000000D7-EC62-4838-A2E0-29E4245763D8}"/>
              </c:ext>
            </c:extLst>
          </c:dPt>
          <c:dPt>
            <c:idx val="2"/>
            <c:bubble3D val="0"/>
            <c:spPr>
              <a:solidFill>
                <a:srgbClr val="FFFFFF"/>
              </a:solidFill>
              <a:ln>
                <a:solidFill>
                  <a:srgbClr val="FFFFFF"/>
                </a:solidFill>
              </a:ln>
            </c:spPr>
            <c:extLst>
              <c:ext xmlns:c16="http://schemas.microsoft.com/office/drawing/2014/chart" uri="{C3380CC4-5D6E-409C-BE32-E72D297353CC}">
                <c16:uniqueId val="{000000FA-EC62-4838-A2E0-29E4245763D8}"/>
              </c:ext>
            </c:extLst>
          </c:dPt>
          <c:dPt>
            <c:idx val="3"/>
            <c:bubble3D val="0"/>
            <c:spPr>
              <a:solidFill>
                <a:srgbClr val="FFFFFF"/>
              </a:solidFill>
              <a:ln>
                <a:solidFill>
                  <a:srgbClr val="FFFFFF"/>
                </a:solidFill>
              </a:ln>
            </c:spPr>
            <c:extLst>
              <c:ext xmlns:c16="http://schemas.microsoft.com/office/drawing/2014/chart" uri="{C3380CC4-5D6E-409C-BE32-E72D297353CC}">
                <c16:uniqueId val="{0000011D-EC62-4838-A2E0-29E4245763D8}"/>
              </c:ext>
            </c:extLst>
          </c:dPt>
          <c:dPt>
            <c:idx val="4"/>
            <c:bubble3D val="0"/>
            <c:spPr>
              <a:solidFill>
                <a:srgbClr val="FFFFFF"/>
              </a:solidFill>
              <a:ln>
                <a:solidFill>
                  <a:srgbClr val="FFFFFF"/>
                </a:solidFill>
              </a:ln>
            </c:spPr>
            <c:extLst>
              <c:ext xmlns:c16="http://schemas.microsoft.com/office/drawing/2014/chart" uri="{C3380CC4-5D6E-409C-BE32-E72D297353CC}">
                <c16:uniqueId val="{00000140-EC62-4838-A2E0-29E4245763D8}"/>
              </c:ext>
            </c:extLst>
          </c:dPt>
          <c:dPt>
            <c:idx val="5"/>
            <c:bubble3D val="0"/>
            <c:spPr>
              <a:solidFill>
                <a:srgbClr val="FFFFFF"/>
              </a:solidFill>
              <a:ln>
                <a:solidFill>
                  <a:srgbClr val="FFFFFF"/>
                </a:solidFill>
              </a:ln>
            </c:spPr>
            <c:extLst>
              <c:ext xmlns:c16="http://schemas.microsoft.com/office/drawing/2014/chart" uri="{C3380CC4-5D6E-409C-BE32-E72D297353CC}">
                <c16:uniqueId val="{000001EF-C756-4532-8734-88E38CB5A3CF}"/>
              </c:ext>
            </c:extLst>
          </c:dPt>
          <c:dPt>
            <c:idx val="6"/>
            <c:bubble3D val="0"/>
            <c:spPr>
              <a:solidFill>
                <a:srgbClr val="FFFFFF"/>
              </a:solidFill>
              <a:ln>
                <a:solidFill>
                  <a:srgbClr val="FFFFFF"/>
                </a:solidFill>
              </a:ln>
            </c:spPr>
            <c:extLst>
              <c:ext xmlns:c16="http://schemas.microsoft.com/office/drawing/2014/chart" uri="{C3380CC4-5D6E-409C-BE32-E72D297353CC}">
                <c16:uniqueId val="{00000235-1180-424C-8D63-F5898E55F41B}"/>
              </c:ext>
            </c:extLst>
          </c:dPt>
          <c:dLbls>
            <c:dLbl>
              <c:idx val="0"/>
              <c:spPr>
                <a:solidFill>
                  <a:sysClr val="window" lastClr="FFFFFF"/>
                </a:solidFill>
                <a:ln>
                  <a:noFill/>
                </a:ln>
                <a:effectLst/>
              </c:spPr>
              <c:txPr>
                <a:bodyPr wrap="square" lIns="38100" tIns="19050" rIns="38100" bIns="19050" anchor="ctr">
                  <a:spAutoFit/>
                </a:bodyPr>
                <a:lstStyle/>
                <a:p>
                  <a:pPr>
                    <a:defRPr sz="1200" b="1"/>
                  </a:pPr>
                  <a:endParaRPr lang="en-US"/>
                </a:p>
              </c:txPr>
              <c:showLegendKey val="0"/>
              <c:showVal val="0"/>
              <c:showCatName val="1"/>
              <c:showSerName val="0"/>
              <c:showPercent val="0"/>
              <c:showBubbleSize val="0"/>
              <c:extLst>
                <c:ext xmlns:c16="http://schemas.microsoft.com/office/drawing/2014/chart" uri="{C3380CC4-5D6E-409C-BE32-E72D297353CC}">
                  <c16:uniqueId val="{000000B4-EC62-4838-A2E0-29E4245763D8}"/>
                </c:ext>
              </c:extLst>
            </c:dLbl>
            <c:spPr>
              <a:solidFill>
                <a:sysClr val="window" lastClr="FFFFFF"/>
              </a:solidFill>
              <a:ln>
                <a:noFill/>
              </a:ln>
              <a:effectLst/>
            </c:spPr>
            <c:showLegendKey val="0"/>
            <c:showVal val="0"/>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ext>
            </c:extLst>
          </c:dLbls>
          <c:cat>
            <c:strRef>
              <c:f>iCP_Chart!$F$25:$F$35</c:f>
              <c:strCache>
                <c:ptCount val="5"/>
                <c:pt idx="0">
                  <c:v>OVERALL SCORE</c:v>
                </c:pt>
                <c:pt idx="1">
                  <c:v> 1) CONNECTIVITY</c:v>
                </c:pt>
                <c:pt idx="2">
                  <c:v> 2) SERVICES</c:v>
                </c:pt>
                <c:pt idx="3">
                  <c:v> 3) CULTURE</c:v>
                </c:pt>
                <c:pt idx="4">
                  <c:v> 4) SUSTAINABILITY</c:v>
                </c:pt>
              </c:strCache>
            </c:strRef>
          </c:cat>
          <c:val>
            <c:numRef>
              <c:f>iCP_Chart!$AT$25:$AT$35</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91-EC62-4838-A2E0-29E4245763D8}"/>
            </c:ext>
          </c:extLst>
        </c:ser>
        <c:dLbls>
          <c:showLegendKey val="0"/>
          <c:showVal val="0"/>
          <c:showCatName val="0"/>
          <c:showSerName val="0"/>
          <c:showPercent val="0"/>
          <c:showBubbleSize val="0"/>
          <c:showLeaderLines val="0"/>
        </c:dLbls>
        <c:firstSliceAng val="324"/>
        <c:holeSize val="15"/>
        <c:extLst/>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0"/>
          <c:spPr>
            <a:ln w="28575">
              <a:noFill/>
            </a:ln>
          </c:spPr>
          <c:marker>
            <c:symbol val="diamond"/>
            <c:size val="7"/>
            <c:spPr>
              <a:solidFill>
                <a:srgbClr val="C00000"/>
              </a:solidFill>
              <a:ln>
                <a:solidFill>
                  <a:srgbClr val="C00000"/>
                </a:solidFill>
              </a:ln>
            </c:spPr>
          </c:marker>
          <c:dPt>
            <c:idx val="22"/>
            <c:marker>
              <c:spPr>
                <a:solidFill>
                  <a:srgbClr val="E3120B"/>
                </a:solidFill>
                <a:ln>
                  <a:solidFill>
                    <a:srgbClr val="C00000"/>
                  </a:solidFill>
                </a:ln>
              </c:spPr>
            </c:marker>
            <c:bubble3D val="0"/>
            <c:extLst>
              <c:ext xmlns:c16="http://schemas.microsoft.com/office/drawing/2014/chart" uri="{C3380CC4-5D6E-409C-BE32-E72D297353CC}">
                <c16:uniqueId val="{00000000-BD04-45D9-B235-9D7B3229DF86}"/>
              </c:ext>
            </c:extLst>
          </c:dPt>
          <c:xVal>
            <c:numLit>
              <c:formatCode>General</c:formatCode>
              <c:ptCount val="2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numLit>
          </c:xVal>
          <c:yVal>
            <c:numLit>
              <c:formatCode>General</c:formatCode>
              <c:ptCount val="2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numLit>
          </c:yVal>
          <c:smooth val="0"/>
          <c:extLst>
            <c:ext xmlns:c16="http://schemas.microsoft.com/office/drawing/2014/chart" uri="{C3380CC4-5D6E-409C-BE32-E72D297353CC}">
              <c16:uniqueId val="{00000001-BD04-45D9-B235-9D7B3229DF86}"/>
            </c:ext>
          </c:extLst>
        </c:ser>
        <c:dLbls>
          <c:showLegendKey val="0"/>
          <c:showVal val="0"/>
          <c:showCatName val="0"/>
          <c:showSerName val="0"/>
          <c:showPercent val="0"/>
          <c:showBubbleSize val="0"/>
        </c:dLbls>
        <c:axId val="113520000"/>
        <c:axId val="113520576"/>
      </c:scatterChart>
      <c:valAx>
        <c:axId val="113520000"/>
        <c:scaling>
          <c:orientation val="minMax"/>
          <c:max val="100"/>
          <c:min val="0"/>
        </c:scaling>
        <c:delete val="0"/>
        <c:axPos val="b"/>
        <c:minorGridlines>
          <c:spPr>
            <a:ln w="3175">
              <a:solidFill>
                <a:schemeClr val="tx1"/>
              </a:solidFill>
              <a:prstDash val="solid"/>
            </a:ln>
          </c:spPr>
        </c:minorGridlines>
        <c:numFmt formatCode="#,##0" sourceLinked="0"/>
        <c:majorTickMark val="out"/>
        <c:minorTickMark val="cross"/>
        <c:tickLblPos val="nextTo"/>
        <c:spPr>
          <a:noFill/>
          <a:ln w="9525">
            <a:solidFill>
              <a:sysClr val="windowText" lastClr="000000"/>
            </a:solidFill>
          </a:ln>
        </c:spPr>
        <c:txPr>
          <a:bodyPr rot="0" vert="horz"/>
          <a:lstStyle/>
          <a:p>
            <a:pPr>
              <a:defRPr sz="800" b="0" i="0" u="none" strike="noStrike" baseline="0">
                <a:solidFill>
                  <a:srgbClr val="000000"/>
                </a:solidFill>
                <a:latin typeface="Calibri"/>
                <a:ea typeface="Calibri"/>
                <a:cs typeface="Calibri"/>
              </a:defRPr>
            </a:pPr>
            <a:endParaRPr lang="en-US"/>
          </a:p>
        </c:txPr>
        <c:crossAx val="113520576"/>
        <c:crosses val="autoZero"/>
        <c:crossBetween val="midCat"/>
        <c:majorUnit val="10"/>
      </c:valAx>
      <c:valAx>
        <c:axId val="113520576"/>
        <c:scaling>
          <c:orientation val="minMax"/>
          <c:max val="2"/>
          <c:min val="0"/>
        </c:scaling>
        <c:delete val="1"/>
        <c:axPos val="l"/>
        <c:numFmt formatCode="General" sourceLinked="1"/>
        <c:majorTickMark val="out"/>
        <c:minorTickMark val="none"/>
        <c:tickLblPos val="none"/>
        <c:crossAx val="113520000"/>
        <c:crosses val="autoZero"/>
        <c:crossBetween val="midCat"/>
      </c:valAx>
      <c:spPr>
        <a:noFill/>
        <a:ln w="25400">
          <a:noFill/>
        </a:ln>
      </c:spPr>
    </c:plotArea>
    <c:plotVisOnly val="1"/>
    <c:dispBlanksAs val="gap"/>
    <c:showDLblsOverMax val="0"/>
  </c:chart>
  <c:spPr>
    <a:no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0"/>
          <c:tx>
            <c:strRef>
              <c:f>iCntyScoreCard!$V$40</c:f>
              <c:strCache>
                <c:ptCount val="1"/>
                <c:pt idx="0">
                  <c:v>0</c:v>
                </c:pt>
              </c:strCache>
            </c:strRef>
          </c:tx>
          <c:spPr>
            <a:ln w="28575">
              <a:noFill/>
            </a:ln>
          </c:spPr>
          <c:marker>
            <c:symbol val="square"/>
            <c:size val="9"/>
            <c:spPr>
              <a:solidFill>
                <a:schemeClr val="accent1">
                  <a:lumMod val="75000"/>
                </a:schemeClr>
              </a:solidFill>
              <a:ln>
                <a:solidFill>
                  <a:schemeClr val="tx2">
                    <a:lumMod val="75000"/>
                  </a:schemeClr>
                </a:solidFill>
              </a:ln>
            </c:spPr>
          </c:marker>
          <c:xVal>
            <c:numRef>
              <c:f>iCntyScoreCard!$U$40</c:f>
              <c:numCache>
                <c:formatCode>General</c:formatCode>
                <c:ptCount val="1"/>
                <c:pt idx="0">
                  <c:v>65.900000000000006</c:v>
                </c:pt>
              </c:numCache>
            </c:numRef>
          </c:xVal>
          <c:yVal>
            <c:numRef>
              <c:f>iCntyScoreCard!$T$40</c:f>
              <c:numCache>
                <c:formatCode>General</c:formatCode>
                <c:ptCount val="1"/>
                <c:pt idx="0">
                  <c:v>1</c:v>
                </c:pt>
              </c:numCache>
            </c:numRef>
          </c:yVal>
          <c:smooth val="0"/>
          <c:extLst>
            <c:ext xmlns:c16="http://schemas.microsoft.com/office/drawing/2014/chart" uri="{C3380CC4-5D6E-409C-BE32-E72D297353CC}">
              <c16:uniqueId val="{00000000-26B3-4A02-9732-CE7249CC101F}"/>
            </c:ext>
          </c:extLst>
        </c:ser>
        <c:ser>
          <c:idx val="0"/>
          <c:order val="1"/>
          <c:spPr>
            <a:ln w="28575">
              <a:noFill/>
            </a:ln>
          </c:spPr>
          <c:marker>
            <c:symbol val="diamond"/>
            <c:size val="6"/>
            <c:spPr>
              <a:solidFill>
                <a:schemeClr val="bg1">
                  <a:lumMod val="65000"/>
                </a:schemeClr>
              </a:solidFill>
              <a:ln>
                <a:solidFill>
                  <a:srgbClr val="31659C"/>
                </a:solidFill>
                <a:prstDash val="solid"/>
              </a:ln>
            </c:spPr>
          </c:marker>
          <c:xVal>
            <c:numRef>
              <c:f>iCntyScoreCard!$V$6:$V$35</c:f>
              <c:numCache>
                <c:formatCode>General</c:formatCode>
                <c:ptCount val="30"/>
                <c:pt idx="0">
                  <c:v>85.4</c:v>
                </c:pt>
                <c:pt idx="1">
                  <c:v>77</c:v>
                </c:pt>
                <c:pt idx="2">
                  <c:v>80.7</c:v>
                </c:pt>
                <c:pt idx="3">
                  <c:v>71.3</c:v>
                </c:pt>
                <c:pt idx="4">
                  <c:v>75.3</c:v>
                </c:pt>
                <c:pt idx="5">
                  <c:v>76.2</c:v>
                </c:pt>
                <c:pt idx="6">
                  <c:v>78</c:v>
                </c:pt>
                <c:pt idx="7">
                  <c:v>83.1</c:v>
                </c:pt>
                <c:pt idx="8">
                  <c:v>75.599999999999994</c:v>
                </c:pt>
                <c:pt idx="9">
                  <c:v>71.900000000000006</c:v>
                </c:pt>
                <c:pt idx="10">
                  <c:v>62.8</c:v>
                </c:pt>
                <c:pt idx="11">
                  <c:v>81</c:v>
                </c:pt>
                <c:pt idx="12">
                  <c:v>61.6</c:v>
                </c:pt>
                <c:pt idx="13">
                  <c:v>71.2</c:v>
                </c:pt>
                <c:pt idx="14">
                  <c:v>74.2</c:v>
                </c:pt>
                <c:pt idx="15">
                  <c:v>65.900000000000006</c:v>
                </c:pt>
                <c:pt idx="16">
                  <c:v>76.599999999999994</c:v>
                </c:pt>
                <c:pt idx="17">
                  <c:v>63.5</c:v>
                </c:pt>
                <c:pt idx="18">
                  <c:v>64.599999999999994</c:v>
                </c:pt>
                <c:pt idx="19">
                  <c:v>71.3</c:v>
                </c:pt>
                <c:pt idx="20">
                  <c:v>64.900000000000006</c:v>
                </c:pt>
                <c:pt idx="21">
                  <c:v>59.7</c:v>
                </c:pt>
                <c:pt idx="22">
                  <c:v>58.9</c:v>
                </c:pt>
                <c:pt idx="23">
                  <c:v>56.5</c:v>
                </c:pt>
                <c:pt idx="24">
                  <c:v>55.3</c:v>
                </c:pt>
                <c:pt idx="25">
                  <c:v>40.799999999999997</c:v>
                </c:pt>
                <c:pt idx="26">
                  <c:v>48.1</c:v>
                </c:pt>
                <c:pt idx="27">
                  <c:v>53</c:v>
                </c:pt>
                <c:pt idx="28">
                  <c:v>28.4</c:v>
                </c:pt>
                <c:pt idx="29">
                  <c:v>43.8</c:v>
                </c:pt>
              </c:numCache>
            </c:numRef>
          </c:xVal>
          <c:yVal>
            <c:numRef>
              <c:f>iCntyScoreCard!$W$6:$W$35</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yVal>
          <c:smooth val="0"/>
          <c:extLst>
            <c:ext xmlns:c16="http://schemas.microsoft.com/office/drawing/2014/chart" uri="{C3380CC4-5D6E-409C-BE32-E72D297353CC}">
              <c16:uniqueId val="{00000001-26B3-4A02-9732-CE7249CC101F}"/>
            </c:ext>
          </c:extLst>
        </c:ser>
        <c:ser>
          <c:idx val="1"/>
          <c:order val="2"/>
          <c:tx>
            <c:strRef>
              <c:f>uxb_works!$C$26</c:f>
              <c:strCache>
                <c:ptCount val="1"/>
                <c:pt idx="0">
                  <c:v>Amsterdam</c:v>
                </c:pt>
              </c:strCache>
            </c:strRef>
          </c:tx>
          <c:spPr>
            <a:ln w="28575">
              <a:noFill/>
            </a:ln>
          </c:spPr>
          <c:marker>
            <c:symbol val="circle"/>
            <c:size val="9"/>
            <c:spPr>
              <a:solidFill>
                <a:srgbClr val="C0504D"/>
              </a:solidFill>
              <a:ln>
                <a:solidFill>
                  <a:srgbClr val="993366"/>
                </a:solidFill>
                <a:prstDash val="solid"/>
              </a:ln>
            </c:spPr>
          </c:marker>
          <c:dLbls>
            <c:spPr>
              <a:no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iCntyScoreCard!$U$39</c:f>
              <c:numCache>
                <c:formatCode>General</c:formatCode>
                <c:ptCount val="1"/>
                <c:pt idx="0">
                  <c:v>77</c:v>
                </c:pt>
              </c:numCache>
            </c:numRef>
          </c:xVal>
          <c:yVal>
            <c:numRef>
              <c:f>iCntyScoreCard!$T$39</c:f>
              <c:numCache>
                <c:formatCode>General</c:formatCode>
                <c:ptCount val="1"/>
                <c:pt idx="0">
                  <c:v>1</c:v>
                </c:pt>
              </c:numCache>
            </c:numRef>
          </c:yVal>
          <c:smooth val="0"/>
          <c:extLst>
            <c:ext xmlns:c16="http://schemas.microsoft.com/office/drawing/2014/chart" uri="{C3380CC4-5D6E-409C-BE32-E72D297353CC}">
              <c16:uniqueId val="{00000002-26B3-4A02-9732-CE7249CC101F}"/>
            </c:ext>
          </c:extLst>
        </c:ser>
        <c:dLbls>
          <c:showLegendKey val="0"/>
          <c:showVal val="0"/>
          <c:showCatName val="0"/>
          <c:showSerName val="0"/>
          <c:showPercent val="0"/>
          <c:showBubbleSize val="0"/>
        </c:dLbls>
        <c:axId val="99713600"/>
        <c:axId val="99714176"/>
      </c:scatterChart>
      <c:valAx>
        <c:axId val="99713600"/>
        <c:scaling>
          <c:orientation val="minMax"/>
          <c:max val="100"/>
          <c:min val="0"/>
        </c:scaling>
        <c:delete val="1"/>
        <c:axPos val="b"/>
        <c:majorGridlines/>
        <c:numFmt formatCode="#,##0" sourceLinked="0"/>
        <c:majorTickMark val="out"/>
        <c:minorTickMark val="none"/>
        <c:tickLblPos val="nextTo"/>
        <c:crossAx val="99714176"/>
        <c:crosses val="autoZero"/>
        <c:crossBetween val="midCat"/>
        <c:majorUnit val="10"/>
      </c:valAx>
      <c:valAx>
        <c:axId val="99714176"/>
        <c:scaling>
          <c:orientation val="minMax"/>
          <c:max val="2"/>
          <c:min val="0"/>
        </c:scaling>
        <c:delete val="1"/>
        <c:axPos val="l"/>
        <c:numFmt formatCode="General" sourceLinked="1"/>
        <c:majorTickMark val="out"/>
        <c:minorTickMark val="none"/>
        <c:tickLblPos val="none"/>
        <c:crossAx val="99713600"/>
        <c:crosses val="autoZero"/>
        <c:crossBetween val="midCat"/>
      </c:valAx>
      <c:spPr>
        <a:noFill/>
        <a:ln w="25400">
          <a:noFill/>
        </a:ln>
      </c:spPr>
    </c:plotArea>
    <c:plotVisOnly val="1"/>
    <c:dispBlanksAs val="gap"/>
    <c:showDLblsOverMax val="0"/>
  </c:chart>
  <c:spPr>
    <a:no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0"/>
          <c:tx>
            <c:strRef>
              <c:f>iCntyScoreCard!$AN$40</c:f>
              <c:strCache>
                <c:ptCount val="1"/>
                <c:pt idx="0">
                  <c:v>0</c:v>
                </c:pt>
              </c:strCache>
            </c:strRef>
          </c:tx>
          <c:spPr>
            <a:ln w="28575">
              <a:noFill/>
            </a:ln>
          </c:spPr>
          <c:marker>
            <c:symbol val="square"/>
            <c:size val="9"/>
            <c:spPr>
              <a:solidFill>
                <a:schemeClr val="accent1">
                  <a:lumMod val="75000"/>
                </a:schemeClr>
              </a:solidFill>
              <a:ln>
                <a:solidFill>
                  <a:schemeClr val="accent1">
                    <a:lumMod val="75000"/>
                  </a:schemeClr>
                </a:solidFill>
              </a:ln>
            </c:spPr>
          </c:marker>
          <c:xVal>
            <c:numRef>
              <c:f>iCntyScoreCard!$AM$40</c:f>
              <c:numCache>
                <c:formatCode>General</c:formatCode>
                <c:ptCount val="1"/>
                <c:pt idx="0">
                  <c:v>69.3</c:v>
                </c:pt>
              </c:numCache>
            </c:numRef>
          </c:xVal>
          <c:yVal>
            <c:numRef>
              <c:f>iCntyScoreCard!$AL$40</c:f>
              <c:numCache>
                <c:formatCode>General</c:formatCode>
                <c:ptCount val="1"/>
                <c:pt idx="0">
                  <c:v>1</c:v>
                </c:pt>
              </c:numCache>
            </c:numRef>
          </c:yVal>
          <c:smooth val="0"/>
          <c:extLst>
            <c:ext xmlns:c16="http://schemas.microsoft.com/office/drawing/2014/chart" uri="{C3380CC4-5D6E-409C-BE32-E72D297353CC}">
              <c16:uniqueId val="{00000000-4B9C-41BC-B488-891D00629184}"/>
            </c:ext>
          </c:extLst>
        </c:ser>
        <c:ser>
          <c:idx val="0"/>
          <c:order val="1"/>
          <c:spPr>
            <a:ln w="28575">
              <a:noFill/>
            </a:ln>
          </c:spPr>
          <c:marker>
            <c:symbol val="diamond"/>
            <c:size val="6"/>
            <c:spPr>
              <a:solidFill>
                <a:schemeClr val="bg1">
                  <a:lumMod val="65000"/>
                </a:schemeClr>
              </a:solidFill>
              <a:ln>
                <a:solidFill>
                  <a:srgbClr val="31659C"/>
                </a:solidFill>
                <a:prstDash val="solid"/>
              </a:ln>
            </c:spPr>
          </c:marker>
          <c:xVal>
            <c:numRef>
              <c:f>iCntyScoreCard!$AN$6:$AN$35</c:f>
              <c:numCache>
                <c:formatCode>General</c:formatCode>
                <c:ptCount val="30"/>
                <c:pt idx="0">
                  <c:v>93.9</c:v>
                </c:pt>
                <c:pt idx="1">
                  <c:v>74.599999999999994</c:v>
                </c:pt>
                <c:pt idx="2">
                  <c:v>94.4</c:v>
                </c:pt>
                <c:pt idx="3">
                  <c:v>93.9</c:v>
                </c:pt>
                <c:pt idx="4">
                  <c:v>66.599999999999994</c:v>
                </c:pt>
                <c:pt idx="5">
                  <c:v>95.7</c:v>
                </c:pt>
                <c:pt idx="6">
                  <c:v>88.2</c:v>
                </c:pt>
                <c:pt idx="7">
                  <c:v>92.5</c:v>
                </c:pt>
                <c:pt idx="8">
                  <c:v>93.8</c:v>
                </c:pt>
                <c:pt idx="9">
                  <c:v>87.7</c:v>
                </c:pt>
                <c:pt idx="10">
                  <c:v>57.2</c:v>
                </c:pt>
                <c:pt idx="11">
                  <c:v>83.5</c:v>
                </c:pt>
                <c:pt idx="12">
                  <c:v>70.2</c:v>
                </c:pt>
                <c:pt idx="13">
                  <c:v>87.1</c:v>
                </c:pt>
                <c:pt idx="14">
                  <c:v>89.8</c:v>
                </c:pt>
                <c:pt idx="15">
                  <c:v>71.3</c:v>
                </c:pt>
                <c:pt idx="16">
                  <c:v>78.5</c:v>
                </c:pt>
                <c:pt idx="17">
                  <c:v>0.4</c:v>
                </c:pt>
                <c:pt idx="18">
                  <c:v>79.2</c:v>
                </c:pt>
                <c:pt idx="19">
                  <c:v>71.5</c:v>
                </c:pt>
                <c:pt idx="20">
                  <c:v>87.8</c:v>
                </c:pt>
                <c:pt idx="21">
                  <c:v>46.8</c:v>
                </c:pt>
                <c:pt idx="22">
                  <c:v>65.099999999999994</c:v>
                </c:pt>
                <c:pt idx="23">
                  <c:v>59.7</c:v>
                </c:pt>
                <c:pt idx="24">
                  <c:v>53.4</c:v>
                </c:pt>
                <c:pt idx="25">
                  <c:v>25.1</c:v>
                </c:pt>
                <c:pt idx="26">
                  <c:v>45.8</c:v>
                </c:pt>
                <c:pt idx="27">
                  <c:v>63</c:v>
                </c:pt>
                <c:pt idx="28">
                  <c:v>26.5</c:v>
                </c:pt>
                <c:pt idx="29">
                  <c:v>37.1</c:v>
                </c:pt>
              </c:numCache>
            </c:numRef>
          </c:xVal>
          <c:yVal>
            <c:numRef>
              <c:f>iCntyScoreCard!$AO$6:$AO$35</c:f>
              <c:numCache>
                <c:formatCode>General</c:formatCode>
                <c:ptCount val="3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numCache>
            </c:numRef>
          </c:yVal>
          <c:smooth val="0"/>
          <c:extLst>
            <c:ext xmlns:c16="http://schemas.microsoft.com/office/drawing/2014/chart" uri="{C3380CC4-5D6E-409C-BE32-E72D297353CC}">
              <c16:uniqueId val="{00000001-4B9C-41BC-B488-891D00629184}"/>
            </c:ext>
          </c:extLst>
        </c:ser>
        <c:ser>
          <c:idx val="1"/>
          <c:order val="2"/>
          <c:tx>
            <c:strRef>
              <c:f>uxb_works!$C$26</c:f>
              <c:strCache>
                <c:ptCount val="1"/>
                <c:pt idx="0">
                  <c:v>Amsterdam</c:v>
                </c:pt>
              </c:strCache>
            </c:strRef>
          </c:tx>
          <c:spPr>
            <a:ln w="28575">
              <a:noFill/>
            </a:ln>
          </c:spPr>
          <c:marker>
            <c:symbol val="circle"/>
            <c:size val="9"/>
            <c:spPr>
              <a:solidFill>
                <a:srgbClr val="C0504D"/>
              </a:solidFill>
              <a:ln>
                <a:solidFill>
                  <a:srgbClr val="993366"/>
                </a:solidFill>
                <a:prstDash val="solid"/>
              </a:ln>
            </c:spPr>
          </c:marker>
          <c:dLbls>
            <c:spPr>
              <a:noFill/>
              <a:ln w="25400">
                <a:noFill/>
              </a:ln>
            </c:spPr>
            <c:txPr>
              <a:bodyPr/>
              <a:lstStyle/>
              <a:p>
                <a:pPr algn="ctr" rtl="0">
                  <a:defRPr sz="800" b="0" i="0" u="none" strike="noStrike" baseline="0">
                    <a:solidFill>
                      <a:srgbClr val="000000"/>
                    </a:solidFill>
                    <a:latin typeface="Calibri"/>
                    <a:ea typeface="Calibri"/>
                    <a:cs typeface="Calibri"/>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iCntyScoreCard!$AM$39</c:f>
              <c:numCache>
                <c:formatCode>General</c:formatCode>
                <c:ptCount val="1"/>
                <c:pt idx="0">
                  <c:v>74.599999999999994</c:v>
                </c:pt>
              </c:numCache>
            </c:numRef>
          </c:xVal>
          <c:yVal>
            <c:numRef>
              <c:f>iCntyScoreCard!$AL$39</c:f>
              <c:numCache>
                <c:formatCode>General</c:formatCode>
                <c:ptCount val="1"/>
                <c:pt idx="0">
                  <c:v>1</c:v>
                </c:pt>
              </c:numCache>
            </c:numRef>
          </c:yVal>
          <c:smooth val="0"/>
          <c:extLst>
            <c:ext xmlns:c16="http://schemas.microsoft.com/office/drawing/2014/chart" uri="{C3380CC4-5D6E-409C-BE32-E72D297353CC}">
              <c16:uniqueId val="{00000002-4B9C-41BC-B488-891D00629184}"/>
            </c:ext>
          </c:extLst>
        </c:ser>
        <c:dLbls>
          <c:showLegendKey val="0"/>
          <c:showVal val="0"/>
          <c:showCatName val="0"/>
          <c:showSerName val="0"/>
          <c:showPercent val="0"/>
          <c:showBubbleSize val="0"/>
        </c:dLbls>
        <c:axId val="113649344"/>
        <c:axId val="113649920"/>
      </c:scatterChart>
      <c:valAx>
        <c:axId val="113649344"/>
        <c:scaling>
          <c:orientation val="minMax"/>
          <c:max val="100"/>
          <c:min val="0"/>
        </c:scaling>
        <c:delete val="1"/>
        <c:axPos val="b"/>
        <c:majorGridlines/>
        <c:numFmt formatCode="#,##0" sourceLinked="0"/>
        <c:majorTickMark val="out"/>
        <c:minorTickMark val="none"/>
        <c:tickLblPos val="nextTo"/>
        <c:crossAx val="113649920"/>
        <c:crosses val="autoZero"/>
        <c:crossBetween val="midCat"/>
        <c:majorUnit val="10"/>
      </c:valAx>
      <c:valAx>
        <c:axId val="113649920"/>
        <c:scaling>
          <c:orientation val="minMax"/>
          <c:max val="2"/>
          <c:min val="0"/>
        </c:scaling>
        <c:delete val="1"/>
        <c:axPos val="l"/>
        <c:numFmt formatCode="General" sourceLinked="1"/>
        <c:majorTickMark val="out"/>
        <c:minorTickMark val="none"/>
        <c:tickLblPos val="none"/>
        <c:crossAx val="113649344"/>
        <c:crosses val="autoZero"/>
        <c:crossBetween val="midCat"/>
      </c:valAx>
      <c:spPr>
        <a:noFill/>
        <a:ln w="25400">
          <a:noFill/>
        </a:ln>
      </c:spPr>
    </c:plotArea>
    <c:plotVisOnly val="1"/>
    <c:dispBlanksAs val="gap"/>
    <c:showDLblsOverMax val="0"/>
  </c:chart>
  <c:spPr>
    <a:noFill/>
    <a:ln w="3175">
      <a:no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7" dropStyle="combo" dx="16" fmlaLink="uxb_works!$B$59" fmlaRange="uxb_works!$B$53:$B$57" noThreeD="1" sel="4" val="0"/>
</file>

<file path=xl/ctrlProps/ctrlProp10.xml><?xml version="1.0" encoding="utf-8"?>
<formControlPr xmlns="http://schemas.microsoft.com/office/spreadsheetml/2009/9/main" objectType="Drop" dropLines="25" dropStyle="combo" dx="16" fmlaLink="uxb_works!$B$6" fmlaRange="LuCityPlusNone" noThreeD="1" sel="1" val="0"/>
</file>

<file path=xl/ctrlProps/ctrlProp11.xml><?xml version="1.0" encoding="utf-8"?>
<formControlPr xmlns="http://schemas.microsoft.com/office/spreadsheetml/2009/9/main" objectType="Drop" dropLines="25" dropStyle="combo" dx="16" fmlaLink="uxb_works!$B$10" fmlaRange="lu_Filter_Income" noThreeD="1" sel="1" val="0"/>
</file>

<file path=xl/ctrlProps/ctrlProp12.xml><?xml version="1.0" encoding="utf-8"?>
<formControlPr xmlns="http://schemas.microsoft.com/office/spreadsheetml/2009/9/main" objectType="Drop" dropLines="25" dropStyle="combo" dx="16" fmlaLink="uxb_works!$B$12" fmlaRange="lu_Filter_Region" noThreeD="1" sel="1" val="0"/>
</file>

<file path=xl/ctrlProps/ctrlProp13.xml><?xml version="1.0" encoding="utf-8"?>
<formControlPr xmlns="http://schemas.microsoft.com/office/spreadsheetml/2009/9/main" objectType="Drop" dropLines="20" dropStyle="combo" dx="16" fmlaLink="uxb_works!$B$4" fmlaRange="LuWeights" noThreeD="1" sel="1" val="0"/>
</file>

<file path=xl/ctrlProps/ctrlProp14.xml><?xml version="1.0" encoding="utf-8"?>
<formControlPr xmlns="http://schemas.microsoft.com/office/spreadsheetml/2009/9/main" objectType="Drop" dropLines="25" dropStyle="combo" dx="16" fmlaLink="uxb_works!$B$158" fmlaRange="lu_Filter_Pop" noThreeD="1" sel="1" val="0"/>
</file>

<file path=xl/ctrlProps/ctrlProp15.xml><?xml version="1.0" encoding="utf-8"?>
<formControlPr xmlns="http://schemas.microsoft.com/office/spreadsheetml/2009/9/main" objectType="Drop" dropLines="25" dropStyle="combo" dx="16" fmlaLink="uxb_works!$B$8" fmlaRange="lu_Highlight" noThreeD="1" sel="1" val="0"/>
</file>

<file path=xl/ctrlProps/ctrlProp16.xml><?xml version="1.0" encoding="utf-8"?>
<formControlPr xmlns="http://schemas.microsoft.com/office/spreadsheetml/2009/9/main" objectType="Drop" dropLines="25" dropStyle="combo" dx="16" fmlaLink="uxb_works!$B$26" fmlaRange="luCities" noThreeD="1" sel="1" val="0"/>
</file>

<file path=xl/ctrlProps/ctrlProp17.xml><?xml version="1.0" encoding="utf-8"?>
<formControlPr xmlns="http://schemas.microsoft.com/office/spreadsheetml/2009/9/main" objectType="Drop" dropLines="25" dropStyle="combo" dx="16" fmlaLink="uxb_works!$B$32" fmlaRange="tblIndiSets!$E$86:$E$107" noThreeD="1" sel="1" val="0"/>
</file>

<file path=xl/ctrlProps/ctrlProp18.xml><?xml version="1.0" encoding="utf-8"?>
<formControlPr xmlns="http://schemas.microsoft.com/office/spreadsheetml/2009/9/main" objectType="Drop" dropLines="25" dropStyle="combo" dx="16" fmlaLink="uxb_works!$B$10" fmlaRange="lu_Filter_Income" noThreeD="1" sel="1" val="0"/>
</file>

<file path=xl/ctrlProps/ctrlProp19.xml><?xml version="1.0" encoding="utf-8"?>
<formControlPr xmlns="http://schemas.microsoft.com/office/spreadsheetml/2009/9/main" objectType="Drop" dropLines="25" dropStyle="combo" dx="16" fmlaLink="uxb_works!$B$12" fmlaRange="lu_Filter_Region" noThreeD="1" sel="1" val="0"/>
</file>

<file path=xl/ctrlProps/ctrlProp2.xml><?xml version="1.0" encoding="utf-8"?>
<formControlPr xmlns="http://schemas.microsoft.com/office/spreadsheetml/2009/9/main" objectType="CheckBox" checked="Checked" fmlaLink="uxb_works!$B$49" lockText="1" noThreeD="1"/>
</file>

<file path=xl/ctrlProps/ctrlProp20.xml><?xml version="1.0" encoding="utf-8"?>
<formControlPr xmlns="http://schemas.microsoft.com/office/spreadsheetml/2009/9/main" objectType="Drop" dropLines="20" dropStyle="combo" dx="16" fmlaLink="uxb_works!$B$4" fmlaRange="LuWeights" noThreeD="1" sel="1" val="0"/>
</file>

<file path=xl/ctrlProps/ctrlProp21.xml><?xml version="1.0" encoding="utf-8"?>
<formControlPr xmlns="http://schemas.microsoft.com/office/spreadsheetml/2009/9/main" objectType="Drop" dropLines="25" dropStyle="combo" dx="16" fmlaLink="uxb_works!$B$158" fmlaRange="lu_Filter_Pop" noThreeD="1" sel="1" val="0"/>
</file>

<file path=xl/ctrlProps/ctrlProp22.xml><?xml version="1.0" encoding="utf-8"?>
<formControlPr xmlns="http://schemas.microsoft.com/office/spreadsheetml/2009/9/main" objectType="Drop" dropLines="25" dropStyle="combo" dx="16" fmlaLink="uxb_works!$B$26" fmlaRange="luCities" noThreeD="1" sel="1" val="0"/>
</file>

<file path=xl/ctrlProps/ctrlProp23.xml><?xml version="1.0" encoding="utf-8"?>
<formControlPr xmlns="http://schemas.microsoft.com/office/spreadsheetml/2009/9/main" objectType="Drop" dropLines="25" dropStyle="combo" dx="16" fmlaLink="uxb_works!$B$26" fmlaRange="luCities" noThreeD="1" sel="1" val="5"/>
</file>

<file path=xl/ctrlProps/ctrlProp24.xml><?xml version="1.0" encoding="utf-8"?>
<formControlPr xmlns="http://schemas.microsoft.com/office/spreadsheetml/2009/9/main" objectType="Drop" dropLines="25" dropStyle="combo" dx="16" fmlaLink="uxb_works!$B$27" fmlaRange="LuCityPlusNone" noThreeD="1" sel="3" val="3"/>
</file>

<file path=xl/ctrlProps/ctrlProp25.xml><?xml version="1.0" encoding="utf-8"?>
<formControlPr xmlns="http://schemas.microsoft.com/office/spreadsheetml/2009/9/main" objectType="Drop" dropLines="25" dropStyle="combo" dx="16" fmlaLink="uxb_works!$B$130" fmlaRange="tblIndiSets!$E$5:$E$9" noThreeD="1" sel="1" val="0"/>
</file>

<file path=xl/ctrlProps/ctrlProp26.xml><?xml version="1.0" encoding="utf-8"?>
<formControlPr xmlns="http://schemas.microsoft.com/office/spreadsheetml/2009/9/main" objectType="Drop" dropLines="25" dropStyle="combo" dx="16" fmlaLink="uxb_works!$B$10" fmlaRange="lu_Filter_Income" noThreeD="1" sel="1" val="0"/>
</file>

<file path=xl/ctrlProps/ctrlProp27.xml><?xml version="1.0" encoding="utf-8"?>
<formControlPr xmlns="http://schemas.microsoft.com/office/spreadsheetml/2009/9/main" objectType="Drop" dropLines="25" dropStyle="combo" dx="16" fmlaLink="uxb_works!$B$12" fmlaRange="lu_Filter_Region" noThreeD="1" sel="1" val="0"/>
</file>

<file path=xl/ctrlProps/ctrlProp28.xml><?xml version="1.0" encoding="utf-8"?>
<formControlPr xmlns="http://schemas.microsoft.com/office/spreadsheetml/2009/9/main" objectType="Drop" dropLines="20" dropStyle="combo" dx="16" fmlaLink="uxb_works!$B$4" fmlaRange="LuWeights" noThreeD="1" sel="1" val="0"/>
</file>

<file path=xl/ctrlProps/ctrlProp29.xml><?xml version="1.0" encoding="utf-8"?>
<formControlPr xmlns="http://schemas.microsoft.com/office/spreadsheetml/2009/9/main" objectType="Drop" dropLines="25" dropStyle="combo" dx="16" fmlaLink="uxb_works!$B$158" fmlaRange="lu_Filter_Pop" noThreeD="1" sel="1" val="0"/>
</file>

<file path=xl/ctrlProps/ctrlProp3.xml><?xml version="1.0" encoding="utf-8"?>
<formControlPr xmlns="http://schemas.microsoft.com/office/spreadsheetml/2009/9/main" objectType="Drop" dropLines="25" dropStyle="combo" dx="16" fmlaLink="uxb_works!$B$8" fmlaRange="lu_Highlight" noThreeD="1" sel="1" val="0"/>
</file>

<file path=xl/ctrlProps/ctrlProp30.xml><?xml version="1.0" encoding="utf-8"?>
<formControlPr xmlns="http://schemas.microsoft.com/office/spreadsheetml/2009/9/main" objectType="Drop" dropLines="25" dropStyle="combo" dx="16" fmlaLink="uxb_works!$B$168" fmlaRange="LuIndiVar_RC" noThreeD="1" sel="1" val="0"/>
</file>

<file path=xl/ctrlProps/ctrlProp31.xml><?xml version="1.0" encoding="utf-8"?>
<formControlPr xmlns="http://schemas.microsoft.com/office/spreadsheetml/2009/9/main" objectType="CheckBox" checked="Checked" fmlaLink="uxb_works!$B$172" lockText="1" noThreeD="1"/>
</file>

<file path=xl/ctrlProps/ctrlProp32.xml><?xml version="1.0" encoding="utf-8"?>
<formControlPr xmlns="http://schemas.microsoft.com/office/spreadsheetml/2009/9/main" objectType="Drop" dropLines="25" dropStyle="combo" dx="16" fmlaLink="uxb_works!$B$10" fmlaRange="lu_Filter_Income" noThreeD="1" sel="1" val="0"/>
</file>

<file path=xl/ctrlProps/ctrlProp33.xml><?xml version="1.0" encoding="utf-8"?>
<formControlPr xmlns="http://schemas.microsoft.com/office/spreadsheetml/2009/9/main" objectType="Drop" dropLines="25" dropStyle="combo" dx="16" fmlaLink="uxb_works!$B$12" fmlaRange="lu_Filter_Region" noThreeD="1" sel="1" val="0"/>
</file>

<file path=xl/ctrlProps/ctrlProp34.xml><?xml version="1.0" encoding="utf-8"?>
<formControlPr xmlns="http://schemas.microsoft.com/office/spreadsheetml/2009/9/main" objectType="Drop" dropLines="20" dropStyle="combo" dx="16" fmlaLink="uxb_works!$B$4" fmlaRange="LuWeights" noThreeD="1" sel="1" val="0"/>
</file>

<file path=xl/ctrlProps/ctrlProp35.xml><?xml version="1.0" encoding="utf-8"?>
<formControlPr xmlns="http://schemas.microsoft.com/office/spreadsheetml/2009/9/main" objectType="Drop" dropLines="25" dropStyle="combo" dx="16" fmlaLink="uxb_works!$B$158" fmlaRange="lu_Filter_Pop" noThreeD="1" sel="1" val="0"/>
</file>

<file path=xl/ctrlProps/ctrlProp36.xml><?xml version="1.0" encoding="utf-8"?>
<formControlPr xmlns="http://schemas.microsoft.com/office/spreadsheetml/2009/9/main" objectType="Drop" dropLines="25" dropStyle="combo" dx="16" fmlaLink="uxb_works!$B$6" fmlaRange="LuCountryPlusNone" noThreeD="1" sel="1" val="0"/>
</file>

<file path=xl/ctrlProps/ctrlProp37.xml><?xml version="1.0" encoding="utf-8"?>
<formControlPr xmlns="http://schemas.microsoft.com/office/spreadsheetml/2009/9/main" objectType="CheckBox" fmlaLink="uxb_works!$B$38" lockText="1" noThreeD="1"/>
</file>

<file path=xl/ctrlProps/ctrlProp38.xml><?xml version="1.0" encoding="utf-8"?>
<formControlPr xmlns="http://schemas.microsoft.com/office/spreadsheetml/2009/9/main" objectType="CheckBox" fmlaLink="uxb_works!$B$39" lockText="1" noThreeD="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Drop" dropLines="25" dropStyle="combo" dx="16" fmlaLink="uxb_works!$B$6" fmlaRange="LuCountryPlusNone" noThreeD="1" sel="1" val="0"/>
</file>

<file path=xl/ctrlProps/ctrlProp40.xml><?xml version="1.0" encoding="utf-8"?>
<formControlPr xmlns="http://schemas.microsoft.com/office/spreadsheetml/2009/9/main" objectType="Drop" dropLines="25" dropStyle="combo" dx="16" fmlaLink="uxb_works!$B$8" fmlaRange="lu_Highlight" noThreeD="1" sel="1" val="0"/>
</file>

<file path=xl/ctrlProps/ctrlProp41.xml><?xml version="1.0" encoding="utf-8"?>
<formControlPr xmlns="http://schemas.microsoft.com/office/spreadsheetml/2009/9/main" objectType="Drop" dropLines="27" dropStyle="combo" dx="16" fmlaLink="uxb_works!$B$35" fmlaRange="lu_Scatter_X" noThreeD="1" sel="1" val="0"/>
</file>

<file path=xl/ctrlProps/ctrlProp42.xml><?xml version="1.0" encoding="utf-8"?>
<formControlPr xmlns="http://schemas.microsoft.com/office/spreadsheetml/2009/9/main" objectType="Drop" dropLines="27" dropStyle="combo" dx="16" fmlaLink="uxb_works!$B$36" fmlaRange="lu_Scatter_Y" noThreeD="1" sel="1" val="0"/>
</file>

<file path=xl/ctrlProps/ctrlProp43.xml><?xml version="1.0" encoding="utf-8"?>
<formControlPr xmlns="http://schemas.microsoft.com/office/spreadsheetml/2009/9/main" objectType="Drop" dropLines="25" dropStyle="combo" dx="16" fmlaLink="uxb_works!$B$10" fmlaRange="lu_Filter_Income" noThreeD="1" sel="1" val="0"/>
</file>

<file path=xl/ctrlProps/ctrlProp44.xml><?xml version="1.0" encoding="utf-8"?>
<formControlPr xmlns="http://schemas.microsoft.com/office/spreadsheetml/2009/9/main" objectType="Drop" dropLines="25" dropStyle="combo" dx="16" fmlaLink="uxb_works!$B$12" fmlaRange="lu_Filter_Region" noThreeD="1" sel="1" val="0"/>
</file>

<file path=xl/ctrlProps/ctrlProp45.xml><?xml version="1.0" encoding="utf-8"?>
<formControlPr xmlns="http://schemas.microsoft.com/office/spreadsheetml/2009/9/main" objectType="Drop" dropLines="20" dropStyle="combo" dx="16" fmlaLink="uxb_works!$B$4" fmlaRange="LuWeights" noThreeD="1" sel="1" val="0"/>
</file>

<file path=xl/ctrlProps/ctrlProp46.xml><?xml version="1.0" encoding="utf-8"?>
<formControlPr xmlns="http://schemas.microsoft.com/office/spreadsheetml/2009/9/main" objectType="Drop" dropLines="25" dropStyle="combo" dx="16" fmlaLink="uxb_works!$B$158" fmlaRange="lu_Filter_Pop" noThreeD="1" sel="1" val="0"/>
</file>

<file path=xl/ctrlProps/ctrlProp47.xml><?xml version="1.0" encoding="utf-8"?>
<formControlPr xmlns="http://schemas.microsoft.com/office/spreadsheetml/2009/9/main" objectType="Drop" dropLines="27" dropStyle="combo" dx="16" fmlaLink="uxb_works!$B$35" fmlaRange="lu_Scatter_X" noThreeD="1" sel="1" val="0"/>
</file>

<file path=xl/ctrlProps/ctrlProp48.xml><?xml version="1.0" encoding="utf-8"?>
<formControlPr xmlns="http://schemas.microsoft.com/office/spreadsheetml/2009/9/main" objectType="Drop" dropLines="25" dropStyle="combo" dx="16" fmlaLink="uxb_works!$B$10" fmlaRange="lu_Filter_Income" noThreeD="1" sel="1" val="0"/>
</file>

<file path=xl/ctrlProps/ctrlProp49.xml><?xml version="1.0" encoding="utf-8"?>
<formControlPr xmlns="http://schemas.microsoft.com/office/spreadsheetml/2009/9/main" objectType="Drop" dropLines="25" dropStyle="combo" dx="16" fmlaLink="uxb_works!$B$12" fmlaRange="lu_Filter_Region" noThreeD="1" sel="1" val="0"/>
</file>

<file path=xl/ctrlProps/ctrlProp5.xml><?xml version="1.0" encoding="utf-8"?>
<formControlPr xmlns="http://schemas.microsoft.com/office/spreadsheetml/2009/9/main" objectType="Drop" dropLines="25" dropStyle="combo" dx="16" fmlaLink="uxb_works!$B$10" fmlaRange="lu_Filter_Income" noThreeD="1" sel="1" val="0"/>
</file>

<file path=xl/ctrlProps/ctrlProp50.xml><?xml version="1.0" encoding="utf-8"?>
<formControlPr xmlns="http://schemas.microsoft.com/office/spreadsheetml/2009/9/main" objectType="Drop" dropLines="20" dropStyle="combo" dx="16" fmlaLink="uxb_works!$B$4" fmlaRange="LuWeights" noThreeD="1" sel="1" val="0"/>
</file>

<file path=xl/ctrlProps/ctrlProp51.xml><?xml version="1.0" encoding="utf-8"?>
<formControlPr xmlns="http://schemas.microsoft.com/office/spreadsheetml/2009/9/main" objectType="Drop" dropLines="25" dropStyle="combo" dx="16" fmlaLink="uxb_works!$B$158" fmlaRange="lu_Filter_Pop" noThreeD="1" sel="1" val="0"/>
</file>

<file path=xl/ctrlProps/ctrlProp52.xml><?xml version="1.0" encoding="utf-8"?>
<formControlPr xmlns="http://schemas.microsoft.com/office/spreadsheetml/2009/9/main" objectType="Drop" dropLines="25" dropStyle="combo" dx="16" fmlaLink="uxb_works!B46" fmlaRange="tblIndiSets!$A$181:$A$183" noThreeD="1" sel="3" val="0"/>
</file>

<file path=xl/ctrlProps/ctrlProp53.xml><?xml version="1.0" encoding="utf-8"?>
<formControlPr xmlns="http://schemas.microsoft.com/office/spreadsheetml/2009/9/main" objectType="Drop" dropLines="20" dropStyle="combo" dx="16" fmlaLink="uxb_works!$B$4" fmlaRange="LuWeights" noThreeD="1" sel="1" val="0"/>
</file>

<file path=xl/ctrlProps/ctrlProp54.xml><?xml version="1.0" encoding="utf-8"?>
<formControlPr xmlns="http://schemas.microsoft.com/office/spreadsheetml/2009/9/main" objectType="Drop" dropLines="25" dropStyle="combo" dx="16" fmlaLink="uxb_works!$B$10" fmlaRange="lu_Filter_Income" noThreeD="1" sel="1" val="0"/>
</file>

<file path=xl/ctrlProps/ctrlProp55.xml><?xml version="1.0" encoding="utf-8"?>
<formControlPr xmlns="http://schemas.microsoft.com/office/spreadsheetml/2009/9/main" objectType="Drop" dropLines="25" dropStyle="combo" dx="16" fmlaLink="uxb_works!$B$12" fmlaRange="lu_Filter_Region" noThreeD="1" sel="1" val="0"/>
</file>

<file path=xl/ctrlProps/ctrlProp56.xml><?xml version="1.0" encoding="utf-8"?>
<formControlPr xmlns="http://schemas.microsoft.com/office/spreadsheetml/2009/9/main" objectType="Drop" dropLines="25" dropStyle="combo" dx="16" fmlaLink="uxb_works!$B$158" fmlaRange="lu_Filter_Pop" noThreeD="1" sel="1" val="0"/>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Drop" dropLines="25" dropStyle="combo" dx="16" fmlaLink="uxb_works!C4" fmlaRange="tblIndiSets!$C$181:$C$182" noThreeD="1" sel="1" val="0"/>
</file>

<file path=xl/ctrlProps/ctrlProp59.xml><?xml version="1.0" encoding="utf-8"?>
<formControlPr xmlns="http://schemas.microsoft.com/office/spreadsheetml/2009/9/main" objectType="Drop" dropLines="20" dropStyle="combo" dx="16" fmlaLink="uxb_works!$B$4" fmlaRange="LuWeights" noThreeD="1" sel="1" val="0"/>
</file>

<file path=xl/ctrlProps/ctrlProp6.xml><?xml version="1.0" encoding="utf-8"?>
<formControlPr xmlns="http://schemas.microsoft.com/office/spreadsheetml/2009/9/main" objectType="Drop" dropLines="25" dropStyle="combo" dx="16" fmlaLink="uxb_works!$B$12" fmlaRange="lu_Filter_Region" noThreeD="1" sel="1" val="0"/>
</file>

<file path=xl/ctrlProps/ctrlProp60.xml><?xml version="1.0" encoding="utf-8"?>
<formControlPr xmlns="http://schemas.microsoft.com/office/spreadsheetml/2009/9/main" objectType="Button" lockText="1"/>
</file>

<file path=xl/ctrlProps/ctrlProp7.xml><?xml version="1.0" encoding="utf-8"?>
<formControlPr xmlns="http://schemas.microsoft.com/office/spreadsheetml/2009/9/main" objectType="Drop" dropLines="20" dropStyle="combo" dx="16" fmlaLink="uxb_works!$B$4" fmlaRange="LuWeights" noThreeD="1" sel="1" val="0"/>
</file>

<file path=xl/ctrlProps/ctrlProp8.xml><?xml version="1.0" encoding="utf-8"?>
<formControlPr xmlns="http://schemas.microsoft.com/office/spreadsheetml/2009/9/main" objectType="Drop" dropLines="25" dropStyle="combo" dx="16" fmlaLink="uxb_works!$B$158" fmlaRange="lu_Filter_Pop" noThreeD="1" sel="1" val="0"/>
</file>

<file path=xl/ctrlProps/ctrlProp9.xml><?xml version="1.0" encoding="utf-8"?>
<formControlPr xmlns="http://schemas.microsoft.com/office/spreadsheetml/2009/9/main" objectType="Drop" dropLines="27" dropStyle="combo" dx="16" fmlaLink="uxb_works!$B$23" fmlaRange="LuIndiVar" noThreeD="1" sel="41" val="20"/>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jpeg"/><Relationship Id="rId7"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hyperlink" Target="http://office.microsoft.com/en-us/excel-help/enable-or-disable-macros-in-office-documents-HA010031071.aspx" TargetMode="External"/><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hyperlink" Target="mailto:ritubhandari@economist.com?subject=Digital%20Cities%20Index%202022"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1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chart" Target="../charts/chart1.xml"/><Relationship Id="rId7" Type="http://schemas.openxmlformats.org/officeDocument/2006/relationships/image" Target="../media/image5.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chart" Target="../charts/chart2.xml"/></Relationships>
</file>

<file path=xl/drawings/_rels/drawing5.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chart" Target="../charts/chart5.xml"/><Relationship Id="rId7"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4.png"/><Relationship Id="rId5" Type="http://schemas.openxmlformats.org/officeDocument/2006/relationships/image" Target="../media/image3.png"/><Relationship Id="rId10" Type="http://schemas.openxmlformats.org/officeDocument/2006/relationships/image" Target="../media/image9.png"/><Relationship Id="rId4" Type="http://schemas.openxmlformats.org/officeDocument/2006/relationships/chart" Target="../charts/chart6.xml"/><Relationship Id="rId9" Type="http://schemas.openxmlformats.org/officeDocument/2006/relationships/image" Target="../media/image8.png"/></Relationships>
</file>

<file path=xl/drawings/_rels/drawing6.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26" Type="http://schemas.openxmlformats.org/officeDocument/2006/relationships/image" Target="../media/image4.png"/><Relationship Id="rId3" Type="http://schemas.openxmlformats.org/officeDocument/2006/relationships/chart" Target="../charts/chart9.xml"/><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image" Target="../media/image3.png"/><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29" Type="http://schemas.openxmlformats.org/officeDocument/2006/relationships/chart" Target="../charts/chart29.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image" Target="../media/image9.png"/><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image" Target="../media/image8.png"/><Relationship Id="rId28" Type="http://schemas.openxmlformats.org/officeDocument/2006/relationships/image" Target="../media/image7.png"/><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 Id="rId27" Type="http://schemas.openxmlformats.org/officeDocument/2006/relationships/image" Target="../media/image5.png"/></Relationships>
</file>

<file path=xl/drawings/_rels/drawing7.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3.png"/><Relationship Id="rId7" Type="http://schemas.openxmlformats.org/officeDocument/2006/relationships/image" Target="../media/image8.png"/><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image" Target="../media/image7.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image" Target="../media/image7.png"/></Relationships>
</file>

<file path=xl/drawings/_rels/drawing9.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8.png"/><Relationship Id="rId7" Type="http://schemas.openxmlformats.org/officeDocument/2006/relationships/image" Target="../media/image5.png"/><Relationship Id="rId2" Type="http://schemas.openxmlformats.org/officeDocument/2006/relationships/image" Target="../media/image10.png"/><Relationship Id="rId1" Type="http://schemas.openxmlformats.org/officeDocument/2006/relationships/chart" Target="../charts/chart33.xml"/><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20</xdr:col>
      <xdr:colOff>260350</xdr:colOff>
      <xdr:row>37</xdr:row>
      <xdr:rowOff>63500</xdr:rowOff>
    </xdr:to>
    <xdr:grpSp>
      <xdr:nvGrpSpPr>
        <xdr:cNvPr id="12" name="MENU">
          <a:extLst>
            <a:ext uri="{FF2B5EF4-FFF2-40B4-BE49-F238E27FC236}">
              <a16:creationId xmlns:a16="http://schemas.microsoft.com/office/drawing/2014/main" id="{00000000-0008-0000-0000-00000C000000}"/>
            </a:ext>
          </a:extLst>
        </xdr:cNvPr>
        <xdr:cNvGrpSpPr/>
      </xdr:nvGrpSpPr>
      <xdr:grpSpPr>
        <a:xfrm>
          <a:off x="0" y="0"/>
          <a:ext cx="11836400" cy="7277100"/>
          <a:chOff x="0" y="0"/>
          <a:chExt cx="11836399" cy="7277100"/>
        </a:xfrm>
      </xdr:grpSpPr>
      <xdr:sp macro="" textlink="">
        <xdr:nvSpPr>
          <xdr:cNvPr id="35" name="TextBox 34">
            <a:extLst>
              <a:ext uri="{FF2B5EF4-FFF2-40B4-BE49-F238E27FC236}">
                <a16:creationId xmlns:a16="http://schemas.microsoft.com/office/drawing/2014/main" id="{00000000-0008-0000-0000-000023000000}"/>
              </a:ext>
            </a:extLst>
          </xdr:cNvPr>
          <xdr:cNvSpPr txBox="1"/>
        </xdr:nvSpPr>
        <xdr:spPr>
          <a:xfrm>
            <a:off x="359339" y="6164396"/>
            <a:ext cx="5184132" cy="1010717"/>
          </a:xfrm>
          <a:prstGeom prst="rect">
            <a:avLst/>
          </a:prstGeom>
          <a:solidFill>
            <a:schemeClr val="lt1"/>
          </a:solidFill>
          <a:ln w="1587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endParaRPr lang="en-GB" sz="1100" b="1" i="0" u="none" strike="noStrike" baseline="0">
              <a:solidFill>
                <a:srgbClr val="000000"/>
              </a:solidFill>
              <a:latin typeface="+mn-lt"/>
              <a:ea typeface="Karla" pitchFamily="2" charset="0"/>
            </a:endParaRPr>
          </a:p>
          <a:p>
            <a:pPr algn="l" rtl="0">
              <a:defRPr sz="1000"/>
            </a:pPr>
            <a:r>
              <a:rPr lang="en-GB" sz="1100" b="1" i="0" u="none" strike="noStrike" baseline="0">
                <a:solidFill>
                  <a:srgbClr val="000000"/>
                </a:solidFill>
                <a:latin typeface="+mn-lt"/>
                <a:ea typeface="Karla" pitchFamily="2" charset="0"/>
              </a:rPr>
              <a:t>Project Manager:</a:t>
            </a:r>
          </a:p>
          <a:p>
            <a:pPr algn="l" rtl="0">
              <a:defRPr sz="1000"/>
            </a:pPr>
            <a:endParaRPr lang="en-GB" sz="1100" b="1" i="0" u="none" strike="noStrike" baseline="0">
              <a:solidFill>
                <a:srgbClr val="000000"/>
              </a:solidFill>
              <a:effectLst/>
              <a:latin typeface="+mn-lt"/>
              <a:ea typeface="+mn-ea"/>
              <a:cs typeface="+mn-cs"/>
            </a:endParaRPr>
          </a:p>
          <a:p>
            <a:pPr algn="l" rtl="0">
              <a:defRPr sz="1000"/>
            </a:pPr>
            <a:r>
              <a:rPr lang="en-US" sz="1100">
                <a:solidFill>
                  <a:schemeClr val="dk1"/>
                </a:solidFill>
                <a:effectLst/>
                <a:latin typeface="+mn-lt"/>
                <a:ea typeface="+mn-ea"/>
                <a:cs typeface="+mn-cs"/>
              </a:rPr>
              <a:t>Ritu</a:t>
            </a:r>
            <a:r>
              <a:rPr lang="en-US" sz="1100" baseline="0">
                <a:solidFill>
                  <a:schemeClr val="dk1"/>
                </a:solidFill>
                <a:effectLst/>
                <a:latin typeface="+mn-lt"/>
                <a:ea typeface="+mn-ea"/>
                <a:cs typeface="+mn-cs"/>
              </a:rPr>
              <a:t> Bhandari</a:t>
            </a:r>
            <a:r>
              <a:rPr lang="en-GB" sz="1100">
                <a:solidFill>
                  <a:schemeClr val="dk1"/>
                </a:solidFill>
                <a:effectLst/>
                <a:latin typeface="+mn-lt"/>
                <a:ea typeface="+mn-ea"/>
                <a:cs typeface="+mn-cs"/>
              </a:rPr>
              <a:t>            </a:t>
            </a:r>
            <a:endParaRPr lang="en-GB" sz="1400" b="0" i="0" u="none" strike="noStrike" baseline="0">
              <a:solidFill>
                <a:srgbClr val="000000"/>
              </a:solidFill>
              <a:latin typeface="+mn-lt"/>
              <a:ea typeface="Karla" pitchFamily="2" charset="0"/>
            </a:endParaRPr>
          </a:p>
        </xdr:txBody>
      </xdr:sp>
      <xdr:sp macro="" textlink="">
        <xdr:nvSpPr>
          <xdr:cNvPr id="6" name="TextBox 5">
            <a:hlinkClick xmlns:r="http://schemas.openxmlformats.org/officeDocument/2006/relationships" r:id="rId1"/>
            <a:extLst>
              <a:ext uri="{FF2B5EF4-FFF2-40B4-BE49-F238E27FC236}">
                <a16:creationId xmlns:a16="http://schemas.microsoft.com/office/drawing/2014/main" id="{00000000-0008-0000-0000-000006000000}"/>
              </a:ext>
            </a:extLst>
          </xdr:cNvPr>
          <xdr:cNvSpPr txBox="1"/>
        </xdr:nvSpPr>
        <xdr:spPr>
          <a:xfrm>
            <a:off x="7599846" y="6286426"/>
            <a:ext cx="3996152" cy="767945"/>
          </a:xfrm>
          <a:prstGeom prst="rect">
            <a:avLst/>
          </a:prstGeom>
          <a:solidFill>
            <a:schemeClr val="lt1"/>
          </a:solidFill>
          <a:ln w="1587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0">
              <a:defRPr sz="1000"/>
            </a:pPr>
            <a:r>
              <a:rPr lang="en-GB" sz="1100" b="0" i="0" u="none" strike="noStrike" baseline="0">
                <a:solidFill>
                  <a:srgbClr val="000000"/>
                </a:solidFill>
                <a:latin typeface="+mn-lt"/>
                <a:ea typeface="Karla" pitchFamily="2" charset="0"/>
              </a:rPr>
              <a:t>Macros must be enabled for full functionality</a:t>
            </a:r>
          </a:p>
          <a:p>
            <a:pPr algn="r" rtl="0">
              <a:defRPr sz="1000"/>
            </a:pPr>
            <a:r>
              <a:rPr lang="en-GB" sz="1000" b="0" i="0" u="sng" strike="noStrike" baseline="0">
                <a:solidFill>
                  <a:srgbClr val="0070C0"/>
                </a:solidFill>
                <a:latin typeface="+mn-lt"/>
                <a:ea typeface="Karla" pitchFamily="2" charset="0"/>
              </a:rPr>
              <a:t>http://office.microsoft.com/en-us/excel-help/enable-or-disable-macros-in-office-documents-HA010031071.aspx</a:t>
            </a:r>
          </a:p>
        </xdr:txBody>
      </xdr:sp>
      <xdr:grpSp>
        <xdr:nvGrpSpPr>
          <xdr:cNvPr id="27" name="Group 26">
            <a:extLst>
              <a:ext uri="{FF2B5EF4-FFF2-40B4-BE49-F238E27FC236}">
                <a16:creationId xmlns:a16="http://schemas.microsoft.com/office/drawing/2014/main" id="{00000000-0008-0000-0000-00001B000000}"/>
              </a:ext>
            </a:extLst>
          </xdr:cNvPr>
          <xdr:cNvGrpSpPr/>
        </xdr:nvGrpSpPr>
        <xdr:grpSpPr>
          <a:xfrm>
            <a:off x="205000" y="4883520"/>
            <a:ext cx="5473771" cy="1233047"/>
            <a:chOff x="209710" y="3989228"/>
            <a:chExt cx="5459435" cy="1223780"/>
          </a:xfrm>
          <a:solidFill>
            <a:schemeClr val="accent5">
              <a:lumMod val="20000"/>
              <a:lumOff val="80000"/>
            </a:schemeClr>
          </a:solidFill>
        </xdr:grpSpPr>
        <xdr:sp macro="" textlink="">
          <xdr:nvSpPr>
            <xdr:cNvPr id="2" name="Rectangle 1">
              <a:extLst>
                <a:ext uri="{FF2B5EF4-FFF2-40B4-BE49-F238E27FC236}">
                  <a16:creationId xmlns:a16="http://schemas.microsoft.com/office/drawing/2014/main" id="{00000000-0008-0000-0000-000002000000}"/>
                </a:ext>
              </a:extLst>
            </xdr:cNvPr>
            <xdr:cNvSpPr/>
          </xdr:nvSpPr>
          <xdr:spPr>
            <a:xfrm>
              <a:off x="209710" y="3989228"/>
              <a:ext cx="5459435" cy="1223780"/>
            </a:xfrm>
            <a:prstGeom prst="rect">
              <a:avLst/>
            </a:prstGeom>
            <a:solidFill>
              <a:schemeClr val="bg2"/>
            </a:solidFill>
            <a:ln w="3175">
              <a:solidFill>
                <a:srgbClr val="005E9E"/>
              </a:solidFill>
            </a:ln>
            <a:effectLst/>
          </xdr:spPr>
          <xdr:style>
            <a:lnRef idx="1">
              <a:schemeClr val="accent1"/>
            </a:lnRef>
            <a:fillRef idx="3">
              <a:schemeClr val="accent1"/>
            </a:fillRef>
            <a:effectRef idx="2">
              <a:schemeClr val="accent1"/>
            </a:effectRef>
            <a:fontRef idx="minor">
              <a:schemeClr val="lt1"/>
            </a:fontRef>
          </xdr:style>
          <xdr:txBody>
            <a:bodyPr vertOverflow="clip" lIns="288000" tIns="72000" rtlCol="0" anchor="ctr"/>
            <a:lstStyle/>
            <a:p>
              <a:pPr algn="l"/>
              <a:r>
                <a:rPr lang="en-GB" sz="1200" b="1">
                  <a:solidFill>
                    <a:schemeClr val="tx1"/>
                  </a:solidFill>
                  <a:latin typeface="+mn-lt"/>
                  <a:ea typeface="Karla" pitchFamily="2" charset="0"/>
                </a:rPr>
                <a:t>Zoom</a:t>
              </a:r>
              <a:endParaRPr lang="en-GB" sz="1100" b="1">
                <a:solidFill>
                  <a:schemeClr val="tx1"/>
                </a:solidFill>
                <a:latin typeface="+mn-lt"/>
                <a:ea typeface="Karla" pitchFamily="2" charset="0"/>
              </a:endParaRPr>
            </a:p>
            <a:p>
              <a:pPr algn="l"/>
              <a:r>
                <a:rPr lang="en-GB" sz="1100">
                  <a:solidFill>
                    <a:schemeClr val="tx1"/>
                  </a:solidFill>
                  <a:latin typeface="+mn-lt"/>
                  <a:ea typeface="Karla" pitchFamily="2" charset="0"/>
                </a:rPr>
                <a:t>Select a zoom level appropriate for your display.</a:t>
              </a:r>
            </a:p>
            <a:p>
              <a:pPr algn="l"/>
              <a:endParaRPr lang="en-GB" sz="1100">
                <a:solidFill>
                  <a:schemeClr val="tx1"/>
                </a:solidFill>
                <a:latin typeface="+mn-lt"/>
                <a:ea typeface="Karla" pitchFamily="2" charset="0"/>
              </a:endParaRPr>
            </a:p>
            <a:p>
              <a:pPr algn="l"/>
              <a:endParaRPr lang="en-GB" sz="1100">
                <a:solidFill>
                  <a:schemeClr val="tx1"/>
                </a:solidFill>
                <a:latin typeface="+mn-lt"/>
                <a:ea typeface="Karla" pitchFamily="2" charset="0"/>
              </a:endParaRPr>
            </a:p>
            <a:p>
              <a:pPr algn="l"/>
              <a:r>
                <a:rPr lang="en-GB" sz="1100">
                  <a:solidFill>
                    <a:schemeClr val="tx1"/>
                  </a:solidFill>
                  <a:latin typeface="+mn-lt"/>
                  <a:ea typeface="Karla" pitchFamily="2" charset="0"/>
                </a:rPr>
                <a:t>Selected zoom will be applied to all worksheets.</a:t>
              </a:r>
            </a:p>
          </xdr:txBody>
        </xdr:sp>
        <mc:AlternateContent xmlns:mc="http://schemas.openxmlformats.org/markup-compatibility/2006">
          <mc:Choice xmlns:a14="http://schemas.microsoft.com/office/drawing/2010/main" Requires="a14">
            <xdr:sp macro="" textlink="">
              <xdr:nvSpPr>
                <xdr:cNvPr id="13088769" name="cnt_zoom" hidden="1">
                  <a:extLst>
                    <a:ext uri="{63B3BB69-23CF-44E3-9099-C40C66FF867C}">
                      <a14:compatExt spid="_x0000_s13088769"/>
                    </a:ext>
                    <a:ext uri="{FF2B5EF4-FFF2-40B4-BE49-F238E27FC236}">
                      <a16:creationId xmlns:a16="http://schemas.microsoft.com/office/drawing/2014/main" id="{00000000-0008-0000-0000-000001B8C700}"/>
                    </a:ext>
                  </a:extLst>
                </xdr:cNvPr>
                <xdr:cNvSpPr/>
              </xdr:nvSpPr>
              <xdr:spPr bwMode="auto">
                <a:xfrm>
                  <a:off x="504825" y="4599985"/>
                  <a:ext cx="2590800" cy="219075"/>
                </a:xfrm>
                <a:prstGeom prst="rect">
                  <a:avLst/>
                </a:prstGeom>
                <a:noFill/>
                <a:ln>
                  <a:noFill/>
                </a:ln>
                <a:extLst>
                  <a:ext uri="{91240B29-F687-4F45-9708-019B960494DF}">
                    <a14:hiddenLine w="9525">
                      <a:noFill/>
                      <a:miter lim="800000"/>
                      <a:headEnd/>
                      <a:tailEnd/>
                    </a14:hiddenLine>
                  </a:ext>
                </a:extLst>
              </xdr:spPr>
            </xdr:sp>
          </mc:Choice>
          <mc:Fallback/>
        </mc:AlternateContent>
      </xdr:grpSp>
      <xdr:grpSp>
        <xdr:nvGrpSpPr>
          <xdr:cNvPr id="28" name="Group 27">
            <a:extLst>
              <a:ext uri="{FF2B5EF4-FFF2-40B4-BE49-F238E27FC236}">
                <a16:creationId xmlns:a16="http://schemas.microsoft.com/office/drawing/2014/main" id="{00000000-0008-0000-0000-00001C000000}"/>
              </a:ext>
            </a:extLst>
          </xdr:cNvPr>
          <xdr:cNvGrpSpPr/>
        </xdr:nvGrpSpPr>
        <xdr:grpSpPr>
          <a:xfrm>
            <a:off x="6146824" y="4883520"/>
            <a:ext cx="5446536" cy="1233047"/>
            <a:chOff x="6168409" y="3989228"/>
            <a:chExt cx="5455448" cy="1223780"/>
          </a:xfrm>
          <a:solidFill>
            <a:schemeClr val="accent5">
              <a:lumMod val="20000"/>
              <a:lumOff val="80000"/>
            </a:schemeClr>
          </a:solidFill>
        </xdr:grpSpPr>
        <xdr:sp macro="" textlink="">
          <xdr:nvSpPr>
            <xdr:cNvPr id="8" name="Rectangle 7">
              <a:extLst>
                <a:ext uri="{FF2B5EF4-FFF2-40B4-BE49-F238E27FC236}">
                  <a16:creationId xmlns:a16="http://schemas.microsoft.com/office/drawing/2014/main" id="{00000000-0008-0000-0000-000008000000}"/>
                </a:ext>
              </a:extLst>
            </xdr:cNvPr>
            <xdr:cNvSpPr/>
          </xdr:nvSpPr>
          <xdr:spPr>
            <a:xfrm>
              <a:off x="6168409" y="3989228"/>
              <a:ext cx="5455448" cy="1223780"/>
            </a:xfrm>
            <a:prstGeom prst="rect">
              <a:avLst/>
            </a:prstGeom>
            <a:solidFill>
              <a:schemeClr val="bg2"/>
            </a:solidFill>
            <a:ln w="3175">
              <a:solidFill>
                <a:srgbClr val="005E9E"/>
              </a:solidFill>
            </a:ln>
            <a:effectLst/>
          </xdr:spPr>
          <xdr:style>
            <a:lnRef idx="1">
              <a:schemeClr val="accent1"/>
            </a:lnRef>
            <a:fillRef idx="3">
              <a:schemeClr val="accent1"/>
            </a:fillRef>
            <a:effectRef idx="2">
              <a:schemeClr val="accent1"/>
            </a:effectRef>
            <a:fontRef idx="minor">
              <a:schemeClr val="lt1"/>
            </a:fontRef>
          </xdr:style>
          <xdr:txBody>
            <a:bodyPr vertOverflow="clip" lIns="1080000" tIns="180000" rtlCol="0" anchor="t"/>
            <a:lstStyle/>
            <a:p>
              <a:pPr algn="l"/>
              <a:r>
                <a:rPr lang="en-GB" sz="1200" b="1">
                  <a:solidFill>
                    <a:schemeClr val="tx1"/>
                  </a:solidFill>
                  <a:latin typeface="+mn-lt"/>
                  <a:ea typeface="Karla" pitchFamily="2" charset="0"/>
                </a:rPr>
                <a:t>Full screen</a:t>
              </a:r>
            </a:p>
            <a:p>
              <a:pPr algn="l"/>
              <a:endParaRPr lang="en-GB" sz="1100">
                <a:solidFill>
                  <a:schemeClr val="tx1"/>
                </a:solidFill>
                <a:latin typeface="+mn-lt"/>
                <a:ea typeface="Karla" pitchFamily="2" charset="0"/>
              </a:endParaRPr>
            </a:p>
            <a:p>
              <a:pPr algn="l"/>
              <a:r>
                <a:rPr lang="en-GB" sz="1100">
                  <a:solidFill>
                    <a:schemeClr val="tx1"/>
                  </a:solidFill>
                  <a:latin typeface="+mn-lt"/>
                  <a:ea typeface="Karla" pitchFamily="2" charset="0"/>
                </a:rPr>
                <a:t>To maximise the viewing area, click for Full-Screen mode.</a:t>
              </a:r>
            </a:p>
            <a:p>
              <a:pPr algn="l"/>
              <a:r>
                <a:rPr lang="en-GB" sz="1100">
                  <a:solidFill>
                    <a:schemeClr val="tx1"/>
                  </a:solidFill>
                  <a:latin typeface="+mn-lt"/>
                  <a:ea typeface="Karla" pitchFamily="2" charset="0"/>
                </a:rPr>
                <a:t>Press Escape to return to normal display mode.</a:t>
              </a:r>
            </a:p>
            <a:p>
              <a:pPr algn="ctr"/>
              <a:endParaRPr lang="en-GB" sz="1100">
                <a:latin typeface="+mn-lt"/>
                <a:ea typeface="Karla" pitchFamily="2" charset="0"/>
              </a:endParaRPr>
            </a:p>
          </xdr:txBody>
        </xdr:sp>
        <xdr:sp macro="" textlink="">
          <xdr:nvSpPr>
            <xdr:cNvPr id="34" name="Rectangle 33">
              <a:extLst>
                <a:ext uri="{FF2B5EF4-FFF2-40B4-BE49-F238E27FC236}">
                  <a16:creationId xmlns:a16="http://schemas.microsoft.com/office/drawing/2014/main" id="{00000000-0008-0000-0000-000022000000}"/>
                </a:ext>
              </a:extLst>
            </xdr:cNvPr>
            <xdr:cNvSpPr/>
          </xdr:nvSpPr>
          <xdr:spPr>
            <a:xfrm>
              <a:off x="6437874" y="4161922"/>
              <a:ext cx="643110" cy="892091"/>
            </a:xfrm>
            <a:prstGeom prst="rect">
              <a:avLst/>
            </a:prstGeom>
            <a:grpFill/>
            <a:ln w="3175">
              <a:solidFill>
                <a:schemeClr val="accent1"/>
              </a:solid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n-GB" sz="1100">
                <a:latin typeface="+mn-lt"/>
                <a:ea typeface="Karla" pitchFamily="2" charset="0"/>
              </a:endParaRPr>
            </a:p>
          </xdr:txBody>
        </xdr:sp>
        <xdr:pic macro="[0]!UniversalChanger">
          <xdr:nvPicPr>
            <xdr:cNvPr id="9" name="fullscreen" descr="xl_fullscreen.pn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cstate="print"/>
            <a:stretch>
              <a:fillRect/>
            </a:stretch>
          </xdr:blipFill>
          <xdr:spPr>
            <a:xfrm>
              <a:off x="6488447" y="4204838"/>
              <a:ext cx="543467" cy="814308"/>
            </a:xfrm>
            <a:prstGeom prst="rect">
              <a:avLst/>
            </a:prstGeom>
            <a:grpFill/>
          </xdr:spPr>
        </xdr:pic>
      </xdr:grpSp>
      <xdr:sp macro="" textlink="">
        <xdr:nvSpPr>
          <xdr:cNvPr id="30" name="LeftBox1">
            <a:extLst>
              <a:ext uri="{FF2B5EF4-FFF2-40B4-BE49-F238E27FC236}">
                <a16:creationId xmlns:a16="http://schemas.microsoft.com/office/drawing/2014/main" id="{00000000-0008-0000-0000-00001E000000}"/>
              </a:ext>
            </a:extLst>
          </xdr:cNvPr>
          <xdr:cNvSpPr>
            <a:spLocks/>
          </xdr:cNvSpPr>
        </xdr:nvSpPr>
        <xdr:spPr>
          <a:xfrm>
            <a:off x="115596" y="1206953"/>
            <a:ext cx="11614757" cy="6070147"/>
          </a:xfrm>
          <a:prstGeom prst="rect">
            <a:avLst/>
          </a:prstGeom>
          <a:noFill/>
          <a:ln w="6350">
            <a:solidFill>
              <a:srgbClr val="005E9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400" b="1" i="0" u="none" strike="noStrike">
              <a:solidFill>
                <a:schemeClr val="accent1">
                  <a:lumMod val="60000"/>
                  <a:lumOff val="40000"/>
                </a:schemeClr>
              </a:solidFill>
              <a:latin typeface="Calibri"/>
              <a:cs typeface="Calibri"/>
            </a:endParaRPr>
          </a:p>
        </xdr:txBody>
      </xdr:sp>
      <xdr:sp macro="" textlink="">
        <xdr:nvSpPr>
          <xdr:cNvPr id="54" name="LeftBox1">
            <a:extLst>
              <a:ext uri="{FF2B5EF4-FFF2-40B4-BE49-F238E27FC236}">
                <a16:creationId xmlns:a16="http://schemas.microsoft.com/office/drawing/2014/main" id="{00000000-0008-0000-0000-000036000000}"/>
              </a:ext>
            </a:extLst>
          </xdr:cNvPr>
          <xdr:cNvSpPr>
            <a:spLocks/>
          </xdr:cNvSpPr>
        </xdr:nvSpPr>
        <xdr:spPr>
          <a:xfrm>
            <a:off x="214520" y="2210568"/>
            <a:ext cx="5472848" cy="2056286"/>
          </a:xfrm>
          <a:prstGeom prst="rect">
            <a:avLst/>
          </a:prstGeom>
          <a:solidFill>
            <a:schemeClr val="accent5">
              <a:lumMod val="20000"/>
              <a:lumOff val="80000"/>
              <a:alpha val="39000"/>
            </a:schemeClr>
          </a:solidFill>
          <a:ln w="3175">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90000" rtlCol="0" anchor="t"/>
          <a:lstStyle/>
          <a:p>
            <a:r>
              <a:rPr lang="en-GB" sz="1200">
                <a:solidFill>
                  <a:sysClr val="windowText" lastClr="000000"/>
                </a:solidFill>
                <a:effectLst/>
                <a:latin typeface="+mn-lt"/>
                <a:ea typeface="+mn-ea"/>
                <a:cs typeface="+mn-cs"/>
              </a:rPr>
              <a:t>The Digital Cities Index is a benchmarking tool assessing the extent of digitalisation in 30 cities. In the context of a rapidly evolving urban landscape, digital technologies are helping cities to better serve their residents and businesses. Urban centres are also deploying digital solutions to address sustainability and climate related changes like traffic congestion</a:t>
            </a:r>
            <a:r>
              <a:rPr lang="en-GB" sz="1200" baseline="0">
                <a:solidFill>
                  <a:sysClr val="windowText" lastClr="000000"/>
                </a:solidFill>
                <a:effectLst/>
                <a:latin typeface="+mn-lt"/>
                <a:ea typeface="+mn-ea"/>
                <a:cs typeface="+mn-cs"/>
              </a:rPr>
              <a:t> and </a:t>
            </a:r>
            <a:r>
              <a:rPr lang="en-GB" sz="1200">
                <a:solidFill>
                  <a:sysClr val="windowText" lastClr="000000"/>
                </a:solidFill>
                <a:effectLst/>
                <a:latin typeface="+mn-lt"/>
                <a:ea typeface="+mn-ea"/>
                <a:cs typeface="+mn-cs"/>
              </a:rPr>
              <a:t>waste management to enhance resilience.</a:t>
            </a:r>
          </a:p>
          <a:p>
            <a:endParaRPr lang="en-GB" sz="1200">
              <a:solidFill>
                <a:sysClr val="windowText" lastClr="000000"/>
              </a:solidFill>
              <a:effectLst/>
              <a:latin typeface="+mn-lt"/>
              <a:ea typeface="+mn-ea"/>
              <a:cs typeface="+mn-cs"/>
            </a:endParaRPr>
          </a:p>
          <a:p>
            <a:r>
              <a:rPr lang="en-GB" sz="1200">
                <a:solidFill>
                  <a:sysClr val="windowText" lastClr="000000"/>
                </a:solidFill>
                <a:effectLst/>
                <a:latin typeface="+mn-lt"/>
                <a:ea typeface="+mn-ea"/>
                <a:cs typeface="+mn-cs"/>
              </a:rPr>
              <a:t>The Digital Cities Index 2022 is the first iteration of the index, which assesses the level of digitalisation in cities through four key pillars: connectivity, services, culture and sustainability. </a:t>
            </a:r>
          </a:p>
          <a:p>
            <a:r>
              <a:rPr lang="en-GB" sz="1200" b="1" i="1" baseline="0">
                <a:solidFill>
                  <a:sysClr val="windowText" lastClr="000000"/>
                </a:solidFill>
                <a:effectLst/>
                <a:latin typeface="+mn-lt"/>
                <a:ea typeface="+mn-ea"/>
                <a:cs typeface="+mn-cs"/>
              </a:rPr>
              <a:t> </a:t>
            </a:r>
            <a:endParaRPr lang="en-GB" sz="1200" b="1" i="1">
              <a:solidFill>
                <a:sysClr val="windowText" lastClr="000000"/>
              </a:solidFill>
              <a:effectLst/>
              <a:latin typeface="+mn-lt"/>
              <a:ea typeface="+mn-ea"/>
              <a:cs typeface="+mn-cs"/>
            </a:endParaRPr>
          </a:p>
        </xdr:txBody>
      </xdr:sp>
      <xdr:sp macro="" textlink="">
        <xdr:nvSpPr>
          <xdr:cNvPr id="58" name="TextBox 57">
            <a:extLst>
              <a:ext uri="{FF2B5EF4-FFF2-40B4-BE49-F238E27FC236}">
                <a16:creationId xmlns:a16="http://schemas.microsoft.com/office/drawing/2014/main" id="{00000000-0008-0000-0000-00003A000000}"/>
              </a:ext>
            </a:extLst>
          </xdr:cNvPr>
          <xdr:cNvSpPr txBox="1"/>
        </xdr:nvSpPr>
        <xdr:spPr>
          <a:xfrm>
            <a:off x="8358393" y="2338514"/>
            <a:ext cx="1023397" cy="3146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50" b="0">
                <a:solidFill>
                  <a:schemeClr val="tx1">
                    <a:lumMod val="65000"/>
                    <a:lumOff val="35000"/>
                  </a:schemeClr>
                </a:solidFill>
              </a:rPr>
              <a:t>Sponsored by:</a:t>
            </a:r>
          </a:p>
        </xdr:txBody>
      </xdr:sp>
      <xdr:sp macro="" textlink="">
        <xdr:nvSpPr>
          <xdr:cNvPr id="51" name="TextBox 50">
            <a:extLst>
              <a:ext uri="{FF2B5EF4-FFF2-40B4-BE49-F238E27FC236}">
                <a16:creationId xmlns:a16="http://schemas.microsoft.com/office/drawing/2014/main" id="{00000000-0008-0000-0000-000033000000}"/>
              </a:ext>
            </a:extLst>
          </xdr:cNvPr>
          <xdr:cNvSpPr txBox="1"/>
        </xdr:nvSpPr>
        <xdr:spPr>
          <a:xfrm>
            <a:off x="214520" y="4409528"/>
            <a:ext cx="3929256" cy="423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t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1" i="0" baseline="0">
                <a:solidFill>
                  <a:schemeClr val="tx2">
                    <a:lumMod val="50000"/>
                  </a:schemeClr>
                </a:solidFill>
              </a:rPr>
              <a:t>Publication: </a:t>
            </a:r>
            <a:r>
              <a:rPr lang="en-US" sz="1200" b="0" i="0" baseline="0">
                <a:solidFill>
                  <a:schemeClr val="tx2">
                    <a:lumMod val="50000"/>
                  </a:schemeClr>
                </a:solidFill>
              </a:rPr>
              <a:t>May, 2022</a:t>
            </a:r>
          </a:p>
        </xdr:txBody>
      </xdr:sp>
      <xdr:sp macro="" textlink="">
        <xdr:nvSpPr>
          <xdr:cNvPr id="49" name="TextBox 48">
            <a:extLst>
              <a:ext uri="{FF2B5EF4-FFF2-40B4-BE49-F238E27FC236}">
                <a16:creationId xmlns:a16="http://schemas.microsoft.com/office/drawing/2014/main" id="{00000000-0008-0000-0000-000031000000}"/>
              </a:ext>
            </a:extLst>
          </xdr:cNvPr>
          <xdr:cNvSpPr txBox="1"/>
        </xdr:nvSpPr>
        <xdr:spPr>
          <a:xfrm>
            <a:off x="6130742" y="1285246"/>
            <a:ext cx="5478698" cy="1016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tIns="0"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3200" b="1" i="0" baseline="0">
                <a:solidFill>
                  <a:schemeClr val="tx2">
                    <a:lumMod val="50000"/>
                  </a:schemeClr>
                </a:solidFill>
              </a:rPr>
              <a:t>Digital Cities Index</a:t>
            </a:r>
          </a:p>
          <a:p>
            <a:pPr marL="0" marR="0" lvl="0" indent="0" algn="ctr" defTabSz="914400" eaLnBrk="1" fontAlgn="auto" latinLnBrk="0" hangingPunct="1">
              <a:lnSpc>
                <a:spcPct val="100000"/>
              </a:lnSpc>
              <a:spcBef>
                <a:spcPts val="0"/>
              </a:spcBef>
              <a:spcAft>
                <a:spcPts val="0"/>
              </a:spcAft>
              <a:buClrTx/>
              <a:buSzTx/>
              <a:buFontTx/>
              <a:buNone/>
              <a:tabLst/>
              <a:defRPr/>
            </a:pPr>
            <a:r>
              <a:rPr lang="en-US" sz="2000" b="0" i="0" baseline="0">
                <a:solidFill>
                  <a:schemeClr val="tx2">
                    <a:lumMod val="50000"/>
                  </a:schemeClr>
                </a:solidFill>
              </a:rPr>
              <a:t>2022</a:t>
            </a:r>
          </a:p>
        </xdr:txBody>
      </xdr:sp>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4520" y="1469613"/>
            <a:ext cx="1153296" cy="578785"/>
          </a:xfrm>
          <a:prstGeom prst="rect">
            <a:avLst/>
          </a:prstGeom>
        </xdr:spPr>
      </xdr:pic>
      <xdr:sp macro="" textlink="" fLocksText="0">
        <xdr:nvSpPr>
          <xdr:cNvPr id="39" name="TextBox 38">
            <a:hlinkClick xmlns:r="http://schemas.openxmlformats.org/officeDocument/2006/relationships" r:id="rId4"/>
            <a:extLst>
              <a:ext uri="{FF2B5EF4-FFF2-40B4-BE49-F238E27FC236}">
                <a16:creationId xmlns:a16="http://schemas.microsoft.com/office/drawing/2014/main" id="{00000000-0008-0000-0000-000027000000}"/>
              </a:ext>
            </a:extLst>
          </xdr:cNvPr>
          <xdr:cNvSpPr txBox="1"/>
        </xdr:nvSpPr>
        <xdr:spPr>
          <a:xfrm>
            <a:off x="366974" y="6882611"/>
            <a:ext cx="2520008" cy="217224"/>
          </a:xfrm>
          <a:prstGeom prst="rect">
            <a:avLst/>
          </a:prstGeom>
          <a:solidFill>
            <a:schemeClr val="lt1"/>
          </a:solidFill>
          <a:ln w="15875" cmpd="sng">
            <a:noFill/>
          </a:ln>
        </xdr:spPr>
        <xdr:style>
          <a:lnRef idx="0">
            <a:scrgbClr r="0" g="0" b="0"/>
          </a:lnRef>
          <a:fillRef idx="0">
            <a:scrgbClr r="0" g="0" b="0"/>
          </a:fillRef>
          <a:effectRef idx="0">
            <a:scrgbClr r="0" g="0" b="0"/>
          </a:effectRef>
          <a:fontRef idx="minor">
            <a:schemeClr val="dk1"/>
          </a:fontRef>
        </xdr:style>
        <xdr:txBody>
          <a:bodyPr vertOverflow="clip" wrap="square" tIns="0" rtlCol="0" anchor="t">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100" u="sng">
                <a:solidFill>
                  <a:schemeClr val="accent1">
                    <a:lumMod val="75000"/>
                  </a:schemeClr>
                </a:solidFill>
                <a:effectLst/>
                <a:latin typeface="+mn-lt"/>
                <a:ea typeface="+mn-ea"/>
                <a:cs typeface="+mn-cs"/>
              </a:rPr>
              <a:t>ritubhandari@economist.com</a:t>
            </a:r>
            <a:endParaRPr lang="en-GB" sz="1400" b="0" i="0" u="sng" strike="noStrike" baseline="0">
              <a:solidFill>
                <a:schemeClr val="accent1">
                  <a:lumMod val="75000"/>
                </a:schemeClr>
              </a:solidFill>
              <a:latin typeface="+mn-lt"/>
              <a:ea typeface="Karla" pitchFamily="2" charset="0"/>
            </a:endParaRPr>
          </a:p>
        </xdr:txBody>
      </xdr:sp>
      <xdr:sp macro="" textlink="">
        <xdr:nvSpPr>
          <xdr:cNvPr id="42" name="TextBox 41">
            <a:extLst>
              <a:ext uri="{FF2B5EF4-FFF2-40B4-BE49-F238E27FC236}">
                <a16:creationId xmlns:a16="http://schemas.microsoft.com/office/drawing/2014/main" id="{00000000-0008-0000-0000-00002A000000}"/>
              </a:ext>
            </a:extLst>
          </xdr:cNvPr>
          <xdr:cNvSpPr txBox="1"/>
        </xdr:nvSpPr>
        <xdr:spPr>
          <a:xfrm>
            <a:off x="5805217" y="6132756"/>
            <a:ext cx="5773280" cy="141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ctr">
            <a:no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lang="en-US" sz="900" b="0" i="1" baseline="0">
                <a:solidFill>
                  <a:schemeClr val="tx1">
                    <a:lumMod val="65000"/>
                    <a:lumOff val="35000"/>
                  </a:schemeClr>
                </a:solidFill>
              </a:rPr>
              <a:t>This Workbook is optimized for Excel 2016+ on Windows 10. Formating and functionality may vary on MAC's.</a:t>
            </a:r>
            <a:endParaRPr lang="en-US" sz="800" b="0" i="1" baseline="0">
              <a:solidFill>
                <a:schemeClr val="tx1">
                  <a:lumMod val="65000"/>
                  <a:lumOff val="35000"/>
                </a:schemeClr>
              </a:solidFill>
            </a:endParaRPr>
          </a:p>
        </xdr:txBody>
      </xdr:sp>
      <xdr:sp macro="" textlink="">
        <xdr:nvSpPr>
          <xdr:cNvPr id="40" name="TextBox 6">
            <a:extLst>
              <a:ext uri="{FF2B5EF4-FFF2-40B4-BE49-F238E27FC236}">
                <a16:creationId xmlns:a16="http://schemas.microsoft.com/office/drawing/2014/main" id="{00000000-0008-0000-0000-000028000000}"/>
              </a:ext>
            </a:extLst>
          </xdr:cNvPr>
          <xdr:cNvSpPr txBox="1">
            <a:spLocks noChangeArrowheads="1"/>
          </xdr:cNvSpPr>
        </xdr:nvSpPr>
        <xdr:spPr bwMode="auto">
          <a:xfrm>
            <a:off x="214520" y="1264949"/>
            <a:ext cx="1268627" cy="133179"/>
          </a:xfrm>
          <a:prstGeom prst="rect">
            <a:avLst/>
          </a:prstGeom>
          <a:solidFill>
            <a:srgbClr val="FFFFFF"/>
          </a:solidFill>
          <a:ln w="9525">
            <a:noFill/>
            <a:miter lim="800000"/>
            <a:headEnd/>
            <a:tailEnd/>
          </a:ln>
        </xdr:spPr>
        <xdr:txBody>
          <a:bodyPr vertOverflow="clip" wrap="square" lIns="0" tIns="27432" rIns="0" bIns="0" anchor="ctr" upright="1"/>
          <a:lstStyle/>
          <a:p>
            <a:pPr algn="l" rtl="0">
              <a:defRPr sz="1000"/>
            </a:pPr>
            <a:r>
              <a:rPr lang="en-GB" sz="900" b="0" i="0" u="none" strike="noStrike" baseline="0">
                <a:solidFill>
                  <a:srgbClr val="808080"/>
                </a:solidFill>
                <a:latin typeface="+mn-lt"/>
                <a:ea typeface="Karla" pitchFamily="2" charset="0"/>
              </a:rPr>
              <a:t>Developed by:</a:t>
            </a:r>
            <a:endParaRPr lang="en-GB" sz="900" b="0" i="0" u="none" strike="noStrike" baseline="0">
              <a:solidFill>
                <a:sysClr val="windowText" lastClr="000000"/>
              </a:solidFill>
              <a:latin typeface="+mn-lt"/>
              <a:ea typeface="Karla" pitchFamily="2" charset="0"/>
            </a:endParaRPr>
          </a:p>
        </xdr:txBody>
      </xdr:sp>
      <xdr:sp macro="" textlink="">
        <xdr:nvSpPr>
          <xdr:cNvPr id="48" name="LeftBox1">
            <a:extLst>
              <a:ext uri="{FF2B5EF4-FFF2-40B4-BE49-F238E27FC236}">
                <a16:creationId xmlns:a16="http://schemas.microsoft.com/office/drawing/2014/main" id="{00000000-0008-0000-0000-000030000000}"/>
              </a:ext>
            </a:extLst>
          </xdr:cNvPr>
          <xdr:cNvSpPr>
            <a:spLocks/>
          </xdr:cNvSpPr>
        </xdr:nvSpPr>
        <xdr:spPr>
          <a:xfrm>
            <a:off x="6691455" y="2886242"/>
            <a:ext cx="4357272" cy="1389090"/>
          </a:xfrm>
          <a:prstGeom prst="rect">
            <a:avLst/>
          </a:prstGeom>
          <a:solidFill>
            <a:sysClr val="window" lastClr="FFFFFF">
              <a:alpha val="39000"/>
            </a:sysClr>
          </a:solid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sz="1100" b="1" i="0" u="none" strike="noStrike">
              <a:solidFill>
                <a:schemeClr val="tx1"/>
              </a:solidFill>
              <a:latin typeface="Calibri"/>
              <a:cs typeface="Calibri"/>
            </a:endParaRPr>
          </a:p>
        </xdr:txBody>
      </xdr:sp>
      <xdr:grpSp>
        <xdr:nvGrpSpPr>
          <xdr:cNvPr id="11" name="Group 10">
            <a:extLst>
              <a:ext uri="{FF2B5EF4-FFF2-40B4-BE49-F238E27FC236}">
                <a16:creationId xmlns:a16="http://schemas.microsoft.com/office/drawing/2014/main" id="{00000000-0008-0000-0000-00000B000000}"/>
              </a:ext>
            </a:extLst>
          </xdr:cNvPr>
          <xdr:cNvGrpSpPr/>
        </xdr:nvGrpSpPr>
        <xdr:grpSpPr>
          <a:xfrm>
            <a:off x="0" y="0"/>
            <a:ext cx="11836399" cy="1085850"/>
            <a:chOff x="0" y="0"/>
            <a:chExt cx="11836399" cy="1085850"/>
          </a:xfrm>
        </xdr:grpSpPr>
        <xdr:sp macro="" textlink="">
          <xdr:nvSpPr>
            <xdr:cNvPr id="41" name="nav_controls">
              <a:extLst>
                <a:ext uri="{FF2B5EF4-FFF2-40B4-BE49-F238E27FC236}">
                  <a16:creationId xmlns:a16="http://schemas.microsoft.com/office/drawing/2014/main" id="{00000000-0008-0000-0000-000029000000}"/>
                </a:ext>
              </a:extLst>
            </xdr:cNvPr>
            <xdr:cNvSpPr>
              <a:spLocks/>
            </xdr:cNvSpPr>
          </xdr:nvSpPr>
          <xdr:spPr>
            <a:xfrm>
              <a:off x="4271" y="219075"/>
              <a:ext cx="11832128" cy="866775"/>
            </a:xfrm>
            <a:prstGeom prst="rect">
              <a:avLst/>
            </a:prstGeom>
            <a:solidFill>
              <a:schemeClr val="bg2">
                <a:alpha val="49804"/>
              </a:schemeClr>
            </a:solidFill>
            <a:ln w="6350">
              <a:solidFill>
                <a:schemeClr val="bg2">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solidFill>
                  <a:srgbClr val="808080"/>
                </a:solidFill>
                <a:latin typeface="+mn-lt"/>
                <a:ea typeface="Karla" pitchFamily="2" charset="0"/>
              </a:endParaRPr>
            </a:p>
          </xdr:txBody>
        </xdr:sp>
        <xdr:sp macro="" textlink="">
          <xdr:nvSpPr>
            <xdr:cNvPr id="47" name="Home1">
              <a:extLst>
                <a:ext uri="{FF2B5EF4-FFF2-40B4-BE49-F238E27FC236}">
                  <a16:creationId xmlns:a16="http://schemas.microsoft.com/office/drawing/2014/main" id="{00000000-0008-0000-0000-00002F000000}"/>
                </a:ext>
              </a:extLst>
            </xdr:cNvPr>
            <xdr:cNvSpPr>
              <a:spLocks/>
            </xdr:cNvSpPr>
          </xdr:nvSpPr>
          <xdr:spPr>
            <a:xfrm>
              <a:off x="0" y="0"/>
              <a:ext cx="935969" cy="290513"/>
            </a:xfrm>
            <a:prstGeom prst="rect">
              <a:avLst/>
            </a:prstGeom>
            <a:solidFill>
              <a:schemeClr val="bg1"/>
            </a:solidFill>
            <a:ln w="952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a:solidFill>
                  <a:srgbClr val="808080"/>
                </a:solidFill>
                <a:latin typeface="+mn-lt"/>
                <a:ea typeface="Karla" pitchFamily="2" charset="0"/>
                <a:cs typeface="DilleniaUPC" pitchFamily="18" charset="-34"/>
              </a:endParaRPr>
            </a:p>
          </xdr:txBody>
        </xdr:sp>
        <xdr:sp macro="" textlink="">
          <xdr:nvSpPr>
            <xdr:cNvPr id="52" name="Oval 51">
              <a:extLst>
                <a:ext uri="{FF2B5EF4-FFF2-40B4-BE49-F238E27FC236}">
                  <a16:creationId xmlns:a16="http://schemas.microsoft.com/office/drawing/2014/main" id="{00000000-0008-0000-0000-000034000000}"/>
                </a:ext>
              </a:extLst>
            </xdr:cNvPr>
            <xdr:cNvSpPr>
              <a:spLocks/>
            </xdr:cNvSpPr>
          </xdr:nvSpPr>
          <xdr:spPr>
            <a:xfrm>
              <a:off x="61425" y="29969"/>
              <a:ext cx="237117" cy="230074"/>
            </a:xfrm>
            <a:prstGeom prst="ellipse">
              <a:avLst/>
            </a:prstGeom>
            <a:solidFill>
              <a:schemeClr val="accent5">
                <a:lumMod val="50000"/>
              </a:schemeClr>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rgbClr val="808080"/>
                </a:solidFill>
                <a:latin typeface="Calibri"/>
                <a:cs typeface="Calibri"/>
              </a:endParaRPr>
            </a:p>
          </xdr:txBody>
        </xdr:sp>
        <xdr:pic macro="[0]!LBChanger">
          <xdr:nvPicPr>
            <xdr:cNvPr id="53" name="Home" descr="Home.png">
              <a:extLst>
                <a:ext uri="{FF2B5EF4-FFF2-40B4-BE49-F238E27FC236}">
                  <a16:creationId xmlns:a16="http://schemas.microsoft.com/office/drawing/2014/main" id="{00000000-0008-0000-0000-000035000000}"/>
                </a:ext>
              </a:extLst>
            </xdr:cNvPr>
            <xdr:cNvPicPr>
              <a:picLocks/>
            </xdr:cNvPicPr>
          </xdr:nvPicPr>
          <xdr:blipFill>
            <a:blip xmlns:r="http://schemas.openxmlformats.org/officeDocument/2006/relationships" r:embed="rId5" cstate="print"/>
            <a:stretch>
              <a:fillRect/>
            </a:stretch>
          </xdr:blipFill>
          <xdr:spPr>
            <a:xfrm>
              <a:off x="53300" y="20741"/>
              <a:ext cx="255357" cy="247773"/>
            </a:xfrm>
            <a:prstGeom prst="rect">
              <a:avLst/>
            </a:prstGeom>
            <a:noFill/>
            <a:ln>
              <a:noFill/>
            </a:ln>
          </xdr:spPr>
        </xdr:pic>
        <xdr:pic macro="[0]!UniversalChanger">
          <xdr:nvPicPr>
            <xdr:cNvPr id="55" name="NavBack" descr="Silver-Back-Button.png">
              <a:extLst>
                <a:ext uri="{FF2B5EF4-FFF2-40B4-BE49-F238E27FC236}">
                  <a16:creationId xmlns:a16="http://schemas.microsoft.com/office/drawing/2014/main" id="{00000000-0008-0000-0000-000037000000}"/>
                </a:ext>
              </a:extLst>
            </xdr:cNvPr>
            <xdr:cNvPicPr>
              <a:picLocks/>
            </xdr:cNvPicPr>
          </xdr:nvPicPr>
          <xdr:blipFill>
            <a:blip xmlns:r="http://schemas.openxmlformats.org/officeDocument/2006/relationships" r:embed="rId6" cstate="print"/>
            <a:stretch>
              <a:fillRect/>
            </a:stretch>
          </xdr:blipFill>
          <xdr:spPr>
            <a:xfrm>
              <a:off x="619896" y="20741"/>
              <a:ext cx="255357" cy="247773"/>
            </a:xfrm>
            <a:prstGeom prst="rect">
              <a:avLst/>
            </a:prstGeom>
            <a:noFill/>
            <a:ln>
              <a:noFill/>
            </a:ln>
          </xdr:spPr>
        </xdr:pic>
        <xdr:sp macro="" textlink="uxb_works!B92">
          <xdr:nvSpPr>
            <xdr:cNvPr id="56" name="Home1">
              <a:extLst>
                <a:ext uri="{FF2B5EF4-FFF2-40B4-BE49-F238E27FC236}">
                  <a16:creationId xmlns:a16="http://schemas.microsoft.com/office/drawing/2014/main" id="{00000000-0008-0000-0000-000038000000}"/>
                </a:ext>
              </a:extLst>
            </xdr:cNvPr>
            <xdr:cNvSpPr>
              <a:spLocks/>
            </xdr:cNvSpPr>
          </xdr:nvSpPr>
          <xdr:spPr>
            <a:xfrm>
              <a:off x="935152" y="0"/>
              <a:ext cx="10897181" cy="288000"/>
            </a:xfrm>
            <a:prstGeom prst="rect">
              <a:avLst/>
            </a:prstGeom>
            <a:solidFill>
              <a:srgbClr val="FFFFFF"/>
            </a:solidFill>
            <a:ln w="317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DF606BA0-6E14-4859-A5ED-3649E8B86AAC}" type="TxLink">
                <a:rPr lang="en-US" sz="1600" b="1" i="0" u="none" strike="noStrike">
                  <a:solidFill>
                    <a:schemeClr val="accent5">
                      <a:lumMod val="50000"/>
                    </a:schemeClr>
                  </a:solidFill>
                  <a:latin typeface="Calibri"/>
                  <a:ea typeface="Karla" pitchFamily="2" charset="0"/>
                  <a:cs typeface="Calibri"/>
                </a:rPr>
                <a:pPr algn="l"/>
                <a:t>Digital Cities Index</a:t>
              </a:fld>
              <a:endParaRPr lang="en-GB" sz="1200" b="1">
                <a:solidFill>
                  <a:schemeClr val="accent5">
                    <a:lumMod val="50000"/>
                  </a:schemeClr>
                </a:solidFill>
                <a:latin typeface="+mn-lt"/>
                <a:ea typeface="Karla" pitchFamily="2" charset="0"/>
                <a:cs typeface="DilleniaUPC" pitchFamily="18" charset="-34"/>
              </a:endParaRPr>
            </a:p>
          </xdr:txBody>
        </xdr:sp>
        <xdr:pic macro="[0]!LBChanger">
          <xdr:nvPicPr>
            <xdr:cNvPr id="60" name="Contents" descr="ii_jgc3wl5q0_162f2138d6ded0cc">
              <a:extLst>
                <a:ext uri="{FF2B5EF4-FFF2-40B4-BE49-F238E27FC236}">
                  <a16:creationId xmlns:a16="http://schemas.microsoft.com/office/drawing/2014/main" id="{00000000-0008-0000-0000-00003C000000}"/>
                </a:ext>
              </a:extLst>
            </xdr:cNvPr>
            <xdr:cNvPicPr>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38252" y="20741"/>
              <a:ext cx="257922" cy="248400"/>
            </a:xfrm>
            <a:prstGeom prst="rect">
              <a:avLst/>
            </a:prstGeom>
            <a:solidFill>
              <a:schemeClr val="bg1"/>
            </a:solidFill>
            <a:ln>
              <a:noFill/>
            </a:ln>
          </xdr:spPr>
        </xdr:pic>
        <xdr:sp macro="" textlink="uxb_works!C95">
          <xdr:nvSpPr>
            <xdr:cNvPr id="43" name="nav_controls">
              <a:extLst>
                <a:ext uri="{FF2B5EF4-FFF2-40B4-BE49-F238E27FC236}">
                  <a16:creationId xmlns:a16="http://schemas.microsoft.com/office/drawing/2014/main" id="{00000000-0008-0000-0000-00002B000000}"/>
                </a:ext>
              </a:extLst>
            </xdr:cNvPr>
            <xdr:cNvSpPr>
              <a:spLocks/>
            </xdr:cNvSpPr>
          </xdr:nvSpPr>
          <xdr:spPr>
            <a:xfrm>
              <a:off x="6571873" y="461958"/>
              <a:ext cx="2646572" cy="123827"/>
            </a:xfrm>
            <a:prstGeom prst="rect">
              <a:avLst/>
            </a:prstGeom>
            <a:solidFill>
              <a:srgbClr val="9EB3BE"/>
            </a:solidFill>
            <a:ln w="6350">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A50E4DCD-C50B-480A-A8E7-9ABAA02B2C8C}" type="TxLink">
                <a:rPr lang="en-US" sz="800" b="1" i="0" u="none" strike="noStrike">
                  <a:solidFill>
                    <a:sysClr val="windowText" lastClr="000000"/>
                  </a:solidFill>
                  <a:latin typeface="Calibri"/>
                  <a:ea typeface="Karla" pitchFamily="2" charset="0"/>
                  <a:cs typeface="Calibri"/>
                </a:rPr>
                <a:pPr algn="ctr"/>
                <a:t>INSIGHTS &amp; ANALYTICS</a:t>
              </a:fld>
              <a:endParaRPr lang="en-GB" sz="600">
                <a:solidFill>
                  <a:sysClr val="windowText" lastClr="000000"/>
                </a:solidFill>
                <a:latin typeface="+mn-lt"/>
                <a:ea typeface="Karla" pitchFamily="2" charset="0"/>
              </a:endParaRPr>
            </a:p>
          </xdr:txBody>
        </xdr:sp>
        <xdr:sp macro="" textlink="uxb_works!C96">
          <xdr:nvSpPr>
            <xdr:cNvPr id="44" name="nav_controls">
              <a:extLst>
                <a:ext uri="{FF2B5EF4-FFF2-40B4-BE49-F238E27FC236}">
                  <a16:creationId xmlns:a16="http://schemas.microsoft.com/office/drawing/2014/main" id="{00000000-0008-0000-0000-00002C000000}"/>
                </a:ext>
              </a:extLst>
            </xdr:cNvPr>
            <xdr:cNvSpPr>
              <a:spLocks/>
            </xdr:cNvSpPr>
          </xdr:nvSpPr>
          <xdr:spPr>
            <a:xfrm>
              <a:off x="9223216" y="461958"/>
              <a:ext cx="2606289" cy="123827"/>
            </a:xfrm>
            <a:prstGeom prst="rect">
              <a:avLst/>
            </a:prstGeom>
            <a:solidFill>
              <a:srgbClr val="B5D5E5"/>
            </a:solidFill>
            <a:ln w="6350">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A8DC6B3-B0D8-421D-A6EB-6D34E7094A79}" type="TxLink">
                <a:rPr lang="en-US" sz="800" b="1" i="0" u="none" strike="noStrike">
                  <a:solidFill>
                    <a:sysClr val="windowText" lastClr="000000"/>
                  </a:solidFill>
                  <a:latin typeface="Calibri"/>
                  <a:ea typeface="Karla" pitchFamily="2" charset="0"/>
                  <a:cs typeface="Calibri"/>
                </a:rPr>
                <a:pPr algn="ctr"/>
                <a:t>SCORES &amp; WEIGHTS</a:t>
              </a:fld>
              <a:endParaRPr lang="en-GB" sz="600">
                <a:solidFill>
                  <a:sysClr val="windowText" lastClr="000000"/>
                </a:solidFill>
                <a:latin typeface="+mn-lt"/>
                <a:ea typeface="Karla" pitchFamily="2" charset="0"/>
              </a:endParaRPr>
            </a:p>
          </xdr:txBody>
        </xdr:sp>
        <xdr:sp macro="" textlink="uxb_works!C94">
          <xdr:nvSpPr>
            <xdr:cNvPr id="45" name="nav_controls">
              <a:extLst>
                <a:ext uri="{FF2B5EF4-FFF2-40B4-BE49-F238E27FC236}">
                  <a16:creationId xmlns:a16="http://schemas.microsoft.com/office/drawing/2014/main" id="{00000000-0008-0000-0000-00002D000000}"/>
                </a:ext>
              </a:extLst>
            </xdr:cNvPr>
            <xdr:cNvSpPr>
              <a:spLocks/>
            </xdr:cNvSpPr>
          </xdr:nvSpPr>
          <xdr:spPr>
            <a:xfrm>
              <a:off x="0" y="461958"/>
              <a:ext cx="6595730" cy="123827"/>
            </a:xfrm>
            <a:prstGeom prst="rect">
              <a:avLst/>
            </a:prstGeom>
            <a:solidFill>
              <a:srgbClr val="2B5464"/>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DDDD610-FBC5-44E5-8DCD-BFDD26A65D36}" type="TxLink">
                <a:rPr lang="en-US" sz="800" b="1" i="0" u="none" strike="noStrike">
                  <a:solidFill>
                    <a:schemeClr val="bg1"/>
                  </a:solidFill>
                  <a:latin typeface="Calibri"/>
                  <a:ea typeface="Karla" pitchFamily="2" charset="0"/>
                  <a:cs typeface="Calibri"/>
                </a:rPr>
                <a:pPr algn="ctr"/>
                <a:t>RESULTS</a:t>
              </a:fld>
              <a:endParaRPr lang="en-GB" sz="800">
                <a:solidFill>
                  <a:schemeClr val="bg1"/>
                </a:solidFill>
                <a:latin typeface="+mn-lt"/>
                <a:ea typeface="Karla" pitchFamily="2" charset="0"/>
              </a:endParaRPr>
            </a:p>
          </xdr:txBody>
        </xdr:sp>
        <xdr:grpSp>
          <xdr:nvGrpSpPr>
            <xdr:cNvPr id="7" name="Group 6">
              <a:extLst>
                <a:ext uri="{FF2B5EF4-FFF2-40B4-BE49-F238E27FC236}">
                  <a16:creationId xmlns:a16="http://schemas.microsoft.com/office/drawing/2014/main" id="{00000000-0008-0000-0000-000007000000}"/>
                </a:ext>
              </a:extLst>
            </xdr:cNvPr>
            <xdr:cNvGrpSpPr/>
          </xdr:nvGrpSpPr>
          <xdr:grpSpPr>
            <a:xfrm>
              <a:off x="0" y="285489"/>
              <a:ext cx="11814575" cy="180261"/>
              <a:chOff x="0" y="285489"/>
              <a:chExt cx="13173477" cy="180261"/>
            </a:xfrm>
          </xdr:grpSpPr>
          <xdr:sp macro="[0]!LBChanger" textlink="uxb_works!B100">
            <xdr:nvSpPr>
              <xdr:cNvPr id="93" name="Correlations">
                <a:extLst>
                  <a:ext uri="{FF2B5EF4-FFF2-40B4-BE49-F238E27FC236}">
                    <a16:creationId xmlns:a16="http://schemas.microsoft.com/office/drawing/2014/main" id="{00000000-0008-0000-0000-00005D000000}"/>
                  </a:ext>
                </a:extLst>
              </xdr:cNvPr>
              <xdr:cNvSpPr>
                <a:spLocks/>
              </xdr:cNvSpPr>
            </xdr:nvSpPr>
            <xdr:spPr>
              <a:xfrm>
                <a:off x="9225833"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0D08B5CF-F601-4334-9688-6B186F573CBA}" type="TxLink">
                  <a:rPr lang="en-US" sz="900" b="1" i="0" u="none" strike="noStrike">
                    <a:solidFill>
                      <a:schemeClr val="accent5">
                        <a:lumMod val="50000"/>
                      </a:schemeClr>
                    </a:solidFill>
                    <a:latin typeface="Calibri"/>
                    <a:ea typeface="Karla" pitchFamily="2" charset="0"/>
                    <a:cs typeface="Calibri"/>
                  </a:rPr>
                  <a:pPr algn="ctr"/>
                  <a:t>CORRELATIONS</a:t>
                </a:fld>
                <a:endParaRPr lang="en-GB" sz="900" b="1">
                  <a:solidFill>
                    <a:schemeClr val="accent5">
                      <a:lumMod val="50000"/>
                    </a:schemeClr>
                  </a:solidFill>
                  <a:latin typeface="+mn-lt"/>
                  <a:ea typeface="Karla" pitchFamily="2" charset="0"/>
                </a:endParaRPr>
              </a:p>
            </xdr:txBody>
          </xdr:sp>
          <xdr:sp macro="[0]!LBChanger" textlink="uxb_works!B99">
            <xdr:nvSpPr>
              <xdr:cNvPr id="94" name="Scatter">
                <a:extLst>
                  <a:ext uri="{FF2B5EF4-FFF2-40B4-BE49-F238E27FC236}">
                    <a16:creationId xmlns:a16="http://schemas.microsoft.com/office/drawing/2014/main" id="{00000000-0008-0000-0000-00005E000000}"/>
                  </a:ext>
                </a:extLst>
              </xdr:cNvPr>
              <xdr:cNvSpPr>
                <a:spLocks/>
              </xdr:cNvSpPr>
            </xdr:nvSpPr>
            <xdr:spPr>
              <a:xfrm>
                <a:off x="7903939" y="285940"/>
                <a:ext cx="1320074"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8DE1D7F-61C0-4422-A1B6-E89A6501ED1F}" type="TxLink">
                  <a:rPr lang="en-US" sz="900" b="1" i="0" u="none" strike="noStrike">
                    <a:solidFill>
                      <a:schemeClr val="accent5">
                        <a:lumMod val="50000"/>
                      </a:schemeClr>
                    </a:solidFill>
                    <a:latin typeface="Calibri"/>
                    <a:ea typeface="Karla" pitchFamily="2" charset="0"/>
                    <a:cs typeface="Calibri"/>
                  </a:rPr>
                  <a:pPr algn="ctr"/>
                  <a:t>SCATTER</a:t>
                </a:fld>
                <a:endParaRPr lang="en-GB" sz="900" b="1">
                  <a:solidFill>
                    <a:schemeClr val="accent5">
                      <a:lumMod val="50000"/>
                    </a:schemeClr>
                  </a:solidFill>
                  <a:latin typeface="+mn-lt"/>
                  <a:ea typeface="Karla" pitchFamily="2" charset="0"/>
                </a:endParaRPr>
              </a:p>
            </xdr:txBody>
          </xdr:sp>
          <xdr:sp macro="[0]!LBChanger" textlink="uxb_works!B101">
            <xdr:nvSpPr>
              <xdr:cNvPr id="95" name="Scores">
                <a:extLst>
                  <a:ext uri="{FF2B5EF4-FFF2-40B4-BE49-F238E27FC236}">
                    <a16:creationId xmlns:a16="http://schemas.microsoft.com/office/drawing/2014/main" id="{00000000-0008-0000-0000-00005F000000}"/>
                  </a:ext>
                </a:extLst>
              </xdr:cNvPr>
              <xdr:cNvSpPr>
                <a:spLocks/>
              </xdr:cNvSpPr>
            </xdr:nvSpPr>
            <xdr:spPr>
              <a:xfrm>
                <a:off x="10540783"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5165ACF-6EE1-4F74-8FDB-F21F37E9E6FB}" type="TxLink">
                  <a:rPr lang="en-US" sz="900" b="1" i="0" u="none" strike="noStrike">
                    <a:solidFill>
                      <a:schemeClr val="accent5">
                        <a:lumMod val="50000"/>
                      </a:schemeClr>
                    </a:solidFill>
                    <a:latin typeface="Calibri"/>
                    <a:ea typeface="Karla" pitchFamily="2" charset="0"/>
                    <a:cs typeface="Calibri"/>
                  </a:rPr>
                  <a:pPr algn="ctr"/>
                  <a:t>DATA / SCORES</a:t>
                </a:fld>
                <a:endParaRPr lang="en-GB" sz="900" b="1">
                  <a:solidFill>
                    <a:schemeClr val="accent5">
                      <a:lumMod val="50000"/>
                    </a:schemeClr>
                  </a:solidFill>
                  <a:latin typeface="+mn-lt"/>
                  <a:ea typeface="Karla" pitchFamily="2" charset="0"/>
                </a:endParaRPr>
              </a:p>
            </xdr:txBody>
          </xdr:sp>
          <xdr:sp macro="[0]!LBChanger" textlink="uxb_works!B102">
            <xdr:nvSpPr>
              <xdr:cNvPr id="96" name="Weights">
                <a:extLst>
                  <a:ext uri="{FF2B5EF4-FFF2-40B4-BE49-F238E27FC236}">
                    <a16:creationId xmlns:a16="http://schemas.microsoft.com/office/drawing/2014/main" id="{00000000-0008-0000-0000-000060000000}"/>
                  </a:ext>
                </a:extLst>
              </xdr:cNvPr>
              <xdr:cNvSpPr>
                <a:spLocks/>
              </xdr:cNvSpPr>
            </xdr:nvSpPr>
            <xdr:spPr>
              <a:xfrm>
                <a:off x="11855698"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43627509-C0BB-4D16-AADD-A85AC599D44F}" type="TxLink">
                  <a:rPr lang="en-US" sz="900" b="1" i="0" u="none" strike="noStrike">
                    <a:solidFill>
                      <a:schemeClr val="accent5">
                        <a:lumMod val="50000"/>
                      </a:schemeClr>
                    </a:solidFill>
                    <a:latin typeface="Calibri"/>
                    <a:ea typeface="Karla" pitchFamily="2" charset="0"/>
                    <a:cs typeface="Calibri"/>
                  </a:rPr>
                  <a:pPr algn="ctr"/>
                  <a:t>WEIGHTS</a:t>
                </a:fld>
                <a:endParaRPr lang="en-GB" sz="900" b="1">
                  <a:solidFill>
                    <a:schemeClr val="accent5">
                      <a:lumMod val="50000"/>
                    </a:schemeClr>
                  </a:solidFill>
                  <a:latin typeface="+mn-lt"/>
                  <a:ea typeface="Karla" pitchFamily="2" charset="0"/>
                </a:endParaRPr>
              </a:p>
            </xdr:txBody>
          </xdr:sp>
          <xdr:sp macro="[0]!LBChanger" textlink="uxb_works!B95">
            <xdr:nvSpPr>
              <xdr:cNvPr id="97" name="Summary1">
                <a:extLst>
                  <a:ext uri="{FF2B5EF4-FFF2-40B4-BE49-F238E27FC236}">
                    <a16:creationId xmlns:a16="http://schemas.microsoft.com/office/drawing/2014/main" id="{00000000-0008-0000-0000-000061000000}"/>
                  </a:ext>
                </a:extLst>
              </xdr:cNvPr>
              <xdr:cNvSpPr>
                <a:spLocks/>
              </xdr:cNvSpPr>
            </xdr:nvSpPr>
            <xdr:spPr>
              <a:xfrm>
                <a:off x="0"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A5241822-14D3-4854-9411-CFDDA1D4CE0A}" type="TxLink">
                  <a:rPr lang="en-US" sz="900" b="1" i="0" u="none" strike="noStrike">
                    <a:solidFill>
                      <a:schemeClr val="accent5">
                        <a:lumMod val="50000"/>
                      </a:schemeClr>
                    </a:solidFill>
                    <a:latin typeface="Calibri"/>
                    <a:ea typeface="Karla" pitchFamily="2" charset="0"/>
                    <a:cs typeface="Calibri"/>
                  </a:rPr>
                  <a:pPr algn="ctr"/>
                  <a:t>SUMMARY</a:t>
                </a:fld>
                <a:endParaRPr lang="en-GB" sz="900" b="1">
                  <a:solidFill>
                    <a:schemeClr val="accent5">
                      <a:lumMod val="50000"/>
                    </a:schemeClr>
                  </a:solidFill>
                  <a:latin typeface="+mn-lt"/>
                  <a:ea typeface="Karla" pitchFamily="2" charset="0"/>
                </a:endParaRPr>
              </a:p>
            </xdr:txBody>
          </xdr:sp>
          <xdr:sp macro="[0]!LBChanger" textlink="uxb_works!B96">
            <xdr:nvSpPr>
              <xdr:cNvPr id="98" name="Indicator_Ranking">
                <a:extLst>
                  <a:ext uri="{FF2B5EF4-FFF2-40B4-BE49-F238E27FC236}">
                    <a16:creationId xmlns:a16="http://schemas.microsoft.com/office/drawing/2014/main" id="{00000000-0008-0000-0000-000062000000}"/>
                  </a:ext>
                </a:extLst>
              </xdr:cNvPr>
              <xdr:cNvSpPr>
                <a:spLocks/>
              </xdr:cNvSpPr>
            </xdr:nvSpPr>
            <xdr:spPr>
              <a:xfrm>
                <a:off x="1319392"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1D205C57-4D69-4B9A-8D11-5E0B7527B9E2}" type="TxLink">
                  <a:rPr lang="en-US" sz="900" b="1" i="0" u="none" strike="noStrike">
                    <a:solidFill>
                      <a:schemeClr val="accent5">
                        <a:lumMod val="50000"/>
                      </a:schemeClr>
                    </a:solidFill>
                    <a:latin typeface="Calibri"/>
                    <a:ea typeface="Karla" pitchFamily="2" charset="0"/>
                    <a:cs typeface="Calibri"/>
                  </a:rPr>
                  <a:pPr algn="ctr"/>
                  <a:t>INDICATOR RANKING</a:t>
                </a:fld>
                <a:endParaRPr lang="en-GB" sz="900" b="1">
                  <a:solidFill>
                    <a:schemeClr val="accent5">
                      <a:lumMod val="50000"/>
                    </a:schemeClr>
                  </a:solidFill>
                  <a:latin typeface="+mn-lt"/>
                  <a:ea typeface="Karla" pitchFamily="2" charset="0"/>
                </a:endParaRPr>
              </a:p>
            </xdr:txBody>
          </xdr:sp>
          <xdr:sp macro="[0]!LBChanger" textlink="uxb_works!B98">
            <xdr:nvSpPr>
              <xdr:cNvPr id="99" name="CCompare">
                <a:extLst>
                  <a:ext uri="{FF2B5EF4-FFF2-40B4-BE49-F238E27FC236}">
                    <a16:creationId xmlns:a16="http://schemas.microsoft.com/office/drawing/2014/main" id="{00000000-0008-0000-0000-000063000000}"/>
                  </a:ext>
                </a:extLst>
              </xdr:cNvPr>
              <xdr:cNvSpPr>
                <a:spLocks/>
              </xdr:cNvSpPr>
            </xdr:nvSpPr>
            <xdr:spPr>
              <a:xfrm>
                <a:off x="5256659" y="285940"/>
                <a:ext cx="132486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829603AF-0DD8-4C72-8452-B09DB6262544}" type="TxLink">
                  <a:rPr lang="en-US" sz="900" b="1" i="0" u="none" strike="noStrike">
                    <a:solidFill>
                      <a:schemeClr val="accent5">
                        <a:lumMod val="50000"/>
                      </a:schemeClr>
                    </a:solidFill>
                    <a:latin typeface="Calibri"/>
                    <a:ea typeface="Karla" pitchFamily="2" charset="0"/>
                    <a:cs typeface="Calibri"/>
                  </a:rPr>
                  <a:pPr algn="ctr"/>
                  <a:t>CITY COMPARE</a:t>
                </a:fld>
                <a:endParaRPr lang="en-GB" sz="900" b="1">
                  <a:solidFill>
                    <a:schemeClr val="accent5">
                      <a:lumMod val="50000"/>
                    </a:schemeClr>
                  </a:solidFill>
                  <a:latin typeface="+mn-lt"/>
                  <a:ea typeface="Karla" pitchFamily="2" charset="0"/>
                </a:endParaRPr>
              </a:p>
            </xdr:txBody>
          </xdr:sp>
          <xdr:sp macro="[0]!LBChanger" textlink="uxb_works!B97">
            <xdr:nvSpPr>
              <xdr:cNvPr id="100" name="CtyScoreCard">
                <a:extLst>
                  <a:ext uri="{FF2B5EF4-FFF2-40B4-BE49-F238E27FC236}">
                    <a16:creationId xmlns:a16="http://schemas.microsoft.com/office/drawing/2014/main" id="{00000000-0008-0000-0000-000064000000}"/>
                  </a:ext>
                </a:extLst>
              </xdr:cNvPr>
              <xdr:cNvSpPr>
                <a:spLocks/>
              </xdr:cNvSpPr>
            </xdr:nvSpPr>
            <xdr:spPr>
              <a:xfrm>
                <a:off x="3943666" y="285489"/>
                <a:ext cx="1317779" cy="180261"/>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fld id="{5B2B5046-96B7-4EDE-9DD8-D97FF7695B86}" type="TxLink">
                  <a:rPr lang="en-US" sz="900" b="1" i="0" u="none" strike="noStrike">
                    <a:solidFill>
                      <a:schemeClr val="accent5">
                        <a:lumMod val="50000"/>
                      </a:schemeClr>
                    </a:solidFill>
                    <a:latin typeface="Calibri"/>
                    <a:ea typeface="Karla" pitchFamily="2" charset="0"/>
                    <a:cs typeface="Calibri"/>
                  </a:rPr>
                  <a:pPr algn="ctr"/>
                  <a:t>CITY SCORECARD</a:t>
                </a:fld>
                <a:endParaRPr lang="en-GB" sz="900" b="1">
                  <a:solidFill>
                    <a:schemeClr val="accent5">
                      <a:lumMod val="50000"/>
                    </a:schemeClr>
                  </a:solidFill>
                  <a:latin typeface="+mn-lt"/>
                  <a:ea typeface="Karla" pitchFamily="2" charset="0"/>
                </a:endParaRPr>
              </a:p>
            </xdr:txBody>
          </xdr:sp>
          <xdr:sp macro="[0]!LBChanger" textlink="uxb_works!B103">
            <xdr:nvSpPr>
              <xdr:cNvPr id="36" name="RegionCompare">
                <a:extLst>
                  <a:ext uri="{FF2B5EF4-FFF2-40B4-BE49-F238E27FC236}">
                    <a16:creationId xmlns:a16="http://schemas.microsoft.com/office/drawing/2014/main" id="{00000000-0008-0000-0000-000024000000}"/>
                  </a:ext>
                </a:extLst>
              </xdr:cNvPr>
              <xdr:cNvSpPr>
                <a:spLocks/>
              </xdr:cNvSpPr>
            </xdr:nvSpPr>
            <xdr:spPr>
              <a:xfrm>
                <a:off x="6578664" y="285940"/>
                <a:ext cx="132486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51E55FBF-FB84-41A1-976B-235AB148A85F}" type="TxLink">
                  <a:rPr lang="en-US" sz="900" b="1" i="0" u="none" strike="noStrike">
                    <a:solidFill>
                      <a:schemeClr val="accent5">
                        <a:lumMod val="50000"/>
                      </a:schemeClr>
                    </a:solidFill>
                    <a:latin typeface="Calibri"/>
                    <a:ea typeface="Karla" pitchFamily="2" charset="0"/>
                    <a:cs typeface="Calibri"/>
                  </a:rPr>
                  <a:pPr algn="ctr"/>
                  <a:t>REGION COMPARE</a:t>
                </a:fld>
                <a:endParaRPr lang="en-GB" sz="900" b="1">
                  <a:solidFill>
                    <a:schemeClr val="accent5">
                      <a:lumMod val="50000"/>
                    </a:schemeClr>
                  </a:solidFill>
                  <a:latin typeface="+mn-lt"/>
                  <a:ea typeface="Karla" pitchFamily="2" charset="0"/>
                </a:endParaRPr>
              </a:p>
            </xdr:txBody>
          </xdr:sp>
          <xdr:sp macro="[0]!LBChanger" textlink="uxb_works!B104">
            <xdr:nvSpPr>
              <xdr:cNvPr id="46" name="CProfile">
                <a:extLst>
                  <a:ext uri="{FF2B5EF4-FFF2-40B4-BE49-F238E27FC236}">
                    <a16:creationId xmlns:a16="http://schemas.microsoft.com/office/drawing/2014/main" id="{00000000-0008-0000-0000-00002E000000}"/>
                  </a:ext>
                </a:extLst>
              </xdr:cNvPr>
              <xdr:cNvSpPr>
                <a:spLocks/>
              </xdr:cNvSpPr>
            </xdr:nvSpPr>
            <xdr:spPr>
              <a:xfrm>
                <a:off x="2635250" y="285489"/>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62C1403F-D06F-4F81-B666-49A22A849932}" type="TxLink">
                  <a:rPr lang="en-US" sz="900" b="1" i="0" u="none" strike="noStrike">
                    <a:solidFill>
                      <a:srgbClr val="366092"/>
                    </a:solidFill>
                    <a:latin typeface="Calibri"/>
                    <a:ea typeface="Karla" pitchFamily="2" charset="0"/>
                    <a:cs typeface="Calibri"/>
                  </a:rPr>
                  <a:pPr algn="ctr"/>
                  <a:t>CITY PROFILE</a:t>
                </a:fld>
                <a:endParaRPr lang="en-GB" sz="900" b="1">
                  <a:solidFill>
                    <a:schemeClr val="accent5">
                      <a:lumMod val="50000"/>
                    </a:schemeClr>
                  </a:solidFill>
                  <a:latin typeface="+mn-lt"/>
                  <a:ea typeface="Karla" pitchFamily="2" charset="0"/>
                </a:endParaRPr>
              </a:p>
            </xdr:txBody>
          </xdr:sp>
        </xdr:grpSp>
      </xdr:grpSp>
    </xdr:grpSp>
    <xdr:clientData/>
  </xdr:twoCellAnchor>
  <xdr:twoCellAnchor editAs="oneCell">
    <xdr:from>
      <xdr:col>14</xdr:col>
      <xdr:colOff>47625</xdr:colOff>
      <xdr:row>19</xdr:row>
      <xdr:rowOff>1109008</xdr:rowOff>
    </xdr:from>
    <xdr:to>
      <xdr:col>18</xdr:col>
      <xdr:colOff>438150</xdr:colOff>
      <xdr:row>22</xdr:row>
      <xdr:rowOff>160812</xdr:rowOff>
    </xdr:to>
    <xdr:pic>
      <xdr:nvPicPr>
        <xdr:cNvPr id="5" name="Picture 4"/>
        <xdr:cNvPicPr>
          <a:picLocks noChangeAspect="1"/>
        </xdr:cNvPicPr>
      </xdr:nvPicPr>
      <xdr:blipFill>
        <a:blip xmlns:r="http://schemas.openxmlformats.org/officeDocument/2006/relationships" r:embed="rId8"/>
        <a:stretch>
          <a:fillRect/>
        </a:stretch>
      </xdr:blipFill>
      <xdr:spPr>
        <a:xfrm>
          <a:off x="7248525" y="2918758"/>
          <a:ext cx="3248025" cy="13473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2295525</xdr:colOff>
      <xdr:row>12</xdr:row>
      <xdr:rowOff>133350</xdr:rowOff>
    </xdr:from>
    <xdr:to>
      <xdr:col>11</xdr:col>
      <xdr:colOff>133350</xdr:colOff>
      <xdr:row>18</xdr:row>
      <xdr:rowOff>180975</xdr:rowOff>
    </xdr:to>
    <xdr:sp macro="" textlink="">
      <xdr:nvSpPr>
        <xdr:cNvPr id="2" name="Message" hidden="1">
          <a:extLst>
            <a:ext uri="{FF2B5EF4-FFF2-40B4-BE49-F238E27FC236}">
              <a16:creationId xmlns:a16="http://schemas.microsoft.com/office/drawing/2014/main" id="{00000000-0008-0000-0900-000002000000}"/>
            </a:ext>
          </a:extLst>
        </xdr:cNvPr>
        <xdr:cNvSpPr/>
      </xdr:nvSpPr>
      <xdr:spPr>
        <a:xfrm>
          <a:off x="2533650" y="1295400"/>
          <a:ext cx="8753475" cy="0"/>
        </a:xfrm>
        <a:prstGeom prst="rect">
          <a:avLst/>
        </a:prstGeom>
        <a:solidFill>
          <a:sysClr val="window" lastClr="FFFFFF"/>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i="0" u="none" strike="noStrike">
              <a:solidFill>
                <a:sysClr val="windowText" lastClr="000000"/>
              </a:solidFill>
              <a:latin typeface="Calibri"/>
              <a:cs typeface="Calibri"/>
            </a:rPr>
            <a:t>Calculating the scores. </a:t>
          </a:r>
        </a:p>
        <a:p>
          <a:pPr algn="ctr"/>
          <a:endParaRPr lang="en-GB" sz="1400" b="1" i="0" u="none" strike="noStrike">
            <a:solidFill>
              <a:sysClr val="windowText" lastClr="000000"/>
            </a:solidFill>
            <a:latin typeface="Calibri"/>
            <a:cs typeface="Calibri"/>
          </a:endParaRPr>
        </a:p>
        <a:p>
          <a:pPr algn="ctr"/>
          <a:r>
            <a:rPr lang="en-GB" sz="1400" b="1" i="0" u="none" strike="noStrike">
              <a:solidFill>
                <a:schemeClr val="accent1">
                  <a:lumMod val="60000"/>
                  <a:lumOff val="40000"/>
                </a:schemeClr>
              </a:solidFill>
              <a:latin typeface="Calibri"/>
              <a:cs typeface="Calibri"/>
            </a:rPr>
            <a:t>This will take between 20 and 40 seconds depending on your processor speed</a:t>
          </a:r>
        </a:p>
      </xdr:txBody>
    </xdr:sp>
    <xdr:clientData/>
  </xdr:twoCellAnchor>
  <xdr:twoCellAnchor>
    <xdr:from>
      <xdr:col>0</xdr:col>
      <xdr:colOff>85724</xdr:colOff>
      <xdr:row>9</xdr:row>
      <xdr:rowOff>66671</xdr:rowOff>
    </xdr:from>
    <xdr:to>
      <xdr:col>12</xdr:col>
      <xdr:colOff>142875</xdr:colOff>
      <xdr:row>58</xdr:row>
      <xdr:rowOff>0</xdr:rowOff>
    </xdr:to>
    <xdr:sp macro="" textlink="">
      <xdr:nvSpPr>
        <xdr:cNvPr id="3" name="LeftBox1">
          <a:extLst>
            <a:ext uri="{FF2B5EF4-FFF2-40B4-BE49-F238E27FC236}">
              <a16:creationId xmlns:a16="http://schemas.microsoft.com/office/drawing/2014/main" id="{00000000-0008-0000-0900-000003000000}"/>
            </a:ext>
          </a:extLst>
        </xdr:cNvPr>
        <xdr:cNvSpPr>
          <a:spLocks/>
        </xdr:cNvSpPr>
      </xdr:nvSpPr>
      <xdr:spPr>
        <a:xfrm>
          <a:off x="85724" y="1152521"/>
          <a:ext cx="11677651" cy="6096000"/>
        </a:xfrm>
        <a:prstGeom prst="rect">
          <a:avLst/>
        </a:prstGeom>
        <a:noFill/>
        <a:ln w="6350">
          <a:solidFill>
            <a:srgbClr val="005E9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400" b="1" i="0" u="none" strike="noStrike">
            <a:solidFill>
              <a:schemeClr val="accent1">
                <a:lumMod val="60000"/>
                <a:lumOff val="40000"/>
              </a:schemeClr>
            </a:solidFill>
            <a:latin typeface="Calibri"/>
            <a:cs typeface="Calibri"/>
          </a:endParaRPr>
        </a:p>
      </xdr:txBody>
    </xdr:sp>
    <xdr:clientData/>
  </xdr:twoCellAnchor>
  <xdr:twoCellAnchor editAs="oneCell">
    <xdr:from>
      <xdr:col>3</xdr:col>
      <xdr:colOff>85725</xdr:colOff>
      <xdr:row>23</xdr:row>
      <xdr:rowOff>100012</xdr:rowOff>
    </xdr:from>
    <xdr:to>
      <xdr:col>5</xdr:col>
      <xdr:colOff>3248025</xdr:colOff>
      <xdr:row>24</xdr:row>
      <xdr:rowOff>43924</xdr:rowOff>
    </xdr:to>
    <xdr:sp macro="" textlink="">
      <xdr:nvSpPr>
        <xdr:cNvPr id="4" name="TextBox 3">
          <a:extLst>
            <a:ext uri="{FF2B5EF4-FFF2-40B4-BE49-F238E27FC236}">
              <a16:creationId xmlns:a16="http://schemas.microsoft.com/office/drawing/2014/main" id="{00000000-0008-0000-0900-000004000000}"/>
            </a:ext>
          </a:extLst>
        </xdr:cNvPr>
        <xdr:cNvSpPr txBox="1">
          <a:spLocks noChangeArrowheads="1"/>
        </xdr:cNvSpPr>
      </xdr:nvSpPr>
      <xdr:spPr bwMode="auto">
        <a:xfrm>
          <a:off x="171450" y="2090737"/>
          <a:ext cx="3314700" cy="305862"/>
        </a:xfrm>
        <a:prstGeom prst="rect">
          <a:avLst/>
        </a:prstGeom>
        <a:noFill/>
        <a:ln w="9525">
          <a:noFill/>
          <a:miter lim="800000"/>
          <a:headEnd/>
          <a:tailEnd/>
        </a:ln>
      </xdr:spPr>
      <xdr:txBody>
        <a:bodyPr vertOverflow="clip" wrap="square" lIns="72000" tIns="72000" rIns="72000" bIns="72000" anchor="ctr" upright="1"/>
        <a:lstStyle/>
        <a:p>
          <a:pPr marL="0" algn="l"/>
          <a:r>
            <a:rPr lang="en-US" sz="1000" b="0" i="1" u="none" strike="noStrike">
              <a:solidFill>
                <a:srgbClr val="3B6E8F"/>
              </a:solidFill>
              <a:effectLst/>
              <a:latin typeface="+mn-lt"/>
              <a:ea typeface="+mn-ea"/>
              <a:cs typeface="Calibri"/>
            </a:rPr>
            <a:t>Click on any indicator to view detail</a:t>
          </a:r>
        </a:p>
      </xdr:txBody>
    </xdr:sp>
    <xdr:clientData fPrintsWithSheet="0"/>
  </xdr:twoCellAnchor>
  <xdr:twoCellAnchor editAs="oneCell">
    <xdr:from>
      <xdr:col>10</xdr:col>
      <xdr:colOff>1818075</xdr:colOff>
      <xdr:row>23</xdr:row>
      <xdr:rowOff>100012</xdr:rowOff>
    </xdr:from>
    <xdr:to>
      <xdr:col>11</xdr:col>
      <xdr:colOff>240100</xdr:colOff>
      <xdr:row>24</xdr:row>
      <xdr:rowOff>43924</xdr:rowOff>
    </xdr:to>
    <xdr:sp macro="" textlink="">
      <xdr:nvSpPr>
        <xdr:cNvPr id="5" name="TextBox 4">
          <a:extLst>
            <a:ext uri="{FF2B5EF4-FFF2-40B4-BE49-F238E27FC236}">
              <a16:creationId xmlns:a16="http://schemas.microsoft.com/office/drawing/2014/main" id="{00000000-0008-0000-0900-000005000000}"/>
            </a:ext>
          </a:extLst>
        </xdr:cNvPr>
        <xdr:cNvSpPr txBox="1">
          <a:spLocks noChangeArrowheads="1"/>
        </xdr:cNvSpPr>
      </xdr:nvSpPr>
      <xdr:spPr bwMode="auto">
        <a:xfrm>
          <a:off x="8076000" y="2090737"/>
          <a:ext cx="3317875" cy="305862"/>
        </a:xfrm>
        <a:prstGeom prst="rect">
          <a:avLst/>
        </a:prstGeom>
        <a:noFill/>
        <a:ln w="9525">
          <a:noFill/>
          <a:miter lim="800000"/>
          <a:headEnd/>
          <a:tailEnd/>
        </a:ln>
      </xdr:spPr>
      <xdr:txBody>
        <a:bodyPr vertOverflow="clip" wrap="square" lIns="72000" tIns="72000" rIns="72000" bIns="72000" anchor="ctr" upright="1"/>
        <a:lstStyle/>
        <a:p>
          <a:pPr marL="0" algn="r"/>
          <a:r>
            <a:rPr lang="en-US" sz="1000" b="0" i="1" u="none" strike="noStrike">
              <a:solidFill>
                <a:srgbClr val="3B6E8F"/>
              </a:solidFill>
              <a:effectLst/>
              <a:latin typeface="+mn-lt"/>
              <a:ea typeface="+mn-ea"/>
              <a:cs typeface="Calibri"/>
            </a:rPr>
            <a:t>* Select primary</a:t>
          </a:r>
          <a:r>
            <a:rPr lang="en-US" sz="1000" b="0" i="1" u="none" strike="noStrike" baseline="0">
              <a:solidFill>
                <a:srgbClr val="3B6E8F"/>
              </a:solidFill>
              <a:effectLst/>
              <a:latin typeface="+mn-lt"/>
              <a:ea typeface="+mn-ea"/>
              <a:cs typeface="Calibri"/>
            </a:rPr>
            <a:t> indictor in menu above</a:t>
          </a:r>
          <a:endParaRPr lang="en-US" sz="1000" b="0" i="1" u="none" strike="noStrike">
            <a:solidFill>
              <a:srgbClr val="3B6E8F"/>
            </a:solidFill>
            <a:effectLst/>
            <a:latin typeface="+mn-lt"/>
            <a:ea typeface="+mn-ea"/>
            <a:cs typeface="Calibri"/>
          </a:endParaRPr>
        </a:p>
      </xdr:txBody>
    </xdr:sp>
    <xdr:clientData fPrintsWithSheet="0"/>
  </xdr:twoCellAnchor>
  <xdr:twoCellAnchor editAs="oneCell">
    <xdr:from>
      <xdr:col>3</xdr:col>
      <xdr:colOff>18923</xdr:colOff>
      <xdr:row>58</xdr:row>
      <xdr:rowOff>0</xdr:rowOff>
    </xdr:from>
    <xdr:to>
      <xdr:col>5</xdr:col>
      <xdr:colOff>687166</xdr:colOff>
      <xdr:row>59</xdr:row>
      <xdr:rowOff>103844</xdr:rowOff>
    </xdr:to>
    <xdr:sp macro="[0]!UniversalChanger" textlink="">
      <xdr:nvSpPr>
        <xdr:cNvPr id="6" name="go_top_B">
          <a:extLst>
            <a:ext uri="{FF2B5EF4-FFF2-40B4-BE49-F238E27FC236}">
              <a16:creationId xmlns:a16="http://schemas.microsoft.com/office/drawing/2014/main" id="{00000000-0008-0000-0900-000006000000}"/>
            </a:ext>
          </a:extLst>
        </xdr:cNvPr>
        <xdr:cNvSpPr txBox="1"/>
      </xdr:nvSpPr>
      <xdr:spPr>
        <a:xfrm>
          <a:off x="104648" y="7366000"/>
          <a:ext cx="820643" cy="313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b"/>
        <a:lstStyle/>
        <a:p>
          <a:pPr algn="l" rtl="0">
            <a:defRPr sz="1000"/>
          </a:pPr>
          <a:r>
            <a:rPr lang="en-GB" sz="1100" b="1" i="0" u="sng" strike="noStrike" baseline="0">
              <a:solidFill>
                <a:srgbClr val="0070C0"/>
              </a:solidFill>
              <a:latin typeface="+mn-lt"/>
              <a:ea typeface="Karla" pitchFamily="2" charset="0"/>
            </a:rPr>
            <a:t>Back to top</a:t>
          </a:r>
        </a:p>
      </xdr:txBody>
    </xdr:sp>
    <xdr:clientData fPrintsWithSheet="0"/>
  </xdr:twoCellAnchor>
  <xdr:twoCellAnchor editAs="oneCell">
    <xdr:from>
      <xdr:col>10</xdr:col>
      <xdr:colOff>2495550</xdr:colOff>
      <xdr:row>9</xdr:row>
      <xdr:rowOff>123825</xdr:rowOff>
    </xdr:from>
    <xdr:to>
      <xdr:col>11</xdr:col>
      <xdr:colOff>306775</xdr:colOff>
      <xdr:row>22</xdr:row>
      <xdr:rowOff>85726</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8753475" y="1209675"/>
          <a:ext cx="2707075" cy="476251"/>
        </a:xfrm>
        <a:prstGeom prst="rect">
          <a:avLst/>
        </a:prstGeom>
        <a:solidFill>
          <a:sysClr val="window" lastClr="FFFFFF"/>
        </a:solidFill>
        <a:ln w="9525" cmpd="sng">
          <a:solidFill>
            <a:srgbClr val="0F8EC7"/>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1100" b="1" i="0" u="none" strike="noStrike">
              <a:solidFill>
                <a:schemeClr val="dk1"/>
              </a:solidFill>
              <a:latin typeface="+mn-lt"/>
              <a:ea typeface="+mn-ea"/>
              <a:cs typeface="+mn-cs"/>
            </a:rPr>
            <a:t>CORRELATION(X,Y)</a:t>
          </a:r>
          <a:r>
            <a:rPr lang="en-GB" sz="1100" b="0" i="0" u="none" strike="noStrike">
              <a:solidFill>
                <a:schemeClr val="dk1"/>
              </a:solidFill>
              <a:latin typeface="+mn-lt"/>
              <a:ea typeface="+mn-ea"/>
              <a:cs typeface="+mn-cs"/>
            </a:rPr>
            <a:t>: </a:t>
          </a:r>
          <a:r>
            <a:rPr lang="en-GB" sz="1100">
              <a:solidFill>
                <a:schemeClr val="dk1"/>
              </a:solidFill>
              <a:latin typeface="+mn-lt"/>
              <a:ea typeface="+mn-ea"/>
              <a:cs typeface="+mn-cs"/>
            </a:rPr>
            <a:t>Note, correlation does not prove causation</a:t>
          </a:r>
          <a:r>
            <a:rPr lang="en-GB" sz="1100"/>
            <a:t>. </a:t>
          </a:r>
        </a:p>
      </xdr:txBody>
    </xdr:sp>
    <xdr:clientData fPrintsWithSheet="0"/>
  </xdr:twoCellAnchor>
  <xdr:twoCellAnchor editAs="oneCell">
    <xdr:from>
      <xdr:col>1</xdr:col>
      <xdr:colOff>0</xdr:colOff>
      <xdr:row>2</xdr:row>
      <xdr:rowOff>0</xdr:rowOff>
    </xdr:from>
    <xdr:to>
      <xdr:col>12</xdr:col>
      <xdr:colOff>200025</xdr:colOff>
      <xdr:row>3</xdr:row>
      <xdr:rowOff>498091</xdr:rowOff>
    </xdr:to>
    <xdr:grpSp>
      <xdr:nvGrpSpPr>
        <xdr:cNvPr id="8" name="HelpBox" hidden="1">
          <a:extLst>
            <a:ext uri="{FF2B5EF4-FFF2-40B4-BE49-F238E27FC236}">
              <a16:creationId xmlns:a16="http://schemas.microsoft.com/office/drawing/2014/main" id="{00000000-0008-0000-0900-000008000000}"/>
            </a:ext>
          </a:extLst>
        </xdr:cNvPr>
        <xdr:cNvGrpSpPr/>
      </xdr:nvGrpSpPr>
      <xdr:grpSpPr>
        <a:xfrm>
          <a:off x="85725" y="1085850"/>
          <a:ext cx="11734800" cy="536191"/>
          <a:chOff x="95250" y="1924049"/>
          <a:chExt cx="11734800" cy="540000"/>
        </a:xfrm>
      </xdr:grpSpPr>
      <xdr:sp macro="" textlink="">
        <xdr:nvSpPr>
          <xdr:cNvPr id="9" name="HelpBoxMain" hidden="1">
            <a:extLst>
              <a:ext uri="{FF2B5EF4-FFF2-40B4-BE49-F238E27FC236}">
                <a16:creationId xmlns:a16="http://schemas.microsoft.com/office/drawing/2014/main" id="{00000000-0008-0000-0900-000009000000}"/>
              </a:ext>
            </a:extLst>
          </xdr:cNvPr>
          <xdr:cNvSpPr/>
        </xdr:nvSpPr>
        <xdr:spPr>
          <a:xfrm>
            <a:off x="95250" y="1924049"/>
            <a:ext cx="10172700" cy="540000"/>
          </a:xfrm>
          <a:prstGeom prst="rect">
            <a:avLst/>
          </a:prstGeom>
          <a:solidFill>
            <a:schemeClr val="bg1"/>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50" b="0" i="0" u="none" strike="noStrike">
                <a:solidFill>
                  <a:sysClr val="windowText" lastClr="000000"/>
                </a:solidFill>
                <a:latin typeface="Calibri"/>
                <a:cs typeface="Calibri"/>
              </a:rPr>
              <a:t>A description of this</a:t>
            </a:r>
            <a:r>
              <a:rPr lang="en-GB" sz="1050" b="0" i="0" u="none" strike="noStrike" baseline="0">
                <a:solidFill>
                  <a:sysClr val="windowText" lastClr="000000"/>
                </a:solidFill>
                <a:latin typeface="Calibri"/>
                <a:cs typeface="Calibri"/>
              </a:rPr>
              <a:t> page. to be added.</a:t>
            </a:r>
            <a:endParaRPr lang="en-GB" sz="1050" b="0" i="0" u="none" strike="noStrike">
              <a:solidFill>
                <a:sysClr val="windowText" lastClr="000000"/>
              </a:solidFill>
              <a:latin typeface="Calibri"/>
              <a:cs typeface="Calibri"/>
            </a:endParaRPr>
          </a:p>
        </xdr:txBody>
      </xdr:sp>
      <xdr:sp macro="[0]!LBChanger" textlink="uxb_works!B205">
        <xdr:nvSpPr>
          <xdr:cNvPr id="10" name="HelpPage" hidden="1">
            <a:extLst>
              <a:ext uri="{FF2B5EF4-FFF2-40B4-BE49-F238E27FC236}">
                <a16:creationId xmlns:a16="http://schemas.microsoft.com/office/drawing/2014/main" id="{00000000-0008-0000-0900-00000A000000}"/>
              </a:ext>
            </a:extLst>
          </xdr:cNvPr>
          <xdr:cNvSpPr/>
        </xdr:nvSpPr>
        <xdr:spPr>
          <a:xfrm>
            <a:off x="10325100" y="1924049"/>
            <a:ext cx="1504950" cy="540000"/>
          </a:xfrm>
          <a:prstGeom prst="rect">
            <a:avLst/>
          </a:prstGeom>
          <a:solidFill>
            <a:schemeClr val="bg1"/>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9329350-61A1-4C8F-8338-C30D0FD9D0E9}" type="TxLink">
              <a:rPr lang="en-US" sz="900" b="0" i="0" u="none" strike="noStrike">
                <a:solidFill>
                  <a:srgbClr val="3B6E8F"/>
                </a:solidFill>
                <a:latin typeface="Calibri"/>
                <a:cs typeface="Calibri"/>
              </a:rPr>
              <a:pPr algn="ctr"/>
              <a:t>For more general help please click 
HERE</a:t>
            </a:fld>
            <a:endParaRPr lang="en-GB" sz="1100" b="0" i="0" u="none" strike="noStrike">
              <a:solidFill>
                <a:sysClr val="windowText" lastClr="000000"/>
              </a:solidFill>
              <a:latin typeface="Calibri"/>
              <a:cs typeface="Calibri"/>
            </a:endParaRPr>
          </a:p>
        </xdr:txBody>
      </xdr:sp>
    </xdr:grpSp>
    <xdr:clientData/>
  </xdr:twoCellAnchor>
  <xdr:twoCellAnchor editAs="absolute">
    <xdr:from>
      <xdr:col>0</xdr:col>
      <xdr:colOff>0</xdr:colOff>
      <xdr:row>0</xdr:row>
      <xdr:rowOff>0</xdr:rowOff>
    </xdr:from>
    <xdr:to>
      <xdr:col>11</xdr:col>
      <xdr:colOff>139700</xdr:colOff>
      <xdr:row>2</xdr:row>
      <xdr:rowOff>0</xdr:rowOff>
    </xdr:to>
    <xdr:grpSp>
      <xdr:nvGrpSpPr>
        <xdr:cNvPr id="11" name="MENU">
          <a:extLst>
            <a:ext uri="{FF2B5EF4-FFF2-40B4-BE49-F238E27FC236}">
              <a16:creationId xmlns:a16="http://schemas.microsoft.com/office/drawing/2014/main" id="{00000000-0008-0000-0900-00000B000000}"/>
            </a:ext>
          </a:extLst>
        </xdr:cNvPr>
        <xdr:cNvGrpSpPr/>
      </xdr:nvGrpSpPr>
      <xdr:grpSpPr>
        <a:xfrm>
          <a:off x="0" y="0"/>
          <a:ext cx="11830050" cy="1085850"/>
          <a:chOff x="0" y="0"/>
          <a:chExt cx="11830050" cy="1085850"/>
        </a:xfrm>
      </xdr:grpSpPr>
      <xdr:grpSp>
        <xdr:nvGrpSpPr>
          <xdr:cNvPr id="68" name="Group 67">
            <a:extLst>
              <a:ext uri="{FF2B5EF4-FFF2-40B4-BE49-F238E27FC236}">
                <a16:creationId xmlns:a16="http://schemas.microsoft.com/office/drawing/2014/main" id="{00000000-0008-0000-0900-000044000000}"/>
              </a:ext>
            </a:extLst>
          </xdr:cNvPr>
          <xdr:cNvGrpSpPr/>
        </xdr:nvGrpSpPr>
        <xdr:grpSpPr>
          <a:xfrm>
            <a:off x="0" y="0"/>
            <a:ext cx="11830050" cy="1085850"/>
            <a:chOff x="0" y="0"/>
            <a:chExt cx="11836400" cy="1085850"/>
          </a:xfrm>
        </xdr:grpSpPr>
        <xdr:grpSp>
          <xdr:nvGrpSpPr>
            <xdr:cNvPr id="69" name="Group 68">
              <a:extLst>
                <a:ext uri="{FF2B5EF4-FFF2-40B4-BE49-F238E27FC236}">
                  <a16:creationId xmlns:a16="http://schemas.microsoft.com/office/drawing/2014/main" id="{00000000-0008-0000-0900-000045000000}"/>
                </a:ext>
              </a:extLst>
            </xdr:cNvPr>
            <xdr:cNvGrpSpPr/>
          </xdr:nvGrpSpPr>
          <xdr:grpSpPr>
            <a:xfrm>
              <a:off x="0" y="0"/>
              <a:ext cx="11836400" cy="1085850"/>
              <a:chOff x="0" y="0"/>
              <a:chExt cx="11836400" cy="1085850"/>
            </a:xfrm>
          </xdr:grpSpPr>
          <xdr:sp macro="" textlink="">
            <xdr:nvSpPr>
              <xdr:cNvPr id="74" name="nav_controls">
                <a:extLst>
                  <a:ext uri="{FF2B5EF4-FFF2-40B4-BE49-F238E27FC236}">
                    <a16:creationId xmlns:a16="http://schemas.microsoft.com/office/drawing/2014/main" id="{00000000-0008-0000-0900-00004A000000}"/>
                  </a:ext>
                </a:extLst>
              </xdr:cNvPr>
              <xdr:cNvSpPr>
                <a:spLocks/>
              </xdr:cNvSpPr>
            </xdr:nvSpPr>
            <xdr:spPr>
              <a:xfrm>
                <a:off x="4263" y="219075"/>
                <a:ext cx="11832137" cy="866775"/>
              </a:xfrm>
              <a:prstGeom prst="rect">
                <a:avLst/>
              </a:prstGeom>
              <a:solidFill>
                <a:schemeClr val="bg2">
                  <a:alpha val="49804"/>
                </a:schemeClr>
              </a:solidFill>
              <a:ln w="6350">
                <a:solidFill>
                  <a:schemeClr val="bg2">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solidFill>
                    <a:srgbClr val="808080"/>
                  </a:solidFill>
                  <a:latin typeface="+mn-lt"/>
                  <a:ea typeface="Karla" pitchFamily="2" charset="0"/>
                </a:endParaRPr>
              </a:p>
            </xdr:txBody>
          </xdr:sp>
          <xdr:sp macro="" textlink="">
            <xdr:nvSpPr>
              <xdr:cNvPr id="75" name="Home1">
                <a:extLst>
                  <a:ext uri="{FF2B5EF4-FFF2-40B4-BE49-F238E27FC236}">
                    <a16:creationId xmlns:a16="http://schemas.microsoft.com/office/drawing/2014/main" id="{00000000-0008-0000-0900-00004B000000}"/>
                  </a:ext>
                </a:extLst>
              </xdr:cNvPr>
              <xdr:cNvSpPr>
                <a:spLocks/>
              </xdr:cNvSpPr>
            </xdr:nvSpPr>
            <xdr:spPr>
              <a:xfrm>
                <a:off x="0" y="0"/>
                <a:ext cx="937384" cy="290513"/>
              </a:xfrm>
              <a:prstGeom prst="rect">
                <a:avLst/>
              </a:prstGeom>
              <a:solidFill>
                <a:schemeClr val="bg1"/>
              </a:solidFill>
              <a:ln w="952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a:solidFill>
                    <a:srgbClr val="808080"/>
                  </a:solidFill>
                  <a:latin typeface="+mn-lt"/>
                  <a:ea typeface="Karla" pitchFamily="2" charset="0"/>
                  <a:cs typeface="DilleniaUPC" pitchFamily="18" charset="-34"/>
                </a:endParaRPr>
              </a:p>
            </xdr:txBody>
          </xdr:sp>
          <xdr:sp macro="" textlink="">
            <xdr:nvSpPr>
              <xdr:cNvPr id="76" name="Oval 75">
                <a:extLst>
                  <a:ext uri="{FF2B5EF4-FFF2-40B4-BE49-F238E27FC236}">
                    <a16:creationId xmlns:a16="http://schemas.microsoft.com/office/drawing/2014/main" id="{00000000-0008-0000-0900-00004C000000}"/>
                  </a:ext>
                </a:extLst>
              </xdr:cNvPr>
              <xdr:cNvSpPr>
                <a:spLocks/>
              </xdr:cNvSpPr>
            </xdr:nvSpPr>
            <xdr:spPr>
              <a:xfrm>
                <a:off x="347060" y="29969"/>
                <a:ext cx="236673" cy="230074"/>
              </a:xfrm>
              <a:prstGeom prst="ellipse">
                <a:avLst/>
              </a:prstGeom>
              <a:solidFill>
                <a:schemeClr val="accent5">
                  <a:lumMod val="50000"/>
                </a:schemeClr>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rgbClr val="808080"/>
                  </a:solidFill>
                  <a:latin typeface="Calibri"/>
                  <a:cs typeface="Calibri"/>
                </a:endParaRPr>
              </a:p>
            </xdr:txBody>
          </xdr:sp>
          <xdr:pic macro="[0]!LBChanger">
            <xdr:nvPicPr>
              <xdr:cNvPr id="77" name="Home" descr="Home.png">
                <a:extLst>
                  <a:ext uri="{FF2B5EF4-FFF2-40B4-BE49-F238E27FC236}">
                    <a16:creationId xmlns:a16="http://schemas.microsoft.com/office/drawing/2014/main" id="{00000000-0008-0000-0900-00004D000000}"/>
                  </a:ext>
                </a:extLst>
              </xdr:cNvPr>
              <xdr:cNvPicPr>
                <a:picLocks/>
              </xdr:cNvPicPr>
            </xdr:nvPicPr>
            <xdr:blipFill>
              <a:blip xmlns:r="http://schemas.openxmlformats.org/officeDocument/2006/relationships" r:embed="rId1" cstate="print"/>
              <a:stretch>
                <a:fillRect/>
              </a:stretch>
            </xdr:blipFill>
            <xdr:spPr>
              <a:xfrm>
                <a:off x="53200" y="20741"/>
                <a:ext cx="254878" cy="247773"/>
              </a:xfrm>
              <a:prstGeom prst="rect">
                <a:avLst/>
              </a:prstGeom>
              <a:noFill/>
              <a:ln>
                <a:noFill/>
              </a:ln>
            </xdr:spPr>
          </xdr:pic>
          <xdr:pic macro="[0]!UniversalChanger">
            <xdr:nvPicPr>
              <xdr:cNvPr id="78" name="NavBack" descr="Silver-Back-Button.png">
                <a:extLst>
                  <a:ext uri="{FF2B5EF4-FFF2-40B4-BE49-F238E27FC236}">
                    <a16:creationId xmlns:a16="http://schemas.microsoft.com/office/drawing/2014/main" id="{00000000-0008-0000-0900-00004E000000}"/>
                  </a:ext>
                </a:extLst>
              </xdr:cNvPr>
              <xdr:cNvPicPr>
                <a:picLocks/>
              </xdr:cNvPicPr>
            </xdr:nvPicPr>
            <xdr:blipFill>
              <a:blip xmlns:r="http://schemas.openxmlformats.org/officeDocument/2006/relationships" r:embed="rId2" cstate="print"/>
              <a:stretch>
                <a:fillRect/>
              </a:stretch>
            </xdr:blipFill>
            <xdr:spPr>
              <a:xfrm>
                <a:off x="621903" y="20741"/>
                <a:ext cx="254878" cy="247773"/>
              </a:xfrm>
              <a:prstGeom prst="rect">
                <a:avLst/>
              </a:prstGeom>
              <a:noFill/>
              <a:ln>
                <a:noFill/>
              </a:ln>
            </xdr:spPr>
          </xdr:pic>
          <xdr:sp macro="" textlink="uxb_works!B92">
            <xdr:nvSpPr>
              <xdr:cNvPr id="79" name="Home1">
                <a:extLst>
                  <a:ext uri="{FF2B5EF4-FFF2-40B4-BE49-F238E27FC236}">
                    <a16:creationId xmlns:a16="http://schemas.microsoft.com/office/drawing/2014/main" id="{00000000-0008-0000-0900-00004F000000}"/>
                  </a:ext>
                </a:extLst>
              </xdr:cNvPr>
              <xdr:cNvSpPr>
                <a:spLocks/>
              </xdr:cNvSpPr>
            </xdr:nvSpPr>
            <xdr:spPr>
              <a:xfrm>
                <a:off x="936568" y="0"/>
                <a:ext cx="10895773" cy="288000"/>
              </a:xfrm>
              <a:prstGeom prst="rect">
                <a:avLst/>
              </a:prstGeom>
              <a:solidFill>
                <a:srgbClr val="FFFFFF"/>
              </a:solidFill>
              <a:ln w="317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DF606BA0-6E14-4859-A5ED-3649E8B86AAC}" type="TxLink">
                  <a:rPr lang="en-US" sz="1600" b="1" i="0" u="none" strike="noStrike">
                    <a:solidFill>
                      <a:schemeClr val="accent5">
                        <a:lumMod val="50000"/>
                      </a:schemeClr>
                    </a:solidFill>
                    <a:latin typeface="Calibri"/>
                    <a:ea typeface="Karla" pitchFamily="2" charset="0"/>
                    <a:cs typeface="Calibri"/>
                  </a:rPr>
                  <a:pPr algn="l"/>
                  <a:t>Digital Cities Index</a:t>
                </a:fld>
                <a:endParaRPr lang="en-GB" sz="1200" b="1">
                  <a:solidFill>
                    <a:schemeClr val="accent5">
                      <a:lumMod val="50000"/>
                    </a:schemeClr>
                  </a:solidFill>
                  <a:latin typeface="+mn-lt"/>
                  <a:ea typeface="Karla" pitchFamily="2" charset="0"/>
                  <a:cs typeface="DilleniaUPC" pitchFamily="18" charset="-34"/>
                </a:endParaRPr>
              </a:p>
            </xdr:txBody>
          </xdr:sp>
          <xdr:pic macro="[0]!LBChanger">
            <xdr:nvPicPr>
              <xdr:cNvPr id="80" name="Contents" descr="ii_jgc3wl5q0_162f2138d6ded0cc">
                <a:extLst>
                  <a:ext uri="{FF2B5EF4-FFF2-40B4-BE49-F238E27FC236}">
                    <a16:creationId xmlns:a16="http://schemas.microsoft.com/office/drawing/2014/main" id="{00000000-0008-0000-0900-000050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7618" y="20741"/>
                <a:ext cx="260608" cy="248400"/>
              </a:xfrm>
              <a:prstGeom prst="rect">
                <a:avLst/>
              </a:prstGeom>
              <a:solidFill>
                <a:sysClr val="window" lastClr="FFFFFF"/>
              </a:solidFill>
              <a:ln>
                <a:noFill/>
              </a:ln>
            </xdr:spPr>
          </xdr:pic>
          <xdr:sp macro="" textlink="">
            <xdr:nvSpPr>
              <xdr:cNvPr id="81" name="nav_controls">
                <a:extLst>
                  <a:ext uri="{FF2B5EF4-FFF2-40B4-BE49-F238E27FC236}">
                    <a16:creationId xmlns:a16="http://schemas.microsoft.com/office/drawing/2014/main" id="{00000000-0008-0000-0900-000051000000}"/>
                  </a:ext>
                </a:extLst>
              </xdr:cNvPr>
              <xdr:cNvSpPr>
                <a:spLocks/>
              </xdr:cNvSpPr>
            </xdr:nvSpPr>
            <xdr:spPr>
              <a:xfrm>
                <a:off x="7091375" y="461958"/>
                <a:ext cx="2647950" cy="54000"/>
              </a:xfrm>
              <a:prstGeom prst="rect">
                <a:avLst/>
              </a:prstGeom>
              <a:solidFill>
                <a:srgbClr val="9EB3BE"/>
              </a:solidFill>
              <a:ln w="6350">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000" b="1" i="0" u="none" strike="noStrike">
                  <a:solidFill>
                    <a:sysClr val="windowText" lastClr="000000"/>
                  </a:solidFill>
                  <a:latin typeface="Calibri"/>
                  <a:cs typeface="Calibri"/>
                </a:endParaRPr>
              </a:p>
            </xdr:txBody>
          </xdr:sp>
          <xdr:sp macro="" textlink="">
            <xdr:nvSpPr>
              <xdr:cNvPr id="82" name="nav_controls">
                <a:extLst>
                  <a:ext uri="{FF2B5EF4-FFF2-40B4-BE49-F238E27FC236}">
                    <a16:creationId xmlns:a16="http://schemas.microsoft.com/office/drawing/2014/main" id="{00000000-0008-0000-0900-000052000000}"/>
                  </a:ext>
                </a:extLst>
              </xdr:cNvPr>
              <xdr:cNvSpPr>
                <a:spLocks/>
              </xdr:cNvSpPr>
            </xdr:nvSpPr>
            <xdr:spPr>
              <a:xfrm>
                <a:off x="9215438" y="461958"/>
                <a:ext cx="2614081" cy="54000"/>
              </a:xfrm>
              <a:prstGeom prst="rect">
                <a:avLst/>
              </a:prstGeom>
              <a:solidFill>
                <a:srgbClr val="B5D5E5"/>
              </a:solidFill>
              <a:ln w="6350">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000" b="1" i="0" u="none" strike="noStrike">
                  <a:solidFill>
                    <a:sysClr val="windowText" lastClr="000000"/>
                  </a:solidFill>
                  <a:latin typeface="Calibri"/>
                  <a:cs typeface="Calibri"/>
                </a:endParaRPr>
              </a:p>
            </xdr:txBody>
          </xdr:sp>
          <xdr:sp macro="" textlink="">
            <xdr:nvSpPr>
              <xdr:cNvPr id="83" name="nav_controls">
                <a:extLst>
                  <a:ext uri="{FF2B5EF4-FFF2-40B4-BE49-F238E27FC236}">
                    <a16:creationId xmlns:a16="http://schemas.microsoft.com/office/drawing/2014/main" id="{00000000-0008-0000-0900-000053000000}"/>
                  </a:ext>
                </a:extLst>
              </xdr:cNvPr>
              <xdr:cNvSpPr>
                <a:spLocks/>
              </xdr:cNvSpPr>
            </xdr:nvSpPr>
            <xdr:spPr>
              <a:xfrm>
                <a:off x="0" y="466725"/>
                <a:ext cx="7081838" cy="52408"/>
              </a:xfrm>
              <a:prstGeom prst="rect">
                <a:avLst/>
              </a:prstGeom>
              <a:solidFill>
                <a:srgbClr val="2B5464"/>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b="1" i="0" u="none" strike="noStrike">
                  <a:solidFill>
                    <a:schemeClr val="bg1"/>
                  </a:solidFill>
                  <a:latin typeface="Calibri"/>
                  <a:cs typeface="Calibri"/>
                </a:endParaRPr>
              </a:p>
            </xdr:txBody>
          </xdr:sp>
          <xdr:grpSp>
            <xdr:nvGrpSpPr>
              <xdr:cNvPr id="84" name="Group 83">
                <a:extLst>
                  <a:ext uri="{FF2B5EF4-FFF2-40B4-BE49-F238E27FC236}">
                    <a16:creationId xmlns:a16="http://schemas.microsoft.com/office/drawing/2014/main" id="{00000000-0008-0000-0900-000054000000}"/>
                  </a:ext>
                </a:extLst>
              </xdr:cNvPr>
              <xdr:cNvGrpSpPr/>
            </xdr:nvGrpSpPr>
            <xdr:grpSpPr>
              <a:xfrm>
                <a:off x="0" y="285750"/>
                <a:ext cx="11814575" cy="180261"/>
                <a:chOff x="0" y="285489"/>
                <a:chExt cx="13173477" cy="180261"/>
              </a:xfrm>
            </xdr:grpSpPr>
            <xdr:sp macro="[0]!LBChanger" textlink="uxb_works!B100">
              <xdr:nvSpPr>
                <xdr:cNvPr id="85" name="Correlations">
                  <a:extLst>
                    <a:ext uri="{FF2B5EF4-FFF2-40B4-BE49-F238E27FC236}">
                      <a16:creationId xmlns:a16="http://schemas.microsoft.com/office/drawing/2014/main" id="{00000000-0008-0000-0900-000055000000}"/>
                    </a:ext>
                  </a:extLst>
                </xdr:cNvPr>
                <xdr:cNvSpPr>
                  <a:spLocks/>
                </xdr:cNvSpPr>
              </xdr:nvSpPr>
              <xdr:spPr>
                <a:xfrm>
                  <a:off x="9225833" y="285940"/>
                  <a:ext cx="1317779" cy="179810"/>
                </a:xfrm>
                <a:prstGeom prst="rect">
                  <a:avLst/>
                </a:prstGeom>
                <a:solidFill>
                  <a:schemeClr val="accent5">
                    <a:lumMod val="50000"/>
                  </a:schemeClr>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0D08B5CF-F601-4334-9688-6B186F573CBA}" type="TxLink">
                    <a:rPr lang="en-US" sz="900" b="1" i="0" u="none" strike="noStrike">
                      <a:solidFill>
                        <a:schemeClr val="bg1"/>
                      </a:solidFill>
                      <a:latin typeface="Calibri"/>
                      <a:ea typeface="Karla" pitchFamily="2" charset="0"/>
                      <a:cs typeface="Calibri"/>
                    </a:rPr>
                    <a:pPr algn="ctr"/>
                    <a:t>CORRELATIONS</a:t>
                  </a:fld>
                  <a:endParaRPr lang="en-GB" sz="900" b="1">
                    <a:solidFill>
                      <a:schemeClr val="bg1"/>
                    </a:solidFill>
                    <a:latin typeface="+mn-lt"/>
                    <a:ea typeface="Karla" pitchFamily="2" charset="0"/>
                  </a:endParaRPr>
                </a:p>
              </xdr:txBody>
            </xdr:sp>
            <xdr:sp macro="[0]!LBChanger" textlink="uxb_works!B99">
              <xdr:nvSpPr>
                <xdr:cNvPr id="86" name="Scatter">
                  <a:extLst>
                    <a:ext uri="{FF2B5EF4-FFF2-40B4-BE49-F238E27FC236}">
                      <a16:creationId xmlns:a16="http://schemas.microsoft.com/office/drawing/2014/main" id="{00000000-0008-0000-0900-000056000000}"/>
                    </a:ext>
                  </a:extLst>
                </xdr:cNvPr>
                <xdr:cNvSpPr>
                  <a:spLocks/>
                </xdr:cNvSpPr>
              </xdr:nvSpPr>
              <xdr:spPr>
                <a:xfrm>
                  <a:off x="7903939" y="285940"/>
                  <a:ext cx="1320074"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8DE1D7F-61C0-4422-A1B6-E89A6501ED1F}" type="TxLink">
                    <a:rPr lang="en-US" sz="900" b="1" i="0" u="none" strike="noStrike">
                      <a:solidFill>
                        <a:schemeClr val="accent5">
                          <a:lumMod val="50000"/>
                        </a:schemeClr>
                      </a:solidFill>
                      <a:latin typeface="Calibri"/>
                      <a:ea typeface="Karla" pitchFamily="2" charset="0"/>
                      <a:cs typeface="Calibri"/>
                    </a:rPr>
                    <a:pPr algn="ctr"/>
                    <a:t>SCATTER</a:t>
                  </a:fld>
                  <a:endParaRPr lang="en-GB" sz="900" b="1">
                    <a:solidFill>
                      <a:schemeClr val="accent5">
                        <a:lumMod val="50000"/>
                      </a:schemeClr>
                    </a:solidFill>
                    <a:latin typeface="+mn-lt"/>
                    <a:ea typeface="Karla" pitchFamily="2" charset="0"/>
                  </a:endParaRPr>
                </a:p>
              </xdr:txBody>
            </xdr:sp>
            <xdr:sp macro="[0]!LBChanger" textlink="uxb_works!B101">
              <xdr:nvSpPr>
                <xdr:cNvPr id="87" name="Scores">
                  <a:extLst>
                    <a:ext uri="{FF2B5EF4-FFF2-40B4-BE49-F238E27FC236}">
                      <a16:creationId xmlns:a16="http://schemas.microsoft.com/office/drawing/2014/main" id="{00000000-0008-0000-0900-000057000000}"/>
                    </a:ext>
                  </a:extLst>
                </xdr:cNvPr>
                <xdr:cNvSpPr>
                  <a:spLocks/>
                </xdr:cNvSpPr>
              </xdr:nvSpPr>
              <xdr:spPr>
                <a:xfrm>
                  <a:off x="10540783"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5165ACF-6EE1-4F74-8FDB-F21F37E9E6FB}" type="TxLink">
                    <a:rPr lang="en-US" sz="900" b="1" i="0" u="none" strike="noStrike">
                      <a:solidFill>
                        <a:schemeClr val="accent5">
                          <a:lumMod val="50000"/>
                        </a:schemeClr>
                      </a:solidFill>
                      <a:latin typeface="Calibri"/>
                      <a:ea typeface="Karla" pitchFamily="2" charset="0"/>
                      <a:cs typeface="Calibri"/>
                    </a:rPr>
                    <a:pPr algn="ctr"/>
                    <a:t>DATA / SCORES</a:t>
                  </a:fld>
                  <a:endParaRPr lang="en-GB" sz="900" b="1">
                    <a:solidFill>
                      <a:schemeClr val="accent5">
                        <a:lumMod val="50000"/>
                      </a:schemeClr>
                    </a:solidFill>
                    <a:latin typeface="+mn-lt"/>
                    <a:ea typeface="Karla" pitchFamily="2" charset="0"/>
                  </a:endParaRPr>
                </a:p>
              </xdr:txBody>
            </xdr:sp>
            <xdr:sp macro="[0]!LBChanger" textlink="uxb_works!B102">
              <xdr:nvSpPr>
                <xdr:cNvPr id="88" name="Weights">
                  <a:extLst>
                    <a:ext uri="{FF2B5EF4-FFF2-40B4-BE49-F238E27FC236}">
                      <a16:creationId xmlns:a16="http://schemas.microsoft.com/office/drawing/2014/main" id="{00000000-0008-0000-0900-000058000000}"/>
                    </a:ext>
                  </a:extLst>
                </xdr:cNvPr>
                <xdr:cNvSpPr>
                  <a:spLocks/>
                </xdr:cNvSpPr>
              </xdr:nvSpPr>
              <xdr:spPr>
                <a:xfrm>
                  <a:off x="11855698"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43627509-C0BB-4D16-AADD-A85AC599D44F}" type="TxLink">
                    <a:rPr lang="en-US" sz="900" b="1" i="0" u="none" strike="noStrike">
                      <a:solidFill>
                        <a:schemeClr val="accent5">
                          <a:lumMod val="50000"/>
                        </a:schemeClr>
                      </a:solidFill>
                      <a:latin typeface="Calibri"/>
                      <a:ea typeface="Karla" pitchFamily="2" charset="0"/>
                      <a:cs typeface="Calibri"/>
                    </a:rPr>
                    <a:pPr algn="ctr"/>
                    <a:t>WEIGHTS</a:t>
                  </a:fld>
                  <a:endParaRPr lang="en-GB" sz="900" b="1">
                    <a:solidFill>
                      <a:schemeClr val="accent5">
                        <a:lumMod val="50000"/>
                      </a:schemeClr>
                    </a:solidFill>
                    <a:latin typeface="+mn-lt"/>
                    <a:ea typeface="Karla" pitchFamily="2" charset="0"/>
                  </a:endParaRPr>
                </a:p>
              </xdr:txBody>
            </xdr:sp>
            <xdr:sp macro="[0]!LBChanger" textlink="uxb_works!B95">
              <xdr:nvSpPr>
                <xdr:cNvPr id="89" name="Summary1">
                  <a:extLst>
                    <a:ext uri="{FF2B5EF4-FFF2-40B4-BE49-F238E27FC236}">
                      <a16:creationId xmlns:a16="http://schemas.microsoft.com/office/drawing/2014/main" id="{00000000-0008-0000-0900-000059000000}"/>
                    </a:ext>
                  </a:extLst>
                </xdr:cNvPr>
                <xdr:cNvSpPr>
                  <a:spLocks/>
                </xdr:cNvSpPr>
              </xdr:nvSpPr>
              <xdr:spPr>
                <a:xfrm>
                  <a:off x="0"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A5241822-14D3-4854-9411-CFDDA1D4CE0A}" type="TxLink">
                    <a:rPr lang="en-US" sz="900" b="1" i="0" u="none" strike="noStrike">
                      <a:solidFill>
                        <a:schemeClr val="accent5">
                          <a:lumMod val="50000"/>
                        </a:schemeClr>
                      </a:solidFill>
                      <a:latin typeface="Calibri"/>
                      <a:ea typeface="Karla" pitchFamily="2" charset="0"/>
                      <a:cs typeface="Calibri"/>
                    </a:rPr>
                    <a:pPr algn="ctr"/>
                    <a:t>SUMMARY</a:t>
                  </a:fld>
                  <a:endParaRPr lang="en-GB" sz="900" b="1">
                    <a:solidFill>
                      <a:schemeClr val="accent5">
                        <a:lumMod val="50000"/>
                      </a:schemeClr>
                    </a:solidFill>
                    <a:latin typeface="+mn-lt"/>
                    <a:ea typeface="Karla" pitchFamily="2" charset="0"/>
                  </a:endParaRPr>
                </a:p>
              </xdr:txBody>
            </xdr:sp>
            <xdr:sp macro="[0]!LBChanger" textlink="uxb_works!B96">
              <xdr:nvSpPr>
                <xdr:cNvPr id="90" name="Indicator_Ranking">
                  <a:extLst>
                    <a:ext uri="{FF2B5EF4-FFF2-40B4-BE49-F238E27FC236}">
                      <a16:creationId xmlns:a16="http://schemas.microsoft.com/office/drawing/2014/main" id="{00000000-0008-0000-0900-00005A000000}"/>
                    </a:ext>
                  </a:extLst>
                </xdr:cNvPr>
                <xdr:cNvSpPr>
                  <a:spLocks/>
                </xdr:cNvSpPr>
              </xdr:nvSpPr>
              <xdr:spPr>
                <a:xfrm>
                  <a:off x="1319392"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1D205C57-4D69-4B9A-8D11-5E0B7527B9E2}" type="TxLink">
                    <a:rPr lang="en-US" sz="900" b="1" i="0" u="none" strike="noStrike">
                      <a:solidFill>
                        <a:schemeClr val="accent5">
                          <a:lumMod val="50000"/>
                        </a:schemeClr>
                      </a:solidFill>
                      <a:latin typeface="Calibri"/>
                      <a:ea typeface="Karla" pitchFamily="2" charset="0"/>
                      <a:cs typeface="Calibri"/>
                    </a:rPr>
                    <a:pPr algn="ctr"/>
                    <a:t>INDICATOR RANKING</a:t>
                  </a:fld>
                  <a:endParaRPr lang="en-GB" sz="900" b="1">
                    <a:solidFill>
                      <a:schemeClr val="accent5">
                        <a:lumMod val="50000"/>
                      </a:schemeClr>
                    </a:solidFill>
                    <a:latin typeface="+mn-lt"/>
                    <a:ea typeface="Karla" pitchFamily="2" charset="0"/>
                  </a:endParaRPr>
                </a:p>
              </xdr:txBody>
            </xdr:sp>
            <xdr:sp macro="[0]!LBChanger" textlink="uxb_works!B98">
              <xdr:nvSpPr>
                <xdr:cNvPr id="91" name="CCompare">
                  <a:extLst>
                    <a:ext uri="{FF2B5EF4-FFF2-40B4-BE49-F238E27FC236}">
                      <a16:creationId xmlns:a16="http://schemas.microsoft.com/office/drawing/2014/main" id="{00000000-0008-0000-0900-00005B000000}"/>
                    </a:ext>
                  </a:extLst>
                </xdr:cNvPr>
                <xdr:cNvSpPr>
                  <a:spLocks/>
                </xdr:cNvSpPr>
              </xdr:nvSpPr>
              <xdr:spPr>
                <a:xfrm>
                  <a:off x="5256659" y="285940"/>
                  <a:ext cx="132486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829603AF-0DD8-4C72-8452-B09DB6262544}" type="TxLink">
                    <a:rPr lang="en-US" sz="900" b="1" i="0" u="none" strike="noStrike">
                      <a:solidFill>
                        <a:schemeClr val="accent5">
                          <a:lumMod val="50000"/>
                        </a:schemeClr>
                      </a:solidFill>
                      <a:latin typeface="Calibri"/>
                      <a:ea typeface="Karla" pitchFamily="2" charset="0"/>
                      <a:cs typeface="Calibri"/>
                    </a:rPr>
                    <a:pPr algn="ctr"/>
                    <a:t>CITY COMPARE</a:t>
                  </a:fld>
                  <a:endParaRPr lang="en-GB" sz="900" b="1">
                    <a:solidFill>
                      <a:schemeClr val="accent5">
                        <a:lumMod val="50000"/>
                      </a:schemeClr>
                    </a:solidFill>
                    <a:latin typeface="+mn-lt"/>
                    <a:ea typeface="Karla" pitchFamily="2" charset="0"/>
                  </a:endParaRPr>
                </a:p>
              </xdr:txBody>
            </xdr:sp>
            <xdr:sp macro="[0]!LBChanger" textlink="uxb_works!B97">
              <xdr:nvSpPr>
                <xdr:cNvPr id="92" name="CtyScoreCard">
                  <a:extLst>
                    <a:ext uri="{FF2B5EF4-FFF2-40B4-BE49-F238E27FC236}">
                      <a16:creationId xmlns:a16="http://schemas.microsoft.com/office/drawing/2014/main" id="{00000000-0008-0000-0900-00005C000000}"/>
                    </a:ext>
                  </a:extLst>
                </xdr:cNvPr>
                <xdr:cNvSpPr>
                  <a:spLocks/>
                </xdr:cNvSpPr>
              </xdr:nvSpPr>
              <xdr:spPr>
                <a:xfrm>
                  <a:off x="3943666" y="285489"/>
                  <a:ext cx="1317779" cy="180261"/>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fld id="{5B2B5046-96B7-4EDE-9DD8-D97FF7695B86}" type="TxLink">
                    <a:rPr lang="en-US" sz="900" b="1" i="0" u="none" strike="noStrike">
                      <a:solidFill>
                        <a:schemeClr val="accent5">
                          <a:lumMod val="50000"/>
                        </a:schemeClr>
                      </a:solidFill>
                      <a:latin typeface="Calibri"/>
                      <a:ea typeface="Karla" pitchFamily="2" charset="0"/>
                      <a:cs typeface="Calibri"/>
                    </a:rPr>
                    <a:pPr algn="ctr"/>
                    <a:t>CITY SCORECARD</a:t>
                  </a:fld>
                  <a:endParaRPr lang="en-GB" sz="900" b="1">
                    <a:solidFill>
                      <a:schemeClr val="accent5">
                        <a:lumMod val="50000"/>
                      </a:schemeClr>
                    </a:solidFill>
                    <a:latin typeface="+mn-lt"/>
                    <a:ea typeface="Karla" pitchFamily="2" charset="0"/>
                  </a:endParaRPr>
                </a:p>
              </xdr:txBody>
            </xdr:sp>
            <xdr:sp macro="[0]!LBChanger" textlink="uxb_works!B103">
              <xdr:nvSpPr>
                <xdr:cNvPr id="93" name="RegionCompare">
                  <a:extLst>
                    <a:ext uri="{FF2B5EF4-FFF2-40B4-BE49-F238E27FC236}">
                      <a16:creationId xmlns:a16="http://schemas.microsoft.com/office/drawing/2014/main" id="{00000000-0008-0000-0900-00005D000000}"/>
                    </a:ext>
                  </a:extLst>
                </xdr:cNvPr>
                <xdr:cNvSpPr>
                  <a:spLocks/>
                </xdr:cNvSpPr>
              </xdr:nvSpPr>
              <xdr:spPr>
                <a:xfrm>
                  <a:off x="6578664" y="285940"/>
                  <a:ext cx="132486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51E55FBF-FB84-41A1-976B-235AB148A85F}" type="TxLink">
                    <a:rPr lang="en-US" sz="900" b="1" i="0" u="none" strike="noStrike">
                      <a:solidFill>
                        <a:schemeClr val="accent5">
                          <a:lumMod val="50000"/>
                        </a:schemeClr>
                      </a:solidFill>
                      <a:latin typeface="Calibri"/>
                      <a:ea typeface="Karla" pitchFamily="2" charset="0"/>
                      <a:cs typeface="Calibri"/>
                    </a:rPr>
                    <a:pPr algn="ctr"/>
                    <a:t>REGION COMPARE</a:t>
                  </a:fld>
                  <a:endParaRPr lang="en-GB" sz="900" b="1">
                    <a:solidFill>
                      <a:schemeClr val="accent5">
                        <a:lumMod val="50000"/>
                      </a:schemeClr>
                    </a:solidFill>
                    <a:latin typeface="+mn-lt"/>
                    <a:ea typeface="Karla" pitchFamily="2" charset="0"/>
                  </a:endParaRPr>
                </a:p>
              </xdr:txBody>
            </xdr:sp>
            <xdr:sp macro="[0]!LBChanger" textlink="uxb_works!B104">
              <xdr:nvSpPr>
                <xdr:cNvPr id="136" name="CProfile">
                  <a:extLst>
                    <a:ext uri="{FF2B5EF4-FFF2-40B4-BE49-F238E27FC236}">
                      <a16:creationId xmlns:a16="http://schemas.microsoft.com/office/drawing/2014/main" id="{00000000-0008-0000-0900-000088000000}"/>
                    </a:ext>
                  </a:extLst>
                </xdr:cNvPr>
                <xdr:cNvSpPr>
                  <a:spLocks/>
                </xdr:cNvSpPr>
              </xdr:nvSpPr>
              <xdr:spPr>
                <a:xfrm>
                  <a:off x="2635250" y="285489"/>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62C1403F-D06F-4F81-B666-49A22A849932}" type="TxLink">
                    <a:rPr lang="en-US" sz="900" b="1" i="0" u="none" strike="noStrike">
                      <a:solidFill>
                        <a:srgbClr val="366092"/>
                      </a:solidFill>
                      <a:latin typeface="Calibri"/>
                      <a:ea typeface="Karla" pitchFamily="2" charset="0"/>
                      <a:cs typeface="Calibri"/>
                    </a:rPr>
                    <a:pPr algn="ctr"/>
                    <a:t>CITY PROFILE</a:t>
                  </a:fld>
                  <a:endParaRPr lang="en-GB" sz="900" b="1">
                    <a:solidFill>
                      <a:schemeClr val="accent5">
                        <a:lumMod val="50000"/>
                      </a:schemeClr>
                    </a:solidFill>
                    <a:latin typeface="+mn-lt"/>
                    <a:ea typeface="Karla" pitchFamily="2" charset="0"/>
                  </a:endParaRPr>
                </a:p>
              </xdr:txBody>
            </xdr:sp>
          </xdr:grpSp>
        </xdr:grpSp>
        <xdr:sp macro="[0]!UniversalChanger" textlink="uxb_works!$C$111">
          <xdr:nvSpPr>
            <xdr:cNvPr id="70" name="FilterToggle">
              <a:extLst>
                <a:ext uri="{FF2B5EF4-FFF2-40B4-BE49-F238E27FC236}">
                  <a16:creationId xmlns:a16="http://schemas.microsoft.com/office/drawing/2014/main" id="{00000000-0008-0000-0900-000046000000}"/>
                </a:ext>
              </a:extLst>
            </xdr:cNvPr>
            <xdr:cNvSpPr>
              <a:spLocks/>
            </xdr:cNvSpPr>
          </xdr:nvSpPr>
          <xdr:spPr>
            <a:xfrm>
              <a:off x="10744308" y="852242"/>
              <a:ext cx="1082221" cy="212967"/>
            </a:xfrm>
            <a:prstGeom prst="rect">
              <a:avLst/>
            </a:prstGeom>
            <a:solidFill>
              <a:srgbClr val="D9D9D9"/>
            </a:solidFill>
            <a:ln w="2857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D5B5E-6696-41FF-B581-44AEC0F219A7}" type="TxLink">
                <a:rPr lang="en-US" sz="800" b="0" i="0" u="none" strike="noStrike">
                  <a:solidFill>
                    <a:srgbClr val="000000"/>
                  </a:solidFill>
                  <a:latin typeface="Calibri"/>
                  <a:ea typeface="Karla" pitchFamily="2" charset="0"/>
                  <a:cs typeface="Calibri"/>
                </a:rPr>
                <a:pPr algn="ctr"/>
                <a:t>Hide these options</a:t>
              </a:fld>
              <a:endParaRPr lang="en-GB" sz="4000" b="1">
                <a:solidFill>
                  <a:srgbClr val="000000"/>
                </a:solidFill>
                <a:latin typeface="+mn-lt"/>
                <a:ea typeface="Karla" pitchFamily="2" charset="0"/>
              </a:endParaRPr>
            </a:p>
          </xdr:txBody>
        </xdr:sp>
        <xdr:grpSp>
          <xdr:nvGrpSpPr>
            <xdr:cNvPr id="71" name="Group 70">
              <a:extLst>
                <a:ext uri="{FF2B5EF4-FFF2-40B4-BE49-F238E27FC236}">
                  <a16:creationId xmlns:a16="http://schemas.microsoft.com/office/drawing/2014/main" id="{00000000-0008-0000-0900-000047000000}"/>
                </a:ext>
              </a:extLst>
            </xdr:cNvPr>
            <xdr:cNvGrpSpPr/>
          </xdr:nvGrpSpPr>
          <xdr:grpSpPr>
            <a:xfrm>
              <a:off x="10753783" y="37494"/>
              <a:ext cx="999275" cy="240746"/>
              <a:chOff x="10782556" y="28575"/>
              <a:chExt cx="999806" cy="252000"/>
            </a:xfrm>
          </xdr:grpSpPr>
          <xdr:sp macro="[0]!UniversalChanger" textlink="">
            <xdr:nvSpPr>
              <xdr:cNvPr id="72" name="ctr_Reset">
                <a:extLst>
                  <a:ext uri="{FF2B5EF4-FFF2-40B4-BE49-F238E27FC236}">
                    <a16:creationId xmlns:a16="http://schemas.microsoft.com/office/drawing/2014/main" id="{00000000-0008-0000-0900-000048000000}"/>
                  </a:ext>
                </a:extLst>
              </xdr:cNvPr>
              <xdr:cNvSpPr/>
            </xdr:nvSpPr>
            <xdr:spPr>
              <a:xfrm>
                <a:off x="10782556" y="38100"/>
                <a:ext cx="666749" cy="209550"/>
              </a:xfrm>
              <a:prstGeom prst="rect">
                <a:avLst/>
              </a:prstGeom>
              <a:solidFill>
                <a:srgbClr val="F47940">
                  <a:alpha val="20000"/>
                </a:srgbClr>
              </a:solidFill>
              <a:ln w="3175">
                <a:solidFill>
                  <a:srgbClr val="005BAD"/>
                </a:solid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r>
                  <a:rPr lang="en-GB" sz="1000" b="0">
                    <a:solidFill>
                      <a:srgbClr val="143050"/>
                    </a:solidFill>
                    <a:latin typeface="+mn-lt"/>
                    <a:ea typeface="Karla" pitchFamily="2" charset="0"/>
                  </a:rPr>
                  <a:t>RESET</a:t>
                </a:r>
              </a:p>
            </xdr:txBody>
          </xdr:sp>
          <xdr:pic macro="[0]!UniversalChanger">
            <xdr:nvPicPr>
              <xdr:cNvPr id="73" name="Excel_Out">
                <a:extLst>
                  <a:ext uri="{FF2B5EF4-FFF2-40B4-BE49-F238E27FC236}">
                    <a16:creationId xmlns:a16="http://schemas.microsoft.com/office/drawing/2014/main" id="{00000000-0008-0000-09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525506" y="28575"/>
                <a:ext cx="256856" cy="252000"/>
              </a:xfrm>
              <a:prstGeom prst="rect">
                <a:avLst/>
              </a:prstGeom>
            </xdr:spPr>
          </xdr:pic>
        </xdr:grpSp>
      </xdr:grpSp>
      <xdr:grpSp>
        <xdr:nvGrpSpPr>
          <xdr:cNvPr id="30" name="Group 29">
            <a:extLst>
              <a:ext uri="{FF2B5EF4-FFF2-40B4-BE49-F238E27FC236}">
                <a16:creationId xmlns:a16="http://schemas.microsoft.com/office/drawing/2014/main" id="{00000000-0008-0000-0900-00001E000000}"/>
              </a:ext>
            </a:extLst>
          </xdr:cNvPr>
          <xdr:cNvGrpSpPr/>
        </xdr:nvGrpSpPr>
        <xdr:grpSpPr>
          <a:xfrm>
            <a:off x="76050" y="643913"/>
            <a:ext cx="4768349" cy="397710"/>
            <a:chOff x="85725" y="647701"/>
            <a:chExt cx="4777090" cy="400049"/>
          </a:xfrm>
        </xdr:grpSpPr>
        <xdr:pic macro="[0]!UniversalChanger">
          <xdr:nvPicPr>
            <xdr:cNvPr id="31" name="Scatter_X_Up" descr="scroll_up_small.png">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5" cstate="print"/>
            <a:stretch>
              <a:fillRect/>
            </a:stretch>
          </xdr:blipFill>
          <xdr:spPr>
            <a:xfrm>
              <a:off x="4557234" y="828675"/>
              <a:ext cx="305581" cy="123825"/>
            </a:xfrm>
            <a:prstGeom prst="rect">
              <a:avLst/>
            </a:prstGeom>
          </xdr:spPr>
        </xdr:pic>
        <xdr:pic macro="[0]!UniversalChanger">
          <xdr:nvPicPr>
            <xdr:cNvPr id="32" name="Scatter_X_Down" descr="scroll_down_small.png">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6" cstate="print"/>
            <a:stretch>
              <a:fillRect/>
            </a:stretch>
          </xdr:blipFill>
          <xdr:spPr>
            <a:xfrm>
              <a:off x="4557234" y="952500"/>
              <a:ext cx="305500" cy="95250"/>
            </a:xfrm>
            <a:prstGeom prst="rect">
              <a:avLst/>
            </a:prstGeom>
          </xdr:spPr>
        </xdr:pic>
        <mc:AlternateContent xmlns:mc="http://schemas.openxmlformats.org/markup-compatibility/2006">
          <mc:Choice xmlns:a14="http://schemas.microsoft.com/office/drawing/2010/main" Requires="a14">
            <xdr:sp macro="" textlink="">
              <xdr:nvSpPr>
                <xdr:cNvPr id="14502916" name="CorrelSelect" hidden="1">
                  <a:extLst>
                    <a:ext uri="{63B3BB69-23CF-44E3-9099-C40C66FF867C}">
                      <a14:compatExt spid="_x0000_s14502916"/>
                    </a:ext>
                    <a:ext uri="{FF2B5EF4-FFF2-40B4-BE49-F238E27FC236}">
                      <a16:creationId xmlns:a16="http://schemas.microsoft.com/office/drawing/2014/main" id="{00000000-0008-0000-0900-0000044CDD00}"/>
                    </a:ext>
                  </a:extLst>
                </xdr:cNvPr>
                <xdr:cNvSpPr/>
              </xdr:nvSpPr>
              <xdr:spPr bwMode="auto">
                <a:xfrm>
                  <a:off x="85725" y="828675"/>
                  <a:ext cx="4448645" cy="219075"/>
                </a:xfrm>
                <a:prstGeom prst="rect">
                  <a:avLst/>
                </a:prstGeom>
                <a:noFill/>
                <a:ln>
                  <a:noFill/>
                </a:ln>
                <a:extLst>
                  <a:ext uri="{91240B29-F687-4F45-9708-019B960494DF}">
                    <a14:hiddenLine w="9525">
                      <a:noFill/>
                      <a:miter lim="800000"/>
                      <a:headEnd/>
                      <a:tailEnd/>
                    </a14:hiddenLine>
                  </a:ext>
                </a:extLst>
              </xdr:spPr>
            </xdr:sp>
          </mc:Choice>
          <mc:Fallback/>
        </mc:AlternateContent>
        <xdr:grpSp>
          <xdr:nvGrpSpPr>
            <xdr:cNvPr id="34" name="Group 33">
              <a:extLst>
                <a:ext uri="{FF2B5EF4-FFF2-40B4-BE49-F238E27FC236}">
                  <a16:creationId xmlns:a16="http://schemas.microsoft.com/office/drawing/2014/main" id="{00000000-0008-0000-0900-000022000000}"/>
                </a:ext>
              </a:extLst>
            </xdr:cNvPr>
            <xdr:cNvGrpSpPr/>
          </xdr:nvGrpSpPr>
          <xdr:grpSpPr>
            <a:xfrm>
              <a:off x="85725" y="647701"/>
              <a:ext cx="4772886" cy="180000"/>
              <a:chOff x="85725" y="638175"/>
              <a:chExt cx="4788887" cy="180000"/>
            </a:xfrm>
          </xdr:grpSpPr>
          <xdr:sp macro="[0]!UniversalChanger" textlink="uxb_works!D107">
            <xdr:nvSpPr>
              <xdr:cNvPr id="36" name="Correl_Reset">
                <a:extLst>
                  <a:ext uri="{FF2B5EF4-FFF2-40B4-BE49-F238E27FC236}">
                    <a16:creationId xmlns:a16="http://schemas.microsoft.com/office/drawing/2014/main" id="{00000000-0008-0000-0900-000024000000}"/>
                  </a:ext>
                </a:extLst>
              </xdr:cNvPr>
              <xdr:cNvSpPr>
                <a:spLocks/>
              </xdr:cNvSpPr>
            </xdr:nvSpPr>
            <xdr:spPr>
              <a:xfrm>
                <a:off x="695025" y="638175"/>
                <a:ext cx="4179587"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0BA9A192-3CB7-491F-BD31-CC6BF60C6E94}" type="TxLink">
                  <a:rPr lang="en-US" sz="800" b="0" i="0" u="none" strike="noStrike">
                    <a:solidFill>
                      <a:sysClr val="windowText" lastClr="000000"/>
                    </a:solidFill>
                    <a:latin typeface="Calibri"/>
                    <a:ea typeface="Karla" pitchFamily="2" charset="0"/>
                    <a:cs typeface="Calibri"/>
                  </a:rPr>
                  <a:pPr algn="ctr"/>
                  <a:t>INDICATOR TO CORRELATE WITH. (reset)</a:t>
                </a:fld>
                <a:endParaRPr lang="en-GB" sz="800" b="1">
                  <a:solidFill>
                    <a:sysClr val="windowText" lastClr="000000"/>
                  </a:solidFill>
                  <a:latin typeface="+mn-lt"/>
                  <a:ea typeface="Karla" pitchFamily="2" charset="0"/>
                </a:endParaRPr>
              </a:p>
            </xdr:txBody>
          </xdr:sp>
          <xdr:sp macro="" textlink="">
            <xdr:nvSpPr>
              <xdr:cNvPr id="37" name="lbl_cnt_City_1">
                <a:extLst>
                  <a:ext uri="{FF2B5EF4-FFF2-40B4-BE49-F238E27FC236}">
                    <a16:creationId xmlns:a16="http://schemas.microsoft.com/office/drawing/2014/main" id="{00000000-0008-0000-0900-000025000000}"/>
                  </a:ext>
                </a:extLst>
              </xdr:cNvPr>
              <xdr:cNvSpPr txBox="1"/>
            </xdr:nvSpPr>
            <xdr:spPr>
              <a:xfrm>
                <a:off x="85725" y="638175"/>
                <a:ext cx="609300" cy="180000"/>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ctr"/>
                <a:r>
                  <a:rPr lang="en-GB" sz="1000" b="1">
                    <a:solidFill>
                      <a:sysClr val="windowText" lastClr="000000"/>
                    </a:solidFill>
                    <a:latin typeface="+mn-lt"/>
                    <a:ea typeface="Karla" pitchFamily="2" charset="0"/>
                  </a:rPr>
                  <a:t>SELECT</a:t>
                </a:r>
              </a:p>
            </xdr:txBody>
          </xdr:sp>
        </xdr:grpSp>
        <xdr:sp macro="" textlink="">
          <xdr:nvSpPr>
            <xdr:cNvPr id="35" name="Rectangle 34">
              <a:extLst>
                <a:ext uri="{FF2B5EF4-FFF2-40B4-BE49-F238E27FC236}">
                  <a16:creationId xmlns:a16="http://schemas.microsoft.com/office/drawing/2014/main" id="{00000000-0008-0000-0900-000023000000}"/>
                </a:ext>
              </a:extLst>
            </xdr:cNvPr>
            <xdr:cNvSpPr/>
          </xdr:nvSpPr>
          <xdr:spPr>
            <a:xfrm>
              <a:off x="4533898" y="828676"/>
              <a:ext cx="318932" cy="219074"/>
            </a:xfrm>
            <a:prstGeom prst="rect">
              <a:avLst/>
            </a:prstGeom>
            <a:noFill/>
            <a:ln w="63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chemeClr val="accent1">
                    <a:lumMod val="60000"/>
                    <a:lumOff val="40000"/>
                  </a:schemeClr>
                </a:solidFill>
                <a:latin typeface="Calibri"/>
                <a:cs typeface="Calibri"/>
              </a:endParaRPr>
            </a:p>
          </xdr:txBody>
        </xdr:sp>
      </xdr:grpSp>
    </xdr:grpSp>
    <xdr:clientData/>
  </xdr:twoCellAnchor>
  <xdr:twoCellAnchor editAs="absolute">
    <xdr:from>
      <xdr:col>0</xdr:col>
      <xdr:colOff>76200</xdr:colOff>
      <xdr:row>3</xdr:row>
      <xdr:rowOff>43392</xdr:rowOff>
    </xdr:from>
    <xdr:to>
      <xdr:col>10</xdr:col>
      <xdr:colOff>5079508</xdr:colOff>
      <xdr:row>3</xdr:row>
      <xdr:rowOff>582083</xdr:rowOff>
    </xdr:to>
    <xdr:grpSp>
      <xdr:nvGrpSpPr>
        <xdr:cNvPr id="109" name="Del_FILTER_OPTIONS">
          <a:extLst>
            <a:ext uri="{FF2B5EF4-FFF2-40B4-BE49-F238E27FC236}">
              <a16:creationId xmlns:a16="http://schemas.microsoft.com/office/drawing/2014/main" id="{00000000-0008-0000-0900-00006D000000}"/>
            </a:ext>
          </a:extLst>
        </xdr:cNvPr>
        <xdr:cNvGrpSpPr/>
      </xdr:nvGrpSpPr>
      <xdr:grpSpPr>
        <a:xfrm>
          <a:off x="76200" y="1167342"/>
          <a:ext cx="11562858" cy="538691"/>
          <a:chOff x="123825" y="1181100"/>
          <a:chExt cx="11562858" cy="542925"/>
        </a:xfrm>
      </xdr:grpSpPr>
      <xdr:sp macro="" textlink="">
        <xdr:nvSpPr>
          <xdr:cNvPr id="110" name="lbl_cnt_City_1">
            <a:extLst>
              <a:ext uri="{FF2B5EF4-FFF2-40B4-BE49-F238E27FC236}">
                <a16:creationId xmlns:a16="http://schemas.microsoft.com/office/drawing/2014/main" id="{00000000-0008-0000-0900-00006E000000}"/>
              </a:ext>
            </a:extLst>
          </xdr:cNvPr>
          <xdr:cNvSpPr txBox="1"/>
        </xdr:nvSpPr>
        <xdr:spPr>
          <a:xfrm>
            <a:off x="123825" y="1181100"/>
            <a:ext cx="7315200" cy="54292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endParaRPr lang="en-US" sz="1000" b="1" i="0" u="none" strike="noStrike">
              <a:solidFill>
                <a:srgbClr val="143050"/>
              </a:solidFill>
              <a:latin typeface="Calibri"/>
              <a:cs typeface="Calibri"/>
            </a:endParaRPr>
          </a:p>
        </xdr:txBody>
      </xdr:sp>
      <xdr:sp macro="" textlink="uxb_works!D96">
        <xdr:nvSpPr>
          <xdr:cNvPr id="111" name="lbl_cnt_City_1">
            <a:extLst>
              <a:ext uri="{FF2B5EF4-FFF2-40B4-BE49-F238E27FC236}">
                <a16:creationId xmlns:a16="http://schemas.microsoft.com/office/drawing/2014/main" id="{00000000-0008-0000-0900-00006F000000}"/>
              </a:ext>
            </a:extLst>
          </xdr:cNvPr>
          <xdr:cNvSpPr txBox="1"/>
        </xdr:nvSpPr>
        <xdr:spPr>
          <a:xfrm>
            <a:off x="228492" y="1247773"/>
            <a:ext cx="524674"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fld id="{EC6270EF-FB14-4F40-A375-01271F5F9F23}" type="TxLink">
              <a:rPr lang="en-US" sz="1000" b="1" i="0" u="none" strike="noStrike" baseline="0">
                <a:solidFill>
                  <a:sysClr val="windowText" lastClr="000000"/>
                </a:solidFill>
                <a:effectLst/>
                <a:latin typeface="Calibri"/>
                <a:ea typeface="+mn-ea"/>
                <a:cs typeface="Calibri"/>
              </a:rPr>
              <a:pPr algn="r"/>
              <a:t>CITY FILTERS</a:t>
            </a:fld>
            <a:endParaRPr lang="en-GB" sz="1000" b="1">
              <a:solidFill>
                <a:sysClr val="windowText" lastClr="000000"/>
              </a:solidFill>
              <a:latin typeface="+mn-lt"/>
            </a:endParaRPr>
          </a:p>
        </xdr:txBody>
      </xdr:sp>
      <xdr:grpSp>
        <xdr:nvGrpSpPr>
          <xdr:cNvPr id="112" name="Group 111">
            <a:extLst>
              <a:ext uri="{FF2B5EF4-FFF2-40B4-BE49-F238E27FC236}">
                <a16:creationId xmlns:a16="http://schemas.microsoft.com/office/drawing/2014/main" id="{00000000-0008-0000-0900-000070000000}"/>
              </a:ext>
            </a:extLst>
          </xdr:cNvPr>
          <xdr:cNvGrpSpPr/>
        </xdr:nvGrpSpPr>
        <xdr:grpSpPr>
          <a:xfrm>
            <a:off x="3067895" y="1266824"/>
            <a:ext cx="2085130" cy="402834"/>
            <a:chOff x="887117" y="1257299"/>
            <a:chExt cx="2094310" cy="402834"/>
          </a:xfrm>
        </xdr:grpSpPr>
        <xdr:pic macro="[0]!UniversalChanger">
          <xdr:nvPicPr>
            <xdr:cNvPr id="123" name="INCOME_FL_UP" descr="scroll_up_small.png">
              <a:extLst>
                <a:ext uri="{FF2B5EF4-FFF2-40B4-BE49-F238E27FC236}">
                  <a16:creationId xmlns:a16="http://schemas.microsoft.com/office/drawing/2014/main" id="{00000000-0008-0000-0900-00007B000000}"/>
                </a:ext>
              </a:extLst>
            </xdr:cNvPr>
            <xdr:cNvPicPr>
              <a:picLocks noChangeAspect="1"/>
            </xdr:cNvPicPr>
          </xdr:nvPicPr>
          <xdr:blipFill>
            <a:blip xmlns:r="http://schemas.openxmlformats.org/officeDocument/2006/relationships" r:embed="rId5" cstate="print"/>
            <a:stretch>
              <a:fillRect/>
            </a:stretch>
          </xdr:blipFill>
          <xdr:spPr>
            <a:xfrm>
              <a:off x="2694979" y="1447799"/>
              <a:ext cx="285679" cy="119545"/>
            </a:xfrm>
            <a:prstGeom prst="rect">
              <a:avLst/>
            </a:prstGeom>
          </xdr:spPr>
        </xdr:pic>
        <xdr:pic macro="[0]!UniversalChanger">
          <xdr:nvPicPr>
            <xdr:cNvPr id="124" name="INCOME_FL_DOWN" descr="scroll_down_small.png">
              <a:extLst>
                <a:ext uri="{FF2B5EF4-FFF2-40B4-BE49-F238E27FC236}">
                  <a16:creationId xmlns:a16="http://schemas.microsoft.com/office/drawing/2014/main" id="{00000000-0008-0000-0900-00007C000000}"/>
                </a:ext>
              </a:extLst>
            </xdr:cNvPr>
            <xdr:cNvPicPr>
              <a:picLocks noChangeAspect="1"/>
            </xdr:cNvPicPr>
          </xdr:nvPicPr>
          <xdr:blipFill>
            <a:blip xmlns:r="http://schemas.openxmlformats.org/officeDocument/2006/relationships" r:embed="rId6" cstate="print"/>
            <a:stretch>
              <a:fillRect/>
            </a:stretch>
          </xdr:blipFill>
          <xdr:spPr>
            <a:xfrm>
              <a:off x="2694972" y="1565459"/>
              <a:ext cx="285599" cy="94674"/>
            </a:xfrm>
            <a:prstGeom prst="rect">
              <a:avLst/>
            </a:prstGeom>
          </xdr:spPr>
        </xdr:pic>
        <mc:AlternateContent xmlns:mc="http://schemas.openxmlformats.org/markup-compatibility/2006">
          <mc:Choice xmlns:a14="http://schemas.microsoft.com/office/drawing/2010/main" Requires="a14">
            <xdr:sp macro="" textlink="">
              <xdr:nvSpPr>
                <xdr:cNvPr id="14502922" name="INCOME_FILTER" hidden="1">
                  <a:extLst>
                    <a:ext uri="{63B3BB69-23CF-44E3-9099-C40C66FF867C}">
                      <a14:compatExt spid="_x0000_s14502922"/>
                    </a:ext>
                    <a:ext uri="{FF2B5EF4-FFF2-40B4-BE49-F238E27FC236}">
                      <a16:creationId xmlns:a16="http://schemas.microsoft.com/office/drawing/2014/main" id="{00000000-0008-0000-0900-00000A4CDD00}"/>
                    </a:ext>
                  </a:extLst>
                </xdr:cNvPr>
                <xdr:cNvSpPr/>
              </xdr:nvSpPr>
              <xdr:spPr bwMode="auto">
                <a:xfrm>
                  <a:off x="887123" y="1438274"/>
                  <a:ext cx="1805947" cy="219075"/>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0">
          <xdr:nvSpPr>
            <xdr:cNvPr id="125" name="FILTER_GA_1">
              <a:extLst>
                <a:ext uri="{FF2B5EF4-FFF2-40B4-BE49-F238E27FC236}">
                  <a16:creationId xmlns:a16="http://schemas.microsoft.com/office/drawing/2014/main" id="{00000000-0008-0000-0900-00007D000000}"/>
                </a:ext>
              </a:extLst>
            </xdr:cNvPr>
            <xdr:cNvSpPr>
              <a:spLocks/>
            </xdr:cNvSpPr>
          </xdr:nvSpPr>
          <xdr:spPr>
            <a:xfrm>
              <a:off x="887117" y="1257299"/>
              <a:ext cx="2094310"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5B3884B5-1625-476A-A697-2341FA45AADB}" type="TxLink">
                <a:rPr lang="en-US" sz="800" b="0" i="0" u="none" strike="noStrike">
                  <a:solidFill>
                    <a:srgbClr val="000000"/>
                  </a:solidFill>
                  <a:latin typeface="Calibri"/>
                  <a:cs typeface="Calibri"/>
                </a:rPr>
                <a:pPr algn="ctr"/>
                <a:t>BY INCOME (reset)</a:t>
              </a:fld>
              <a:endParaRPr lang="en-US" sz="800" b="0" i="0" u="none" strike="noStrike">
                <a:solidFill>
                  <a:srgbClr val="000000"/>
                </a:solidFill>
                <a:latin typeface="Calibri"/>
                <a:cs typeface="Calibri"/>
              </a:endParaRPr>
            </a:p>
          </xdr:txBody>
        </xdr:sp>
      </xdr:grpSp>
      <xdr:grpSp>
        <xdr:nvGrpSpPr>
          <xdr:cNvPr id="113" name="Group 112">
            <a:extLst>
              <a:ext uri="{FF2B5EF4-FFF2-40B4-BE49-F238E27FC236}">
                <a16:creationId xmlns:a16="http://schemas.microsoft.com/office/drawing/2014/main" id="{00000000-0008-0000-0900-000071000000}"/>
              </a:ext>
            </a:extLst>
          </xdr:cNvPr>
          <xdr:cNvGrpSpPr/>
        </xdr:nvGrpSpPr>
        <xdr:grpSpPr>
          <a:xfrm>
            <a:off x="893621" y="1266824"/>
            <a:ext cx="2094230" cy="389525"/>
            <a:chOff x="3238171" y="1266824"/>
            <a:chExt cx="2095068" cy="389525"/>
          </a:xfrm>
        </xdr:grpSpPr>
        <xdr:pic macro="[0]!UniversalChanger">
          <xdr:nvPicPr>
            <xdr:cNvPr id="120" name="R_FL_UP" descr="scroll_up_small.png">
              <a:extLst>
                <a:ext uri="{FF2B5EF4-FFF2-40B4-BE49-F238E27FC236}">
                  <a16:creationId xmlns:a16="http://schemas.microsoft.com/office/drawing/2014/main" id="{00000000-0008-0000-0900-000078000000}"/>
                </a:ext>
              </a:extLst>
            </xdr:cNvPr>
            <xdr:cNvPicPr>
              <a:picLocks noChangeAspect="1"/>
            </xdr:cNvPicPr>
          </xdr:nvPicPr>
          <xdr:blipFill>
            <a:blip xmlns:r="http://schemas.openxmlformats.org/officeDocument/2006/relationships" r:embed="rId5" cstate="print"/>
            <a:stretch>
              <a:fillRect/>
            </a:stretch>
          </xdr:blipFill>
          <xdr:spPr>
            <a:xfrm>
              <a:off x="5045868" y="1447655"/>
              <a:ext cx="285679" cy="117499"/>
            </a:xfrm>
            <a:prstGeom prst="rect">
              <a:avLst/>
            </a:prstGeom>
          </xdr:spPr>
        </xdr:pic>
        <xdr:pic macro="[0]!UniversalChanger">
          <xdr:nvPicPr>
            <xdr:cNvPr id="121" name="R_FL_DOWN" descr="scroll_down_small.png">
              <a:extLst>
                <a:ext uri="{FF2B5EF4-FFF2-40B4-BE49-F238E27FC236}">
                  <a16:creationId xmlns:a16="http://schemas.microsoft.com/office/drawing/2014/main" id="{00000000-0008-0000-0900-000079000000}"/>
                </a:ext>
              </a:extLst>
            </xdr:cNvPr>
            <xdr:cNvPicPr>
              <a:picLocks noChangeAspect="1"/>
            </xdr:cNvPicPr>
          </xdr:nvPicPr>
          <xdr:blipFill>
            <a:blip xmlns:r="http://schemas.openxmlformats.org/officeDocument/2006/relationships" r:embed="rId6" cstate="print"/>
            <a:stretch>
              <a:fillRect/>
            </a:stretch>
          </xdr:blipFill>
          <xdr:spPr>
            <a:xfrm>
              <a:off x="5045861" y="1563295"/>
              <a:ext cx="285599" cy="93054"/>
            </a:xfrm>
            <a:prstGeom prst="rect">
              <a:avLst/>
            </a:prstGeom>
          </xdr:spPr>
        </xdr:pic>
        <mc:AlternateContent xmlns:mc="http://schemas.openxmlformats.org/markup-compatibility/2006">
          <mc:Choice xmlns:a14="http://schemas.microsoft.com/office/drawing/2010/main" Requires="a14">
            <xdr:sp macro="" textlink="">
              <xdr:nvSpPr>
                <xdr:cNvPr id="14502923" name="R_FILTER" hidden="1">
                  <a:extLst>
                    <a:ext uri="{63B3BB69-23CF-44E3-9099-C40C66FF867C}">
                      <a14:compatExt spid="_x0000_s14502923"/>
                    </a:ext>
                    <a:ext uri="{FF2B5EF4-FFF2-40B4-BE49-F238E27FC236}">
                      <a16:creationId xmlns:a16="http://schemas.microsoft.com/office/drawing/2014/main" id="{00000000-0008-0000-0900-00000B4CDD00}"/>
                    </a:ext>
                  </a:extLst>
                </xdr:cNvPr>
                <xdr:cNvSpPr/>
              </xdr:nvSpPr>
              <xdr:spPr bwMode="auto">
                <a:xfrm>
                  <a:off x="3238171" y="1438295"/>
                  <a:ext cx="1806033" cy="215327"/>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2">
          <xdr:nvSpPr>
            <xdr:cNvPr id="122" name="FILTER_GB_1">
              <a:extLst>
                <a:ext uri="{FF2B5EF4-FFF2-40B4-BE49-F238E27FC236}">
                  <a16:creationId xmlns:a16="http://schemas.microsoft.com/office/drawing/2014/main" id="{00000000-0008-0000-0900-00007A000000}"/>
                </a:ext>
              </a:extLst>
            </xdr:cNvPr>
            <xdr:cNvSpPr>
              <a:spLocks/>
            </xdr:cNvSpPr>
          </xdr:nvSpPr>
          <xdr:spPr>
            <a:xfrm>
              <a:off x="3238943" y="1266824"/>
              <a:ext cx="2094296"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683254F2-E44C-4100-8BB8-067CC0F20B8C}" type="TxLink">
                <a:rPr lang="en-US" sz="800" b="0" i="0" u="none" strike="noStrike">
                  <a:solidFill>
                    <a:srgbClr val="000000"/>
                  </a:solidFill>
                  <a:latin typeface="Calibri"/>
                  <a:cs typeface="Calibri"/>
                </a:rPr>
                <a:pPr algn="ctr"/>
                <a:t>BY REGION (reset)</a:t>
              </a:fld>
              <a:endParaRPr lang="en-US" sz="800" b="0" i="0" u="none" strike="noStrike">
                <a:solidFill>
                  <a:srgbClr val="000000"/>
                </a:solidFill>
                <a:latin typeface="Calibri"/>
                <a:cs typeface="Calibri"/>
              </a:endParaRPr>
            </a:p>
          </xdr:txBody>
        </xdr:sp>
      </xdr:grpSp>
      <xdr:grpSp>
        <xdr:nvGrpSpPr>
          <xdr:cNvPr id="114" name="Group 113">
            <a:extLst>
              <a:ext uri="{FF2B5EF4-FFF2-40B4-BE49-F238E27FC236}">
                <a16:creationId xmlns:a16="http://schemas.microsoft.com/office/drawing/2014/main" id="{00000000-0008-0000-0900-000072000000}"/>
              </a:ext>
            </a:extLst>
          </xdr:cNvPr>
          <xdr:cNvGrpSpPr/>
        </xdr:nvGrpSpPr>
        <xdr:grpSpPr>
          <a:xfrm>
            <a:off x="9883351" y="1263650"/>
            <a:ext cx="1803332" cy="393730"/>
            <a:chOff x="9936742" y="1257300"/>
            <a:chExt cx="1807200" cy="393730"/>
          </a:xfrm>
        </xdr:grpSpPr>
        <mc:AlternateContent xmlns:mc="http://schemas.openxmlformats.org/markup-compatibility/2006">
          <mc:Choice xmlns:a14="http://schemas.microsoft.com/office/drawing/2010/main" Requires="a14">
            <xdr:sp macro="" textlink="">
              <xdr:nvSpPr>
                <xdr:cNvPr id="14502924" name="L_Weights" hidden="1">
                  <a:extLst>
                    <a:ext uri="{63B3BB69-23CF-44E3-9099-C40C66FF867C}">
                      <a14:compatExt spid="_x0000_s14502924"/>
                    </a:ext>
                    <a:ext uri="{FF2B5EF4-FFF2-40B4-BE49-F238E27FC236}">
                      <a16:creationId xmlns:a16="http://schemas.microsoft.com/office/drawing/2014/main" id="{00000000-0008-0000-0900-00000C4CDD00}"/>
                    </a:ext>
                  </a:extLst>
                </xdr:cNvPr>
                <xdr:cNvSpPr/>
              </xdr:nvSpPr>
              <xdr:spPr bwMode="auto">
                <a:xfrm>
                  <a:off x="9936742" y="1431925"/>
                  <a:ext cx="1807125" cy="219105"/>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4">
          <xdr:nvSpPr>
            <xdr:cNvPr id="119" name="Weight_Reset">
              <a:extLst>
                <a:ext uri="{FF2B5EF4-FFF2-40B4-BE49-F238E27FC236}">
                  <a16:creationId xmlns:a16="http://schemas.microsoft.com/office/drawing/2014/main" id="{00000000-0008-0000-0900-000077000000}"/>
                </a:ext>
              </a:extLst>
            </xdr:cNvPr>
            <xdr:cNvSpPr>
              <a:spLocks/>
            </xdr:cNvSpPr>
          </xdr:nvSpPr>
          <xdr:spPr>
            <a:xfrm>
              <a:off x="9936742" y="1257300"/>
              <a:ext cx="1807200"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856B8423-91E9-41D2-BBE7-4949AD6F09C2}" type="TxLink">
                <a:rPr lang="en-US" sz="800" b="0" i="0" u="none" strike="noStrike">
                  <a:solidFill>
                    <a:sysClr val="windowText" lastClr="000000"/>
                  </a:solidFill>
                  <a:latin typeface="Calibri"/>
                  <a:cs typeface="Calibri"/>
                </a:rPr>
                <a:pPr algn="ctr"/>
                <a:t>WEIGHTS (reset)</a:t>
              </a:fld>
              <a:endParaRPr lang="en-US" sz="800" b="0" i="0" u="none" strike="noStrike">
                <a:solidFill>
                  <a:sysClr val="windowText" lastClr="000000"/>
                </a:solidFill>
                <a:latin typeface="Calibri"/>
                <a:cs typeface="Calibri"/>
              </a:endParaRPr>
            </a:p>
          </xdr:txBody>
        </xdr:sp>
      </xdr:grpSp>
      <xdr:grpSp>
        <xdr:nvGrpSpPr>
          <xdr:cNvPr id="115" name="Group 114">
            <a:extLst>
              <a:ext uri="{FF2B5EF4-FFF2-40B4-BE49-F238E27FC236}">
                <a16:creationId xmlns:a16="http://schemas.microsoft.com/office/drawing/2014/main" id="{00000000-0008-0000-0900-000073000000}"/>
              </a:ext>
            </a:extLst>
          </xdr:cNvPr>
          <xdr:cNvGrpSpPr/>
        </xdr:nvGrpSpPr>
        <xdr:grpSpPr>
          <a:xfrm>
            <a:off x="5238725" y="1266824"/>
            <a:ext cx="2094230" cy="389525"/>
            <a:chOff x="3238171" y="1266824"/>
            <a:chExt cx="2095068" cy="389525"/>
          </a:xfrm>
        </xdr:grpSpPr>
        <xdr:pic macro="[0]!UniversalChanger">
          <xdr:nvPicPr>
            <xdr:cNvPr id="116" name="POP_UP" descr="scroll_up_small.png">
              <a:extLst>
                <a:ext uri="{FF2B5EF4-FFF2-40B4-BE49-F238E27FC236}">
                  <a16:creationId xmlns:a16="http://schemas.microsoft.com/office/drawing/2014/main" id="{00000000-0008-0000-0900-000074000000}"/>
                </a:ext>
              </a:extLst>
            </xdr:cNvPr>
            <xdr:cNvPicPr>
              <a:picLocks noChangeAspect="1"/>
            </xdr:cNvPicPr>
          </xdr:nvPicPr>
          <xdr:blipFill>
            <a:blip xmlns:r="http://schemas.openxmlformats.org/officeDocument/2006/relationships" r:embed="rId5" cstate="print"/>
            <a:stretch>
              <a:fillRect/>
            </a:stretch>
          </xdr:blipFill>
          <xdr:spPr>
            <a:xfrm>
              <a:off x="5045868" y="1447655"/>
              <a:ext cx="285679" cy="117499"/>
            </a:xfrm>
            <a:prstGeom prst="rect">
              <a:avLst/>
            </a:prstGeom>
          </xdr:spPr>
        </xdr:pic>
        <xdr:pic macro="[0]!UniversalChanger">
          <xdr:nvPicPr>
            <xdr:cNvPr id="117" name="POP_DOWN" descr="scroll_down_small.png">
              <a:extLst>
                <a:ext uri="{FF2B5EF4-FFF2-40B4-BE49-F238E27FC236}">
                  <a16:creationId xmlns:a16="http://schemas.microsoft.com/office/drawing/2014/main" id="{00000000-0008-0000-0900-000075000000}"/>
                </a:ext>
              </a:extLst>
            </xdr:cNvPr>
            <xdr:cNvPicPr>
              <a:picLocks noChangeAspect="1"/>
            </xdr:cNvPicPr>
          </xdr:nvPicPr>
          <xdr:blipFill>
            <a:blip xmlns:r="http://schemas.openxmlformats.org/officeDocument/2006/relationships" r:embed="rId6" cstate="print"/>
            <a:stretch>
              <a:fillRect/>
            </a:stretch>
          </xdr:blipFill>
          <xdr:spPr>
            <a:xfrm>
              <a:off x="5045861" y="1563295"/>
              <a:ext cx="285599" cy="93054"/>
            </a:xfrm>
            <a:prstGeom prst="rect">
              <a:avLst/>
            </a:prstGeom>
          </xdr:spPr>
        </xdr:pic>
        <mc:AlternateContent xmlns:mc="http://schemas.openxmlformats.org/markup-compatibility/2006">
          <mc:Choice xmlns:a14="http://schemas.microsoft.com/office/drawing/2010/main" Requires="a14">
            <xdr:sp macro="" textlink="">
              <xdr:nvSpPr>
                <xdr:cNvPr id="14502925" name="POP_DD" hidden="1">
                  <a:extLst>
                    <a:ext uri="{63B3BB69-23CF-44E3-9099-C40C66FF867C}">
                      <a14:compatExt spid="_x0000_s14502925"/>
                    </a:ext>
                    <a:ext uri="{FF2B5EF4-FFF2-40B4-BE49-F238E27FC236}">
                      <a16:creationId xmlns:a16="http://schemas.microsoft.com/office/drawing/2014/main" id="{00000000-0008-0000-0900-00000D4CDD00}"/>
                    </a:ext>
                  </a:extLst>
                </xdr:cNvPr>
                <xdr:cNvSpPr/>
              </xdr:nvSpPr>
              <xdr:spPr bwMode="auto">
                <a:xfrm>
                  <a:off x="3238171" y="1438295"/>
                  <a:ext cx="1806033" cy="215327"/>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G100">
          <xdr:nvSpPr>
            <xdr:cNvPr id="118" name="FILTER_POP_RESET">
              <a:extLst>
                <a:ext uri="{FF2B5EF4-FFF2-40B4-BE49-F238E27FC236}">
                  <a16:creationId xmlns:a16="http://schemas.microsoft.com/office/drawing/2014/main" id="{00000000-0008-0000-0900-000076000000}"/>
                </a:ext>
              </a:extLst>
            </xdr:cNvPr>
            <xdr:cNvSpPr>
              <a:spLocks/>
            </xdr:cNvSpPr>
          </xdr:nvSpPr>
          <xdr:spPr>
            <a:xfrm>
              <a:off x="3238943" y="1266824"/>
              <a:ext cx="2094296"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040051F4-705A-4460-AB4E-E01CB46B3889}" type="TxLink">
                <a:rPr lang="en-US" sz="800" b="0" i="0" u="none" strike="noStrike">
                  <a:solidFill>
                    <a:sysClr val="windowText" lastClr="000000"/>
                  </a:solidFill>
                  <a:latin typeface="Calibri"/>
                  <a:cs typeface="Calibri"/>
                </a:rPr>
                <a:pPr algn="ctr"/>
                <a:t>BY POPULATION (reset)</a:t>
              </a:fld>
              <a:endParaRPr lang="en-US" sz="800" b="0" i="0" u="none" strike="noStrike">
                <a:solidFill>
                  <a:sysClr val="windowText" lastClr="000000"/>
                </a:solidFill>
                <a:latin typeface="Calibri"/>
                <a:cs typeface="Calibri"/>
              </a:endParaRPr>
            </a:p>
          </xdr:txBody>
        </xdr:sp>
      </xdr:grpSp>
    </xdr:grp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79622</xdr:colOff>
      <xdr:row>9</xdr:row>
      <xdr:rowOff>76200</xdr:rowOff>
    </xdr:from>
    <xdr:to>
      <xdr:col>13</xdr:col>
      <xdr:colOff>1330856</xdr:colOff>
      <xdr:row>9</xdr:row>
      <xdr:rowOff>295800</xdr:rowOff>
    </xdr:to>
    <xdr:sp macro="[0]!UniversalChanger" textlink="uxb_works!C48">
      <xdr:nvSpPr>
        <xdr:cNvPr id="5" name="Show">
          <a:extLst>
            <a:ext uri="{FF2B5EF4-FFF2-40B4-BE49-F238E27FC236}">
              <a16:creationId xmlns:a16="http://schemas.microsoft.com/office/drawing/2014/main" id="{00000000-0008-0000-0A00-000005000000}"/>
            </a:ext>
          </a:extLst>
        </xdr:cNvPr>
        <xdr:cNvSpPr>
          <a:spLocks/>
        </xdr:cNvSpPr>
      </xdr:nvSpPr>
      <xdr:spPr>
        <a:xfrm>
          <a:off x="79622" y="1162050"/>
          <a:ext cx="1251234" cy="219600"/>
        </a:xfrm>
        <a:prstGeom prst="rect">
          <a:avLst/>
        </a:prstGeom>
        <a:solidFill>
          <a:srgbClr val="005BAD"/>
        </a:solidFill>
        <a:ln w="635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CE020EA-AD58-4B57-B211-EADB02735F3B}" type="TxLink">
            <a:rPr lang="en-US" sz="1100" b="0" i="0" u="none" strike="noStrike">
              <a:solidFill>
                <a:srgbClr val="FFFFFF"/>
              </a:solidFill>
              <a:latin typeface="Calibri"/>
              <a:ea typeface="Karla" pitchFamily="2" charset="0"/>
              <a:cs typeface="Calibri"/>
            </a:rPr>
            <a:pPr algn="ctr"/>
            <a:t>Show weights</a:t>
          </a:fld>
          <a:endParaRPr lang="en-GB" sz="3200" b="1">
            <a:solidFill>
              <a:srgbClr val="FFFFFF"/>
            </a:solidFill>
            <a:latin typeface="+mn-lt"/>
            <a:ea typeface="Karla" pitchFamily="2" charset="0"/>
          </a:endParaRPr>
        </a:p>
      </xdr:txBody>
    </xdr:sp>
    <xdr:clientData/>
  </xdr:twoCellAnchor>
  <xdr:twoCellAnchor editAs="absolute">
    <xdr:from>
      <xdr:col>0</xdr:col>
      <xdr:colOff>0</xdr:colOff>
      <xdr:row>0</xdr:row>
      <xdr:rowOff>0</xdr:rowOff>
    </xdr:from>
    <xdr:to>
      <xdr:col>22</xdr:col>
      <xdr:colOff>234950</xdr:colOff>
      <xdr:row>2</xdr:row>
      <xdr:rowOff>0</xdr:rowOff>
    </xdr:to>
    <xdr:grpSp>
      <xdr:nvGrpSpPr>
        <xdr:cNvPr id="2" name="MENU">
          <a:extLst>
            <a:ext uri="{FF2B5EF4-FFF2-40B4-BE49-F238E27FC236}">
              <a16:creationId xmlns:a16="http://schemas.microsoft.com/office/drawing/2014/main" id="{00000000-0008-0000-0A00-000002000000}"/>
            </a:ext>
          </a:extLst>
        </xdr:cNvPr>
        <xdr:cNvGrpSpPr/>
      </xdr:nvGrpSpPr>
      <xdr:grpSpPr>
        <a:xfrm>
          <a:off x="0" y="0"/>
          <a:ext cx="11836400" cy="1085850"/>
          <a:chOff x="0" y="0"/>
          <a:chExt cx="11836400" cy="1085850"/>
        </a:xfrm>
      </xdr:grpSpPr>
      <xdr:grpSp>
        <xdr:nvGrpSpPr>
          <xdr:cNvPr id="64" name="Group 63">
            <a:extLst>
              <a:ext uri="{FF2B5EF4-FFF2-40B4-BE49-F238E27FC236}">
                <a16:creationId xmlns:a16="http://schemas.microsoft.com/office/drawing/2014/main" id="{00000000-0008-0000-0A00-000040000000}"/>
              </a:ext>
            </a:extLst>
          </xdr:cNvPr>
          <xdr:cNvGrpSpPr/>
        </xdr:nvGrpSpPr>
        <xdr:grpSpPr>
          <a:xfrm>
            <a:off x="0" y="0"/>
            <a:ext cx="11836400" cy="1085850"/>
            <a:chOff x="0" y="0"/>
            <a:chExt cx="11836400" cy="1085850"/>
          </a:xfrm>
        </xdr:grpSpPr>
        <xdr:grpSp>
          <xdr:nvGrpSpPr>
            <xdr:cNvPr id="65" name="Group 64">
              <a:extLst>
                <a:ext uri="{FF2B5EF4-FFF2-40B4-BE49-F238E27FC236}">
                  <a16:creationId xmlns:a16="http://schemas.microsoft.com/office/drawing/2014/main" id="{00000000-0008-0000-0A00-000041000000}"/>
                </a:ext>
              </a:extLst>
            </xdr:cNvPr>
            <xdr:cNvGrpSpPr/>
          </xdr:nvGrpSpPr>
          <xdr:grpSpPr>
            <a:xfrm>
              <a:off x="0" y="0"/>
              <a:ext cx="11836400" cy="1085850"/>
              <a:chOff x="0" y="0"/>
              <a:chExt cx="11836400" cy="1085850"/>
            </a:xfrm>
          </xdr:grpSpPr>
          <xdr:sp macro="" textlink="">
            <xdr:nvSpPr>
              <xdr:cNvPr id="70" name="nav_controls">
                <a:extLst>
                  <a:ext uri="{FF2B5EF4-FFF2-40B4-BE49-F238E27FC236}">
                    <a16:creationId xmlns:a16="http://schemas.microsoft.com/office/drawing/2014/main" id="{00000000-0008-0000-0A00-000046000000}"/>
                  </a:ext>
                </a:extLst>
              </xdr:cNvPr>
              <xdr:cNvSpPr>
                <a:spLocks/>
              </xdr:cNvSpPr>
            </xdr:nvSpPr>
            <xdr:spPr>
              <a:xfrm>
                <a:off x="4263" y="219075"/>
                <a:ext cx="11832137" cy="866775"/>
              </a:xfrm>
              <a:prstGeom prst="rect">
                <a:avLst/>
              </a:prstGeom>
              <a:solidFill>
                <a:schemeClr val="bg2">
                  <a:alpha val="49804"/>
                </a:schemeClr>
              </a:solidFill>
              <a:ln w="6350">
                <a:solidFill>
                  <a:schemeClr val="bg2">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solidFill>
                    <a:srgbClr val="808080"/>
                  </a:solidFill>
                  <a:latin typeface="+mn-lt"/>
                  <a:ea typeface="Karla" pitchFamily="2" charset="0"/>
                </a:endParaRPr>
              </a:p>
            </xdr:txBody>
          </xdr:sp>
          <xdr:sp macro="" textlink="">
            <xdr:nvSpPr>
              <xdr:cNvPr id="71" name="Home1">
                <a:extLst>
                  <a:ext uri="{FF2B5EF4-FFF2-40B4-BE49-F238E27FC236}">
                    <a16:creationId xmlns:a16="http://schemas.microsoft.com/office/drawing/2014/main" id="{00000000-0008-0000-0A00-000047000000}"/>
                  </a:ext>
                </a:extLst>
              </xdr:cNvPr>
              <xdr:cNvSpPr>
                <a:spLocks/>
              </xdr:cNvSpPr>
            </xdr:nvSpPr>
            <xdr:spPr>
              <a:xfrm>
                <a:off x="0" y="0"/>
                <a:ext cx="937384" cy="290513"/>
              </a:xfrm>
              <a:prstGeom prst="rect">
                <a:avLst/>
              </a:prstGeom>
              <a:solidFill>
                <a:schemeClr val="bg1"/>
              </a:solidFill>
              <a:ln w="952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a:solidFill>
                    <a:srgbClr val="808080"/>
                  </a:solidFill>
                  <a:latin typeface="+mn-lt"/>
                  <a:ea typeface="Karla" pitchFamily="2" charset="0"/>
                  <a:cs typeface="DilleniaUPC" pitchFamily="18" charset="-34"/>
                </a:endParaRPr>
              </a:p>
            </xdr:txBody>
          </xdr:sp>
          <xdr:sp macro="" textlink="">
            <xdr:nvSpPr>
              <xdr:cNvPr id="72" name="Oval 71">
                <a:extLst>
                  <a:ext uri="{FF2B5EF4-FFF2-40B4-BE49-F238E27FC236}">
                    <a16:creationId xmlns:a16="http://schemas.microsoft.com/office/drawing/2014/main" id="{00000000-0008-0000-0A00-000048000000}"/>
                  </a:ext>
                </a:extLst>
              </xdr:cNvPr>
              <xdr:cNvSpPr>
                <a:spLocks/>
              </xdr:cNvSpPr>
            </xdr:nvSpPr>
            <xdr:spPr>
              <a:xfrm>
                <a:off x="347060" y="29969"/>
                <a:ext cx="236673" cy="230074"/>
              </a:xfrm>
              <a:prstGeom prst="ellipse">
                <a:avLst/>
              </a:prstGeom>
              <a:solidFill>
                <a:schemeClr val="accent5">
                  <a:lumMod val="50000"/>
                </a:schemeClr>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rgbClr val="808080"/>
                  </a:solidFill>
                  <a:latin typeface="Calibri"/>
                  <a:cs typeface="Calibri"/>
                </a:endParaRPr>
              </a:p>
            </xdr:txBody>
          </xdr:sp>
          <xdr:pic macro="[0]!LBChanger">
            <xdr:nvPicPr>
              <xdr:cNvPr id="73" name="Home" descr="Home.png">
                <a:extLst>
                  <a:ext uri="{FF2B5EF4-FFF2-40B4-BE49-F238E27FC236}">
                    <a16:creationId xmlns:a16="http://schemas.microsoft.com/office/drawing/2014/main" id="{00000000-0008-0000-0A00-000049000000}"/>
                  </a:ext>
                </a:extLst>
              </xdr:cNvPr>
              <xdr:cNvPicPr>
                <a:picLocks/>
              </xdr:cNvPicPr>
            </xdr:nvPicPr>
            <xdr:blipFill>
              <a:blip xmlns:r="http://schemas.openxmlformats.org/officeDocument/2006/relationships" r:embed="rId1" cstate="print"/>
              <a:stretch>
                <a:fillRect/>
              </a:stretch>
            </xdr:blipFill>
            <xdr:spPr>
              <a:xfrm>
                <a:off x="53200" y="20741"/>
                <a:ext cx="254878" cy="247773"/>
              </a:xfrm>
              <a:prstGeom prst="rect">
                <a:avLst/>
              </a:prstGeom>
              <a:noFill/>
              <a:ln>
                <a:noFill/>
              </a:ln>
            </xdr:spPr>
          </xdr:pic>
          <xdr:pic macro="[0]!UniversalChanger">
            <xdr:nvPicPr>
              <xdr:cNvPr id="75" name="NavBack" descr="Silver-Back-Button.png">
                <a:extLst>
                  <a:ext uri="{FF2B5EF4-FFF2-40B4-BE49-F238E27FC236}">
                    <a16:creationId xmlns:a16="http://schemas.microsoft.com/office/drawing/2014/main" id="{00000000-0008-0000-0A00-00004B000000}"/>
                  </a:ext>
                </a:extLst>
              </xdr:cNvPr>
              <xdr:cNvPicPr>
                <a:picLocks/>
              </xdr:cNvPicPr>
            </xdr:nvPicPr>
            <xdr:blipFill>
              <a:blip xmlns:r="http://schemas.openxmlformats.org/officeDocument/2006/relationships" r:embed="rId2" cstate="print"/>
              <a:stretch>
                <a:fillRect/>
              </a:stretch>
            </xdr:blipFill>
            <xdr:spPr>
              <a:xfrm>
                <a:off x="621903" y="20741"/>
                <a:ext cx="254878" cy="247773"/>
              </a:xfrm>
              <a:prstGeom prst="rect">
                <a:avLst/>
              </a:prstGeom>
              <a:noFill/>
              <a:ln>
                <a:noFill/>
              </a:ln>
            </xdr:spPr>
          </xdr:pic>
          <xdr:sp macro="" textlink="uxb_works!B92">
            <xdr:nvSpPr>
              <xdr:cNvPr id="76" name="Home1">
                <a:extLst>
                  <a:ext uri="{FF2B5EF4-FFF2-40B4-BE49-F238E27FC236}">
                    <a16:creationId xmlns:a16="http://schemas.microsoft.com/office/drawing/2014/main" id="{00000000-0008-0000-0A00-00004C000000}"/>
                  </a:ext>
                </a:extLst>
              </xdr:cNvPr>
              <xdr:cNvSpPr>
                <a:spLocks/>
              </xdr:cNvSpPr>
            </xdr:nvSpPr>
            <xdr:spPr>
              <a:xfrm>
                <a:off x="936568" y="0"/>
                <a:ext cx="10895773" cy="288000"/>
              </a:xfrm>
              <a:prstGeom prst="rect">
                <a:avLst/>
              </a:prstGeom>
              <a:solidFill>
                <a:srgbClr val="FFFFFF"/>
              </a:solidFill>
              <a:ln w="317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DF606BA0-6E14-4859-A5ED-3649E8B86AAC}" type="TxLink">
                  <a:rPr lang="en-US" sz="1600" b="1" i="0" u="none" strike="noStrike">
                    <a:solidFill>
                      <a:schemeClr val="accent5">
                        <a:lumMod val="50000"/>
                      </a:schemeClr>
                    </a:solidFill>
                    <a:latin typeface="Calibri"/>
                    <a:ea typeface="Karla" pitchFamily="2" charset="0"/>
                    <a:cs typeface="Calibri"/>
                  </a:rPr>
                  <a:pPr algn="l"/>
                  <a:t>Digital Cities Index</a:t>
                </a:fld>
                <a:endParaRPr lang="en-GB" sz="1200" b="1">
                  <a:solidFill>
                    <a:schemeClr val="accent5">
                      <a:lumMod val="50000"/>
                    </a:schemeClr>
                  </a:solidFill>
                  <a:latin typeface="+mn-lt"/>
                  <a:ea typeface="Karla" pitchFamily="2" charset="0"/>
                  <a:cs typeface="DilleniaUPC" pitchFamily="18" charset="-34"/>
                </a:endParaRPr>
              </a:p>
            </xdr:txBody>
          </xdr:sp>
          <xdr:pic macro="[0]!LBChanger">
            <xdr:nvPicPr>
              <xdr:cNvPr id="77" name="Contents" descr="ii_jgc3wl5q0_162f2138d6ded0cc">
                <a:extLst>
                  <a:ext uri="{FF2B5EF4-FFF2-40B4-BE49-F238E27FC236}">
                    <a16:creationId xmlns:a16="http://schemas.microsoft.com/office/drawing/2014/main" id="{00000000-0008-0000-0A00-00004D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7618" y="20741"/>
                <a:ext cx="260608" cy="248400"/>
              </a:xfrm>
              <a:prstGeom prst="rect">
                <a:avLst/>
              </a:prstGeom>
              <a:solidFill>
                <a:sysClr val="window" lastClr="FFFFFF"/>
              </a:solidFill>
              <a:ln>
                <a:noFill/>
              </a:ln>
            </xdr:spPr>
          </xdr:pic>
          <xdr:sp macro="" textlink="">
            <xdr:nvSpPr>
              <xdr:cNvPr id="78" name="nav_controls">
                <a:extLst>
                  <a:ext uri="{FF2B5EF4-FFF2-40B4-BE49-F238E27FC236}">
                    <a16:creationId xmlns:a16="http://schemas.microsoft.com/office/drawing/2014/main" id="{00000000-0008-0000-0A00-00004E000000}"/>
                  </a:ext>
                </a:extLst>
              </xdr:cNvPr>
              <xdr:cNvSpPr>
                <a:spLocks/>
              </xdr:cNvSpPr>
            </xdr:nvSpPr>
            <xdr:spPr>
              <a:xfrm>
                <a:off x="7091375" y="461958"/>
                <a:ext cx="2647950" cy="54000"/>
              </a:xfrm>
              <a:prstGeom prst="rect">
                <a:avLst/>
              </a:prstGeom>
              <a:solidFill>
                <a:srgbClr val="9EB3BE"/>
              </a:solidFill>
              <a:ln w="6350">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000" b="1" i="0" u="none" strike="noStrike">
                  <a:solidFill>
                    <a:sysClr val="windowText" lastClr="000000"/>
                  </a:solidFill>
                  <a:latin typeface="Calibri"/>
                  <a:cs typeface="Calibri"/>
                </a:endParaRPr>
              </a:p>
            </xdr:txBody>
          </xdr:sp>
          <xdr:sp macro="" textlink="">
            <xdr:nvSpPr>
              <xdr:cNvPr id="83" name="nav_controls">
                <a:extLst>
                  <a:ext uri="{FF2B5EF4-FFF2-40B4-BE49-F238E27FC236}">
                    <a16:creationId xmlns:a16="http://schemas.microsoft.com/office/drawing/2014/main" id="{00000000-0008-0000-0A00-000053000000}"/>
                  </a:ext>
                </a:extLst>
              </xdr:cNvPr>
              <xdr:cNvSpPr>
                <a:spLocks/>
              </xdr:cNvSpPr>
            </xdr:nvSpPr>
            <xdr:spPr>
              <a:xfrm>
                <a:off x="9215438" y="461958"/>
                <a:ext cx="2614081" cy="54000"/>
              </a:xfrm>
              <a:prstGeom prst="rect">
                <a:avLst/>
              </a:prstGeom>
              <a:solidFill>
                <a:srgbClr val="B5D5E5"/>
              </a:solidFill>
              <a:ln w="6350">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000" b="1" i="0" u="none" strike="noStrike">
                  <a:solidFill>
                    <a:sysClr val="windowText" lastClr="000000"/>
                  </a:solidFill>
                  <a:latin typeface="Calibri"/>
                  <a:cs typeface="Calibri"/>
                </a:endParaRPr>
              </a:p>
            </xdr:txBody>
          </xdr:sp>
          <xdr:sp macro="" textlink="">
            <xdr:nvSpPr>
              <xdr:cNvPr id="84" name="nav_controls">
                <a:extLst>
                  <a:ext uri="{FF2B5EF4-FFF2-40B4-BE49-F238E27FC236}">
                    <a16:creationId xmlns:a16="http://schemas.microsoft.com/office/drawing/2014/main" id="{00000000-0008-0000-0A00-000054000000}"/>
                  </a:ext>
                </a:extLst>
              </xdr:cNvPr>
              <xdr:cNvSpPr>
                <a:spLocks/>
              </xdr:cNvSpPr>
            </xdr:nvSpPr>
            <xdr:spPr>
              <a:xfrm>
                <a:off x="0" y="466725"/>
                <a:ext cx="7081838" cy="52408"/>
              </a:xfrm>
              <a:prstGeom prst="rect">
                <a:avLst/>
              </a:prstGeom>
              <a:solidFill>
                <a:srgbClr val="2B5464"/>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b="1" i="0" u="none" strike="noStrike">
                  <a:solidFill>
                    <a:schemeClr val="bg1"/>
                  </a:solidFill>
                  <a:latin typeface="Calibri"/>
                  <a:cs typeface="Calibri"/>
                </a:endParaRPr>
              </a:p>
            </xdr:txBody>
          </xdr:sp>
          <xdr:grpSp>
            <xdr:nvGrpSpPr>
              <xdr:cNvPr id="85" name="Group 84">
                <a:extLst>
                  <a:ext uri="{FF2B5EF4-FFF2-40B4-BE49-F238E27FC236}">
                    <a16:creationId xmlns:a16="http://schemas.microsoft.com/office/drawing/2014/main" id="{00000000-0008-0000-0A00-000055000000}"/>
                  </a:ext>
                </a:extLst>
              </xdr:cNvPr>
              <xdr:cNvGrpSpPr/>
            </xdr:nvGrpSpPr>
            <xdr:grpSpPr>
              <a:xfrm>
                <a:off x="0" y="285750"/>
                <a:ext cx="11814575" cy="180261"/>
                <a:chOff x="0" y="285489"/>
                <a:chExt cx="13173477" cy="180261"/>
              </a:xfrm>
            </xdr:grpSpPr>
            <xdr:sp macro="[0]!LBChanger" textlink="uxb_works!B100">
              <xdr:nvSpPr>
                <xdr:cNvPr id="86" name="Correlations">
                  <a:extLst>
                    <a:ext uri="{FF2B5EF4-FFF2-40B4-BE49-F238E27FC236}">
                      <a16:creationId xmlns:a16="http://schemas.microsoft.com/office/drawing/2014/main" id="{00000000-0008-0000-0A00-000056000000}"/>
                    </a:ext>
                  </a:extLst>
                </xdr:cNvPr>
                <xdr:cNvSpPr>
                  <a:spLocks/>
                </xdr:cNvSpPr>
              </xdr:nvSpPr>
              <xdr:spPr>
                <a:xfrm>
                  <a:off x="9225833"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0D08B5CF-F601-4334-9688-6B186F573CBA}" type="TxLink">
                    <a:rPr lang="en-US" sz="900" b="1" i="0" u="none" strike="noStrike">
                      <a:solidFill>
                        <a:schemeClr val="accent5">
                          <a:lumMod val="50000"/>
                        </a:schemeClr>
                      </a:solidFill>
                      <a:latin typeface="Calibri"/>
                      <a:ea typeface="Karla" pitchFamily="2" charset="0"/>
                      <a:cs typeface="Calibri"/>
                    </a:rPr>
                    <a:pPr algn="ctr"/>
                    <a:t>CORRELATIONS</a:t>
                  </a:fld>
                  <a:endParaRPr lang="en-GB" sz="900" b="1">
                    <a:solidFill>
                      <a:schemeClr val="accent5">
                        <a:lumMod val="50000"/>
                      </a:schemeClr>
                    </a:solidFill>
                    <a:latin typeface="+mn-lt"/>
                    <a:ea typeface="Karla" pitchFamily="2" charset="0"/>
                  </a:endParaRPr>
                </a:p>
              </xdr:txBody>
            </xdr:sp>
            <xdr:sp macro="[0]!LBChanger" textlink="uxb_works!B99">
              <xdr:nvSpPr>
                <xdr:cNvPr id="87" name="Scatter">
                  <a:extLst>
                    <a:ext uri="{FF2B5EF4-FFF2-40B4-BE49-F238E27FC236}">
                      <a16:creationId xmlns:a16="http://schemas.microsoft.com/office/drawing/2014/main" id="{00000000-0008-0000-0A00-000057000000}"/>
                    </a:ext>
                  </a:extLst>
                </xdr:cNvPr>
                <xdr:cNvSpPr>
                  <a:spLocks/>
                </xdr:cNvSpPr>
              </xdr:nvSpPr>
              <xdr:spPr>
                <a:xfrm>
                  <a:off x="7903939" y="285940"/>
                  <a:ext cx="1320074"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8DE1D7F-61C0-4422-A1B6-E89A6501ED1F}" type="TxLink">
                    <a:rPr lang="en-US" sz="900" b="1" i="0" u="none" strike="noStrike">
                      <a:solidFill>
                        <a:schemeClr val="accent5">
                          <a:lumMod val="50000"/>
                        </a:schemeClr>
                      </a:solidFill>
                      <a:latin typeface="Calibri"/>
                      <a:ea typeface="Karla" pitchFamily="2" charset="0"/>
                      <a:cs typeface="Calibri"/>
                    </a:rPr>
                    <a:pPr algn="ctr"/>
                    <a:t>SCATTER</a:t>
                  </a:fld>
                  <a:endParaRPr lang="en-GB" sz="900" b="1">
                    <a:solidFill>
                      <a:schemeClr val="accent5">
                        <a:lumMod val="50000"/>
                      </a:schemeClr>
                    </a:solidFill>
                    <a:latin typeface="+mn-lt"/>
                    <a:ea typeface="Karla" pitchFamily="2" charset="0"/>
                  </a:endParaRPr>
                </a:p>
              </xdr:txBody>
            </xdr:sp>
            <xdr:sp macro="[0]!LBChanger" textlink="uxb_works!B101">
              <xdr:nvSpPr>
                <xdr:cNvPr id="112" name="Scores">
                  <a:extLst>
                    <a:ext uri="{FF2B5EF4-FFF2-40B4-BE49-F238E27FC236}">
                      <a16:creationId xmlns:a16="http://schemas.microsoft.com/office/drawing/2014/main" id="{00000000-0008-0000-0A00-000070000000}"/>
                    </a:ext>
                  </a:extLst>
                </xdr:cNvPr>
                <xdr:cNvSpPr>
                  <a:spLocks/>
                </xdr:cNvSpPr>
              </xdr:nvSpPr>
              <xdr:spPr>
                <a:xfrm>
                  <a:off x="10540783" y="285940"/>
                  <a:ext cx="1317779" cy="179810"/>
                </a:xfrm>
                <a:prstGeom prst="rect">
                  <a:avLst/>
                </a:prstGeom>
                <a:solidFill>
                  <a:schemeClr val="accent5">
                    <a:lumMod val="50000"/>
                  </a:schemeClr>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5165ACF-6EE1-4F74-8FDB-F21F37E9E6FB}" type="TxLink">
                    <a:rPr lang="en-US" sz="900" b="1" i="0" u="none" strike="noStrike">
                      <a:solidFill>
                        <a:schemeClr val="bg1"/>
                      </a:solidFill>
                      <a:latin typeface="Calibri"/>
                      <a:ea typeface="Karla" pitchFamily="2" charset="0"/>
                      <a:cs typeface="Calibri"/>
                    </a:rPr>
                    <a:pPr algn="ctr"/>
                    <a:t>DATA / SCORES</a:t>
                  </a:fld>
                  <a:endParaRPr lang="en-GB" sz="900" b="1">
                    <a:solidFill>
                      <a:schemeClr val="bg1"/>
                    </a:solidFill>
                    <a:latin typeface="+mn-lt"/>
                    <a:ea typeface="Karla" pitchFamily="2" charset="0"/>
                  </a:endParaRPr>
                </a:p>
              </xdr:txBody>
            </xdr:sp>
            <xdr:sp macro="[0]!LBChanger" textlink="uxb_works!B102">
              <xdr:nvSpPr>
                <xdr:cNvPr id="113" name="Weights">
                  <a:extLst>
                    <a:ext uri="{FF2B5EF4-FFF2-40B4-BE49-F238E27FC236}">
                      <a16:creationId xmlns:a16="http://schemas.microsoft.com/office/drawing/2014/main" id="{00000000-0008-0000-0A00-000071000000}"/>
                    </a:ext>
                  </a:extLst>
                </xdr:cNvPr>
                <xdr:cNvSpPr>
                  <a:spLocks/>
                </xdr:cNvSpPr>
              </xdr:nvSpPr>
              <xdr:spPr>
                <a:xfrm>
                  <a:off x="11855698"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43627509-C0BB-4D16-AADD-A85AC599D44F}" type="TxLink">
                    <a:rPr lang="en-US" sz="900" b="1" i="0" u="none" strike="noStrike">
                      <a:solidFill>
                        <a:schemeClr val="accent5">
                          <a:lumMod val="50000"/>
                        </a:schemeClr>
                      </a:solidFill>
                      <a:latin typeface="Calibri"/>
                      <a:ea typeface="Karla" pitchFamily="2" charset="0"/>
                      <a:cs typeface="Calibri"/>
                    </a:rPr>
                    <a:pPr algn="ctr"/>
                    <a:t>WEIGHTS</a:t>
                  </a:fld>
                  <a:endParaRPr lang="en-GB" sz="900" b="1">
                    <a:solidFill>
                      <a:schemeClr val="accent5">
                        <a:lumMod val="50000"/>
                      </a:schemeClr>
                    </a:solidFill>
                    <a:latin typeface="+mn-lt"/>
                    <a:ea typeface="Karla" pitchFamily="2" charset="0"/>
                  </a:endParaRPr>
                </a:p>
              </xdr:txBody>
            </xdr:sp>
            <xdr:sp macro="[0]!LBChanger" textlink="uxb_works!B95">
              <xdr:nvSpPr>
                <xdr:cNvPr id="114" name="Summary1">
                  <a:extLst>
                    <a:ext uri="{FF2B5EF4-FFF2-40B4-BE49-F238E27FC236}">
                      <a16:creationId xmlns:a16="http://schemas.microsoft.com/office/drawing/2014/main" id="{00000000-0008-0000-0A00-000072000000}"/>
                    </a:ext>
                  </a:extLst>
                </xdr:cNvPr>
                <xdr:cNvSpPr>
                  <a:spLocks/>
                </xdr:cNvSpPr>
              </xdr:nvSpPr>
              <xdr:spPr>
                <a:xfrm>
                  <a:off x="0"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A5241822-14D3-4854-9411-CFDDA1D4CE0A}" type="TxLink">
                    <a:rPr lang="en-US" sz="900" b="1" i="0" u="none" strike="noStrike">
                      <a:solidFill>
                        <a:schemeClr val="accent5">
                          <a:lumMod val="50000"/>
                        </a:schemeClr>
                      </a:solidFill>
                      <a:latin typeface="Calibri"/>
                      <a:ea typeface="Karla" pitchFamily="2" charset="0"/>
                      <a:cs typeface="Calibri"/>
                    </a:rPr>
                    <a:pPr algn="ctr"/>
                    <a:t>SUMMARY</a:t>
                  </a:fld>
                  <a:endParaRPr lang="en-GB" sz="900" b="1">
                    <a:solidFill>
                      <a:schemeClr val="accent5">
                        <a:lumMod val="50000"/>
                      </a:schemeClr>
                    </a:solidFill>
                    <a:latin typeface="+mn-lt"/>
                    <a:ea typeface="Karla" pitchFamily="2" charset="0"/>
                  </a:endParaRPr>
                </a:p>
              </xdr:txBody>
            </xdr:sp>
            <xdr:sp macro="[0]!LBChanger" textlink="uxb_works!B96">
              <xdr:nvSpPr>
                <xdr:cNvPr id="120" name="Indicator_Ranking">
                  <a:extLst>
                    <a:ext uri="{FF2B5EF4-FFF2-40B4-BE49-F238E27FC236}">
                      <a16:creationId xmlns:a16="http://schemas.microsoft.com/office/drawing/2014/main" id="{00000000-0008-0000-0A00-000078000000}"/>
                    </a:ext>
                  </a:extLst>
                </xdr:cNvPr>
                <xdr:cNvSpPr>
                  <a:spLocks/>
                </xdr:cNvSpPr>
              </xdr:nvSpPr>
              <xdr:spPr>
                <a:xfrm>
                  <a:off x="1319392"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1D205C57-4D69-4B9A-8D11-5E0B7527B9E2}" type="TxLink">
                    <a:rPr lang="en-US" sz="900" b="1" i="0" u="none" strike="noStrike">
                      <a:solidFill>
                        <a:schemeClr val="accent5">
                          <a:lumMod val="50000"/>
                        </a:schemeClr>
                      </a:solidFill>
                      <a:latin typeface="Calibri"/>
                      <a:ea typeface="Karla" pitchFamily="2" charset="0"/>
                      <a:cs typeface="Calibri"/>
                    </a:rPr>
                    <a:pPr algn="ctr"/>
                    <a:t>INDICATOR RANKING</a:t>
                  </a:fld>
                  <a:endParaRPr lang="en-GB" sz="900" b="1">
                    <a:solidFill>
                      <a:schemeClr val="accent5">
                        <a:lumMod val="50000"/>
                      </a:schemeClr>
                    </a:solidFill>
                    <a:latin typeface="+mn-lt"/>
                    <a:ea typeface="Karla" pitchFamily="2" charset="0"/>
                  </a:endParaRPr>
                </a:p>
              </xdr:txBody>
            </xdr:sp>
            <xdr:sp macro="[0]!LBChanger" textlink="uxb_works!B98">
              <xdr:nvSpPr>
                <xdr:cNvPr id="125" name="CCompare">
                  <a:extLst>
                    <a:ext uri="{FF2B5EF4-FFF2-40B4-BE49-F238E27FC236}">
                      <a16:creationId xmlns:a16="http://schemas.microsoft.com/office/drawing/2014/main" id="{00000000-0008-0000-0A00-00007D000000}"/>
                    </a:ext>
                  </a:extLst>
                </xdr:cNvPr>
                <xdr:cNvSpPr>
                  <a:spLocks/>
                </xdr:cNvSpPr>
              </xdr:nvSpPr>
              <xdr:spPr>
                <a:xfrm>
                  <a:off x="5256659" y="285940"/>
                  <a:ext cx="132486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829603AF-0DD8-4C72-8452-B09DB6262544}" type="TxLink">
                    <a:rPr lang="en-US" sz="900" b="1" i="0" u="none" strike="noStrike">
                      <a:solidFill>
                        <a:schemeClr val="accent5">
                          <a:lumMod val="50000"/>
                        </a:schemeClr>
                      </a:solidFill>
                      <a:latin typeface="Calibri"/>
                      <a:ea typeface="Karla" pitchFamily="2" charset="0"/>
                      <a:cs typeface="Calibri"/>
                    </a:rPr>
                    <a:pPr algn="ctr"/>
                    <a:t>CITY COMPARE</a:t>
                  </a:fld>
                  <a:endParaRPr lang="en-GB" sz="900" b="1">
                    <a:solidFill>
                      <a:schemeClr val="accent5">
                        <a:lumMod val="50000"/>
                      </a:schemeClr>
                    </a:solidFill>
                    <a:latin typeface="+mn-lt"/>
                    <a:ea typeface="Karla" pitchFamily="2" charset="0"/>
                  </a:endParaRPr>
                </a:p>
              </xdr:txBody>
            </xdr:sp>
            <xdr:sp macro="[0]!LBChanger" textlink="uxb_works!B97">
              <xdr:nvSpPr>
                <xdr:cNvPr id="132" name="CtyScoreCard">
                  <a:extLst>
                    <a:ext uri="{FF2B5EF4-FFF2-40B4-BE49-F238E27FC236}">
                      <a16:creationId xmlns:a16="http://schemas.microsoft.com/office/drawing/2014/main" id="{00000000-0008-0000-0A00-000084000000}"/>
                    </a:ext>
                  </a:extLst>
                </xdr:cNvPr>
                <xdr:cNvSpPr>
                  <a:spLocks/>
                </xdr:cNvSpPr>
              </xdr:nvSpPr>
              <xdr:spPr>
                <a:xfrm>
                  <a:off x="3943666" y="285489"/>
                  <a:ext cx="1317779" cy="180261"/>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fld id="{5B2B5046-96B7-4EDE-9DD8-D97FF7695B86}" type="TxLink">
                    <a:rPr lang="en-US" sz="900" b="1" i="0" u="none" strike="noStrike">
                      <a:solidFill>
                        <a:schemeClr val="accent5">
                          <a:lumMod val="50000"/>
                        </a:schemeClr>
                      </a:solidFill>
                      <a:latin typeface="Calibri"/>
                      <a:ea typeface="Karla" pitchFamily="2" charset="0"/>
                      <a:cs typeface="Calibri"/>
                    </a:rPr>
                    <a:pPr algn="ctr"/>
                    <a:t>CITY SCORECARD</a:t>
                  </a:fld>
                  <a:endParaRPr lang="en-GB" sz="900" b="1">
                    <a:solidFill>
                      <a:schemeClr val="accent5">
                        <a:lumMod val="50000"/>
                      </a:schemeClr>
                    </a:solidFill>
                    <a:latin typeface="+mn-lt"/>
                    <a:ea typeface="Karla" pitchFamily="2" charset="0"/>
                  </a:endParaRPr>
                </a:p>
              </xdr:txBody>
            </xdr:sp>
            <xdr:sp macro="[0]!LBChanger" textlink="uxb_works!B103">
              <xdr:nvSpPr>
                <xdr:cNvPr id="133" name="RegionCompare">
                  <a:extLst>
                    <a:ext uri="{FF2B5EF4-FFF2-40B4-BE49-F238E27FC236}">
                      <a16:creationId xmlns:a16="http://schemas.microsoft.com/office/drawing/2014/main" id="{00000000-0008-0000-0A00-000085000000}"/>
                    </a:ext>
                  </a:extLst>
                </xdr:cNvPr>
                <xdr:cNvSpPr>
                  <a:spLocks/>
                </xdr:cNvSpPr>
              </xdr:nvSpPr>
              <xdr:spPr>
                <a:xfrm>
                  <a:off x="6578664" y="285940"/>
                  <a:ext cx="132486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51E55FBF-FB84-41A1-976B-235AB148A85F}" type="TxLink">
                    <a:rPr lang="en-US" sz="900" b="1" i="0" u="none" strike="noStrike">
                      <a:solidFill>
                        <a:schemeClr val="accent5">
                          <a:lumMod val="50000"/>
                        </a:schemeClr>
                      </a:solidFill>
                      <a:latin typeface="Calibri"/>
                      <a:ea typeface="Karla" pitchFamily="2" charset="0"/>
                      <a:cs typeface="Calibri"/>
                    </a:rPr>
                    <a:pPr algn="ctr"/>
                    <a:t>REGION COMPARE</a:t>
                  </a:fld>
                  <a:endParaRPr lang="en-GB" sz="900" b="1">
                    <a:solidFill>
                      <a:schemeClr val="accent5">
                        <a:lumMod val="50000"/>
                      </a:schemeClr>
                    </a:solidFill>
                    <a:latin typeface="+mn-lt"/>
                    <a:ea typeface="Karla" pitchFamily="2" charset="0"/>
                  </a:endParaRPr>
                </a:p>
              </xdr:txBody>
            </xdr:sp>
            <xdr:sp macro="[0]!LBChanger" textlink="uxb_works!B104">
              <xdr:nvSpPr>
                <xdr:cNvPr id="134" name="CProfile">
                  <a:extLst>
                    <a:ext uri="{FF2B5EF4-FFF2-40B4-BE49-F238E27FC236}">
                      <a16:creationId xmlns:a16="http://schemas.microsoft.com/office/drawing/2014/main" id="{00000000-0008-0000-0A00-000086000000}"/>
                    </a:ext>
                  </a:extLst>
                </xdr:cNvPr>
                <xdr:cNvSpPr>
                  <a:spLocks/>
                </xdr:cNvSpPr>
              </xdr:nvSpPr>
              <xdr:spPr>
                <a:xfrm>
                  <a:off x="2635250" y="285489"/>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62C1403F-D06F-4F81-B666-49A22A849932}" type="TxLink">
                    <a:rPr lang="en-US" sz="900" b="1" i="0" u="none" strike="noStrike">
                      <a:solidFill>
                        <a:srgbClr val="366092"/>
                      </a:solidFill>
                      <a:latin typeface="Calibri"/>
                      <a:ea typeface="Karla" pitchFamily="2" charset="0"/>
                      <a:cs typeface="Calibri"/>
                    </a:rPr>
                    <a:pPr algn="ctr"/>
                    <a:t>CITY PROFILE</a:t>
                  </a:fld>
                  <a:endParaRPr lang="en-GB" sz="900" b="1">
                    <a:solidFill>
                      <a:schemeClr val="accent5">
                        <a:lumMod val="50000"/>
                      </a:schemeClr>
                    </a:solidFill>
                    <a:latin typeface="+mn-lt"/>
                    <a:ea typeface="Karla" pitchFamily="2" charset="0"/>
                  </a:endParaRPr>
                </a:p>
              </xdr:txBody>
            </xdr:sp>
          </xdr:grpSp>
        </xdr:grpSp>
        <xdr:sp macro="[0]!UniversalChanger" textlink="uxb_works!$C$111">
          <xdr:nvSpPr>
            <xdr:cNvPr id="66" name="FilterToggle">
              <a:extLst>
                <a:ext uri="{FF2B5EF4-FFF2-40B4-BE49-F238E27FC236}">
                  <a16:creationId xmlns:a16="http://schemas.microsoft.com/office/drawing/2014/main" id="{00000000-0008-0000-0A00-000042000000}"/>
                </a:ext>
              </a:extLst>
            </xdr:cNvPr>
            <xdr:cNvSpPr>
              <a:spLocks/>
            </xdr:cNvSpPr>
          </xdr:nvSpPr>
          <xdr:spPr>
            <a:xfrm>
              <a:off x="10744308" y="852242"/>
              <a:ext cx="1082221" cy="212967"/>
            </a:xfrm>
            <a:prstGeom prst="rect">
              <a:avLst/>
            </a:prstGeom>
            <a:solidFill>
              <a:srgbClr val="D9D9D9"/>
            </a:solidFill>
            <a:ln w="2857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D5B5E-6696-41FF-B581-44AEC0F219A7}" type="TxLink">
                <a:rPr lang="en-US" sz="800" b="0" i="0" u="none" strike="noStrike">
                  <a:solidFill>
                    <a:srgbClr val="000000"/>
                  </a:solidFill>
                  <a:latin typeface="Calibri"/>
                  <a:ea typeface="Karla" pitchFamily="2" charset="0"/>
                  <a:cs typeface="Calibri"/>
                </a:rPr>
                <a:pPr algn="ctr"/>
                <a:t>Hide these options</a:t>
              </a:fld>
              <a:endParaRPr lang="en-GB" sz="4000" b="1">
                <a:solidFill>
                  <a:srgbClr val="000000"/>
                </a:solidFill>
                <a:latin typeface="+mn-lt"/>
                <a:ea typeface="Karla" pitchFamily="2" charset="0"/>
              </a:endParaRPr>
            </a:p>
          </xdr:txBody>
        </xdr:sp>
        <xdr:grpSp>
          <xdr:nvGrpSpPr>
            <xdr:cNvPr id="67" name="Group 66">
              <a:extLst>
                <a:ext uri="{FF2B5EF4-FFF2-40B4-BE49-F238E27FC236}">
                  <a16:creationId xmlns:a16="http://schemas.microsoft.com/office/drawing/2014/main" id="{00000000-0008-0000-0A00-000043000000}"/>
                </a:ext>
              </a:extLst>
            </xdr:cNvPr>
            <xdr:cNvGrpSpPr/>
          </xdr:nvGrpSpPr>
          <xdr:grpSpPr>
            <a:xfrm>
              <a:off x="10753783" y="37494"/>
              <a:ext cx="999275" cy="240746"/>
              <a:chOff x="10782556" y="28575"/>
              <a:chExt cx="999806" cy="252000"/>
            </a:xfrm>
          </xdr:grpSpPr>
          <xdr:sp macro="[0]!UniversalChanger" textlink="">
            <xdr:nvSpPr>
              <xdr:cNvPr id="68" name="ctr_Reset">
                <a:extLst>
                  <a:ext uri="{FF2B5EF4-FFF2-40B4-BE49-F238E27FC236}">
                    <a16:creationId xmlns:a16="http://schemas.microsoft.com/office/drawing/2014/main" id="{00000000-0008-0000-0A00-000044000000}"/>
                  </a:ext>
                </a:extLst>
              </xdr:cNvPr>
              <xdr:cNvSpPr/>
            </xdr:nvSpPr>
            <xdr:spPr>
              <a:xfrm>
                <a:off x="10782556" y="38100"/>
                <a:ext cx="666749" cy="209550"/>
              </a:xfrm>
              <a:prstGeom prst="rect">
                <a:avLst/>
              </a:prstGeom>
              <a:solidFill>
                <a:srgbClr val="F47940">
                  <a:alpha val="20000"/>
                </a:srgbClr>
              </a:solidFill>
              <a:ln w="3175">
                <a:solidFill>
                  <a:srgbClr val="005BAD"/>
                </a:solid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r>
                  <a:rPr lang="en-GB" sz="1000" b="0">
                    <a:solidFill>
                      <a:srgbClr val="143050"/>
                    </a:solidFill>
                    <a:latin typeface="+mn-lt"/>
                    <a:ea typeface="Karla" pitchFamily="2" charset="0"/>
                  </a:rPr>
                  <a:t>RESET</a:t>
                </a:r>
              </a:p>
            </xdr:txBody>
          </xdr:sp>
          <xdr:pic macro="[0]!UniversalChanger">
            <xdr:nvPicPr>
              <xdr:cNvPr id="69" name="Excel_Out">
                <a:extLst>
                  <a:ext uri="{FF2B5EF4-FFF2-40B4-BE49-F238E27FC236}">
                    <a16:creationId xmlns:a16="http://schemas.microsoft.com/office/drawing/2014/main" id="{00000000-0008-0000-0A00-00004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525506" y="28575"/>
                <a:ext cx="256856" cy="252000"/>
              </a:xfrm>
              <a:prstGeom prst="rect">
                <a:avLst/>
              </a:prstGeom>
            </xdr:spPr>
          </xdr:pic>
        </xdr:grpSp>
      </xdr:grpSp>
      <xdr:grpSp>
        <xdr:nvGrpSpPr>
          <xdr:cNvPr id="9" name="Group 8">
            <a:extLst>
              <a:ext uri="{FF2B5EF4-FFF2-40B4-BE49-F238E27FC236}">
                <a16:creationId xmlns:a16="http://schemas.microsoft.com/office/drawing/2014/main" id="{00000000-0008-0000-0A00-000009000000}"/>
              </a:ext>
            </a:extLst>
          </xdr:cNvPr>
          <xdr:cNvGrpSpPr/>
        </xdr:nvGrpSpPr>
        <xdr:grpSpPr>
          <a:xfrm>
            <a:off x="84777" y="594238"/>
            <a:ext cx="1904598" cy="444512"/>
            <a:chOff x="84820" y="594238"/>
            <a:chExt cx="2525898" cy="444512"/>
          </a:xfrm>
        </xdr:grpSpPr>
        <xdr:grpSp>
          <xdr:nvGrpSpPr>
            <xdr:cNvPr id="4" name="Group 3">
              <a:extLst>
                <a:ext uri="{FF2B5EF4-FFF2-40B4-BE49-F238E27FC236}">
                  <a16:creationId xmlns:a16="http://schemas.microsoft.com/office/drawing/2014/main" id="{00000000-0008-0000-0A00-000004000000}"/>
                </a:ext>
              </a:extLst>
            </xdr:cNvPr>
            <xdr:cNvGrpSpPr/>
          </xdr:nvGrpSpPr>
          <xdr:grpSpPr>
            <a:xfrm>
              <a:off x="84820" y="819150"/>
              <a:ext cx="2474787" cy="219600"/>
              <a:chOff x="0" y="371475"/>
              <a:chExt cx="14023557" cy="324217"/>
            </a:xfrm>
          </xdr:grpSpPr>
          <xdr:sp macro="[0]!UniversalChanger" textlink="uxb_works!D47">
            <xdr:nvSpPr>
              <xdr:cNvPr id="7" name="Data">
                <a:extLst>
                  <a:ext uri="{FF2B5EF4-FFF2-40B4-BE49-F238E27FC236}">
                    <a16:creationId xmlns:a16="http://schemas.microsoft.com/office/drawing/2014/main" id="{00000000-0008-0000-0A00-000007000000}"/>
                  </a:ext>
                </a:extLst>
              </xdr:cNvPr>
              <xdr:cNvSpPr/>
            </xdr:nvSpPr>
            <xdr:spPr>
              <a:xfrm>
                <a:off x="0" y="371475"/>
                <a:ext cx="7024296" cy="324217"/>
              </a:xfrm>
              <a:prstGeom prst="rect">
                <a:avLst/>
              </a:prstGeom>
              <a:solidFill>
                <a:srgbClr val="D9D9D9"/>
              </a:solidFill>
              <a:ln w="38100">
                <a:solidFill>
                  <a:srgbClr val="4A7EBB">
                    <a:alpha val="69804"/>
                  </a:srgbClr>
                </a:solid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fld id="{F9303852-0840-4D5A-A784-B8F4CB9BC373}" type="TxLink">
                  <a:rPr lang="en-US" sz="1100" b="0" i="0" u="none" strike="noStrike">
                    <a:solidFill>
                      <a:srgbClr val="808080"/>
                    </a:solidFill>
                    <a:latin typeface="Calibri"/>
                    <a:cs typeface="Calibri"/>
                  </a:rPr>
                  <a:pPr algn="ctr"/>
                  <a:t>DATA</a:t>
                </a:fld>
                <a:endParaRPr lang="en-GB" sz="2000" b="1">
                  <a:solidFill>
                    <a:srgbClr val="808080"/>
                  </a:solidFill>
                </a:endParaRPr>
              </a:p>
            </xdr:txBody>
          </xdr:sp>
          <xdr:sp macro="[0]!UniversalChanger" textlink="uxb_works!D48">
            <xdr:nvSpPr>
              <xdr:cNvPr id="8" name="Score">
                <a:extLst>
                  <a:ext uri="{FF2B5EF4-FFF2-40B4-BE49-F238E27FC236}">
                    <a16:creationId xmlns:a16="http://schemas.microsoft.com/office/drawing/2014/main" id="{00000000-0008-0000-0A00-000008000000}"/>
                  </a:ext>
                </a:extLst>
              </xdr:cNvPr>
              <xdr:cNvSpPr/>
            </xdr:nvSpPr>
            <xdr:spPr>
              <a:xfrm>
                <a:off x="6999261" y="371475"/>
                <a:ext cx="7024296" cy="324217"/>
              </a:xfrm>
              <a:prstGeom prst="rect">
                <a:avLst/>
              </a:prstGeom>
              <a:solidFill>
                <a:srgbClr val="808080"/>
              </a:solidFill>
              <a:ln w="38100">
                <a:solidFill>
                  <a:srgbClr val="4A7EBB">
                    <a:alpha val="69804"/>
                  </a:srgbClr>
                </a:solid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fld id="{A855B83D-10AC-41B2-917A-D0DBBDE3E520}" type="TxLink">
                  <a:rPr lang="en-US" sz="1100" b="0" i="0" u="none" strike="noStrike">
                    <a:solidFill>
                      <a:srgbClr val="D9D9D9"/>
                    </a:solidFill>
                    <a:latin typeface="Calibri"/>
                    <a:cs typeface="Calibri"/>
                  </a:rPr>
                  <a:pPr algn="ctr"/>
                  <a:t>SCORES</a:t>
                </a:fld>
                <a:endParaRPr lang="en-GB" sz="2000" b="1">
                  <a:solidFill>
                    <a:srgbClr val="D9D9D9"/>
                  </a:solidFill>
                </a:endParaRPr>
              </a:p>
            </xdr:txBody>
          </xdr:sp>
        </xdr:grpSp>
        <xdr:sp macro="" textlink="">
          <xdr:nvSpPr>
            <xdr:cNvPr id="6" name="lbl_cnt_City_1">
              <a:extLst>
                <a:ext uri="{FF2B5EF4-FFF2-40B4-BE49-F238E27FC236}">
                  <a16:creationId xmlns:a16="http://schemas.microsoft.com/office/drawing/2014/main" id="{00000000-0008-0000-0A00-000006000000}"/>
                </a:ext>
              </a:extLst>
            </xdr:cNvPr>
            <xdr:cNvSpPr txBox="1"/>
          </xdr:nvSpPr>
          <xdr:spPr>
            <a:xfrm>
              <a:off x="90988" y="594238"/>
              <a:ext cx="251973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ysClr val="windowText" lastClr="000000"/>
                  </a:solidFill>
                </a:rPr>
                <a:t>SELECT BETWEEN</a:t>
              </a:r>
              <a:r>
                <a:rPr lang="en-GB" sz="1000" b="1" baseline="0">
                  <a:solidFill>
                    <a:sysClr val="windowText" lastClr="000000"/>
                  </a:solidFill>
                </a:rPr>
                <a:t> DATA &amp; SCORES </a:t>
              </a:r>
              <a:endParaRPr lang="en-GB" sz="1000" b="1">
                <a:solidFill>
                  <a:sysClr val="windowText" lastClr="000000"/>
                </a:solidFill>
              </a:endParaRPr>
            </a:p>
          </xdr:txBody>
        </xdr:sp>
      </xdr:grpSp>
    </xdr:grpSp>
    <xdr:clientData/>
  </xdr:twoCellAnchor>
  <xdr:twoCellAnchor editAs="oneCell">
    <xdr:from>
      <xdr:col>13</xdr:col>
      <xdr:colOff>114300</xdr:colOff>
      <xdr:row>86</xdr:row>
      <xdr:rowOff>95250</xdr:rowOff>
    </xdr:from>
    <xdr:to>
      <xdr:col>13</xdr:col>
      <xdr:colOff>946907</xdr:colOff>
      <xdr:row>87</xdr:row>
      <xdr:rowOff>35857</xdr:rowOff>
    </xdr:to>
    <xdr:sp macro="[0]!UniversalChanger" textlink="">
      <xdr:nvSpPr>
        <xdr:cNvPr id="40" name="go_top_B">
          <a:extLst>
            <a:ext uri="{FF2B5EF4-FFF2-40B4-BE49-F238E27FC236}">
              <a16:creationId xmlns:a16="http://schemas.microsoft.com/office/drawing/2014/main" id="{00000000-0008-0000-0A00-000028000000}"/>
            </a:ext>
          </a:extLst>
        </xdr:cNvPr>
        <xdr:cNvSpPr txBox="1"/>
      </xdr:nvSpPr>
      <xdr:spPr>
        <a:xfrm>
          <a:off x="6057900" y="19621500"/>
          <a:ext cx="832607" cy="226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sng" strike="noStrike" baseline="0">
              <a:solidFill>
                <a:srgbClr val="0070C0"/>
              </a:solidFill>
              <a:latin typeface="+mn-lt"/>
              <a:ea typeface="Karla" pitchFamily="2" charset="0"/>
            </a:rPr>
            <a:t>Back to top</a:t>
          </a:r>
        </a:p>
      </xdr:txBody>
    </xdr:sp>
    <xdr:clientData fPrintsWithSheet="0"/>
  </xdr:twoCellAnchor>
  <xdr:twoCellAnchor editAs="oneCell">
    <xdr:from>
      <xdr:col>13</xdr:col>
      <xdr:colOff>66675</xdr:colOff>
      <xdr:row>2</xdr:row>
      <xdr:rowOff>0</xdr:rowOff>
    </xdr:from>
    <xdr:to>
      <xdr:col>22</xdr:col>
      <xdr:colOff>190500</xdr:colOff>
      <xdr:row>3</xdr:row>
      <xdr:rowOff>501900</xdr:rowOff>
    </xdr:to>
    <xdr:grpSp>
      <xdr:nvGrpSpPr>
        <xdr:cNvPr id="46" name="HelpBox" hidden="1">
          <a:extLst>
            <a:ext uri="{FF2B5EF4-FFF2-40B4-BE49-F238E27FC236}">
              <a16:creationId xmlns:a16="http://schemas.microsoft.com/office/drawing/2014/main" id="{00000000-0008-0000-0A00-00002E000000}"/>
            </a:ext>
          </a:extLst>
        </xdr:cNvPr>
        <xdr:cNvGrpSpPr/>
      </xdr:nvGrpSpPr>
      <xdr:grpSpPr>
        <a:xfrm>
          <a:off x="66675" y="1085850"/>
          <a:ext cx="11725275" cy="540000"/>
          <a:chOff x="95250" y="1924049"/>
          <a:chExt cx="11734800" cy="540000"/>
        </a:xfrm>
      </xdr:grpSpPr>
      <xdr:sp macro="" textlink="">
        <xdr:nvSpPr>
          <xdr:cNvPr id="47" name="HelpBoxMain" hidden="1">
            <a:extLst>
              <a:ext uri="{FF2B5EF4-FFF2-40B4-BE49-F238E27FC236}">
                <a16:creationId xmlns:a16="http://schemas.microsoft.com/office/drawing/2014/main" id="{00000000-0008-0000-0A00-00002F000000}"/>
              </a:ext>
            </a:extLst>
          </xdr:cNvPr>
          <xdr:cNvSpPr/>
        </xdr:nvSpPr>
        <xdr:spPr>
          <a:xfrm>
            <a:off x="95250" y="1924049"/>
            <a:ext cx="10172700" cy="540000"/>
          </a:xfrm>
          <a:prstGeom prst="rect">
            <a:avLst/>
          </a:prstGeom>
          <a:solidFill>
            <a:schemeClr val="bg1"/>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50" b="0" i="0" u="none" strike="noStrike">
                <a:solidFill>
                  <a:sysClr val="windowText" lastClr="000000"/>
                </a:solidFill>
                <a:latin typeface="Calibri"/>
                <a:cs typeface="Calibri"/>
              </a:rPr>
              <a:t>A description of this</a:t>
            </a:r>
            <a:r>
              <a:rPr lang="en-GB" sz="1050" b="0" i="0" u="none" strike="noStrike" baseline="0">
                <a:solidFill>
                  <a:sysClr val="windowText" lastClr="000000"/>
                </a:solidFill>
                <a:latin typeface="Calibri"/>
                <a:cs typeface="Calibri"/>
              </a:rPr>
              <a:t> page. to be added.</a:t>
            </a:r>
            <a:endParaRPr lang="en-GB" sz="1050" b="0" i="0" u="none" strike="noStrike">
              <a:solidFill>
                <a:sysClr val="windowText" lastClr="000000"/>
              </a:solidFill>
              <a:latin typeface="Calibri"/>
              <a:cs typeface="Calibri"/>
            </a:endParaRPr>
          </a:p>
        </xdr:txBody>
      </xdr:sp>
      <xdr:sp macro="[0]!LBChanger" textlink="uxb_works!B205">
        <xdr:nvSpPr>
          <xdr:cNvPr id="48" name="HelpPage" hidden="1">
            <a:extLst>
              <a:ext uri="{FF2B5EF4-FFF2-40B4-BE49-F238E27FC236}">
                <a16:creationId xmlns:a16="http://schemas.microsoft.com/office/drawing/2014/main" id="{00000000-0008-0000-0A00-000030000000}"/>
              </a:ext>
            </a:extLst>
          </xdr:cNvPr>
          <xdr:cNvSpPr/>
        </xdr:nvSpPr>
        <xdr:spPr>
          <a:xfrm>
            <a:off x="10325100" y="1924049"/>
            <a:ext cx="1504950" cy="540000"/>
          </a:xfrm>
          <a:prstGeom prst="rect">
            <a:avLst/>
          </a:prstGeom>
          <a:solidFill>
            <a:schemeClr val="bg1"/>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9329350-61A1-4C8F-8338-C30D0FD9D0E9}" type="TxLink">
              <a:rPr lang="en-US" sz="900" b="0" i="0" u="none" strike="noStrike">
                <a:solidFill>
                  <a:srgbClr val="3B6E8F"/>
                </a:solidFill>
                <a:latin typeface="Calibri"/>
                <a:cs typeface="Calibri"/>
              </a:rPr>
              <a:pPr algn="ctr"/>
              <a:t>For more general help please click 
HERE</a:t>
            </a:fld>
            <a:endParaRPr lang="en-GB" sz="1100" b="0" i="0" u="none" strike="noStrike">
              <a:solidFill>
                <a:sysClr val="windowText" lastClr="000000"/>
              </a:solidFill>
              <a:latin typeface="Calibri"/>
              <a:cs typeface="Calibri"/>
            </a:endParaRPr>
          </a:p>
        </xdr:txBody>
      </xdr:sp>
    </xdr:grpSp>
    <xdr:clientData/>
  </xdr:twoCellAnchor>
  <xdr:twoCellAnchor editAs="absolute">
    <xdr:from>
      <xdr:col>18</xdr:col>
      <xdr:colOff>771525</xdr:colOff>
      <xdr:row>1</xdr:row>
      <xdr:rowOff>371475</xdr:rowOff>
    </xdr:from>
    <xdr:to>
      <xdr:col>20</xdr:col>
      <xdr:colOff>822257</xdr:colOff>
      <xdr:row>1</xdr:row>
      <xdr:rowOff>765175</xdr:rowOff>
    </xdr:to>
    <xdr:grpSp>
      <xdr:nvGrpSpPr>
        <xdr:cNvPr id="14" name="Del_Weights_Select">
          <a:extLst>
            <a:ext uri="{FF2B5EF4-FFF2-40B4-BE49-F238E27FC236}">
              <a16:creationId xmlns:a16="http://schemas.microsoft.com/office/drawing/2014/main" id="{00000000-0008-0000-0A00-00000E000000}"/>
            </a:ext>
          </a:extLst>
        </xdr:cNvPr>
        <xdr:cNvGrpSpPr/>
      </xdr:nvGrpSpPr>
      <xdr:grpSpPr>
        <a:xfrm>
          <a:off x="8867775" y="657225"/>
          <a:ext cx="1803332" cy="393700"/>
          <a:chOff x="8924925" y="438150"/>
          <a:chExt cx="1803332" cy="393700"/>
        </a:xfrm>
      </xdr:grpSpPr>
      <mc:AlternateContent xmlns:mc="http://schemas.openxmlformats.org/markup-compatibility/2006">
        <mc:Choice xmlns:a14="http://schemas.microsoft.com/office/drawing/2010/main" Requires="a14">
          <xdr:sp macro="" textlink="">
            <xdr:nvSpPr>
              <xdr:cNvPr id="14413834" name="L_Weights" hidden="1">
                <a:extLst>
                  <a:ext uri="{63B3BB69-23CF-44E3-9099-C40C66FF867C}">
                    <a14:compatExt spid="_x0000_s14413834"/>
                  </a:ext>
                  <a:ext uri="{FF2B5EF4-FFF2-40B4-BE49-F238E27FC236}">
                    <a16:creationId xmlns:a16="http://schemas.microsoft.com/office/drawing/2014/main" id="{00000000-0008-0000-0A00-00000AF0DB00}"/>
                  </a:ext>
                </a:extLst>
              </xdr:cNvPr>
              <xdr:cNvSpPr/>
            </xdr:nvSpPr>
            <xdr:spPr bwMode="auto">
              <a:xfrm>
                <a:off x="8924925" y="612775"/>
                <a:ext cx="1803257" cy="219075"/>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4">
        <xdr:nvSpPr>
          <xdr:cNvPr id="74" name="Weight_Reset">
            <a:extLst>
              <a:ext uri="{FF2B5EF4-FFF2-40B4-BE49-F238E27FC236}">
                <a16:creationId xmlns:a16="http://schemas.microsoft.com/office/drawing/2014/main" id="{00000000-0008-0000-0A00-00004A000000}"/>
              </a:ext>
            </a:extLst>
          </xdr:cNvPr>
          <xdr:cNvSpPr>
            <a:spLocks/>
          </xdr:cNvSpPr>
        </xdr:nvSpPr>
        <xdr:spPr>
          <a:xfrm>
            <a:off x="8924925" y="438150"/>
            <a:ext cx="1803332"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856B8423-91E9-41D2-BBE7-4949AD6F09C2}" type="TxLink">
              <a:rPr lang="en-US" sz="800" b="0" i="0" u="none" strike="noStrike">
                <a:solidFill>
                  <a:sysClr val="windowText" lastClr="000000"/>
                </a:solidFill>
                <a:latin typeface="Calibri"/>
                <a:cs typeface="Calibri"/>
              </a:rPr>
              <a:pPr algn="ctr"/>
              <a:t>WEIGHTS (reset)</a:t>
            </a:fld>
            <a:endParaRPr lang="en-US" sz="800" b="0" i="0" u="none" strike="noStrike">
              <a:solidFill>
                <a:sysClr val="windowText" lastClr="000000"/>
              </a:solidFill>
              <a:latin typeface="Calibri"/>
              <a:cs typeface="Calibri"/>
            </a:endParaRPr>
          </a:p>
        </xdr:txBody>
      </xdr:sp>
    </xdr:grpSp>
    <xdr:clientData/>
  </xdr:twoCellAnchor>
  <xdr:twoCellAnchor editAs="oneCell">
    <xdr:from>
      <xdr:col>13</xdr:col>
      <xdr:colOff>104775</xdr:colOff>
      <xdr:row>9</xdr:row>
      <xdr:rowOff>647700</xdr:rowOff>
    </xdr:from>
    <xdr:to>
      <xdr:col>13</xdr:col>
      <xdr:colOff>4695826</xdr:colOff>
      <xdr:row>9</xdr:row>
      <xdr:rowOff>1057277</xdr:rowOff>
    </xdr:to>
    <xdr:sp macro="" textlink="uxb_works!B87">
      <xdr:nvSpPr>
        <xdr:cNvPr id="79" name="Scores_Note">
          <a:extLst>
            <a:ext uri="{FF2B5EF4-FFF2-40B4-BE49-F238E27FC236}">
              <a16:creationId xmlns:a16="http://schemas.microsoft.com/office/drawing/2014/main" id="{00000000-0008-0000-0A00-00004F000000}"/>
            </a:ext>
          </a:extLst>
        </xdr:cNvPr>
        <xdr:cNvSpPr/>
      </xdr:nvSpPr>
      <xdr:spPr>
        <a:xfrm>
          <a:off x="104775" y="1733550"/>
          <a:ext cx="4591051" cy="409577"/>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fld id="{0C8B074B-66AE-4017-9A37-6D8E08834C07}" type="TxLink">
            <a:rPr lang="en-US" sz="900" b="0" i="0" u="none" strike="noStrike">
              <a:solidFill>
                <a:schemeClr val="bg1"/>
              </a:solidFill>
              <a:latin typeface="Calibri"/>
              <a:cs typeface="Calibri"/>
            </a:rPr>
            <a:pPr algn="l"/>
            <a:t>All data are normalised to a scale of 0 to 100, where 100 = optimal score</a:t>
          </a:fld>
          <a:endParaRPr lang="en-GB" sz="1800" b="1" i="0" u="none" strike="noStrike">
            <a:solidFill>
              <a:schemeClr val="bg1"/>
            </a:solidFill>
            <a:latin typeface="Calibri"/>
            <a:cs typeface="Calibri"/>
          </a:endParaRPr>
        </a:p>
      </xdr:txBody>
    </xdr:sp>
    <xdr:clientData/>
  </xdr:twoCellAnchor>
  <xdr:twoCellAnchor editAs="absolute">
    <xdr:from>
      <xdr:col>13</xdr:col>
      <xdr:colOff>3485857</xdr:colOff>
      <xdr:row>1</xdr:row>
      <xdr:rowOff>333375</xdr:rowOff>
    </xdr:from>
    <xdr:to>
      <xdr:col>13</xdr:col>
      <xdr:colOff>5285858</xdr:colOff>
      <xdr:row>1</xdr:row>
      <xdr:rowOff>756806</xdr:rowOff>
    </xdr:to>
    <xdr:grpSp>
      <xdr:nvGrpSpPr>
        <xdr:cNvPr id="15" name="LevelSelect">
          <a:extLst>
            <a:ext uri="{FF2B5EF4-FFF2-40B4-BE49-F238E27FC236}">
              <a16:creationId xmlns:a16="http://schemas.microsoft.com/office/drawing/2014/main" id="{00000000-0008-0000-0A00-00000F000000}"/>
            </a:ext>
          </a:extLst>
        </xdr:cNvPr>
        <xdr:cNvGrpSpPr/>
      </xdr:nvGrpSpPr>
      <xdr:grpSpPr>
        <a:xfrm>
          <a:off x="3485857" y="619125"/>
          <a:ext cx="1800001" cy="423431"/>
          <a:chOff x="3485857" y="619125"/>
          <a:chExt cx="1800001" cy="423431"/>
        </a:xfrm>
      </xdr:grpSpPr>
      <mc:AlternateContent xmlns:mc="http://schemas.openxmlformats.org/markup-compatibility/2006">
        <mc:Choice xmlns:a14="http://schemas.microsoft.com/office/drawing/2010/main" Requires="a14">
          <xdr:sp macro="" textlink="">
            <xdr:nvSpPr>
              <xdr:cNvPr id="14413826" name="Score_IndiLevel" hidden="1">
                <a:extLst>
                  <a:ext uri="{63B3BB69-23CF-44E3-9099-C40C66FF867C}">
                    <a14:compatExt spid="_x0000_s14413826"/>
                  </a:ext>
                  <a:ext uri="{FF2B5EF4-FFF2-40B4-BE49-F238E27FC236}">
                    <a16:creationId xmlns:a16="http://schemas.microsoft.com/office/drawing/2014/main" id="{00000000-0008-0000-0A00-000002F0DB00}"/>
                  </a:ext>
                </a:extLst>
              </xdr:cNvPr>
              <xdr:cNvSpPr/>
            </xdr:nvSpPr>
            <xdr:spPr bwMode="auto">
              <a:xfrm>
                <a:off x="3485857" y="803083"/>
                <a:ext cx="1800000" cy="239473"/>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6">
        <xdr:nvSpPr>
          <xdr:cNvPr id="80" name="Score_IndiLevel_Reset">
            <a:extLst>
              <a:ext uri="{FF2B5EF4-FFF2-40B4-BE49-F238E27FC236}">
                <a16:creationId xmlns:a16="http://schemas.microsoft.com/office/drawing/2014/main" id="{00000000-0008-0000-0A00-000050000000}"/>
              </a:ext>
            </a:extLst>
          </xdr:cNvPr>
          <xdr:cNvSpPr>
            <a:spLocks/>
          </xdr:cNvSpPr>
        </xdr:nvSpPr>
        <xdr:spPr>
          <a:xfrm>
            <a:off x="3485858" y="619125"/>
            <a:ext cx="1800000"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5472A7F1-549F-4EE9-86FE-DE95E64AA263}" type="TxLink">
              <a:rPr lang="en-US" sz="800" b="0" i="0" u="none" strike="noStrike">
                <a:solidFill>
                  <a:sysClr val="windowText" lastClr="000000"/>
                </a:solidFill>
                <a:latin typeface="Calibri"/>
                <a:cs typeface="Calibri"/>
              </a:rPr>
              <a:pPr algn="ctr"/>
              <a:t>SELECT LEVEL (reset)</a:t>
            </a:fld>
            <a:endParaRPr lang="en-US" sz="800" b="0" i="0" u="none" strike="noStrike">
              <a:solidFill>
                <a:sysClr val="windowText" lastClr="000000"/>
              </a:solidFill>
              <a:latin typeface="Calibri"/>
              <a:cs typeface="Calibri"/>
            </a:endParaRPr>
          </a:p>
        </xdr:txBody>
      </xdr:sp>
    </xdr:grpSp>
    <xdr:clientData fPrintsWithSheet="0"/>
  </xdr:twoCellAnchor>
  <xdr:twoCellAnchor editAs="absolute">
    <xdr:from>
      <xdr:col>13</xdr:col>
      <xdr:colOff>66675</xdr:colOff>
      <xdr:row>3</xdr:row>
      <xdr:rowOff>52917</xdr:rowOff>
    </xdr:from>
    <xdr:to>
      <xdr:col>16</xdr:col>
      <xdr:colOff>724958</xdr:colOff>
      <xdr:row>3</xdr:row>
      <xdr:rowOff>595842</xdr:rowOff>
    </xdr:to>
    <xdr:grpSp>
      <xdr:nvGrpSpPr>
        <xdr:cNvPr id="115" name="Del_FILTER_OPTIONS">
          <a:extLst>
            <a:ext uri="{FF2B5EF4-FFF2-40B4-BE49-F238E27FC236}">
              <a16:creationId xmlns:a16="http://schemas.microsoft.com/office/drawing/2014/main" id="{00000000-0008-0000-0A00-000073000000}"/>
            </a:ext>
          </a:extLst>
        </xdr:cNvPr>
        <xdr:cNvGrpSpPr/>
      </xdr:nvGrpSpPr>
      <xdr:grpSpPr>
        <a:xfrm>
          <a:off x="66675" y="1176867"/>
          <a:ext cx="7306733" cy="542925"/>
          <a:chOff x="123825" y="1181100"/>
          <a:chExt cx="7315200" cy="542925"/>
        </a:xfrm>
      </xdr:grpSpPr>
      <xdr:sp macro="" textlink="">
        <xdr:nvSpPr>
          <xdr:cNvPr id="116" name="lbl_cnt_City_1">
            <a:extLst>
              <a:ext uri="{FF2B5EF4-FFF2-40B4-BE49-F238E27FC236}">
                <a16:creationId xmlns:a16="http://schemas.microsoft.com/office/drawing/2014/main" id="{00000000-0008-0000-0A00-000074000000}"/>
              </a:ext>
            </a:extLst>
          </xdr:cNvPr>
          <xdr:cNvSpPr txBox="1"/>
        </xdr:nvSpPr>
        <xdr:spPr>
          <a:xfrm>
            <a:off x="123825" y="1181100"/>
            <a:ext cx="7315200" cy="54292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endParaRPr lang="en-US" sz="1000" b="1" i="0" u="none" strike="noStrike">
              <a:solidFill>
                <a:srgbClr val="143050"/>
              </a:solidFill>
              <a:latin typeface="Calibri"/>
              <a:cs typeface="Calibri"/>
            </a:endParaRPr>
          </a:p>
        </xdr:txBody>
      </xdr:sp>
      <xdr:sp macro="" textlink="uxb_works!D96">
        <xdr:nvSpPr>
          <xdr:cNvPr id="117" name="lbl_cnt_City_1">
            <a:extLst>
              <a:ext uri="{FF2B5EF4-FFF2-40B4-BE49-F238E27FC236}">
                <a16:creationId xmlns:a16="http://schemas.microsoft.com/office/drawing/2014/main" id="{00000000-0008-0000-0A00-000075000000}"/>
              </a:ext>
            </a:extLst>
          </xdr:cNvPr>
          <xdr:cNvSpPr txBox="1"/>
        </xdr:nvSpPr>
        <xdr:spPr>
          <a:xfrm>
            <a:off x="228492" y="1247773"/>
            <a:ext cx="524674"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fld id="{EC6270EF-FB14-4F40-A375-01271F5F9F23}" type="TxLink">
              <a:rPr lang="en-US" sz="1000" b="1" i="0" u="none" strike="noStrike" baseline="0">
                <a:solidFill>
                  <a:sysClr val="windowText" lastClr="000000"/>
                </a:solidFill>
                <a:effectLst/>
                <a:latin typeface="Calibri"/>
                <a:ea typeface="+mn-ea"/>
                <a:cs typeface="Calibri"/>
              </a:rPr>
              <a:pPr algn="r"/>
              <a:t>CITY FILTERS</a:t>
            </a:fld>
            <a:endParaRPr lang="en-GB" sz="1000" b="1">
              <a:solidFill>
                <a:sysClr val="windowText" lastClr="000000"/>
              </a:solidFill>
              <a:latin typeface="+mn-lt"/>
            </a:endParaRPr>
          </a:p>
        </xdr:txBody>
      </xdr:sp>
      <xdr:grpSp>
        <xdr:nvGrpSpPr>
          <xdr:cNvPr id="118" name="Group 117">
            <a:extLst>
              <a:ext uri="{FF2B5EF4-FFF2-40B4-BE49-F238E27FC236}">
                <a16:creationId xmlns:a16="http://schemas.microsoft.com/office/drawing/2014/main" id="{00000000-0008-0000-0A00-000076000000}"/>
              </a:ext>
            </a:extLst>
          </xdr:cNvPr>
          <xdr:cNvGrpSpPr/>
        </xdr:nvGrpSpPr>
        <xdr:grpSpPr>
          <a:xfrm>
            <a:off x="3067895" y="1266824"/>
            <a:ext cx="2085130" cy="402834"/>
            <a:chOff x="887117" y="1257299"/>
            <a:chExt cx="2094310" cy="402834"/>
          </a:xfrm>
        </xdr:grpSpPr>
        <xdr:pic macro="[0]!UniversalChanger">
          <xdr:nvPicPr>
            <xdr:cNvPr id="129" name="INCOME_FL_UP" descr="scroll_up_small.png">
              <a:extLst>
                <a:ext uri="{FF2B5EF4-FFF2-40B4-BE49-F238E27FC236}">
                  <a16:creationId xmlns:a16="http://schemas.microsoft.com/office/drawing/2014/main" id="{00000000-0008-0000-0A00-000081000000}"/>
                </a:ext>
              </a:extLst>
            </xdr:cNvPr>
            <xdr:cNvPicPr>
              <a:picLocks noChangeAspect="1"/>
            </xdr:cNvPicPr>
          </xdr:nvPicPr>
          <xdr:blipFill>
            <a:blip xmlns:r="http://schemas.openxmlformats.org/officeDocument/2006/relationships" r:embed="rId5" cstate="print"/>
            <a:stretch>
              <a:fillRect/>
            </a:stretch>
          </xdr:blipFill>
          <xdr:spPr>
            <a:xfrm>
              <a:off x="2694979" y="1447799"/>
              <a:ext cx="285679" cy="119545"/>
            </a:xfrm>
            <a:prstGeom prst="rect">
              <a:avLst/>
            </a:prstGeom>
          </xdr:spPr>
        </xdr:pic>
        <xdr:pic macro="[0]!UniversalChanger">
          <xdr:nvPicPr>
            <xdr:cNvPr id="130" name="INCOME_FL_DOWN" descr="scroll_down_small.png">
              <a:extLst>
                <a:ext uri="{FF2B5EF4-FFF2-40B4-BE49-F238E27FC236}">
                  <a16:creationId xmlns:a16="http://schemas.microsoft.com/office/drawing/2014/main" id="{00000000-0008-0000-0A00-000082000000}"/>
                </a:ext>
              </a:extLst>
            </xdr:cNvPr>
            <xdr:cNvPicPr>
              <a:picLocks noChangeAspect="1"/>
            </xdr:cNvPicPr>
          </xdr:nvPicPr>
          <xdr:blipFill>
            <a:blip xmlns:r="http://schemas.openxmlformats.org/officeDocument/2006/relationships" r:embed="rId6" cstate="print"/>
            <a:stretch>
              <a:fillRect/>
            </a:stretch>
          </xdr:blipFill>
          <xdr:spPr>
            <a:xfrm>
              <a:off x="2694972" y="1565459"/>
              <a:ext cx="285599" cy="94674"/>
            </a:xfrm>
            <a:prstGeom prst="rect">
              <a:avLst/>
            </a:prstGeom>
          </xdr:spPr>
        </xdr:pic>
        <mc:AlternateContent xmlns:mc="http://schemas.openxmlformats.org/markup-compatibility/2006">
          <mc:Choice xmlns:a14="http://schemas.microsoft.com/office/drawing/2010/main" Requires="a14">
            <xdr:sp macro="" textlink="">
              <xdr:nvSpPr>
                <xdr:cNvPr id="14413844" name="INCOME_FILTER" hidden="1">
                  <a:extLst>
                    <a:ext uri="{63B3BB69-23CF-44E3-9099-C40C66FF867C}">
                      <a14:compatExt spid="_x0000_s14413844"/>
                    </a:ext>
                    <a:ext uri="{FF2B5EF4-FFF2-40B4-BE49-F238E27FC236}">
                      <a16:creationId xmlns:a16="http://schemas.microsoft.com/office/drawing/2014/main" id="{00000000-0008-0000-0A00-000014F0DB00}"/>
                    </a:ext>
                  </a:extLst>
                </xdr:cNvPr>
                <xdr:cNvSpPr/>
              </xdr:nvSpPr>
              <xdr:spPr bwMode="auto">
                <a:xfrm>
                  <a:off x="887123" y="1438274"/>
                  <a:ext cx="1805947" cy="219075"/>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0">
          <xdr:nvSpPr>
            <xdr:cNvPr id="131" name="FILTER_GA_1">
              <a:extLst>
                <a:ext uri="{FF2B5EF4-FFF2-40B4-BE49-F238E27FC236}">
                  <a16:creationId xmlns:a16="http://schemas.microsoft.com/office/drawing/2014/main" id="{00000000-0008-0000-0A00-000083000000}"/>
                </a:ext>
              </a:extLst>
            </xdr:cNvPr>
            <xdr:cNvSpPr>
              <a:spLocks/>
            </xdr:cNvSpPr>
          </xdr:nvSpPr>
          <xdr:spPr>
            <a:xfrm>
              <a:off x="887117" y="1257299"/>
              <a:ext cx="2094310"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5B3884B5-1625-476A-A697-2341FA45AADB}" type="TxLink">
                <a:rPr lang="en-US" sz="800" b="0" i="0" u="none" strike="noStrike">
                  <a:solidFill>
                    <a:srgbClr val="000000"/>
                  </a:solidFill>
                  <a:latin typeface="Calibri"/>
                  <a:cs typeface="Calibri"/>
                </a:rPr>
                <a:pPr algn="ctr"/>
                <a:t>BY INCOME (reset)</a:t>
              </a:fld>
              <a:endParaRPr lang="en-US" sz="800" b="0" i="0" u="none" strike="noStrike">
                <a:solidFill>
                  <a:srgbClr val="000000"/>
                </a:solidFill>
                <a:latin typeface="Calibri"/>
                <a:cs typeface="Calibri"/>
              </a:endParaRPr>
            </a:p>
          </xdr:txBody>
        </xdr:sp>
      </xdr:grpSp>
      <xdr:grpSp>
        <xdr:nvGrpSpPr>
          <xdr:cNvPr id="119" name="Group 118">
            <a:extLst>
              <a:ext uri="{FF2B5EF4-FFF2-40B4-BE49-F238E27FC236}">
                <a16:creationId xmlns:a16="http://schemas.microsoft.com/office/drawing/2014/main" id="{00000000-0008-0000-0A00-000077000000}"/>
              </a:ext>
            </a:extLst>
          </xdr:cNvPr>
          <xdr:cNvGrpSpPr/>
        </xdr:nvGrpSpPr>
        <xdr:grpSpPr>
          <a:xfrm>
            <a:off x="893621" y="1266824"/>
            <a:ext cx="2094230" cy="389525"/>
            <a:chOff x="3238171" y="1266824"/>
            <a:chExt cx="2095068" cy="389525"/>
          </a:xfrm>
        </xdr:grpSpPr>
        <xdr:pic macro="[0]!UniversalChanger">
          <xdr:nvPicPr>
            <xdr:cNvPr id="126" name="R_FL_UP" descr="scroll_up_small.png">
              <a:extLst>
                <a:ext uri="{FF2B5EF4-FFF2-40B4-BE49-F238E27FC236}">
                  <a16:creationId xmlns:a16="http://schemas.microsoft.com/office/drawing/2014/main" id="{00000000-0008-0000-0A00-00007E000000}"/>
                </a:ext>
              </a:extLst>
            </xdr:cNvPr>
            <xdr:cNvPicPr>
              <a:picLocks noChangeAspect="1"/>
            </xdr:cNvPicPr>
          </xdr:nvPicPr>
          <xdr:blipFill>
            <a:blip xmlns:r="http://schemas.openxmlformats.org/officeDocument/2006/relationships" r:embed="rId5" cstate="print"/>
            <a:stretch>
              <a:fillRect/>
            </a:stretch>
          </xdr:blipFill>
          <xdr:spPr>
            <a:xfrm>
              <a:off x="5045868" y="1447655"/>
              <a:ext cx="285679" cy="117499"/>
            </a:xfrm>
            <a:prstGeom prst="rect">
              <a:avLst/>
            </a:prstGeom>
          </xdr:spPr>
        </xdr:pic>
        <xdr:pic macro="[0]!UniversalChanger">
          <xdr:nvPicPr>
            <xdr:cNvPr id="127" name="R_FL_DOWN" descr="scroll_down_small.png">
              <a:extLst>
                <a:ext uri="{FF2B5EF4-FFF2-40B4-BE49-F238E27FC236}">
                  <a16:creationId xmlns:a16="http://schemas.microsoft.com/office/drawing/2014/main" id="{00000000-0008-0000-0A00-00007F000000}"/>
                </a:ext>
              </a:extLst>
            </xdr:cNvPr>
            <xdr:cNvPicPr>
              <a:picLocks noChangeAspect="1"/>
            </xdr:cNvPicPr>
          </xdr:nvPicPr>
          <xdr:blipFill>
            <a:blip xmlns:r="http://schemas.openxmlformats.org/officeDocument/2006/relationships" r:embed="rId6" cstate="print"/>
            <a:stretch>
              <a:fillRect/>
            </a:stretch>
          </xdr:blipFill>
          <xdr:spPr>
            <a:xfrm>
              <a:off x="5045861" y="1563295"/>
              <a:ext cx="285599" cy="93054"/>
            </a:xfrm>
            <a:prstGeom prst="rect">
              <a:avLst/>
            </a:prstGeom>
          </xdr:spPr>
        </xdr:pic>
        <mc:AlternateContent xmlns:mc="http://schemas.openxmlformats.org/markup-compatibility/2006">
          <mc:Choice xmlns:a14="http://schemas.microsoft.com/office/drawing/2010/main" Requires="a14">
            <xdr:sp macro="" textlink="">
              <xdr:nvSpPr>
                <xdr:cNvPr id="14413845" name="R_FILTER" hidden="1">
                  <a:extLst>
                    <a:ext uri="{63B3BB69-23CF-44E3-9099-C40C66FF867C}">
                      <a14:compatExt spid="_x0000_s14413845"/>
                    </a:ext>
                    <a:ext uri="{FF2B5EF4-FFF2-40B4-BE49-F238E27FC236}">
                      <a16:creationId xmlns:a16="http://schemas.microsoft.com/office/drawing/2014/main" id="{00000000-0008-0000-0A00-000015F0DB00}"/>
                    </a:ext>
                  </a:extLst>
                </xdr:cNvPr>
                <xdr:cNvSpPr/>
              </xdr:nvSpPr>
              <xdr:spPr bwMode="auto">
                <a:xfrm>
                  <a:off x="3238171" y="1438295"/>
                  <a:ext cx="1805993" cy="215327"/>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2">
          <xdr:nvSpPr>
            <xdr:cNvPr id="128" name="FILTER_GB_1">
              <a:extLst>
                <a:ext uri="{FF2B5EF4-FFF2-40B4-BE49-F238E27FC236}">
                  <a16:creationId xmlns:a16="http://schemas.microsoft.com/office/drawing/2014/main" id="{00000000-0008-0000-0A00-000080000000}"/>
                </a:ext>
              </a:extLst>
            </xdr:cNvPr>
            <xdr:cNvSpPr>
              <a:spLocks/>
            </xdr:cNvSpPr>
          </xdr:nvSpPr>
          <xdr:spPr>
            <a:xfrm>
              <a:off x="3238943" y="1266824"/>
              <a:ext cx="2094296"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683254F2-E44C-4100-8BB8-067CC0F20B8C}" type="TxLink">
                <a:rPr lang="en-US" sz="800" b="0" i="0" u="none" strike="noStrike">
                  <a:solidFill>
                    <a:srgbClr val="000000"/>
                  </a:solidFill>
                  <a:latin typeface="Calibri"/>
                  <a:cs typeface="Calibri"/>
                </a:rPr>
                <a:pPr algn="ctr"/>
                <a:t>BY REGION (reset)</a:t>
              </a:fld>
              <a:endParaRPr lang="en-US" sz="800" b="0" i="0" u="none" strike="noStrike">
                <a:solidFill>
                  <a:srgbClr val="000000"/>
                </a:solidFill>
                <a:latin typeface="Calibri"/>
                <a:cs typeface="Calibri"/>
              </a:endParaRPr>
            </a:p>
          </xdr:txBody>
        </xdr:sp>
      </xdr:grpSp>
      <xdr:grpSp>
        <xdr:nvGrpSpPr>
          <xdr:cNvPr id="121" name="Group 120">
            <a:extLst>
              <a:ext uri="{FF2B5EF4-FFF2-40B4-BE49-F238E27FC236}">
                <a16:creationId xmlns:a16="http://schemas.microsoft.com/office/drawing/2014/main" id="{00000000-0008-0000-0A00-000079000000}"/>
              </a:ext>
            </a:extLst>
          </xdr:cNvPr>
          <xdr:cNvGrpSpPr/>
        </xdr:nvGrpSpPr>
        <xdr:grpSpPr>
          <a:xfrm>
            <a:off x="5238725" y="1266824"/>
            <a:ext cx="2094230" cy="389525"/>
            <a:chOff x="3238171" y="1266824"/>
            <a:chExt cx="2095068" cy="389525"/>
          </a:xfrm>
        </xdr:grpSpPr>
        <xdr:pic macro="[0]!UniversalChanger">
          <xdr:nvPicPr>
            <xdr:cNvPr id="122" name="POP_UP" descr="scroll_up_small.png">
              <a:extLst>
                <a:ext uri="{FF2B5EF4-FFF2-40B4-BE49-F238E27FC236}">
                  <a16:creationId xmlns:a16="http://schemas.microsoft.com/office/drawing/2014/main" id="{00000000-0008-0000-0A00-00007A000000}"/>
                </a:ext>
              </a:extLst>
            </xdr:cNvPr>
            <xdr:cNvPicPr>
              <a:picLocks noChangeAspect="1"/>
            </xdr:cNvPicPr>
          </xdr:nvPicPr>
          <xdr:blipFill>
            <a:blip xmlns:r="http://schemas.openxmlformats.org/officeDocument/2006/relationships" r:embed="rId5" cstate="print"/>
            <a:stretch>
              <a:fillRect/>
            </a:stretch>
          </xdr:blipFill>
          <xdr:spPr>
            <a:xfrm>
              <a:off x="5045868" y="1447655"/>
              <a:ext cx="285679" cy="117499"/>
            </a:xfrm>
            <a:prstGeom prst="rect">
              <a:avLst/>
            </a:prstGeom>
          </xdr:spPr>
        </xdr:pic>
        <xdr:pic macro="[0]!UniversalChanger">
          <xdr:nvPicPr>
            <xdr:cNvPr id="123" name="POP_DOWN" descr="scroll_down_small.png">
              <a:extLst>
                <a:ext uri="{FF2B5EF4-FFF2-40B4-BE49-F238E27FC236}">
                  <a16:creationId xmlns:a16="http://schemas.microsoft.com/office/drawing/2014/main" id="{00000000-0008-0000-0A00-00007B000000}"/>
                </a:ext>
              </a:extLst>
            </xdr:cNvPr>
            <xdr:cNvPicPr>
              <a:picLocks noChangeAspect="1"/>
            </xdr:cNvPicPr>
          </xdr:nvPicPr>
          <xdr:blipFill>
            <a:blip xmlns:r="http://schemas.openxmlformats.org/officeDocument/2006/relationships" r:embed="rId6" cstate="print"/>
            <a:stretch>
              <a:fillRect/>
            </a:stretch>
          </xdr:blipFill>
          <xdr:spPr>
            <a:xfrm>
              <a:off x="5045861" y="1563295"/>
              <a:ext cx="285599" cy="93054"/>
            </a:xfrm>
            <a:prstGeom prst="rect">
              <a:avLst/>
            </a:prstGeom>
          </xdr:spPr>
        </xdr:pic>
        <mc:AlternateContent xmlns:mc="http://schemas.openxmlformats.org/markup-compatibility/2006">
          <mc:Choice xmlns:a14="http://schemas.microsoft.com/office/drawing/2010/main" Requires="a14">
            <xdr:sp macro="" textlink="">
              <xdr:nvSpPr>
                <xdr:cNvPr id="14413847" name="POP_DD" hidden="1">
                  <a:extLst>
                    <a:ext uri="{63B3BB69-23CF-44E3-9099-C40C66FF867C}">
                      <a14:compatExt spid="_x0000_s14413847"/>
                    </a:ext>
                    <a:ext uri="{FF2B5EF4-FFF2-40B4-BE49-F238E27FC236}">
                      <a16:creationId xmlns:a16="http://schemas.microsoft.com/office/drawing/2014/main" id="{00000000-0008-0000-0A00-000017F0DB00}"/>
                    </a:ext>
                  </a:extLst>
                </xdr:cNvPr>
                <xdr:cNvSpPr/>
              </xdr:nvSpPr>
              <xdr:spPr bwMode="auto">
                <a:xfrm>
                  <a:off x="3238171" y="1438295"/>
                  <a:ext cx="1805993" cy="215327"/>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G100">
          <xdr:nvSpPr>
            <xdr:cNvPr id="124" name="FILTER_POP_RESET">
              <a:extLst>
                <a:ext uri="{FF2B5EF4-FFF2-40B4-BE49-F238E27FC236}">
                  <a16:creationId xmlns:a16="http://schemas.microsoft.com/office/drawing/2014/main" id="{00000000-0008-0000-0A00-00007C000000}"/>
                </a:ext>
              </a:extLst>
            </xdr:cNvPr>
            <xdr:cNvSpPr>
              <a:spLocks/>
            </xdr:cNvSpPr>
          </xdr:nvSpPr>
          <xdr:spPr>
            <a:xfrm>
              <a:off x="3238943" y="1266824"/>
              <a:ext cx="2094296"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040051F4-705A-4460-AB4E-E01CB46B3889}" type="TxLink">
                <a:rPr lang="en-US" sz="800" b="0" i="0" u="none" strike="noStrike">
                  <a:solidFill>
                    <a:sysClr val="windowText" lastClr="000000"/>
                  </a:solidFill>
                  <a:latin typeface="Calibri"/>
                  <a:cs typeface="Calibri"/>
                </a:rPr>
                <a:pPr algn="ctr"/>
                <a:t>BY POPULATION (reset)</a:t>
              </a:fld>
              <a:endParaRPr lang="en-US" sz="800" b="0" i="0" u="none" strike="noStrike">
                <a:solidFill>
                  <a:sysClr val="windowText" lastClr="000000"/>
                </a:solidFill>
                <a:latin typeface="Calibri"/>
                <a:cs typeface="Calibri"/>
              </a:endParaRPr>
            </a:p>
          </xdr:txBody>
        </xdr:sp>
      </xdr:grpSp>
    </xdr:grp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9</xdr:row>
      <xdr:rowOff>159028</xdr:rowOff>
    </xdr:from>
    <xdr:to>
      <xdr:col>10</xdr:col>
      <xdr:colOff>2645</xdr:colOff>
      <xdr:row>10</xdr:row>
      <xdr:rowOff>539884</xdr:rowOff>
    </xdr:to>
    <xdr:sp macro="" textlink="">
      <xdr:nvSpPr>
        <xdr:cNvPr id="2" name="TextBox 1">
          <a:extLst>
            <a:ext uri="{FF2B5EF4-FFF2-40B4-BE49-F238E27FC236}">
              <a16:creationId xmlns:a16="http://schemas.microsoft.com/office/drawing/2014/main" id="{00000000-0008-0000-0B00-000002000000}"/>
            </a:ext>
          </a:extLst>
        </xdr:cNvPr>
        <xdr:cNvSpPr txBox="1">
          <a:spLocks noChangeArrowheads="1"/>
        </xdr:cNvSpPr>
      </xdr:nvSpPr>
      <xdr:spPr bwMode="auto">
        <a:xfrm>
          <a:off x="200025" y="1244878"/>
          <a:ext cx="9375245" cy="590406"/>
        </a:xfrm>
        <a:prstGeom prst="rect">
          <a:avLst/>
        </a:prstGeom>
        <a:solidFill>
          <a:schemeClr val="bg1"/>
        </a:solidFill>
        <a:ln w="9525">
          <a:solidFill>
            <a:srgbClr val="BCBCBC"/>
          </a:solidFill>
          <a:miter lim="800000"/>
          <a:headEnd/>
          <a:tailEnd/>
        </a:ln>
      </xdr:spPr>
      <xdr:txBody>
        <a:bodyPr vertOverflow="clip" wrap="square" lIns="36000" tIns="27432" rIns="0" bIns="0" anchor="t" upright="1"/>
        <a:lstStyle/>
        <a:p>
          <a:pPr algn="l" rtl="0">
            <a:defRPr sz="1000"/>
          </a:pPr>
          <a:endParaRPr lang="en-GB" sz="1100" b="0" i="0" u="none" strike="noStrike" baseline="0">
            <a:solidFill>
              <a:srgbClr val="808080"/>
            </a:solidFill>
            <a:latin typeface="Calibri"/>
          </a:endParaRPr>
        </a:p>
        <a:p>
          <a:pPr algn="l" rtl="0">
            <a:defRPr sz="1000"/>
          </a:pPr>
          <a:r>
            <a:rPr lang="en-GB" sz="1100" b="0" i="0" u="none" strike="noStrike" baseline="0">
              <a:solidFill>
                <a:srgbClr val="808080"/>
              </a:solidFill>
              <a:latin typeface="Calibri"/>
            </a:rPr>
            <a:t> Change weights by editing numbers in the yellow column	               			  Save Weight Profile:</a:t>
          </a:r>
        </a:p>
      </xdr:txBody>
    </xdr:sp>
    <xdr:clientData fPrintsWithSheet="0"/>
  </xdr:twoCellAnchor>
  <xdr:twoCellAnchor editAs="oneCell">
    <xdr:from>
      <xdr:col>1</xdr:col>
      <xdr:colOff>0</xdr:colOff>
      <xdr:row>107</xdr:row>
      <xdr:rowOff>57150</xdr:rowOff>
    </xdr:from>
    <xdr:to>
      <xdr:col>5</xdr:col>
      <xdr:colOff>824054</xdr:colOff>
      <xdr:row>109</xdr:row>
      <xdr:rowOff>0</xdr:rowOff>
    </xdr:to>
    <xdr:sp macro="[0]!UniversalChanger" textlink="">
      <xdr:nvSpPr>
        <xdr:cNvPr id="43" name="go_top_B">
          <a:extLst>
            <a:ext uri="{FF2B5EF4-FFF2-40B4-BE49-F238E27FC236}">
              <a16:creationId xmlns:a16="http://schemas.microsoft.com/office/drawing/2014/main" id="{00000000-0008-0000-0B00-00002B000000}"/>
            </a:ext>
          </a:extLst>
        </xdr:cNvPr>
        <xdr:cNvSpPr txBox="1"/>
      </xdr:nvSpPr>
      <xdr:spPr>
        <a:xfrm>
          <a:off x="209550" y="9420225"/>
          <a:ext cx="824054"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sng" strike="noStrike" baseline="0">
              <a:solidFill>
                <a:srgbClr val="0070C0"/>
              </a:solidFill>
              <a:latin typeface="Karla" pitchFamily="2" charset="0"/>
              <a:ea typeface="Karla" pitchFamily="2" charset="0"/>
            </a:rPr>
            <a:t>Back to top</a:t>
          </a:r>
        </a:p>
      </xdr:txBody>
    </xdr:sp>
    <xdr:clientData fPrintsWithSheet="0"/>
  </xdr:twoCellAnchor>
  <xdr:twoCellAnchor editAs="oneCell">
    <xdr:from>
      <xdr:col>10</xdr:col>
      <xdr:colOff>88900</xdr:colOff>
      <xdr:row>9</xdr:row>
      <xdr:rowOff>159028</xdr:rowOff>
    </xdr:from>
    <xdr:to>
      <xdr:col>13</xdr:col>
      <xdr:colOff>328081</xdr:colOff>
      <xdr:row>31</xdr:row>
      <xdr:rowOff>203200</xdr:rowOff>
    </xdr:to>
    <xdr:sp macro="" textlink="">
      <xdr:nvSpPr>
        <xdr:cNvPr id="17" name="TextBox 16">
          <a:extLst>
            <a:ext uri="{FF2B5EF4-FFF2-40B4-BE49-F238E27FC236}">
              <a16:creationId xmlns:a16="http://schemas.microsoft.com/office/drawing/2014/main" id="{00000000-0008-0000-0B00-000011000000}"/>
            </a:ext>
          </a:extLst>
        </xdr:cNvPr>
        <xdr:cNvSpPr txBox="1">
          <a:spLocks noChangeArrowheads="1"/>
        </xdr:cNvSpPr>
      </xdr:nvSpPr>
      <xdr:spPr bwMode="auto">
        <a:xfrm>
          <a:off x="9661525" y="1244878"/>
          <a:ext cx="2020356" cy="6187797"/>
        </a:xfrm>
        <a:prstGeom prst="rect">
          <a:avLst/>
        </a:prstGeom>
        <a:solidFill>
          <a:srgbClr val="FFFFFF"/>
        </a:solidFill>
        <a:ln w="9525">
          <a:solidFill>
            <a:srgbClr val="BCBCBC"/>
          </a:solidFill>
          <a:miter lim="800000"/>
          <a:headEnd/>
          <a:tailEnd/>
        </a:ln>
      </xdr:spPr>
      <xdr:txBody>
        <a:bodyPr vertOverflow="clip" wrap="square" lIns="144000" tIns="144000" rIns="144000" bIns="0" anchor="t" upright="1"/>
        <a:lstStyle/>
        <a:p>
          <a:r>
            <a:rPr lang="en-US" sz="1100" baseline="0">
              <a:effectLst/>
              <a:latin typeface="+mn-lt"/>
              <a:ea typeface="+mn-ea"/>
              <a:cs typeface="+mn-cs"/>
            </a:rPr>
            <a:t>You</a:t>
          </a:r>
          <a:r>
            <a:rPr lang="en-US" sz="1100">
              <a:effectLst/>
              <a:latin typeface="+mn-lt"/>
              <a:ea typeface="+mn-ea"/>
              <a:cs typeface="+mn-cs"/>
            </a:rPr>
            <a:t> can adjust the index weights according to what you think is most important when comparing indicators. Adjusting the category</a:t>
          </a:r>
          <a:r>
            <a:rPr lang="en-US" sz="1100" baseline="0">
              <a:effectLst/>
              <a:latin typeface="+mn-lt"/>
              <a:ea typeface="+mn-ea"/>
              <a:cs typeface="+mn-cs"/>
            </a:rPr>
            <a:t> or indicator</a:t>
          </a:r>
          <a:r>
            <a:rPr lang="en-US" sz="1100">
              <a:effectLst/>
              <a:latin typeface="+mn-lt"/>
              <a:ea typeface="+mn-ea"/>
              <a:cs typeface="+mn-cs"/>
            </a:rPr>
            <a:t> weights will alter the scores and final rankings for all the economy </a:t>
          </a:r>
          <a:r>
            <a:rPr lang="en-GB" sz="1100">
              <a:effectLst/>
              <a:latin typeface="+mn-lt"/>
              <a:ea typeface="+mn-ea"/>
              <a:cs typeface="+mn-cs"/>
            </a:rPr>
            <a:t>indices</a:t>
          </a:r>
          <a:r>
            <a:rPr lang="en-US" sz="1100">
              <a:effectLst/>
              <a:latin typeface="+mn-lt"/>
              <a:ea typeface="+mn-ea"/>
              <a:cs typeface="+mn-cs"/>
            </a:rPr>
            <a:t>.  </a:t>
          </a:r>
          <a:endParaRPr lang="en-GB">
            <a:effectLst/>
          </a:endParaRPr>
        </a:p>
        <a:p>
          <a:r>
            <a:rPr lang="en-US" sz="1100">
              <a:effectLst/>
              <a:latin typeface="+mn-lt"/>
              <a:ea typeface="+mn-ea"/>
              <a:cs typeface="+mn-cs"/>
            </a:rPr>
            <a:t> </a:t>
          </a:r>
          <a:endParaRPr lang="en-GB">
            <a:effectLst/>
          </a:endParaRPr>
        </a:p>
        <a:p>
          <a:r>
            <a:rPr lang="en-US" sz="1100">
              <a:effectLst/>
              <a:latin typeface="+mn-lt"/>
              <a:ea typeface="+mn-ea"/>
              <a:cs typeface="+mn-cs"/>
            </a:rPr>
            <a:t>If you value any one category more strongly than the others, adjust that weight higher. If you value a certain indicator more strongly within a category, you can adjust its weight higher. For example,</a:t>
          </a:r>
          <a:r>
            <a:rPr lang="en-US" sz="1100" baseline="0">
              <a:effectLst/>
              <a:latin typeface="+mn-lt"/>
              <a:ea typeface="+mn-ea"/>
              <a:cs typeface="+mn-cs"/>
            </a:rPr>
            <a:t> c</a:t>
          </a:r>
          <a:r>
            <a:rPr lang="en-US" sz="1100">
              <a:effectLst/>
              <a:latin typeface="+mn-lt"/>
              <a:ea typeface="+mn-ea"/>
              <a:cs typeface="+mn-cs"/>
            </a:rPr>
            <a:t>hanging a category or indicator weight from a “1” to a “2” means that it will be weighted twice as much as the other categories or indicators if respectively their weights remain a "1". You can enter any positive number. Entering zero will remove the category or indicator from the index. </a:t>
          </a:r>
          <a:endParaRPr lang="en-GB">
            <a:effectLst/>
          </a:endParaRPr>
        </a:p>
      </xdr:txBody>
    </xdr:sp>
    <xdr:clientData fPrintsWithSheet="0"/>
  </xdr:twoCellAnchor>
  <xdr:twoCellAnchor>
    <xdr:from>
      <xdr:col>0</xdr:col>
      <xdr:colOff>95249</xdr:colOff>
      <xdr:row>9</xdr:row>
      <xdr:rowOff>66674</xdr:rowOff>
    </xdr:from>
    <xdr:to>
      <xdr:col>14</xdr:col>
      <xdr:colOff>41399</xdr:colOff>
      <xdr:row>106</xdr:row>
      <xdr:rowOff>133350</xdr:rowOff>
    </xdr:to>
    <xdr:sp macro="" textlink="">
      <xdr:nvSpPr>
        <xdr:cNvPr id="20" name="LeftBox1">
          <a:extLst>
            <a:ext uri="{FF2B5EF4-FFF2-40B4-BE49-F238E27FC236}">
              <a16:creationId xmlns:a16="http://schemas.microsoft.com/office/drawing/2014/main" id="{00000000-0008-0000-0B00-000014000000}"/>
            </a:ext>
          </a:extLst>
        </xdr:cNvPr>
        <xdr:cNvSpPr>
          <a:spLocks/>
        </xdr:cNvSpPr>
      </xdr:nvSpPr>
      <xdr:spPr>
        <a:xfrm>
          <a:off x="95249" y="1152524"/>
          <a:ext cx="13585950" cy="8191501"/>
        </a:xfrm>
        <a:prstGeom prst="rect">
          <a:avLst/>
        </a:prstGeom>
        <a:noFill/>
        <a:ln w="6350">
          <a:solidFill>
            <a:srgbClr val="005E9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400" b="1" i="0" u="none" strike="noStrike">
            <a:solidFill>
              <a:schemeClr val="accent1">
                <a:lumMod val="60000"/>
                <a:lumOff val="40000"/>
              </a:schemeClr>
            </a:solidFill>
            <a:latin typeface="Calibri"/>
            <a:cs typeface="Calibri"/>
          </a:endParaRPr>
        </a:p>
      </xdr:txBody>
    </xdr:sp>
    <xdr:clientData/>
  </xdr:twoCellAnchor>
  <mc:AlternateContent xmlns:mc="http://schemas.openxmlformats.org/markup-compatibility/2006">
    <mc:Choice xmlns:a14="http://schemas.microsoft.com/office/drawing/2010/main" Requires="a14">
      <xdr:twoCellAnchor editAs="oneCell">
        <xdr:from>
          <xdr:col>9</xdr:col>
          <xdr:colOff>133350</xdr:colOff>
          <xdr:row>10</xdr:row>
          <xdr:rowOff>95250</xdr:rowOff>
        </xdr:from>
        <xdr:to>
          <xdr:col>9</xdr:col>
          <xdr:colOff>1619250</xdr:colOff>
          <xdr:row>10</xdr:row>
          <xdr:rowOff>419100</xdr:rowOff>
        </xdr:to>
        <xdr:sp macro="" textlink="">
          <xdr:nvSpPr>
            <xdr:cNvPr id="14357505" name="Save_Weights" hidden="1">
              <a:extLst>
                <a:ext uri="{63B3BB69-23CF-44E3-9099-C40C66FF867C}">
                  <a14:compatExt spid="_x0000_s14357505"/>
                </a:ext>
                <a:ext uri="{FF2B5EF4-FFF2-40B4-BE49-F238E27FC236}">
                  <a16:creationId xmlns:a16="http://schemas.microsoft.com/office/drawing/2014/main" id="{00000000-0008-0000-0B00-00000114DB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SG" sz="1100" b="0" i="0" u="none" strike="noStrike" baseline="0">
                  <a:solidFill>
                    <a:srgbClr val="000000"/>
                  </a:solidFill>
                  <a:latin typeface="Calibri"/>
                  <a:cs typeface="Calibri"/>
                </a:rPr>
                <a:t>SAVE WEIGHTS</a:t>
              </a:r>
            </a:p>
          </xdr:txBody>
        </xdr:sp>
        <xdr:clientData fPrintsWithSheet="0"/>
      </xdr:twoCellAnchor>
    </mc:Choice>
    <mc:Fallback/>
  </mc:AlternateContent>
  <xdr:twoCellAnchor>
    <xdr:from>
      <xdr:col>0</xdr:col>
      <xdr:colOff>0</xdr:colOff>
      <xdr:row>0</xdr:row>
      <xdr:rowOff>0</xdr:rowOff>
    </xdr:from>
    <xdr:to>
      <xdr:col>12</xdr:col>
      <xdr:colOff>596900</xdr:colOff>
      <xdr:row>2</xdr:row>
      <xdr:rowOff>0</xdr:rowOff>
    </xdr:to>
    <xdr:grpSp>
      <xdr:nvGrpSpPr>
        <xdr:cNvPr id="3" name="MENU">
          <a:extLst>
            <a:ext uri="{FF2B5EF4-FFF2-40B4-BE49-F238E27FC236}">
              <a16:creationId xmlns:a16="http://schemas.microsoft.com/office/drawing/2014/main" id="{00000000-0008-0000-0B00-000003000000}"/>
            </a:ext>
          </a:extLst>
        </xdr:cNvPr>
        <xdr:cNvGrpSpPr/>
      </xdr:nvGrpSpPr>
      <xdr:grpSpPr>
        <a:xfrm>
          <a:off x="0" y="0"/>
          <a:ext cx="11836400" cy="1085850"/>
          <a:chOff x="0" y="0"/>
          <a:chExt cx="11836400" cy="1085850"/>
        </a:xfrm>
      </xdr:grpSpPr>
      <xdr:grpSp>
        <xdr:nvGrpSpPr>
          <xdr:cNvPr id="40" name="Group 39">
            <a:extLst>
              <a:ext uri="{FF2B5EF4-FFF2-40B4-BE49-F238E27FC236}">
                <a16:creationId xmlns:a16="http://schemas.microsoft.com/office/drawing/2014/main" id="{00000000-0008-0000-0B00-000028000000}"/>
              </a:ext>
            </a:extLst>
          </xdr:cNvPr>
          <xdr:cNvGrpSpPr/>
        </xdr:nvGrpSpPr>
        <xdr:grpSpPr>
          <a:xfrm>
            <a:off x="0" y="0"/>
            <a:ext cx="11836400" cy="1085850"/>
            <a:chOff x="0" y="0"/>
            <a:chExt cx="11836400" cy="1085850"/>
          </a:xfrm>
        </xdr:grpSpPr>
        <xdr:grpSp>
          <xdr:nvGrpSpPr>
            <xdr:cNvPr id="41" name="Group 40">
              <a:extLst>
                <a:ext uri="{FF2B5EF4-FFF2-40B4-BE49-F238E27FC236}">
                  <a16:creationId xmlns:a16="http://schemas.microsoft.com/office/drawing/2014/main" id="{00000000-0008-0000-0B00-000029000000}"/>
                </a:ext>
              </a:extLst>
            </xdr:cNvPr>
            <xdr:cNvGrpSpPr/>
          </xdr:nvGrpSpPr>
          <xdr:grpSpPr>
            <a:xfrm>
              <a:off x="0" y="0"/>
              <a:ext cx="11836400" cy="1085850"/>
              <a:chOff x="0" y="0"/>
              <a:chExt cx="11836400" cy="1085850"/>
            </a:xfrm>
          </xdr:grpSpPr>
          <xdr:sp macro="" textlink="">
            <xdr:nvSpPr>
              <xdr:cNvPr id="48" name="nav_controls">
                <a:extLst>
                  <a:ext uri="{FF2B5EF4-FFF2-40B4-BE49-F238E27FC236}">
                    <a16:creationId xmlns:a16="http://schemas.microsoft.com/office/drawing/2014/main" id="{00000000-0008-0000-0B00-000030000000}"/>
                  </a:ext>
                </a:extLst>
              </xdr:cNvPr>
              <xdr:cNvSpPr>
                <a:spLocks/>
              </xdr:cNvSpPr>
            </xdr:nvSpPr>
            <xdr:spPr>
              <a:xfrm>
                <a:off x="4263" y="219075"/>
                <a:ext cx="11832137" cy="866775"/>
              </a:xfrm>
              <a:prstGeom prst="rect">
                <a:avLst/>
              </a:prstGeom>
              <a:solidFill>
                <a:schemeClr val="bg2">
                  <a:alpha val="49804"/>
                </a:schemeClr>
              </a:solidFill>
              <a:ln w="6350">
                <a:solidFill>
                  <a:schemeClr val="bg2">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solidFill>
                    <a:srgbClr val="808080"/>
                  </a:solidFill>
                  <a:latin typeface="+mn-lt"/>
                  <a:ea typeface="Karla" pitchFamily="2" charset="0"/>
                </a:endParaRPr>
              </a:p>
            </xdr:txBody>
          </xdr:sp>
          <xdr:sp macro="" textlink="">
            <xdr:nvSpPr>
              <xdr:cNvPr id="49" name="Home1">
                <a:extLst>
                  <a:ext uri="{FF2B5EF4-FFF2-40B4-BE49-F238E27FC236}">
                    <a16:creationId xmlns:a16="http://schemas.microsoft.com/office/drawing/2014/main" id="{00000000-0008-0000-0B00-000031000000}"/>
                  </a:ext>
                </a:extLst>
              </xdr:cNvPr>
              <xdr:cNvSpPr>
                <a:spLocks/>
              </xdr:cNvSpPr>
            </xdr:nvSpPr>
            <xdr:spPr>
              <a:xfrm>
                <a:off x="0" y="0"/>
                <a:ext cx="937384" cy="290513"/>
              </a:xfrm>
              <a:prstGeom prst="rect">
                <a:avLst/>
              </a:prstGeom>
              <a:solidFill>
                <a:schemeClr val="bg1"/>
              </a:solidFill>
              <a:ln w="952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a:solidFill>
                    <a:srgbClr val="808080"/>
                  </a:solidFill>
                  <a:latin typeface="+mn-lt"/>
                  <a:ea typeface="Karla" pitchFamily="2" charset="0"/>
                  <a:cs typeface="DilleniaUPC" pitchFamily="18" charset="-34"/>
                </a:endParaRPr>
              </a:p>
            </xdr:txBody>
          </xdr:sp>
          <xdr:sp macro="" textlink="">
            <xdr:nvSpPr>
              <xdr:cNvPr id="50" name="Oval 49">
                <a:extLst>
                  <a:ext uri="{FF2B5EF4-FFF2-40B4-BE49-F238E27FC236}">
                    <a16:creationId xmlns:a16="http://schemas.microsoft.com/office/drawing/2014/main" id="{00000000-0008-0000-0B00-000032000000}"/>
                  </a:ext>
                </a:extLst>
              </xdr:cNvPr>
              <xdr:cNvSpPr>
                <a:spLocks/>
              </xdr:cNvSpPr>
            </xdr:nvSpPr>
            <xdr:spPr>
              <a:xfrm>
                <a:off x="347060" y="29969"/>
                <a:ext cx="236673" cy="230074"/>
              </a:xfrm>
              <a:prstGeom prst="ellipse">
                <a:avLst/>
              </a:prstGeom>
              <a:solidFill>
                <a:schemeClr val="accent5">
                  <a:lumMod val="50000"/>
                </a:schemeClr>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rgbClr val="808080"/>
                  </a:solidFill>
                  <a:latin typeface="Calibri"/>
                  <a:cs typeface="Calibri"/>
                </a:endParaRPr>
              </a:p>
            </xdr:txBody>
          </xdr:sp>
          <xdr:pic macro="[0]!LBChanger">
            <xdr:nvPicPr>
              <xdr:cNvPr id="51" name="Home" descr="Home.png">
                <a:extLst>
                  <a:ext uri="{FF2B5EF4-FFF2-40B4-BE49-F238E27FC236}">
                    <a16:creationId xmlns:a16="http://schemas.microsoft.com/office/drawing/2014/main" id="{00000000-0008-0000-0B00-000033000000}"/>
                  </a:ext>
                </a:extLst>
              </xdr:cNvPr>
              <xdr:cNvPicPr>
                <a:picLocks/>
              </xdr:cNvPicPr>
            </xdr:nvPicPr>
            <xdr:blipFill>
              <a:blip xmlns:r="http://schemas.openxmlformats.org/officeDocument/2006/relationships" r:embed="rId1" cstate="print"/>
              <a:stretch>
                <a:fillRect/>
              </a:stretch>
            </xdr:blipFill>
            <xdr:spPr>
              <a:xfrm>
                <a:off x="53200" y="20741"/>
                <a:ext cx="254878" cy="247773"/>
              </a:xfrm>
              <a:prstGeom prst="rect">
                <a:avLst/>
              </a:prstGeom>
              <a:noFill/>
              <a:ln>
                <a:noFill/>
              </a:ln>
            </xdr:spPr>
          </xdr:pic>
          <xdr:pic macro="[0]!UniversalChanger">
            <xdr:nvPicPr>
              <xdr:cNvPr id="52" name="NavBack" descr="Silver-Back-Button.png">
                <a:extLst>
                  <a:ext uri="{FF2B5EF4-FFF2-40B4-BE49-F238E27FC236}">
                    <a16:creationId xmlns:a16="http://schemas.microsoft.com/office/drawing/2014/main" id="{00000000-0008-0000-0B00-000034000000}"/>
                  </a:ext>
                </a:extLst>
              </xdr:cNvPr>
              <xdr:cNvPicPr>
                <a:picLocks/>
              </xdr:cNvPicPr>
            </xdr:nvPicPr>
            <xdr:blipFill>
              <a:blip xmlns:r="http://schemas.openxmlformats.org/officeDocument/2006/relationships" r:embed="rId2" cstate="print"/>
              <a:stretch>
                <a:fillRect/>
              </a:stretch>
            </xdr:blipFill>
            <xdr:spPr>
              <a:xfrm>
                <a:off x="621903" y="20741"/>
                <a:ext cx="254878" cy="247773"/>
              </a:xfrm>
              <a:prstGeom prst="rect">
                <a:avLst/>
              </a:prstGeom>
              <a:noFill/>
              <a:ln>
                <a:noFill/>
              </a:ln>
            </xdr:spPr>
          </xdr:pic>
          <xdr:sp macro="" textlink="uxb_works!B92">
            <xdr:nvSpPr>
              <xdr:cNvPr id="53" name="Home1">
                <a:extLst>
                  <a:ext uri="{FF2B5EF4-FFF2-40B4-BE49-F238E27FC236}">
                    <a16:creationId xmlns:a16="http://schemas.microsoft.com/office/drawing/2014/main" id="{00000000-0008-0000-0B00-000035000000}"/>
                  </a:ext>
                </a:extLst>
              </xdr:cNvPr>
              <xdr:cNvSpPr>
                <a:spLocks/>
              </xdr:cNvSpPr>
            </xdr:nvSpPr>
            <xdr:spPr>
              <a:xfrm>
                <a:off x="936568" y="0"/>
                <a:ext cx="10895773" cy="288000"/>
              </a:xfrm>
              <a:prstGeom prst="rect">
                <a:avLst/>
              </a:prstGeom>
              <a:solidFill>
                <a:srgbClr val="FFFFFF"/>
              </a:solidFill>
              <a:ln w="317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DF606BA0-6E14-4859-A5ED-3649E8B86AAC}" type="TxLink">
                  <a:rPr lang="en-US" sz="1600" b="1" i="0" u="none" strike="noStrike">
                    <a:solidFill>
                      <a:schemeClr val="accent5">
                        <a:lumMod val="50000"/>
                      </a:schemeClr>
                    </a:solidFill>
                    <a:latin typeface="Calibri"/>
                    <a:ea typeface="Karla" pitchFamily="2" charset="0"/>
                    <a:cs typeface="Calibri"/>
                  </a:rPr>
                  <a:pPr algn="l"/>
                  <a:t>Digital Cities Index</a:t>
                </a:fld>
                <a:endParaRPr lang="en-GB" sz="1200" b="1">
                  <a:solidFill>
                    <a:schemeClr val="accent5">
                      <a:lumMod val="50000"/>
                    </a:schemeClr>
                  </a:solidFill>
                  <a:latin typeface="+mn-lt"/>
                  <a:ea typeface="Karla" pitchFamily="2" charset="0"/>
                  <a:cs typeface="DilleniaUPC" pitchFamily="18" charset="-34"/>
                </a:endParaRPr>
              </a:p>
            </xdr:txBody>
          </xdr:sp>
          <xdr:pic macro="[0]!LBChanger">
            <xdr:nvPicPr>
              <xdr:cNvPr id="54" name="Contents" descr="ii_jgc3wl5q0_162f2138d6ded0cc">
                <a:extLst>
                  <a:ext uri="{FF2B5EF4-FFF2-40B4-BE49-F238E27FC236}">
                    <a16:creationId xmlns:a16="http://schemas.microsoft.com/office/drawing/2014/main" id="{00000000-0008-0000-0B00-000036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7618" y="20741"/>
                <a:ext cx="260608" cy="248400"/>
              </a:xfrm>
              <a:prstGeom prst="rect">
                <a:avLst/>
              </a:prstGeom>
              <a:solidFill>
                <a:sysClr val="window" lastClr="FFFFFF"/>
              </a:solidFill>
              <a:ln>
                <a:noFill/>
              </a:ln>
            </xdr:spPr>
          </xdr:pic>
          <xdr:sp macro="" textlink="">
            <xdr:nvSpPr>
              <xdr:cNvPr id="55" name="nav_controls">
                <a:extLst>
                  <a:ext uri="{FF2B5EF4-FFF2-40B4-BE49-F238E27FC236}">
                    <a16:creationId xmlns:a16="http://schemas.microsoft.com/office/drawing/2014/main" id="{00000000-0008-0000-0B00-000037000000}"/>
                  </a:ext>
                </a:extLst>
              </xdr:cNvPr>
              <xdr:cNvSpPr>
                <a:spLocks/>
              </xdr:cNvSpPr>
            </xdr:nvSpPr>
            <xdr:spPr>
              <a:xfrm>
                <a:off x="7091375" y="461958"/>
                <a:ext cx="2647950" cy="54000"/>
              </a:xfrm>
              <a:prstGeom prst="rect">
                <a:avLst/>
              </a:prstGeom>
              <a:solidFill>
                <a:srgbClr val="9EB3BE"/>
              </a:solidFill>
              <a:ln w="6350">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000" b="1" i="0" u="none" strike="noStrike">
                  <a:solidFill>
                    <a:sysClr val="windowText" lastClr="000000"/>
                  </a:solidFill>
                  <a:latin typeface="Calibri"/>
                  <a:cs typeface="Calibri"/>
                </a:endParaRPr>
              </a:p>
            </xdr:txBody>
          </xdr:sp>
          <xdr:sp macro="" textlink="">
            <xdr:nvSpPr>
              <xdr:cNvPr id="56" name="nav_controls">
                <a:extLst>
                  <a:ext uri="{FF2B5EF4-FFF2-40B4-BE49-F238E27FC236}">
                    <a16:creationId xmlns:a16="http://schemas.microsoft.com/office/drawing/2014/main" id="{00000000-0008-0000-0B00-000038000000}"/>
                  </a:ext>
                </a:extLst>
              </xdr:cNvPr>
              <xdr:cNvSpPr>
                <a:spLocks/>
              </xdr:cNvSpPr>
            </xdr:nvSpPr>
            <xdr:spPr>
              <a:xfrm>
                <a:off x="9215438" y="461958"/>
                <a:ext cx="2614081" cy="54000"/>
              </a:xfrm>
              <a:prstGeom prst="rect">
                <a:avLst/>
              </a:prstGeom>
              <a:solidFill>
                <a:srgbClr val="B5D5E5"/>
              </a:solidFill>
              <a:ln w="6350">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000" b="1" i="0" u="none" strike="noStrike">
                  <a:solidFill>
                    <a:sysClr val="windowText" lastClr="000000"/>
                  </a:solidFill>
                  <a:latin typeface="Calibri"/>
                  <a:cs typeface="Calibri"/>
                </a:endParaRPr>
              </a:p>
            </xdr:txBody>
          </xdr:sp>
          <xdr:sp macro="" textlink="">
            <xdr:nvSpPr>
              <xdr:cNvPr id="57" name="nav_controls">
                <a:extLst>
                  <a:ext uri="{FF2B5EF4-FFF2-40B4-BE49-F238E27FC236}">
                    <a16:creationId xmlns:a16="http://schemas.microsoft.com/office/drawing/2014/main" id="{00000000-0008-0000-0B00-000039000000}"/>
                  </a:ext>
                </a:extLst>
              </xdr:cNvPr>
              <xdr:cNvSpPr>
                <a:spLocks/>
              </xdr:cNvSpPr>
            </xdr:nvSpPr>
            <xdr:spPr>
              <a:xfrm>
                <a:off x="0" y="466725"/>
                <a:ext cx="7081838" cy="52408"/>
              </a:xfrm>
              <a:prstGeom prst="rect">
                <a:avLst/>
              </a:prstGeom>
              <a:solidFill>
                <a:srgbClr val="2B5464"/>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b="1" i="0" u="none" strike="noStrike">
                  <a:solidFill>
                    <a:schemeClr val="bg1"/>
                  </a:solidFill>
                  <a:latin typeface="Calibri"/>
                  <a:cs typeface="Calibri"/>
                </a:endParaRPr>
              </a:p>
            </xdr:txBody>
          </xdr:sp>
          <xdr:grpSp>
            <xdr:nvGrpSpPr>
              <xdr:cNvPr id="58" name="Group 57">
                <a:extLst>
                  <a:ext uri="{FF2B5EF4-FFF2-40B4-BE49-F238E27FC236}">
                    <a16:creationId xmlns:a16="http://schemas.microsoft.com/office/drawing/2014/main" id="{00000000-0008-0000-0B00-00003A000000}"/>
                  </a:ext>
                </a:extLst>
              </xdr:cNvPr>
              <xdr:cNvGrpSpPr/>
            </xdr:nvGrpSpPr>
            <xdr:grpSpPr>
              <a:xfrm>
                <a:off x="0" y="285750"/>
                <a:ext cx="11814575" cy="180261"/>
                <a:chOff x="0" y="285489"/>
                <a:chExt cx="13173477" cy="180261"/>
              </a:xfrm>
            </xdr:grpSpPr>
            <xdr:sp macro="[0]!LBChanger" textlink="uxb_works!B100">
              <xdr:nvSpPr>
                <xdr:cNvPr id="59" name="Correlations">
                  <a:extLst>
                    <a:ext uri="{FF2B5EF4-FFF2-40B4-BE49-F238E27FC236}">
                      <a16:creationId xmlns:a16="http://schemas.microsoft.com/office/drawing/2014/main" id="{00000000-0008-0000-0B00-00003B000000}"/>
                    </a:ext>
                  </a:extLst>
                </xdr:cNvPr>
                <xdr:cNvSpPr>
                  <a:spLocks/>
                </xdr:cNvSpPr>
              </xdr:nvSpPr>
              <xdr:spPr>
                <a:xfrm>
                  <a:off x="9225833"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0D08B5CF-F601-4334-9688-6B186F573CBA}" type="TxLink">
                    <a:rPr lang="en-US" sz="900" b="1" i="0" u="none" strike="noStrike">
                      <a:solidFill>
                        <a:schemeClr val="accent5">
                          <a:lumMod val="50000"/>
                        </a:schemeClr>
                      </a:solidFill>
                      <a:latin typeface="Calibri"/>
                      <a:ea typeface="Karla" pitchFamily="2" charset="0"/>
                      <a:cs typeface="Calibri"/>
                    </a:rPr>
                    <a:pPr algn="ctr"/>
                    <a:t>CORRELATIONS</a:t>
                  </a:fld>
                  <a:endParaRPr lang="en-GB" sz="900" b="1">
                    <a:solidFill>
                      <a:schemeClr val="accent5">
                        <a:lumMod val="50000"/>
                      </a:schemeClr>
                    </a:solidFill>
                    <a:latin typeface="+mn-lt"/>
                    <a:ea typeface="Karla" pitchFamily="2" charset="0"/>
                  </a:endParaRPr>
                </a:p>
              </xdr:txBody>
            </xdr:sp>
            <xdr:sp macro="[0]!LBChanger" textlink="uxb_works!B99">
              <xdr:nvSpPr>
                <xdr:cNvPr id="60" name="Scatter">
                  <a:extLst>
                    <a:ext uri="{FF2B5EF4-FFF2-40B4-BE49-F238E27FC236}">
                      <a16:creationId xmlns:a16="http://schemas.microsoft.com/office/drawing/2014/main" id="{00000000-0008-0000-0B00-00003C000000}"/>
                    </a:ext>
                  </a:extLst>
                </xdr:cNvPr>
                <xdr:cNvSpPr>
                  <a:spLocks/>
                </xdr:cNvSpPr>
              </xdr:nvSpPr>
              <xdr:spPr>
                <a:xfrm>
                  <a:off x="7903939" y="285940"/>
                  <a:ext cx="1320074"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8DE1D7F-61C0-4422-A1B6-E89A6501ED1F}" type="TxLink">
                    <a:rPr lang="en-US" sz="900" b="1" i="0" u="none" strike="noStrike">
                      <a:solidFill>
                        <a:schemeClr val="accent5">
                          <a:lumMod val="50000"/>
                        </a:schemeClr>
                      </a:solidFill>
                      <a:latin typeface="Calibri"/>
                      <a:ea typeface="Karla" pitchFamily="2" charset="0"/>
                      <a:cs typeface="Calibri"/>
                    </a:rPr>
                    <a:pPr algn="ctr"/>
                    <a:t>SCATTER</a:t>
                  </a:fld>
                  <a:endParaRPr lang="en-GB" sz="900" b="1">
                    <a:solidFill>
                      <a:schemeClr val="accent5">
                        <a:lumMod val="50000"/>
                      </a:schemeClr>
                    </a:solidFill>
                    <a:latin typeface="+mn-lt"/>
                    <a:ea typeface="Karla" pitchFamily="2" charset="0"/>
                  </a:endParaRPr>
                </a:p>
              </xdr:txBody>
            </xdr:sp>
            <xdr:sp macro="[0]!LBChanger" textlink="uxb_works!B101">
              <xdr:nvSpPr>
                <xdr:cNvPr id="89" name="Scores">
                  <a:extLst>
                    <a:ext uri="{FF2B5EF4-FFF2-40B4-BE49-F238E27FC236}">
                      <a16:creationId xmlns:a16="http://schemas.microsoft.com/office/drawing/2014/main" id="{00000000-0008-0000-0B00-000059000000}"/>
                    </a:ext>
                  </a:extLst>
                </xdr:cNvPr>
                <xdr:cNvSpPr>
                  <a:spLocks/>
                </xdr:cNvSpPr>
              </xdr:nvSpPr>
              <xdr:spPr>
                <a:xfrm>
                  <a:off x="10540783"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5165ACF-6EE1-4F74-8FDB-F21F37E9E6FB}" type="TxLink">
                    <a:rPr lang="en-US" sz="900" b="1" i="0" u="none" strike="noStrike">
                      <a:solidFill>
                        <a:schemeClr val="accent5">
                          <a:lumMod val="50000"/>
                        </a:schemeClr>
                      </a:solidFill>
                      <a:latin typeface="Calibri"/>
                      <a:ea typeface="Karla" pitchFamily="2" charset="0"/>
                      <a:cs typeface="Calibri"/>
                    </a:rPr>
                    <a:pPr algn="ctr"/>
                    <a:t>DATA / SCORES</a:t>
                  </a:fld>
                  <a:endParaRPr lang="en-GB" sz="900" b="1">
                    <a:solidFill>
                      <a:schemeClr val="accent5">
                        <a:lumMod val="50000"/>
                      </a:schemeClr>
                    </a:solidFill>
                    <a:latin typeface="+mn-lt"/>
                    <a:ea typeface="Karla" pitchFamily="2" charset="0"/>
                  </a:endParaRPr>
                </a:p>
              </xdr:txBody>
            </xdr:sp>
            <xdr:sp macro="[0]!LBChanger" textlink="uxb_works!B102">
              <xdr:nvSpPr>
                <xdr:cNvPr id="90" name="Weights">
                  <a:extLst>
                    <a:ext uri="{FF2B5EF4-FFF2-40B4-BE49-F238E27FC236}">
                      <a16:creationId xmlns:a16="http://schemas.microsoft.com/office/drawing/2014/main" id="{00000000-0008-0000-0B00-00005A000000}"/>
                    </a:ext>
                  </a:extLst>
                </xdr:cNvPr>
                <xdr:cNvSpPr>
                  <a:spLocks/>
                </xdr:cNvSpPr>
              </xdr:nvSpPr>
              <xdr:spPr>
                <a:xfrm>
                  <a:off x="11855698" y="285940"/>
                  <a:ext cx="1317779" cy="179810"/>
                </a:xfrm>
                <a:prstGeom prst="rect">
                  <a:avLst/>
                </a:prstGeom>
                <a:solidFill>
                  <a:schemeClr val="accent5">
                    <a:lumMod val="50000"/>
                  </a:schemeClr>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43627509-C0BB-4D16-AADD-A85AC599D44F}" type="TxLink">
                    <a:rPr lang="en-US" sz="900" b="1" i="0" u="none" strike="noStrike">
                      <a:solidFill>
                        <a:schemeClr val="bg1"/>
                      </a:solidFill>
                      <a:latin typeface="Calibri"/>
                      <a:ea typeface="Karla" pitchFamily="2" charset="0"/>
                      <a:cs typeface="Calibri"/>
                    </a:rPr>
                    <a:pPr algn="ctr"/>
                    <a:t>WEIGHTS</a:t>
                  </a:fld>
                  <a:endParaRPr lang="en-GB" sz="900" b="1">
                    <a:solidFill>
                      <a:schemeClr val="bg1"/>
                    </a:solidFill>
                    <a:latin typeface="+mn-lt"/>
                    <a:ea typeface="Karla" pitchFamily="2" charset="0"/>
                  </a:endParaRPr>
                </a:p>
              </xdr:txBody>
            </xdr:sp>
            <xdr:sp macro="[0]!LBChanger" textlink="uxb_works!B95">
              <xdr:nvSpPr>
                <xdr:cNvPr id="91" name="Summary1">
                  <a:extLst>
                    <a:ext uri="{FF2B5EF4-FFF2-40B4-BE49-F238E27FC236}">
                      <a16:creationId xmlns:a16="http://schemas.microsoft.com/office/drawing/2014/main" id="{00000000-0008-0000-0B00-00005B000000}"/>
                    </a:ext>
                  </a:extLst>
                </xdr:cNvPr>
                <xdr:cNvSpPr>
                  <a:spLocks/>
                </xdr:cNvSpPr>
              </xdr:nvSpPr>
              <xdr:spPr>
                <a:xfrm>
                  <a:off x="0"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A5241822-14D3-4854-9411-CFDDA1D4CE0A}" type="TxLink">
                    <a:rPr lang="en-US" sz="900" b="1" i="0" u="none" strike="noStrike">
                      <a:solidFill>
                        <a:schemeClr val="accent5">
                          <a:lumMod val="50000"/>
                        </a:schemeClr>
                      </a:solidFill>
                      <a:latin typeface="Calibri"/>
                      <a:ea typeface="Karla" pitchFamily="2" charset="0"/>
                      <a:cs typeface="Calibri"/>
                    </a:rPr>
                    <a:pPr algn="ctr"/>
                    <a:t>SUMMARY</a:t>
                  </a:fld>
                  <a:endParaRPr lang="en-GB" sz="900" b="1">
                    <a:solidFill>
                      <a:schemeClr val="accent5">
                        <a:lumMod val="50000"/>
                      </a:schemeClr>
                    </a:solidFill>
                    <a:latin typeface="+mn-lt"/>
                    <a:ea typeface="Karla" pitchFamily="2" charset="0"/>
                  </a:endParaRPr>
                </a:p>
              </xdr:txBody>
            </xdr:sp>
            <xdr:sp macro="[0]!LBChanger" textlink="uxb_works!B96">
              <xdr:nvSpPr>
                <xdr:cNvPr id="92" name="Indicator_Ranking">
                  <a:extLst>
                    <a:ext uri="{FF2B5EF4-FFF2-40B4-BE49-F238E27FC236}">
                      <a16:creationId xmlns:a16="http://schemas.microsoft.com/office/drawing/2014/main" id="{00000000-0008-0000-0B00-00005C000000}"/>
                    </a:ext>
                  </a:extLst>
                </xdr:cNvPr>
                <xdr:cNvSpPr>
                  <a:spLocks/>
                </xdr:cNvSpPr>
              </xdr:nvSpPr>
              <xdr:spPr>
                <a:xfrm>
                  <a:off x="1319392"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1D205C57-4D69-4B9A-8D11-5E0B7527B9E2}" type="TxLink">
                    <a:rPr lang="en-US" sz="900" b="1" i="0" u="none" strike="noStrike">
                      <a:solidFill>
                        <a:schemeClr val="accent5">
                          <a:lumMod val="50000"/>
                        </a:schemeClr>
                      </a:solidFill>
                      <a:latin typeface="Calibri"/>
                      <a:ea typeface="Karla" pitchFamily="2" charset="0"/>
                      <a:cs typeface="Calibri"/>
                    </a:rPr>
                    <a:pPr algn="ctr"/>
                    <a:t>INDICATOR RANKING</a:t>
                  </a:fld>
                  <a:endParaRPr lang="en-GB" sz="900" b="1">
                    <a:solidFill>
                      <a:schemeClr val="accent5">
                        <a:lumMod val="50000"/>
                      </a:schemeClr>
                    </a:solidFill>
                    <a:latin typeface="+mn-lt"/>
                    <a:ea typeface="Karla" pitchFamily="2" charset="0"/>
                  </a:endParaRPr>
                </a:p>
              </xdr:txBody>
            </xdr:sp>
            <xdr:sp macro="[0]!LBChanger" textlink="uxb_works!B98">
              <xdr:nvSpPr>
                <xdr:cNvPr id="93" name="CCompare">
                  <a:extLst>
                    <a:ext uri="{FF2B5EF4-FFF2-40B4-BE49-F238E27FC236}">
                      <a16:creationId xmlns:a16="http://schemas.microsoft.com/office/drawing/2014/main" id="{00000000-0008-0000-0B00-00005D000000}"/>
                    </a:ext>
                  </a:extLst>
                </xdr:cNvPr>
                <xdr:cNvSpPr>
                  <a:spLocks/>
                </xdr:cNvSpPr>
              </xdr:nvSpPr>
              <xdr:spPr>
                <a:xfrm>
                  <a:off x="5256659" y="285940"/>
                  <a:ext cx="132486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829603AF-0DD8-4C72-8452-B09DB6262544}" type="TxLink">
                    <a:rPr lang="en-US" sz="900" b="1" i="0" u="none" strike="noStrike">
                      <a:solidFill>
                        <a:schemeClr val="accent5">
                          <a:lumMod val="50000"/>
                        </a:schemeClr>
                      </a:solidFill>
                      <a:latin typeface="Calibri"/>
                      <a:ea typeface="Karla" pitchFamily="2" charset="0"/>
                      <a:cs typeface="Calibri"/>
                    </a:rPr>
                    <a:pPr algn="ctr"/>
                    <a:t>CITY COMPARE</a:t>
                  </a:fld>
                  <a:endParaRPr lang="en-GB" sz="900" b="1">
                    <a:solidFill>
                      <a:schemeClr val="accent5">
                        <a:lumMod val="50000"/>
                      </a:schemeClr>
                    </a:solidFill>
                    <a:latin typeface="+mn-lt"/>
                    <a:ea typeface="Karla" pitchFamily="2" charset="0"/>
                  </a:endParaRPr>
                </a:p>
              </xdr:txBody>
            </xdr:sp>
            <xdr:sp macro="[0]!LBChanger" textlink="uxb_works!B97">
              <xdr:nvSpPr>
                <xdr:cNvPr id="94" name="CtyScoreCard">
                  <a:extLst>
                    <a:ext uri="{FF2B5EF4-FFF2-40B4-BE49-F238E27FC236}">
                      <a16:creationId xmlns:a16="http://schemas.microsoft.com/office/drawing/2014/main" id="{00000000-0008-0000-0B00-00005E000000}"/>
                    </a:ext>
                  </a:extLst>
                </xdr:cNvPr>
                <xdr:cNvSpPr>
                  <a:spLocks/>
                </xdr:cNvSpPr>
              </xdr:nvSpPr>
              <xdr:spPr>
                <a:xfrm>
                  <a:off x="3943666" y="285489"/>
                  <a:ext cx="1317779" cy="180261"/>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fld id="{5B2B5046-96B7-4EDE-9DD8-D97FF7695B86}" type="TxLink">
                    <a:rPr lang="en-US" sz="900" b="1" i="0" u="none" strike="noStrike">
                      <a:solidFill>
                        <a:schemeClr val="accent5">
                          <a:lumMod val="50000"/>
                        </a:schemeClr>
                      </a:solidFill>
                      <a:latin typeface="Calibri"/>
                      <a:ea typeface="Karla" pitchFamily="2" charset="0"/>
                      <a:cs typeface="Calibri"/>
                    </a:rPr>
                    <a:pPr algn="ctr"/>
                    <a:t>CITY SCORECARD</a:t>
                  </a:fld>
                  <a:endParaRPr lang="en-GB" sz="900" b="1">
                    <a:solidFill>
                      <a:schemeClr val="accent5">
                        <a:lumMod val="50000"/>
                      </a:schemeClr>
                    </a:solidFill>
                    <a:latin typeface="+mn-lt"/>
                    <a:ea typeface="Karla" pitchFamily="2" charset="0"/>
                  </a:endParaRPr>
                </a:p>
              </xdr:txBody>
            </xdr:sp>
            <xdr:sp macro="[0]!LBChanger" textlink="uxb_works!B103">
              <xdr:nvSpPr>
                <xdr:cNvPr id="95" name="RegionCompare">
                  <a:extLst>
                    <a:ext uri="{FF2B5EF4-FFF2-40B4-BE49-F238E27FC236}">
                      <a16:creationId xmlns:a16="http://schemas.microsoft.com/office/drawing/2014/main" id="{00000000-0008-0000-0B00-00005F000000}"/>
                    </a:ext>
                  </a:extLst>
                </xdr:cNvPr>
                <xdr:cNvSpPr>
                  <a:spLocks/>
                </xdr:cNvSpPr>
              </xdr:nvSpPr>
              <xdr:spPr>
                <a:xfrm>
                  <a:off x="6578664" y="285940"/>
                  <a:ext cx="132486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51E55FBF-FB84-41A1-976B-235AB148A85F}" type="TxLink">
                    <a:rPr lang="en-US" sz="900" b="1" i="0" u="none" strike="noStrike">
                      <a:solidFill>
                        <a:schemeClr val="accent5">
                          <a:lumMod val="50000"/>
                        </a:schemeClr>
                      </a:solidFill>
                      <a:latin typeface="Calibri"/>
                      <a:ea typeface="Karla" pitchFamily="2" charset="0"/>
                      <a:cs typeface="Calibri"/>
                    </a:rPr>
                    <a:pPr algn="ctr"/>
                    <a:t>REGION COMPARE</a:t>
                  </a:fld>
                  <a:endParaRPr lang="en-GB" sz="900" b="1">
                    <a:solidFill>
                      <a:schemeClr val="accent5">
                        <a:lumMod val="50000"/>
                      </a:schemeClr>
                    </a:solidFill>
                    <a:latin typeface="+mn-lt"/>
                    <a:ea typeface="Karla" pitchFamily="2" charset="0"/>
                  </a:endParaRPr>
                </a:p>
              </xdr:txBody>
            </xdr:sp>
            <xdr:sp macro="[0]!LBChanger" textlink="uxb_works!B104">
              <xdr:nvSpPr>
                <xdr:cNvPr id="96" name="CProfile">
                  <a:extLst>
                    <a:ext uri="{FF2B5EF4-FFF2-40B4-BE49-F238E27FC236}">
                      <a16:creationId xmlns:a16="http://schemas.microsoft.com/office/drawing/2014/main" id="{00000000-0008-0000-0B00-000060000000}"/>
                    </a:ext>
                  </a:extLst>
                </xdr:cNvPr>
                <xdr:cNvSpPr>
                  <a:spLocks/>
                </xdr:cNvSpPr>
              </xdr:nvSpPr>
              <xdr:spPr>
                <a:xfrm>
                  <a:off x="2635250" y="285489"/>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62C1403F-D06F-4F81-B666-49A22A849932}" type="TxLink">
                    <a:rPr lang="en-US" sz="900" b="1" i="0" u="none" strike="noStrike">
                      <a:solidFill>
                        <a:srgbClr val="366092"/>
                      </a:solidFill>
                      <a:latin typeface="Calibri"/>
                      <a:ea typeface="Karla" pitchFamily="2" charset="0"/>
                      <a:cs typeface="Calibri"/>
                    </a:rPr>
                    <a:pPr algn="ctr"/>
                    <a:t>CITY PROFILE</a:t>
                  </a:fld>
                  <a:endParaRPr lang="en-GB" sz="900" b="1">
                    <a:solidFill>
                      <a:schemeClr val="accent5">
                        <a:lumMod val="50000"/>
                      </a:schemeClr>
                    </a:solidFill>
                    <a:latin typeface="+mn-lt"/>
                    <a:ea typeface="Karla" pitchFamily="2" charset="0"/>
                  </a:endParaRPr>
                </a:p>
              </xdr:txBody>
            </xdr:sp>
          </xdr:grpSp>
        </xdr:grpSp>
        <xdr:grpSp>
          <xdr:nvGrpSpPr>
            <xdr:cNvPr id="44" name="Group 43">
              <a:extLst>
                <a:ext uri="{FF2B5EF4-FFF2-40B4-BE49-F238E27FC236}">
                  <a16:creationId xmlns:a16="http://schemas.microsoft.com/office/drawing/2014/main" id="{00000000-0008-0000-0B00-00002C000000}"/>
                </a:ext>
              </a:extLst>
            </xdr:cNvPr>
            <xdr:cNvGrpSpPr/>
          </xdr:nvGrpSpPr>
          <xdr:grpSpPr>
            <a:xfrm>
              <a:off x="10753783" y="37494"/>
              <a:ext cx="999275" cy="240746"/>
              <a:chOff x="10782556" y="28575"/>
              <a:chExt cx="999806" cy="252000"/>
            </a:xfrm>
          </xdr:grpSpPr>
          <xdr:sp macro="[0]!UniversalChanger" textlink="">
            <xdr:nvSpPr>
              <xdr:cNvPr id="45" name="ctr_Reset">
                <a:extLst>
                  <a:ext uri="{FF2B5EF4-FFF2-40B4-BE49-F238E27FC236}">
                    <a16:creationId xmlns:a16="http://schemas.microsoft.com/office/drawing/2014/main" id="{00000000-0008-0000-0B00-00002D000000}"/>
                  </a:ext>
                </a:extLst>
              </xdr:cNvPr>
              <xdr:cNvSpPr/>
            </xdr:nvSpPr>
            <xdr:spPr>
              <a:xfrm>
                <a:off x="10782556" y="38100"/>
                <a:ext cx="666749" cy="209550"/>
              </a:xfrm>
              <a:prstGeom prst="rect">
                <a:avLst/>
              </a:prstGeom>
              <a:solidFill>
                <a:srgbClr val="F47940">
                  <a:alpha val="20000"/>
                </a:srgbClr>
              </a:solidFill>
              <a:ln w="3175">
                <a:solidFill>
                  <a:srgbClr val="005BAD"/>
                </a:solid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r>
                  <a:rPr lang="en-GB" sz="1000" b="0">
                    <a:solidFill>
                      <a:srgbClr val="143050"/>
                    </a:solidFill>
                    <a:latin typeface="+mn-lt"/>
                    <a:ea typeface="Karla" pitchFamily="2" charset="0"/>
                  </a:rPr>
                  <a:t>RESET</a:t>
                </a:r>
              </a:p>
            </xdr:txBody>
          </xdr:sp>
          <xdr:pic macro="[0]!UniversalChanger">
            <xdr:nvPicPr>
              <xdr:cNvPr id="46" name="Excel_Out">
                <a:extLst>
                  <a:ext uri="{FF2B5EF4-FFF2-40B4-BE49-F238E27FC236}">
                    <a16:creationId xmlns:a16="http://schemas.microsoft.com/office/drawing/2014/main" id="{00000000-0008-0000-0B00-00002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525506" y="28575"/>
                <a:ext cx="256856" cy="252000"/>
              </a:xfrm>
              <a:prstGeom prst="rect">
                <a:avLst/>
              </a:prstGeom>
            </xdr:spPr>
          </xdr:pic>
        </xdr:grpSp>
      </xdr:grpSp>
      <xdr:grpSp>
        <xdr:nvGrpSpPr>
          <xdr:cNvPr id="47" name="Del_Weights_Select">
            <a:extLst>
              <a:ext uri="{FF2B5EF4-FFF2-40B4-BE49-F238E27FC236}">
                <a16:creationId xmlns:a16="http://schemas.microsoft.com/office/drawing/2014/main" id="{00000000-0008-0000-0B00-00002F000000}"/>
              </a:ext>
            </a:extLst>
          </xdr:cNvPr>
          <xdr:cNvGrpSpPr/>
        </xdr:nvGrpSpPr>
        <xdr:grpSpPr>
          <a:xfrm>
            <a:off x="104778" y="634764"/>
            <a:ext cx="1803395" cy="391458"/>
            <a:chOff x="8924925" y="438150"/>
            <a:chExt cx="1803332" cy="393762"/>
          </a:xfrm>
        </xdr:grpSpPr>
        <mc:AlternateContent xmlns:mc="http://schemas.openxmlformats.org/markup-compatibility/2006">
          <mc:Choice xmlns:a14="http://schemas.microsoft.com/office/drawing/2010/main" Requires="a14">
            <xdr:sp macro="" textlink="">
              <xdr:nvSpPr>
                <xdr:cNvPr id="14357508" name="L_Weights" hidden="1">
                  <a:extLst>
                    <a:ext uri="{63B3BB69-23CF-44E3-9099-C40C66FF867C}">
                      <a14:compatExt spid="_x0000_s14357508"/>
                    </a:ext>
                    <a:ext uri="{FF2B5EF4-FFF2-40B4-BE49-F238E27FC236}">
                      <a16:creationId xmlns:a16="http://schemas.microsoft.com/office/drawing/2014/main" id="{00000000-0008-0000-0B00-00000414DB00}"/>
                    </a:ext>
                  </a:extLst>
                </xdr:cNvPr>
                <xdr:cNvSpPr/>
              </xdr:nvSpPr>
              <xdr:spPr bwMode="auto">
                <a:xfrm>
                  <a:off x="8924925" y="612804"/>
                  <a:ext cx="1803257" cy="219108"/>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4">
          <xdr:nvSpPr>
            <xdr:cNvPr id="75" name="Weight_Reset">
              <a:extLst>
                <a:ext uri="{FF2B5EF4-FFF2-40B4-BE49-F238E27FC236}">
                  <a16:creationId xmlns:a16="http://schemas.microsoft.com/office/drawing/2014/main" id="{00000000-0008-0000-0B00-00004B000000}"/>
                </a:ext>
              </a:extLst>
            </xdr:cNvPr>
            <xdr:cNvSpPr>
              <a:spLocks/>
            </xdr:cNvSpPr>
          </xdr:nvSpPr>
          <xdr:spPr>
            <a:xfrm>
              <a:off x="8924925" y="438150"/>
              <a:ext cx="1803332"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856B8423-91E9-41D2-BBE7-4949AD6F09C2}" type="TxLink">
                <a:rPr lang="en-US" sz="800" b="0" i="0" u="none" strike="noStrike">
                  <a:solidFill>
                    <a:sysClr val="windowText" lastClr="000000"/>
                  </a:solidFill>
                  <a:latin typeface="Calibri"/>
                  <a:cs typeface="Calibri"/>
                </a:rPr>
                <a:pPr algn="ctr"/>
                <a:t>WEIGHTS (reset)</a:t>
              </a:fld>
              <a:endParaRPr lang="en-US" sz="800" b="0" i="0" u="none" strike="noStrike">
                <a:solidFill>
                  <a:sysClr val="windowText" lastClr="000000"/>
                </a:solidFill>
                <a:latin typeface="Calibri"/>
                <a:cs typeface="Calibri"/>
              </a:endParaRPr>
            </a:p>
          </xdr:txBody>
        </xdr:sp>
      </xdr:grpSp>
      <xdr:grpSp>
        <xdr:nvGrpSpPr>
          <xdr:cNvPr id="9" name="Del_Indi_Level">
            <a:extLst>
              <a:ext uri="{FF2B5EF4-FFF2-40B4-BE49-F238E27FC236}">
                <a16:creationId xmlns:a16="http://schemas.microsoft.com/office/drawing/2014/main" id="{00000000-0008-0000-0B00-000009000000}"/>
              </a:ext>
            </a:extLst>
          </xdr:cNvPr>
          <xdr:cNvGrpSpPr/>
        </xdr:nvGrpSpPr>
        <xdr:grpSpPr>
          <a:xfrm>
            <a:off x="2057471" y="634499"/>
            <a:ext cx="1803663" cy="391691"/>
            <a:chOff x="2057399" y="638231"/>
            <a:chExt cx="1803600" cy="394000"/>
          </a:xfrm>
        </xdr:grpSpPr>
        <mc:AlternateContent xmlns:mc="http://schemas.openxmlformats.org/markup-compatibility/2006">
          <mc:Choice xmlns:a14="http://schemas.microsoft.com/office/drawing/2010/main" Requires="a14">
            <xdr:sp macro="" textlink="">
              <xdr:nvSpPr>
                <xdr:cNvPr id="14357507" name="Weight_IndiLevel" hidden="1">
                  <a:extLst>
                    <a:ext uri="{63B3BB69-23CF-44E3-9099-C40C66FF867C}">
                      <a14:compatExt spid="_x0000_s14357507"/>
                    </a:ext>
                    <a:ext uri="{FF2B5EF4-FFF2-40B4-BE49-F238E27FC236}">
                      <a16:creationId xmlns:a16="http://schemas.microsoft.com/office/drawing/2014/main" id="{00000000-0008-0000-0B00-00000314DB00}"/>
                    </a:ext>
                  </a:extLst>
                </xdr:cNvPr>
                <xdr:cNvSpPr/>
              </xdr:nvSpPr>
              <xdr:spPr bwMode="auto">
                <a:xfrm>
                  <a:off x="2057399" y="812602"/>
                  <a:ext cx="1803600" cy="219629"/>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5">
          <xdr:nvSpPr>
            <xdr:cNvPr id="76" name="Indi_Level_Reset">
              <a:extLst>
                <a:ext uri="{FF2B5EF4-FFF2-40B4-BE49-F238E27FC236}">
                  <a16:creationId xmlns:a16="http://schemas.microsoft.com/office/drawing/2014/main" id="{00000000-0008-0000-0B00-00004C000000}"/>
                </a:ext>
              </a:extLst>
            </xdr:cNvPr>
            <xdr:cNvSpPr>
              <a:spLocks/>
            </xdr:cNvSpPr>
          </xdr:nvSpPr>
          <xdr:spPr>
            <a:xfrm>
              <a:off x="2057399" y="638231"/>
              <a:ext cx="1803600"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24040753-94FD-4DE3-8607-4282496DA9C6}" type="TxLink">
                <a:rPr lang="en-US" sz="800" b="0" i="0" u="none" strike="noStrike">
                  <a:solidFill>
                    <a:sysClr val="windowText" lastClr="000000"/>
                  </a:solidFill>
                  <a:latin typeface="Calibri"/>
                  <a:cs typeface="Calibri"/>
                </a:rPr>
                <a:pPr algn="ctr"/>
                <a:t>SELECT LEVEL (reset)</a:t>
              </a:fld>
              <a:endParaRPr lang="en-US" sz="800" b="0" i="0" u="none" strike="noStrike">
                <a:solidFill>
                  <a:sysClr val="windowText" lastClr="000000"/>
                </a:solidFill>
                <a:latin typeface="Calibri"/>
                <a:cs typeface="Calibri"/>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12700</xdr:colOff>
          <xdr:row>0</xdr:row>
          <xdr:rowOff>12700</xdr:rowOff>
        </xdr:from>
        <xdr:to>
          <xdr:col>2</xdr:col>
          <xdr:colOff>1466850</xdr:colOff>
          <xdr:row>0</xdr:row>
          <xdr:rowOff>508000</xdr:rowOff>
        </xdr:to>
        <xdr:sp macro="" textlink="">
          <xdr:nvSpPr>
            <xdr:cNvPr id="14587905" name="Button 1" hidden="1">
              <a:extLst>
                <a:ext uri="{63B3BB69-23CF-44E3-9099-C40C66FF867C}">
                  <a14:compatExt spid="_x0000_s14587905"/>
                </a:ext>
                <a:ext uri="{FF2B5EF4-FFF2-40B4-BE49-F238E27FC236}">
                  <a16:creationId xmlns:a16="http://schemas.microsoft.com/office/drawing/2014/main" id="{00000000-0008-0000-0C00-00000198DE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SG" sz="1100" b="0" i="0" u="none" strike="noStrike" baseline="0">
                  <a:solidFill>
                    <a:srgbClr val="000000"/>
                  </a:solidFill>
                  <a:latin typeface="Calibri"/>
                  <a:cs typeface="Calibri"/>
                </a:rPr>
                <a:t>LOCK WORKBOOK</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79</xdr:col>
      <xdr:colOff>523875</xdr:colOff>
      <xdr:row>39</xdr:row>
      <xdr:rowOff>28575</xdr:rowOff>
    </xdr:from>
    <xdr:to>
      <xdr:col>86</xdr:col>
      <xdr:colOff>542172</xdr:colOff>
      <xdr:row>42</xdr:row>
      <xdr:rowOff>123825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5</xdr:col>
      <xdr:colOff>982383</xdr:colOff>
      <xdr:row>2</xdr:row>
      <xdr:rowOff>632128</xdr:rowOff>
    </xdr:from>
    <xdr:to>
      <xdr:col>5</xdr:col>
      <xdr:colOff>1287306</xdr:colOff>
      <xdr:row>2</xdr:row>
      <xdr:rowOff>753676</xdr:rowOff>
    </xdr:to>
    <xdr:pic macro="[0]!CntCHLUp">
      <xdr:nvPicPr>
        <xdr:cNvPr id="5" name="cnt_series_up2" descr="scroll_up_small.png">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1" cstate="print"/>
        <a:stretch>
          <a:fillRect/>
        </a:stretch>
      </xdr:blipFill>
      <xdr:spPr>
        <a:xfrm>
          <a:off x="2230158" y="1356028"/>
          <a:ext cx="123" cy="121548"/>
        </a:xfrm>
        <a:prstGeom prst="rect">
          <a:avLst/>
        </a:prstGeom>
      </xdr:spPr>
    </xdr:pic>
    <xdr:clientData/>
  </xdr:twoCellAnchor>
  <xdr:twoCellAnchor>
    <xdr:from>
      <xdr:col>5</xdr:col>
      <xdr:colOff>982383</xdr:colOff>
      <xdr:row>2</xdr:row>
      <xdr:rowOff>751734</xdr:rowOff>
    </xdr:from>
    <xdr:to>
      <xdr:col>5</xdr:col>
      <xdr:colOff>1287225</xdr:colOff>
      <xdr:row>2</xdr:row>
      <xdr:rowOff>846999</xdr:rowOff>
    </xdr:to>
    <xdr:pic macro="[0]!CntCHLDown">
      <xdr:nvPicPr>
        <xdr:cNvPr id="6" name="cnt_series_down2" descr="scroll_down_small.png">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cstate="print"/>
        <a:stretch>
          <a:fillRect/>
        </a:stretch>
      </xdr:blipFill>
      <xdr:spPr>
        <a:xfrm>
          <a:off x="2230158" y="1475634"/>
          <a:ext cx="42" cy="95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9525</xdr:colOff>
      <xdr:row>11</xdr:row>
      <xdr:rowOff>0</xdr:rowOff>
    </xdr:from>
    <xdr:to>
      <xdr:col>6</xdr:col>
      <xdr:colOff>0</xdr:colOff>
      <xdr:row>12</xdr:row>
      <xdr:rowOff>5291</xdr:rowOff>
    </xdr:to>
    <xdr:sp macro="[0]!LBChanger" textlink="">
      <xdr:nvSpPr>
        <xdr:cNvPr id="2" name="Summary">
          <a:extLst>
            <a:ext uri="{FF2B5EF4-FFF2-40B4-BE49-F238E27FC236}">
              <a16:creationId xmlns:a16="http://schemas.microsoft.com/office/drawing/2014/main" id="{00000000-0008-0000-0100-000002000000}"/>
            </a:ext>
          </a:extLst>
        </xdr:cNvPr>
        <xdr:cNvSpPr/>
      </xdr:nvSpPr>
      <xdr:spPr>
        <a:xfrm>
          <a:off x="1228725" y="2009775"/>
          <a:ext cx="1524000" cy="386291"/>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100" b="1" i="0" u="none" strike="noStrike">
            <a:solidFill>
              <a:srgbClr val="366092"/>
            </a:solidFill>
            <a:latin typeface="Calibri"/>
            <a:ea typeface="Karla" pitchFamily="2" charset="0"/>
            <a:cs typeface="Calibri"/>
          </a:endParaRPr>
        </a:p>
      </xdr:txBody>
    </xdr:sp>
    <xdr:clientData/>
  </xdr:twoCellAnchor>
  <xdr:twoCellAnchor editAs="oneCell">
    <xdr:from>
      <xdr:col>5</xdr:col>
      <xdr:colOff>9525</xdr:colOff>
      <xdr:row>12</xdr:row>
      <xdr:rowOff>22223</xdr:rowOff>
    </xdr:from>
    <xdr:to>
      <xdr:col>6</xdr:col>
      <xdr:colOff>0</xdr:colOff>
      <xdr:row>13</xdr:row>
      <xdr:rowOff>1223</xdr:rowOff>
    </xdr:to>
    <xdr:sp macro="[0]!LBChanger" textlink="">
      <xdr:nvSpPr>
        <xdr:cNvPr id="3" name="Indicator_Ranking">
          <a:extLst>
            <a:ext uri="{FF2B5EF4-FFF2-40B4-BE49-F238E27FC236}">
              <a16:creationId xmlns:a16="http://schemas.microsoft.com/office/drawing/2014/main" id="{00000000-0008-0000-0100-000003000000}"/>
            </a:ext>
          </a:extLst>
        </xdr:cNvPr>
        <xdr:cNvSpPr/>
      </xdr:nvSpPr>
      <xdr:spPr>
        <a:xfrm>
          <a:off x="1228725" y="2412998"/>
          <a:ext cx="1524000" cy="360000"/>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100" b="1" i="0" u="none" strike="noStrike">
            <a:solidFill>
              <a:srgbClr val="366092"/>
            </a:solidFill>
            <a:latin typeface="Calibri"/>
            <a:ea typeface="Karla" pitchFamily="2" charset="0"/>
            <a:cs typeface="Calibri"/>
          </a:endParaRPr>
        </a:p>
      </xdr:txBody>
    </xdr:sp>
    <xdr:clientData/>
  </xdr:twoCellAnchor>
  <xdr:twoCellAnchor editAs="oneCell">
    <xdr:from>
      <xdr:col>5</xdr:col>
      <xdr:colOff>9525</xdr:colOff>
      <xdr:row>18</xdr:row>
      <xdr:rowOff>19050</xdr:rowOff>
    </xdr:from>
    <xdr:to>
      <xdr:col>6</xdr:col>
      <xdr:colOff>0</xdr:colOff>
      <xdr:row>18</xdr:row>
      <xdr:rowOff>379050</xdr:rowOff>
    </xdr:to>
    <xdr:sp macro="[0]!LBChanger" textlink="">
      <xdr:nvSpPr>
        <xdr:cNvPr id="6" name="Scatter">
          <a:extLst>
            <a:ext uri="{FF2B5EF4-FFF2-40B4-BE49-F238E27FC236}">
              <a16:creationId xmlns:a16="http://schemas.microsoft.com/office/drawing/2014/main" id="{00000000-0008-0000-0100-000006000000}"/>
            </a:ext>
          </a:extLst>
        </xdr:cNvPr>
        <xdr:cNvSpPr/>
      </xdr:nvSpPr>
      <xdr:spPr>
        <a:xfrm>
          <a:off x="1228725" y="3209925"/>
          <a:ext cx="1524000" cy="360000"/>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100" b="1" i="0" u="none" strike="noStrike">
            <a:solidFill>
              <a:srgbClr val="366092"/>
            </a:solidFill>
            <a:latin typeface="Calibri"/>
            <a:ea typeface="Karla" pitchFamily="2" charset="0"/>
            <a:cs typeface="Calibri"/>
          </a:endParaRPr>
        </a:p>
      </xdr:txBody>
    </xdr:sp>
    <xdr:clientData/>
  </xdr:twoCellAnchor>
  <xdr:twoCellAnchor editAs="oneCell">
    <xdr:from>
      <xdr:col>5</xdr:col>
      <xdr:colOff>9525</xdr:colOff>
      <xdr:row>21</xdr:row>
      <xdr:rowOff>8465</xdr:rowOff>
    </xdr:from>
    <xdr:to>
      <xdr:col>6</xdr:col>
      <xdr:colOff>0</xdr:colOff>
      <xdr:row>21</xdr:row>
      <xdr:rowOff>368465</xdr:rowOff>
    </xdr:to>
    <xdr:sp macro="[0]!LBChanger" textlink="">
      <xdr:nvSpPr>
        <xdr:cNvPr id="7" name="Scores">
          <a:extLst>
            <a:ext uri="{FF2B5EF4-FFF2-40B4-BE49-F238E27FC236}">
              <a16:creationId xmlns:a16="http://schemas.microsoft.com/office/drawing/2014/main" id="{00000000-0008-0000-0100-000007000000}"/>
            </a:ext>
          </a:extLst>
        </xdr:cNvPr>
        <xdr:cNvSpPr/>
      </xdr:nvSpPr>
      <xdr:spPr>
        <a:xfrm>
          <a:off x="1228725" y="3999440"/>
          <a:ext cx="1524000" cy="360000"/>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100" b="1" i="0" u="none" strike="noStrike">
            <a:solidFill>
              <a:srgbClr val="366092"/>
            </a:solidFill>
            <a:latin typeface="Calibri"/>
            <a:ea typeface="Karla" pitchFamily="2" charset="0"/>
            <a:cs typeface="Calibri"/>
          </a:endParaRPr>
        </a:p>
      </xdr:txBody>
    </xdr:sp>
    <xdr:clientData/>
  </xdr:twoCellAnchor>
  <xdr:twoCellAnchor editAs="oneCell">
    <xdr:from>
      <xdr:col>5</xdr:col>
      <xdr:colOff>9525</xdr:colOff>
      <xdr:row>19</xdr:row>
      <xdr:rowOff>9525</xdr:rowOff>
    </xdr:from>
    <xdr:to>
      <xdr:col>6</xdr:col>
      <xdr:colOff>0</xdr:colOff>
      <xdr:row>19</xdr:row>
      <xdr:rowOff>369525</xdr:rowOff>
    </xdr:to>
    <xdr:sp macro="[0]!LBChanger" textlink="">
      <xdr:nvSpPr>
        <xdr:cNvPr id="8" name="Correlations">
          <a:extLst>
            <a:ext uri="{FF2B5EF4-FFF2-40B4-BE49-F238E27FC236}">
              <a16:creationId xmlns:a16="http://schemas.microsoft.com/office/drawing/2014/main" id="{00000000-0008-0000-0100-000008000000}"/>
            </a:ext>
          </a:extLst>
        </xdr:cNvPr>
        <xdr:cNvSpPr/>
      </xdr:nvSpPr>
      <xdr:spPr>
        <a:xfrm>
          <a:off x="1228725" y="3581400"/>
          <a:ext cx="1524000" cy="360000"/>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100" b="1" i="0" u="none" strike="noStrike">
            <a:solidFill>
              <a:srgbClr val="366092"/>
            </a:solidFill>
            <a:latin typeface="Calibri"/>
            <a:ea typeface="Karla" pitchFamily="2" charset="0"/>
            <a:cs typeface="Calibri"/>
          </a:endParaRPr>
        </a:p>
      </xdr:txBody>
    </xdr:sp>
    <xdr:clientData/>
  </xdr:twoCellAnchor>
  <xdr:twoCellAnchor editAs="oneCell">
    <xdr:from>
      <xdr:col>5</xdr:col>
      <xdr:colOff>9525</xdr:colOff>
      <xdr:row>16</xdr:row>
      <xdr:rowOff>0</xdr:rowOff>
    </xdr:from>
    <xdr:to>
      <xdr:col>6</xdr:col>
      <xdr:colOff>0</xdr:colOff>
      <xdr:row>16</xdr:row>
      <xdr:rowOff>360000</xdr:rowOff>
    </xdr:to>
    <xdr:sp macro="[0]!LBChanger" textlink="">
      <xdr:nvSpPr>
        <xdr:cNvPr id="9" name="RegionCompare">
          <a:extLst>
            <a:ext uri="{FF2B5EF4-FFF2-40B4-BE49-F238E27FC236}">
              <a16:creationId xmlns:a16="http://schemas.microsoft.com/office/drawing/2014/main" id="{00000000-0008-0000-0100-000009000000}"/>
            </a:ext>
          </a:extLst>
        </xdr:cNvPr>
        <xdr:cNvSpPr/>
      </xdr:nvSpPr>
      <xdr:spPr>
        <a:xfrm>
          <a:off x="1228725" y="2771775"/>
          <a:ext cx="1524000" cy="360000"/>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100" b="1" i="0" u="none" strike="noStrike">
            <a:solidFill>
              <a:srgbClr val="366092"/>
            </a:solidFill>
            <a:latin typeface="Calibri"/>
            <a:ea typeface="Karla" pitchFamily="2" charset="0"/>
            <a:cs typeface="Calibri"/>
          </a:endParaRPr>
        </a:p>
      </xdr:txBody>
    </xdr:sp>
    <xdr:clientData/>
  </xdr:twoCellAnchor>
  <xdr:twoCellAnchor>
    <xdr:from>
      <xdr:col>3</xdr:col>
      <xdr:colOff>1</xdr:colOff>
      <xdr:row>25</xdr:row>
      <xdr:rowOff>117562</xdr:rowOff>
    </xdr:from>
    <xdr:to>
      <xdr:col>5</xdr:col>
      <xdr:colOff>28576</xdr:colOff>
      <xdr:row>26</xdr:row>
      <xdr:rowOff>180975</xdr:rowOff>
    </xdr:to>
    <xdr:sp macro="[0]!UniversalChanger" textlink="">
      <xdr:nvSpPr>
        <xdr:cNvPr id="10" name="go_top_B">
          <a:extLst>
            <a:ext uri="{FF2B5EF4-FFF2-40B4-BE49-F238E27FC236}">
              <a16:creationId xmlns:a16="http://schemas.microsoft.com/office/drawing/2014/main" id="{00000000-0008-0000-0100-00000A000000}"/>
            </a:ext>
          </a:extLst>
        </xdr:cNvPr>
        <xdr:cNvSpPr txBox="1"/>
      </xdr:nvSpPr>
      <xdr:spPr>
        <a:xfrm>
          <a:off x="180976" y="4946737"/>
          <a:ext cx="1066800" cy="253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l" rtl="0">
            <a:defRPr sz="1000"/>
          </a:pPr>
          <a:r>
            <a:rPr lang="en-GB" sz="1100" b="1" i="0" u="sng" strike="noStrike" baseline="0">
              <a:solidFill>
                <a:srgbClr val="0070C0"/>
              </a:solidFill>
              <a:latin typeface="+mn-lt"/>
              <a:ea typeface="Karla" pitchFamily="2" charset="0"/>
            </a:rPr>
            <a:t>Back to top</a:t>
          </a:r>
        </a:p>
      </xdr:txBody>
    </xdr:sp>
    <xdr:clientData fPrintsWithSheet="0"/>
  </xdr:twoCellAnchor>
  <xdr:twoCellAnchor editAs="oneCell">
    <xdr:from>
      <xdr:col>0</xdr:col>
      <xdr:colOff>123825</xdr:colOff>
      <xdr:row>9</xdr:row>
      <xdr:rowOff>85725</xdr:rowOff>
    </xdr:from>
    <xdr:to>
      <xdr:col>8</xdr:col>
      <xdr:colOff>66675</xdr:colOff>
      <xdr:row>25</xdr:row>
      <xdr:rowOff>66674</xdr:rowOff>
    </xdr:to>
    <xdr:sp macro="" textlink="">
      <xdr:nvSpPr>
        <xdr:cNvPr id="11" name="RightBox1">
          <a:extLst>
            <a:ext uri="{FF2B5EF4-FFF2-40B4-BE49-F238E27FC236}">
              <a16:creationId xmlns:a16="http://schemas.microsoft.com/office/drawing/2014/main" id="{00000000-0008-0000-0100-00000B000000}"/>
            </a:ext>
          </a:extLst>
        </xdr:cNvPr>
        <xdr:cNvSpPr>
          <a:spLocks/>
        </xdr:cNvSpPr>
      </xdr:nvSpPr>
      <xdr:spPr>
        <a:xfrm>
          <a:off x="123825" y="1171575"/>
          <a:ext cx="11630025" cy="4610099"/>
        </a:xfrm>
        <a:prstGeom prst="rect">
          <a:avLst/>
        </a:prstGeom>
        <a:no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400" b="1" i="0" u="none" strike="noStrike">
            <a:solidFill>
              <a:schemeClr val="accent1">
                <a:lumMod val="60000"/>
                <a:lumOff val="40000"/>
              </a:schemeClr>
            </a:solidFill>
            <a:latin typeface="Calibri"/>
            <a:cs typeface="Calibri"/>
          </a:endParaRPr>
        </a:p>
      </xdr:txBody>
    </xdr:sp>
    <xdr:clientData/>
  </xdr:twoCellAnchor>
  <xdr:oneCellAnchor>
    <xdr:from>
      <xdr:col>5</xdr:col>
      <xdr:colOff>0</xdr:colOff>
      <xdr:row>22</xdr:row>
      <xdr:rowOff>19050</xdr:rowOff>
    </xdr:from>
    <xdr:ext cx="1524000" cy="360000"/>
    <xdr:sp macro="[0]!LBChanger" textlink="">
      <xdr:nvSpPr>
        <xdr:cNvPr id="12" name="Weights">
          <a:extLst>
            <a:ext uri="{FF2B5EF4-FFF2-40B4-BE49-F238E27FC236}">
              <a16:creationId xmlns:a16="http://schemas.microsoft.com/office/drawing/2014/main" id="{00000000-0008-0000-0100-00000C000000}"/>
            </a:ext>
          </a:extLst>
        </xdr:cNvPr>
        <xdr:cNvSpPr/>
      </xdr:nvSpPr>
      <xdr:spPr>
        <a:xfrm>
          <a:off x="1219200" y="4391025"/>
          <a:ext cx="1524000" cy="360000"/>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100" b="1" i="0" u="none" strike="noStrike">
            <a:solidFill>
              <a:srgbClr val="366092"/>
            </a:solidFill>
            <a:latin typeface="Calibri"/>
            <a:ea typeface="Karla" pitchFamily="2" charset="0"/>
            <a:cs typeface="Calibri"/>
          </a:endParaRPr>
        </a:p>
      </xdr:txBody>
    </xdr:sp>
    <xdr:clientData/>
  </xdr:oneCellAnchor>
  <xdr:oneCellAnchor>
    <xdr:from>
      <xdr:col>5</xdr:col>
      <xdr:colOff>9525</xdr:colOff>
      <xdr:row>14</xdr:row>
      <xdr:rowOff>22223</xdr:rowOff>
    </xdr:from>
    <xdr:ext cx="1524000" cy="360000"/>
    <xdr:sp macro="[0]!LBChanger" textlink="">
      <xdr:nvSpPr>
        <xdr:cNvPr id="39" name="CtyScoreCard">
          <a:extLst>
            <a:ext uri="{FF2B5EF4-FFF2-40B4-BE49-F238E27FC236}">
              <a16:creationId xmlns:a16="http://schemas.microsoft.com/office/drawing/2014/main" id="{00000000-0008-0000-0100-000027000000}"/>
            </a:ext>
          </a:extLst>
        </xdr:cNvPr>
        <xdr:cNvSpPr/>
      </xdr:nvSpPr>
      <xdr:spPr>
        <a:xfrm>
          <a:off x="1228725" y="2031998"/>
          <a:ext cx="1524000" cy="360000"/>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100" b="1" i="0" u="none" strike="noStrike">
            <a:solidFill>
              <a:srgbClr val="366092"/>
            </a:solidFill>
            <a:latin typeface="Calibri"/>
            <a:ea typeface="Karla" pitchFamily="2" charset="0"/>
            <a:cs typeface="Calibri"/>
          </a:endParaRPr>
        </a:p>
      </xdr:txBody>
    </xdr:sp>
    <xdr:clientData/>
  </xdr:oneCellAnchor>
  <xdr:oneCellAnchor>
    <xdr:from>
      <xdr:col>5</xdr:col>
      <xdr:colOff>9525</xdr:colOff>
      <xdr:row>15</xdr:row>
      <xdr:rowOff>22223</xdr:rowOff>
    </xdr:from>
    <xdr:ext cx="1524000" cy="360000"/>
    <xdr:sp macro="[0]!LBChanger" textlink="">
      <xdr:nvSpPr>
        <xdr:cNvPr id="40" name="CCompare">
          <a:extLst>
            <a:ext uri="{FF2B5EF4-FFF2-40B4-BE49-F238E27FC236}">
              <a16:creationId xmlns:a16="http://schemas.microsoft.com/office/drawing/2014/main" id="{00000000-0008-0000-0100-000028000000}"/>
            </a:ext>
          </a:extLst>
        </xdr:cNvPr>
        <xdr:cNvSpPr/>
      </xdr:nvSpPr>
      <xdr:spPr>
        <a:xfrm>
          <a:off x="1228725" y="2412998"/>
          <a:ext cx="1524000" cy="360000"/>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100" b="1" i="0" u="none" strike="noStrike">
            <a:solidFill>
              <a:srgbClr val="366092"/>
            </a:solidFill>
            <a:latin typeface="Calibri"/>
            <a:ea typeface="Karla" pitchFamily="2" charset="0"/>
            <a:cs typeface="Calibri"/>
          </a:endParaRPr>
        </a:p>
      </xdr:txBody>
    </xdr:sp>
    <xdr:clientData/>
  </xdr:oneCellAnchor>
  <xdr:twoCellAnchor editAs="oneCell">
    <xdr:from>
      <xdr:col>4</xdr:col>
      <xdr:colOff>38100</xdr:colOff>
      <xdr:row>11</xdr:row>
      <xdr:rowOff>28575</xdr:rowOff>
    </xdr:from>
    <xdr:to>
      <xdr:col>5</xdr:col>
      <xdr:colOff>1514475</xdr:colOff>
      <xdr:row>12</xdr:row>
      <xdr:rowOff>7575</xdr:rowOff>
    </xdr:to>
    <xdr:sp macro="[0]!LBChanger" textlink="">
      <xdr:nvSpPr>
        <xdr:cNvPr id="41" name="Summary1">
          <a:extLst>
            <a:ext uri="{FF2B5EF4-FFF2-40B4-BE49-F238E27FC236}">
              <a16:creationId xmlns:a16="http://schemas.microsoft.com/office/drawing/2014/main" id="{00000000-0008-0000-0100-000029000000}"/>
            </a:ext>
          </a:extLst>
        </xdr:cNvPr>
        <xdr:cNvSpPr/>
      </xdr:nvSpPr>
      <xdr:spPr>
        <a:xfrm>
          <a:off x="1209675" y="1657350"/>
          <a:ext cx="1524000" cy="360000"/>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100" b="1" i="0" u="none" strike="noStrike">
            <a:solidFill>
              <a:srgbClr val="366092"/>
            </a:solidFill>
            <a:latin typeface="Calibri"/>
            <a:ea typeface="Karla" pitchFamily="2" charset="0"/>
            <a:cs typeface="Calibri"/>
          </a:endParaRPr>
        </a:p>
      </xdr:txBody>
    </xdr:sp>
    <xdr:clientData/>
  </xdr:twoCellAnchor>
  <xdr:twoCellAnchor editAs="absolute">
    <xdr:from>
      <xdr:col>0</xdr:col>
      <xdr:colOff>0</xdr:colOff>
      <xdr:row>0</xdr:row>
      <xdr:rowOff>0</xdr:rowOff>
    </xdr:from>
    <xdr:to>
      <xdr:col>8</xdr:col>
      <xdr:colOff>149225</xdr:colOff>
      <xdr:row>2</xdr:row>
      <xdr:rowOff>0</xdr:rowOff>
    </xdr:to>
    <xdr:grpSp>
      <xdr:nvGrpSpPr>
        <xdr:cNvPr id="4" name="MENU">
          <a:extLst>
            <a:ext uri="{FF2B5EF4-FFF2-40B4-BE49-F238E27FC236}">
              <a16:creationId xmlns:a16="http://schemas.microsoft.com/office/drawing/2014/main" id="{00000000-0008-0000-0100-000004000000}"/>
            </a:ext>
          </a:extLst>
        </xdr:cNvPr>
        <xdr:cNvGrpSpPr/>
      </xdr:nvGrpSpPr>
      <xdr:grpSpPr>
        <a:xfrm>
          <a:off x="0" y="0"/>
          <a:ext cx="11836400" cy="1085850"/>
          <a:chOff x="0" y="0"/>
          <a:chExt cx="11836400" cy="1085850"/>
        </a:xfrm>
      </xdr:grpSpPr>
      <xdr:sp macro="" textlink="">
        <xdr:nvSpPr>
          <xdr:cNvPr id="43" name="nav_controls">
            <a:extLst>
              <a:ext uri="{FF2B5EF4-FFF2-40B4-BE49-F238E27FC236}">
                <a16:creationId xmlns:a16="http://schemas.microsoft.com/office/drawing/2014/main" id="{00000000-0008-0000-0100-00002B000000}"/>
              </a:ext>
            </a:extLst>
          </xdr:cNvPr>
          <xdr:cNvSpPr>
            <a:spLocks/>
          </xdr:cNvSpPr>
        </xdr:nvSpPr>
        <xdr:spPr>
          <a:xfrm>
            <a:off x="4263" y="219075"/>
            <a:ext cx="11832137" cy="866775"/>
          </a:xfrm>
          <a:prstGeom prst="rect">
            <a:avLst/>
          </a:prstGeom>
          <a:solidFill>
            <a:schemeClr val="bg2">
              <a:alpha val="49804"/>
            </a:schemeClr>
          </a:solidFill>
          <a:ln w="6350">
            <a:solidFill>
              <a:schemeClr val="bg2">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solidFill>
                <a:srgbClr val="808080"/>
              </a:solidFill>
              <a:latin typeface="+mn-lt"/>
              <a:ea typeface="Karla" pitchFamily="2" charset="0"/>
            </a:endParaRPr>
          </a:p>
        </xdr:txBody>
      </xdr:sp>
      <xdr:sp macro="" textlink="">
        <xdr:nvSpPr>
          <xdr:cNvPr id="44" name="Home1">
            <a:extLst>
              <a:ext uri="{FF2B5EF4-FFF2-40B4-BE49-F238E27FC236}">
                <a16:creationId xmlns:a16="http://schemas.microsoft.com/office/drawing/2014/main" id="{00000000-0008-0000-0100-00002C000000}"/>
              </a:ext>
            </a:extLst>
          </xdr:cNvPr>
          <xdr:cNvSpPr>
            <a:spLocks/>
          </xdr:cNvSpPr>
        </xdr:nvSpPr>
        <xdr:spPr>
          <a:xfrm>
            <a:off x="0" y="0"/>
            <a:ext cx="937384" cy="290513"/>
          </a:xfrm>
          <a:prstGeom prst="rect">
            <a:avLst/>
          </a:prstGeom>
          <a:solidFill>
            <a:schemeClr val="bg1"/>
          </a:solidFill>
          <a:ln w="952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a:solidFill>
                <a:srgbClr val="808080"/>
              </a:solidFill>
              <a:latin typeface="+mn-lt"/>
              <a:ea typeface="Karla" pitchFamily="2" charset="0"/>
              <a:cs typeface="DilleniaUPC" pitchFamily="18" charset="-34"/>
            </a:endParaRPr>
          </a:p>
        </xdr:txBody>
      </xdr:sp>
      <xdr:sp macro="" textlink="">
        <xdr:nvSpPr>
          <xdr:cNvPr id="45" name="Oval 44">
            <a:extLst>
              <a:ext uri="{FF2B5EF4-FFF2-40B4-BE49-F238E27FC236}">
                <a16:creationId xmlns:a16="http://schemas.microsoft.com/office/drawing/2014/main" id="{00000000-0008-0000-0100-00002D000000}"/>
              </a:ext>
            </a:extLst>
          </xdr:cNvPr>
          <xdr:cNvSpPr>
            <a:spLocks/>
          </xdr:cNvSpPr>
        </xdr:nvSpPr>
        <xdr:spPr>
          <a:xfrm>
            <a:off x="347060" y="29969"/>
            <a:ext cx="236673" cy="230074"/>
          </a:xfrm>
          <a:prstGeom prst="ellipse">
            <a:avLst/>
          </a:prstGeom>
          <a:solidFill>
            <a:schemeClr val="accent5">
              <a:lumMod val="50000"/>
            </a:schemeClr>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rgbClr val="808080"/>
              </a:solidFill>
              <a:latin typeface="Calibri"/>
              <a:cs typeface="Calibri"/>
            </a:endParaRPr>
          </a:p>
        </xdr:txBody>
      </xdr:sp>
      <xdr:pic macro="[0]!LBChanger">
        <xdr:nvPicPr>
          <xdr:cNvPr id="46" name="Home" descr="Home.png">
            <a:extLst>
              <a:ext uri="{FF2B5EF4-FFF2-40B4-BE49-F238E27FC236}">
                <a16:creationId xmlns:a16="http://schemas.microsoft.com/office/drawing/2014/main" id="{00000000-0008-0000-0100-00002E000000}"/>
              </a:ext>
            </a:extLst>
          </xdr:cNvPr>
          <xdr:cNvPicPr>
            <a:picLocks/>
          </xdr:cNvPicPr>
        </xdr:nvPicPr>
        <xdr:blipFill>
          <a:blip xmlns:r="http://schemas.openxmlformats.org/officeDocument/2006/relationships" r:embed="rId1" cstate="print"/>
          <a:stretch>
            <a:fillRect/>
          </a:stretch>
        </xdr:blipFill>
        <xdr:spPr>
          <a:xfrm>
            <a:off x="53200" y="20741"/>
            <a:ext cx="254878" cy="247773"/>
          </a:xfrm>
          <a:prstGeom prst="rect">
            <a:avLst/>
          </a:prstGeom>
          <a:noFill/>
          <a:ln>
            <a:noFill/>
          </a:ln>
        </xdr:spPr>
      </xdr:pic>
      <xdr:pic macro="[0]!UniversalChanger">
        <xdr:nvPicPr>
          <xdr:cNvPr id="47" name="NavBack" descr="Silver-Back-Button.png">
            <a:extLst>
              <a:ext uri="{FF2B5EF4-FFF2-40B4-BE49-F238E27FC236}">
                <a16:creationId xmlns:a16="http://schemas.microsoft.com/office/drawing/2014/main" id="{00000000-0008-0000-0100-00002F000000}"/>
              </a:ext>
            </a:extLst>
          </xdr:cNvPr>
          <xdr:cNvPicPr>
            <a:picLocks/>
          </xdr:cNvPicPr>
        </xdr:nvPicPr>
        <xdr:blipFill>
          <a:blip xmlns:r="http://schemas.openxmlformats.org/officeDocument/2006/relationships" r:embed="rId2" cstate="print"/>
          <a:stretch>
            <a:fillRect/>
          </a:stretch>
        </xdr:blipFill>
        <xdr:spPr>
          <a:xfrm>
            <a:off x="621903" y="20741"/>
            <a:ext cx="254878" cy="247773"/>
          </a:xfrm>
          <a:prstGeom prst="rect">
            <a:avLst/>
          </a:prstGeom>
          <a:noFill/>
          <a:ln>
            <a:noFill/>
          </a:ln>
        </xdr:spPr>
      </xdr:pic>
      <xdr:sp macro="" textlink="uxb_works!B92">
        <xdr:nvSpPr>
          <xdr:cNvPr id="48" name="Home1">
            <a:extLst>
              <a:ext uri="{FF2B5EF4-FFF2-40B4-BE49-F238E27FC236}">
                <a16:creationId xmlns:a16="http://schemas.microsoft.com/office/drawing/2014/main" id="{00000000-0008-0000-0100-000030000000}"/>
              </a:ext>
            </a:extLst>
          </xdr:cNvPr>
          <xdr:cNvSpPr>
            <a:spLocks/>
          </xdr:cNvSpPr>
        </xdr:nvSpPr>
        <xdr:spPr>
          <a:xfrm>
            <a:off x="936568" y="0"/>
            <a:ext cx="10895773" cy="288000"/>
          </a:xfrm>
          <a:prstGeom prst="rect">
            <a:avLst/>
          </a:prstGeom>
          <a:solidFill>
            <a:srgbClr val="FFFFFF"/>
          </a:solidFill>
          <a:ln w="317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DF606BA0-6E14-4859-A5ED-3649E8B86AAC}" type="TxLink">
              <a:rPr lang="en-US" sz="1600" b="1" i="0" u="none" strike="noStrike">
                <a:solidFill>
                  <a:schemeClr val="accent5">
                    <a:lumMod val="50000"/>
                  </a:schemeClr>
                </a:solidFill>
                <a:latin typeface="Calibri"/>
                <a:ea typeface="Karla" pitchFamily="2" charset="0"/>
                <a:cs typeface="Calibri"/>
              </a:rPr>
              <a:pPr algn="l"/>
              <a:t>Digital Cities Index</a:t>
            </a:fld>
            <a:endParaRPr lang="en-GB" sz="1200" b="1">
              <a:solidFill>
                <a:schemeClr val="accent5">
                  <a:lumMod val="50000"/>
                </a:schemeClr>
              </a:solidFill>
              <a:latin typeface="+mn-lt"/>
              <a:ea typeface="Karla" pitchFamily="2" charset="0"/>
              <a:cs typeface="DilleniaUPC" pitchFamily="18" charset="-34"/>
            </a:endParaRPr>
          </a:p>
        </xdr:txBody>
      </xdr:sp>
      <xdr:pic macro="[0]!LBChanger">
        <xdr:nvPicPr>
          <xdr:cNvPr id="49" name="Contents" descr="ii_jgc3wl5q0_162f2138d6ded0cc">
            <a:extLst>
              <a:ext uri="{FF2B5EF4-FFF2-40B4-BE49-F238E27FC236}">
                <a16:creationId xmlns:a16="http://schemas.microsoft.com/office/drawing/2014/main" id="{00000000-0008-0000-0100-000031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7618" y="20741"/>
            <a:ext cx="260608" cy="248400"/>
          </a:xfrm>
          <a:prstGeom prst="rect">
            <a:avLst/>
          </a:prstGeom>
          <a:noFill/>
          <a:ln>
            <a:noFill/>
          </a:ln>
        </xdr:spPr>
      </xdr:pic>
      <xdr:sp macro="" textlink="">
        <xdr:nvSpPr>
          <xdr:cNvPr id="51" name="nav_controls">
            <a:extLst>
              <a:ext uri="{FF2B5EF4-FFF2-40B4-BE49-F238E27FC236}">
                <a16:creationId xmlns:a16="http://schemas.microsoft.com/office/drawing/2014/main" id="{00000000-0008-0000-0100-000033000000}"/>
              </a:ext>
            </a:extLst>
          </xdr:cNvPr>
          <xdr:cNvSpPr>
            <a:spLocks/>
          </xdr:cNvSpPr>
        </xdr:nvSpPr>
        <xdr:spPr>
          <a:xfrm>
            <a:off x="7091375" y="461958"/>
            <a:ext cx="2647950" cy="54000"/>
          </a:xfrm>
          <a:prstGeom prst="rect">
            <a:avLst/>
          </a:prstGeom>
          <a:solidFill>
            <a:srgbClr val="9EB3BE"/>
          </a:solidFill>
          <a:ln w="6350">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000" b="1" i="0" u="none" strike="noStrike">
              <a:solidFill>
                <a:sysClr val="windowText" lastClr="000000"/>
              </a:solidFill>
              <a:latin typeface="Calibri"/>
              <a:cs typeface="Calibri"/>
            </a:endParaRPr>
          </a:p>
        </xdr:txBody>
      </xdr:sp>
      <xdr:sp macro="" textlink="">
        <xdr:nvSpPr>
          <xdr:cNvPr id="52" name="nav_controls">
            <a:extLst>
              <a:ext uri="{FF2B5EF4-FFF2-40B4-BE49-F238E27FC236}">
                <a16:creationId xmlns:a16="http://schemas.microsoft.com/office/drawing/2014/main" id="{00000000-0008-0000-0100-000034000000}"/>
              </a:ext>
            </a:extLst>
          </xdr:cNvPr>
          <xdr:cNvSpPr>
            <a:spLocks/>
          </xdr:cNvSpPr>
        </xdr:nvSpPr>
        <xdr:spPr>
          <a:xfrm>
            <a:off x="9215438" y="461958"/>
            <a:ext cx="2614081" cy="54000"/>
          </a:xfrm>
          <a:prstGeom prst="rect">
            <a:avLst/>
          </a:prstGeom>
          <a:solidFill>
            <a:srgbClr val="B5D5E5"/>
          </a:solidFill>
          <a:ln w="6350">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000" b="1" i="0" u="none" strike="noStrike">
              <a:solidFill>
                <a:sysClr val="windowText" lastClr="000000"/>
              </a:solidFill>
              <a:latin typeface="Calibri"/>
              <a:cs typeface="Calibri"/>
            </a:endParaRPr>
          </a:p>
        </xdr:txBody>
      </xdr:sp>
      <xdr:sp macro="" textlink="">
        <xdr:nvSpPr>
          <xdr:cNvPr id="53" name="nav_controls">
            <a:extLst>
              <a:ext uri="{FF2B5EF4-FFF2-40B4-BE49-F238E27FC236}">
                <a16:creationId xmlns:a16="http://schemas.microsoft.com/office/drawing/2014/main" id="{00000000-0008-0000-0100-000035000000}"/>
              </a:ext>
            </a:extLst>
          </xdr:cNvPr>
          <xdr:cNvSpPr>
            <a:spLocks/>
          </xdr:cNvSpPr>
        </xdr:nvSpPr>
        <xdr:spPr>
          <a:xfrm>
            <a:off x="0" y="466725"/>
            <a:ext cx="7081838" cy="52408"/>
          </a:xfrm>
          <a:prstGeom prst="rect">
            <a:avLst/>
          </a:prstGeom>
          <a:solidFill>
            <a:srgbClr val="2B5464"/>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b="1" i="0" u="none" strike="noStrike">
              <a:solidFill>
                <a:schemeClr val="bg1"/>
              </a:solidFill>
              <a:latin typeface="Calibri"/>
              <a:cs typeface="Calibri"/>
            </a:endParaRPr>
          </a:p>
        </xdr:txBody>
      </xdr:sp>
      <xdr:grpSp>
        <xdr:nvGrpSpPr>
          <xdr:cNvPr id="35" name="Group 34">
            <a:extLst>
              <a:ext uri="{FF2B5EF4-FFF2-40B4-BE49-F238E27FC236}">
                <a16:creationId xmlns:a16="http://schemas.microsoft.com/office/drawing/2014/main" id="{00000000-0008-0000-0100-000023000000}"/>
              </a:ext>
            </a:extLst>
          </xdr:cNvPr>
          <xdr:cNvGrpSpPr/>
        </xdr:nvGrpSpPr>
        <xdr:grpSpPr>
          <a:xfrm>
            <a:off x="0" y="285750"/>
            <a:ext cx="11814575" cy="180261"/>
            <a:chOff x="0" y="285489"/>
            <a:chExt cx="13173477" cy="180261"/>
          </a:xfrm>
        </xdr:grpSpPr>
        <xdr:sp macro="[0]!LBChanger" textlink="uxb_works!B100">
          <xdr:nvSpPr>
            <xdr:cNvPr id="36" name="Correlations">
              <a:extLst>
                <a:ext uri="{FF2B5EF4-FFF2-40B4-BE49-F238E27FC236}">
                  <a16:creationId xmlns:a16="http://schemas.microsoft.com/office/drawing/2014/main" id="{00000000-0008-0000-0100-000024000000}"/>
                </a:ext>
              </a:extLst>
            </xdr:cNvPr>
            <xdr:cNvSpPr>
              <a:spLocks/>
            </xdr:cNvSpPr>
          </xdr:nvSpPr>
          <xdr:spPr>
            <a:xfrm>
              <a:off x="9225833"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0D08B5CF-F601-4334-9688-6B186F573CBA}" type="TxLink">
                <a:rPr lang="en-US" sz="900" b="1" i="0" u="none" strike="noStrike">
                  <a:solidFill>
                    <a:schemeClr val="accent5">
                      <a:lumMod val="50000"/>
                    </a:schemeClr>
                  </a:solidFill>
                  <a:latin typeface="Calibri"/>
                  <a:ea typeface="Karla" pitchFamily="2" charset="0"/>
                  <a:cs typeface="Calibri"/>
                </a:rPr>
                <a:pPr algn="ctr"/>
                <a:t>CORRELATIONS</a:t>
              </a:fld>
              <a:endParaRPr lang="en-GB" sz="900" b="1">
                <a:solidFill>
                  <a:schemeClr val="accent5">
                    <a:lumMod val="50000"/>
                  </a:schemeClr>
                </a:solidFill>
                <a:latin typeface="+mn-lt"/>
                <a:ea typeface="Karla" pitchFamily="2" charset="0"/>
              </a:endParaRPr>
            </a:p>
          </xdr:txBody>
        </xdr:sp>
        <xdr:sp macro="[0]!LBChanger" textlink="uxb_works!B99">
          <xdr:nvSpPr>
            <xdr:cNvPr id="37" name="Scatter">
              <a:extLst>
                <a:ext uri="{FF2B5EF4-FFF2-40B4-BE49-F238E27FC236}">
                  <a16:creationId xmlns:a16="http://schemas.microsoft.com/office/drawing/2014/main" id="{00000000-0008-0000-0100-000025000000}"/>
                </a:ext>
              </a:extLst>
            </xdr:cNvPr>
            <xdr:cNvSpPr>
              <a:spLocks/>
            </xdr:cNvSpPr>
          </xdr:nvSpPr>
          <xdr:spPr>
            <a:xfrm>
              <a:off x="7903939" y="285940"/>
              <a:ext cx="1320074"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8DE1D7F-61C0-4422-A1B6-E89A6501ED1F}" type="TxLink">
                <a:rPr lang="en-US" sz="900" b="1" i="0" u="none" strike="noStrike">
                  <a:solidFill>
                    <a:schemeClr val="accent5">
                      <a:lumMod val="50000"/>
                    </a:schemeClr>
                  </a:solidFill>
                  <a:latin typeface="Calibri"/>
                  <a:ea typeface="Karla" pitchFamily="2" charset="0"/>
                  <a:cs typeface="Calibri"/>
                </a:rPr>
                <a:pPr algn="ctr"/>
                <a:t>SCATTER</a:t>
              </a:fld>
              <a:endParaRPr lang="en-GB" sz="900" b="1">
                <a:solidFill>
                  <a:schemeClr val="accent5">
                    <a:lumMod val="50000"/>
                  </a:schemeClr>
                </a:solidFill>
                <a:latin typeface="+mn-lt"/>
                <a:ea typeface="Karla" pitchFamily="2" charset="0"/>
              </a:endParaRPr>
            </a:p>
          </xdr:txBody>
        </xdr:sp>
        <xdr:sp macro="[0]!LBChanger" textlink="uxb_works!B101">
          <xdr:nvSpPr>
            <xdr:cNvPr id="38" name="Scores">
              <a:extLst>
                <a:ext uri="{FF2B5EF4-FFF2-40B4-BE49-F238E27FC236}">
                  <a16:creationId xmlns:a16="http://schemas.microsoft.com/office/drawing/2014/main" id="{00000000-0008-0000-0100-000026000000}"/>
                </a:ext>
              </a:extLst>
            </xdr:cNvPr>
            <xdr:cNvSpPr>
              <a:spLocks/>
            </xdr:cNvSpPr>
          </xdr:nvSpPr>
          <xdr:spPr>
            <a:xfrm>
              <a:off x="10540783"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5165ACF-6EE1-4F74-8FDB-F21F37E9E6FB}" type="TxLink">
                <a:rPr lang="en-US" sz="900" b="1" i="0" u="none" strike="noStrike">
                  <a:solidFill>
                    <a:schemeClr val="accent5">
                      <a:lumMod val="50000"/>
                    </a:schemeClr>
                  </a:solidFill>
                  <a:latin typeface="Calibri"/>
                  <a:ea typeface="Karla" pitchFamily="2" charset="0"/>
                  <a:cs typeface="Calibri"/>
                </a:rPr>
                <a:pPr algn="ctr"/>
                <a:t>DATA / SCORES</a:t>
              </a:fld>
              <a:endParaRPr lang="en-GB" sz="900" b="1">
                <a:solidFill>
                  <a:schemeClr val="accent5">
                    <a:lumMod val="50000"/>
                  </a:schemeClr>
                </a:solidFill>
                <a:latin typeface="+mn-lt"/>
                <a:ea typeface="Karla" pitchFamily="2" charset="0"/>
              </a:endParaRPr>
            </a:p>
          </xdr:txBody>
        </xdr:sp>
        <xdr:sp macro="[0]!LBChanger" textlink="uxb_works!B102">
          <xdr:nvSpPr>
            <xdr:cNvPr id="63" name="Weights">
              <a:extLst>
                <a:ext uri="{FF2B5EF4-FFF2-40B4-BE49-F238E27FC236}">
                  <a16:creationId xmlns:a16="http://schemas.microsoft.com/office/drawing/2014/main" id="{00000000-0008-0000-0100-00003F000000}"/>
                </a:ext>
              </a:extLst>
            </xdr:cNvPr>
            <xdr:cNvSpPr>
              <a:spLocks/>
            </xdr:cNvSpPr>
          </xdr:nvSpPr>
          <xdr:spPr>
            <a:xfrm>
              <a:off x="11855698"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43627509-C0BB-4D16-AADD-A85AC599D44F}" type="TxLink">
                <a:rPr lang="en-US" sz="900" b="1" i="0" u="none" strike="noStrike">
                  <a:solidFill>
                    <a:schemeClr val="accent5">
                      <a:lumMod val="50000"/>
                    </a:schemeClr>
                  </a:solidFill>
                  <a:latin typeface="Calibri"/>
                  <a:ea typeface="Karla" pitchFamily="2" charset="0"/>
                  <a:cs typeface="Calibri"/>
                </a:rPr>
                <a:pPr algn="ctr"/>
                <a:t>WEIGHTS</a:t>
              </a:fld>
              <a:endParaRPr lang="en-GB" sz="900" b="1">
                <a:solidFill>
                  <a:schemeClr val="accent5">
                    <a:lumMod val="50000"/>
                  </a:schemeClr>
                </a:solidFill>
                <a:latin typeface="+mn-lt"/>
                <a:ea typeface="Karla" pitchFamily="2" charset="0"/>
              </a:endParaRPr>
            </a:p>
          </xdr:txBody>
        </xdr:sp>
        <xdr:sp macro="[0]!LBChanger" textlink="uxb_works!B95">
          <xdr:nvSpPr>
            <xdr:cNvPr id="64" name="Summary1">
              <a:extLst>
                <a:ext uri="{FF2B5EF4-FFF2-40B4-BE49-F238E27FC236}">
                  <a16:creationId xmlns:a16="http://schemas.microsoft.com/office/drawing/2014/main" id="{00000000-0008-0000-0100-000040000000}"/>
                </a:ext>
              </a:extLst>
            </xdr:cNvPr>
            <xdr:cNvSpPr>
              <a:spLocks/>
            </xdr:cNvSpPr>
          </xdr:nvSpPr>
          <xdr:spPr>
            <a:xfrm>
              <a:off x="0"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A5241822-14D3-4854-9411-CFDDA1D4CE0A}" type="TxLink">
                <a:rPr lang="en-US" sz="900" b="1" i="0" u="none" strike="noStrike">
                  <a:solidFill>
                    <a:schemeClr val="accent5">
                      <a:lumMod val="50000"/>
                    </a:schemeClr>
                  </a:solidFill>
                  <a:latin typeface="Calibri"/>
                  <a:ea typeface="Karla" pitchFamily="2" charset="0"/>
                  <a:cs typeface="Calibri"/>
                </a:rPr>
                <a:pPr algn="ctr"/>
                <a:t>SUMMARY</a:t>
              </a:fld>
              <a:endParaRPr lang="en-GB" sz="900" b="1">
                <a:solidFill>
                  <a:schemeClr val="accent5">
                    <a:lumMod val="50000"/>
                  </a:schemeClr>
                </a:solidFill>
                <a:latin typeface="+mn-lt"/>
                <a:ea typeface="Karla" pitchFamily="2" charset="0"/>
              </a:endParaRPr>
            </a:p>
          </xdr:txBody>
        </xdr:sp>
        <xdr:sp macro="[0]!LBChanger" textlink="uxb_works!B96">
          <xdr:nvSpPr>
            <xdr:cNvPr id="65" name="Indicator_Ranking">
              <a:extLst>
                <a:ext uri="{FF2B5EF4-FFF2-40B4-BE49-F238E27FC236}">
                  <a16:creationId xmlns:a16="http://schemas.microsoft.com/office/drawing/2014/main" id="{00000000-0008-0000-0100-000041000000}"/>
                </a:ext>
              </a:extLst>
            </xdr:cNvPr>
            <xdr:cNvSpPr>
              <a:spLocks/>
            </xdr:cNvSpPr>
          </xdr:nvSpPr>
          <xdr:spPr>
            <a:xfrm>
              <a:off x="1319392"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1D205C57-4D69-4B9A-8D11-5E0B7527B9E2}" type="TxLink">
                <a:rPr lang="en-US" sz="900" b="1" i="0" u="none" strike="noStrike">
                  <a:solidFill>
                    <a:schemeClr val="accent5">
                      <a:lumMod val="50000"/>
                    </a:schemeClr>
                  </a:solidFill>
                  <a:latin typeface="Calibri"/>
                  <a:ea typeface="Karla" pitchFamily="2" charset="0"/>
                  <a:cs typeface="Calibri"/>
                </a:rPr>
                <a:pPr algn="ctr"/>
                <a:t>INDICATOR RANKING</a:t>
              </a:fld>
              <a:endParaRPr lang="en-GB" sz="900" b="1">
                <a:solidFill>
                  <a:schemeClr val="accent5">
                    <a:lumMod val="50000"/>
                  </a:schemeClr>
                </a:solidFill>
                <a:latin typeface="+mn-lt"/>
                <a:ea typeface="Karla" pitchFamily="2" charset="0"/>
              </a:endParaRPr>
            </a:p>
          </xdr:txBody>
        </xdr:sp>
        <xdr:sp macro="[0]!LBChanger" textlink="uxb_works!B98">
          <xdr:nvSpPr>
            <xdr:cNvPr id="66" name="CCompare">
              <a:extLst>
                <a:ext uri="{FF2B5EF4-FFF2-40B4-BE49-F238E27FC236}">
                  <a16:creationId xmlns:a16="http://schemas.microsoft.com/office/drawing/2014/main" id="{00000000-0008-0000-0100-000042000000}"/>
                </a:ext>
              </a:extLst>
            </xdr:cNvPr>
            <xdr:cNvSpPr>
              <a:spLocks/>
            </xdr:cNvSpPr>
          </xdr:nvSpPr>
          <xdr:spPr>
            <a:xfrm>
              <a:off x="5256659" y="285940"/>
              <a:ext cx="132486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829603AF-0DD8-4C72-8452-B09DB6262544}" type="TxLink">
                <a:rPr lang="en-US" sz="900" b="1" i="0" u="none" strike="noStrike">
                  <a:solidFill>
                    <a:schemeClr val="accent5">
                      <a:lumMod val="50000"/>
                    </a:schemeClr>
                  </a:solidFill>
                  <a:latin typeface="Calibri"/>
                  <a:ea typeface="Karla" pitchFamily="2" charset="0"/>
                  <a:cs typeface="Calibri"/>
                </a:rPr>
                <a:pPr algn="ctr"/>
                <a:t>CITY COMPARE</a:t>
              </a:fld>
              <a:endParaRPr lang="en-GB" sz="900" b="1">
                <a:solidFill>
                  <a:schemeClr val="accent5">
                    <a:lumMod val="50000"/>
                  </a:schemeClr>
                </a:solidFill>
                <a:latin typeface="+mn-lt"/>
                <a:ea typeface="Karla" pitchFamily="2" charset="0"/>
              </a:endParaRPr>
            </a:p>
          </xdr:txBody>
        </xdr:sp>
        <xdr:sp macro="[0]!LBChanger" textlink="uxb_works!B97">
          <xdr:nvSpPr>
            <xdr:cNvPr id="67" name="CtyScoreCard">
              <a:extLst>
                <a:ext uri="{FF2B5EF4-FFF2-40B4-BE49-F238E27FC236}">
                  <a16:creationId xmlns:a16="http://schemas.microsoft.com/office/drawing/2014/main" id="{00000000-0008-0000-0100-000043000000}"/>
                </a:ext>
              </a:extLst>
            </xdr:cNvPr>
            <xdr:cNvSpPr>
              <a:spLocks/>
            </xdr:cNvSpPr>
          </xdr:nvSpPr>
          <xdr:spPr>
            <a:xfrm>
              <a:off x="3943666" y="285489"/>
              <a:ext cx="1317779" cy="180261"/>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fld id="{5B2B5046-96B7-4EDE-9DD8-D97FF7695B86}" type="TxLink">
                <a:rPr lang="en-US" sz="900" b="1" i="0" u="none" strike="noStrike">
                  <a:solidFill>
                    <a:schemeClr val="accent5">
                      <a:lumMod val="50000"/>
                    </a:schemeClr>
                  </a:solidFill>
                  <a:latin typeface="Calibri"/>
                  <a:ea typeface="Karla" pitchFamily="2" charset="0"/>
                  <a:cs typeface="Calibri"/>
                </a:rPr>
                <a:pPr algn="ctr"/>
                <a:t>CITY SCORECARD</a:t>
              </a:fld>
              <a:endParaRPr lang="en-GB" sz="900" b="1">
                <a:solidFill>
                  <a:schemeClr val="accent5">
                    <a:lumMod val="50000"/>
                  </a:schemeClr>
                </a:solidFill>
                <a:latin typeface="+mn-lt"/>
                <a:ea typeface="Karla" pitchFamily="2" charset="0"/>
              </a:endParaRPr>
            </a:p>
          </xdr:txBody>
        </xdr:sp>
        <xdr:sp macro="[0]!LBChanger" textlink="uxb_works!B103">
          <xdr:nvSpPr>
            <xdr:cNvPr id="68" name="RegionCompare">
              <a:extLst>
                <a:ext uri="{FF2B5EF4-FFF2-40B4-BE49-F238E27FC236}">
                  <a16:creationId xmlns:a16="http://schemas.microsoft.com/office/drawing/2014/main" id="{00000000-0008-0000-0100-000044000000}"/>
                </a:ext>
              </a:extLst>
            </xdr:cNvPr>
            <xdr:cNvSpPr>
              <a:spLocks/>
            </xdr:cNvSpPr>
          </xdr:nvSpPr>
          <xdr:spPr>
            <a:xfrm>
              <a:off x="6578664" y="285940"/>
              <a:ext cx="132486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51E55FBF-FB84-41A1-976B-235AB148A85F}" type="TxLink">
                <a:rPr lang="en-US" sz="900" b="1" i="0" u="none" strike="noStrike">
                  <a:solidFill>
                    <a:schemeClr val="accent5">
                      <a:lumMod val="50000"/>
                    </a:schemeClr>
                  </a:solidFill>
                  <a:latin typeface="Calibri"/>
                  <a:ea typeface="Karla" pitchFamily="2" charset="0"/>
                  <a:cs typeface="Calibri"/>
                </a:rPr>
                <a:pPr algn="ctr"/>
                <a:t>REGION COMPARE</a:t>
              </a:fld>
              <a:endParaRPr lang="en-GB" sz="900" b="1">
                <a:solidFill>
                  <a:schemeClr val="accent5">
                    <a:lumMod val="50000"/>
                  </a:schemeClr>
                </a:solidFill>
                <a:latin typeface="+mn-lt"/>
                <a:ea typeface="Karla" pitchFamily="2" charset="0"/>
              </a:endParaRPr>
            </a:p>
          </xdr:txBody>
        </xdr:sp>
        <xdr:sp macro="[0]!LBChanger" textlink="uxb_works!B104">
          <xdr:nvSpPr>
            <xdr:cNvPr id="69" name="CProfile">
              <a:extLst>
                <a:ext uri="{FF2B5EF4-FFF2-40B4-BE49-F238E27FC236}">
                  <a16:creationId xmlns:a16="http://schemas.microsoft.com/office/drawing/2014/main" id="{00000000-0008-0000-0100-000045000000}"/>
                </a:ext>
              </a:extLst>
            </xdr:cNvPr>
            <xdr:cNvSpPr>
              <a:spLocks/>
            </xdr:cNvSpPr>
          </xdr:nvSpPr>
          <xdr:spPr>
            <a:xfrm>
              <a:off x="2635250" y="285489"/>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62C1403F-D06F-4F81-B666-49A22A849932}" type="TxLink">
                <a:rPr lang="en-US" sz="900" b="1" i="0" u="none" strike="noStrike">
                  <a:solidFill>
                    <a:srgbClr val="366092"/>
                  </a:solidFill>
                  <a:latin typeface="Calibri"/>
                  <a:ea typeface="Karla" pitchFamily="2" charset="0"/>
                  <a:cs typeface="Calibri"/>
                </a:rPr>
                <a:pPr algn="ctr"/>
                <a:t>CITY PROFILE</a:t>
              </a:fld>
              <a:endParaRPr lang="en-GB" sz="900" b="1">
                <a:solidFill>
                  <a:schemeClr val="accent5">
                    <a:lumMod val="50000"/>
                  </a:schemeClr>
                </a:solidFill>
                <a:latin typeface="+mn-lt"/>
                <a:ea typeface="Karla" pitchFamily="2" charset="0"/>
              </a:endParaRPr>
            </a:p>
          </xdr:txBody>
        </xdr:sp>
      </xdr:grpSp>
    </xdr:grpSp>
    <xdr:clientData/>
  </xdr:twoCellAnchor>
  <xdr:twoCellAnchor editAs="oneCell">
    <xdr:from>
      <xdr:col>5</xdr:col>
      <xdr:colOff>0</xdr:colOff>
      <xdr:row>13</xdr:row>
      <xdr:rowOff>0</xdr:rowOff>
    </xdr:from>
    <xdr:to>
      <xdr:col>5</xdr:col>
      <xdr:colOff>1524000</xdr:colOff>
      <xdr:row>13</xdr:row>
      <xdr:rowOff>360000</xdr:rowOff>
    </xdr:to>
    <xdr:sp macro="[0]!LBChanger" textlink="">
      <xdr:nvSpPr>
        <xdr:cNvPr id="70" name="CProfile">
          <a:extLst>
            <a:ext uri="{FF2B5EF4-FFF2-40B4-BE49-F238E27FC236}">
              <a16:creationId xmlns:a16="http://schemas.microsoft.com/office/drawing/2014/main" id="{00000000-0008-0000-0100-000046000000}"/>
            </a:ext>
          </a:extLst>
        </xdr:cNvPr>
        <xdr:cNvSpPr/>
      </xdr:nvSpPr>
      <xdr:spPr>
        <a:xfrm>
          <a:off x="1219200" y="2514600"/>
          <a:ext cx="1524000" cy="360000"/>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100" b="1" i="0" u="none" strike="noStrike">
            <a:solidFill>
              <a:srgbClr val="366092"/>
            </a:solidFill>
            <a:latin typeface="Calibri"/>
            <a:ea typeface="Karla" pitchFamily="2" charset="0"/>
            <a:cs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12</xdr:row>
      <xdr:rowOff>0</xdr:rowOff>
    </xdr:from>
    <xdr:to>
      <xdr:col>14</xdr:col>
      <xdr:colOff>9525</xdr:colOff>
      <xdr:row>14</xdr:row>
      <xdr:rowOff>9525</xdr:rowOff>
    </xdr:to>
    <xdr:sp macro="[0]!Summary_Long" textlink="">
      <xdr:nvSpPr>
        <xdr:cNvPr id="2" name="2">
          <a:extLst>
            <a:ext uri="{FF2B5EF4-FFF2-40B4-BE49-F238E27FC236}">
              <a16:creationId xmlns:a16="http://schemas.microsoft.com/office/drawing/2014/main" id="{00000000-0008-0000-0200-000002000000}"/>
            </a:ext>
          </a:extLst>
        </xdr:cNvPr>
        <xdr:cNvSpPr/>
      </xdr:nvSpPr>
      <xdr:spPr>
        <a:xfrm>
          <a:off x="3286125" y="1857375"/>
          <a:ext cx="2619375" cy="695325"/>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i="0" u="none" strike="noStrike">
              <a:solidFill>
                <a:schemeClr val="accent1">
                  <a:lumMod val="60000"/>
                  <a:lumOff val="40000"/>
                </a:schemeClr>
              </a:solidFill>
              <a:latin typeface="Calibri"/>
              <a:cs typeface="Calibri"/>
            </a:rPr>
            <a:t>		</a:t>
          </a:r>
        </a:p>
      </xdr:txBody>
    </xdr:sp>
    <xdr:clientData/>
  </xdr:twoCellAnchor>
  <xdr:twoCellAnchor>
    <xdr:from>
      <xdr:col>15</xdr:col>
      <xdr:colOff>0</xdr:colOff>
      <xdr:row>12</xdr:row>
      <xdr:rowOff>9525</xdr:rowOff>
    </xdr:from>
    <xdr:to>
      <xdr:col>21</xdr:col>
      <xdr:colOff>9525</xdr:colOff>
      <xdr:row>14</xdr:row>
      <xdr:rowOff>19050</xdr:rowOff>
    </xdr:to>
    <xdr:sp macro="[0]!Summary_Long" textlink="">
      <xdr:nvSpPr>
        <xdr:cNvPr id="3" name="3">
          <a:extLst>
            <a:ext uri="{FF2B5EF4-FFF2-40B4-BE49-F238E27FC236}">
              <a16:creationId xmlns:a16="http://schemas.microsoft.com/office/drawing/2014/main" id="{00000000-0008-0000-0200-000003000000}"/>
            </a:ext>
          </a:extLst>
        </xdr:cNvPr>
        <xdr:cNvSpPr/>
      </xdr:nvSpPr>
      <xdr:spPr>
        <a:xfrm>
          <a:off x="6153150" y="1866900"/>
          <a:ext cx="2619375" cy="695325"/>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chemeClr val="accent1">
                <a:lumMod val="60000"/>
                <a:lumOff val="40000"/>
              </a:schemeClr>
            </a:solidFill>
            <a:latin typeface="Calibri"/>
            <a:cs typeface="Calibri"/>
          </a:endParaRPr>
        </a:p>
      </xdr:txBody>
    </xdr:sp>
    <xdr:clientData/>
  </xdr:twoCellAnchor>
  <xdr:twoCellAnchor>
    <xdr:from>
      <xdr:col>22</xdr:col>
      <xdr:colOff>0</xdr:colOff>
      <xdr:row>12</xdr:row>
      <xdr:rowOff>9525</xdr:rowOff>
    </xdr:from>
    <xdr:to>
      <xdr:col>28</xdr:col>
      <xdr:colOff>0</xdr:colOff>
      <xdr:row>14</xdr:row>
      <xdr:rowOff>19050</xdr:rowOff>
    </xdr:to>
    <xdr:sp macro="[0]!Summary_Long" textlink="">
      <xdr:nvSpPr>
        <xdr:cNvPr id="4" name="4">
          <a:extLst>
            <a:ext uri="{FF2B5EF4-FFF2-40B4-BE49-F238E27FC236}">
              <a16:creationId xmlns:a16="http://schemas.microsoft.com/office/drawing/2014/main" id="{00000000-0008-0000-0200-000004000000}"/>
            </a:ext>
          </a:extLst>
        </xdr:cNvPr>
        <xdr:cNvSpPr/>
      </xdr:nvSpPr>
      <xdr:spPr>
        <a:xfrm>
          <a:off x="9020175" y="1866900"/>
          <a:ext cx="2609850" cy="695325"/>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chemeClr val="accent1">
                <a:lumMod val="60000"/>
                <a:lumOff val="40000"/>
              </a:schemeClr>
            </a:solidFill>
            <a:latin typeface="Calibri"/>
            <a:cs typeface="Calibri"/>
          </a:endParaRPr>
        </a:p>
      </xdr:txBody>
    </xdr:sp>
    <xdr:clientData/>
  </xdr:twoCellAnchor>
  <xdr:twoCellAnchor>
    <xdr:from>
      <xdr:col>0</xdr:col>
      <xdr:colOff>66675</xdr:colOff>
      <xdr:row>11</xdr:row>
      <xdr:rowOff>330188</xdr:rowOff>
    </xdr:from>
    <xdr:to>
      <xdr:col>35</xdr:col>
      <xdr:colOff>114300</xdr:colOff>
      <xdr:row>45</xdr:row>
      <xdr:rowOff>123813</xdr:rowOff>
    </xdr:to>
    <xdr:sp macro="" textlink="">
      <xdr:nvSpPr>
        <xdr:cNvPr id="5" name="LeftBox1">
          <a:extLst>
            <a:ext uri="{FF2B5EF4-FFF2-40B4-BE49-F238E27FC236}">
              <a16:creationId xmlns:a16="http://schemas.microsoft.com/office/drawing/2014/main" id="{00000000-0008-0000-0200-000005000000}"/>
            </a:ext>
          </a:extLst>
        </xdr:cNvPr>
        <xdr:cNvSpPr>
          <a:spLocks/>
        </xdr:cNvSpPr>
      </xdr:nvSpPr>
      <xdr:spPr>
        <a:xfrm>
          <a:off x="66675" y="2482838"/>
          <a:ext cx="11658600" cy="6794500"/>
        </a:xfrm>
        <a:prstGeom prst="rect">
          <a:avLst/>
        </a:prstGeom>
        <a:noFill/>
        <a:ln w="6350">
          <a:solidFill>
            <a:srgbClr val="005E9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400" b="1" i="0" u="none" strike="noStrike">
            <a:solidFill>
              <a:schemeClr val="accent1">
                <a:lumMod val="60000"/>
                <a:lumOff val="40000"/>
              </a:schemeClr>
            </a:solidFill>
            <a:latin typeface="Calibri"/>
            <a:cs typeface="Calibri"/>
          </a:endParaRPr>
        </a:p>
      </xdr:txBody>
    </xdr:sp>
    <xdr:clientData/>
  </xdr:twoCellAnchor>
  <xdr:twoCellAnchor>
    <xdr:from>
      <xdr:col>3</xdr:col>
      <xdr:colOff>9525</xdr:colOff>
      <xdr:row>47</xdr:row>
      <xdr:rowOff>92075</xdr:rowOff>
    </xdr:from>
    <xdr:to>
      <xdr:col>4</xdr:col>
      <xdr:colOff>203201</xdr:colOff>
      <xdr:row>52</xdr:row>
      <xdr:rowOff>31750</xdr:rowOff>
    </xdr:to>
    <xdr:sp macro="[0]!UniversalChanger" textlink="">
      <xdr:nvSpPr>
        <xdr:cNvPr id="6" name="go_top_B">
          <a:extLst>
            <a:ext uri="{FF2B5EF4-FFF2-40B4-BE49-F238E27FC236}">
              <a16:creationId xmlns:a16="http://schemas.microsoft.com/office/drawing/2014/main" id="{00000000-0008-0000-0200-000006000000}"/>
            </a:ext>
          </a:extLst>
        </xdr:cNvPr>
        <xdr:cNvSpPr txBox="1">
          <a:spLocks noChangeAspect="1"/>
        </xdr:cNvSpPr>
      </xdr:nvSpPr>
      <xdr:spPr>
        <a:xfrm>
          <a:off x="190500" y="9626600"/>
          <a:ext cx="327026" cy="273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l" rtl="0">
            <a:defRPr sz="1000"/>
          </a:pPr>
          <a:r>
            <a:rPr lang="en-GB" sz="1100" b="1" i="0" u="sng" strike="noStrike" baseline="0">
              <a:solidFill>
                <a:srgbClr val="0070C0"/>
              </a:solidFill>
              <a:latin typeface="+mn-lt"/>
              <a:ea typeface="Karla" pitchFamily="2" charset="0"/>
            </a:rPr>
            <a:t>Back to top</a:t>
          </a:r>
        </a:p>
      </xdr:txBody>
    </xdr:sp>
    <xdr:clientData/>
  </xdr:twoCellAnchor>
  <xdr:twoCellAnchor editAs="oneCell">
    <xdr:from>
      <xdr:col>1</xdr:col>
      <xdr:colOff>76200</xdr:colOff>
      <xdr:row>11</xdr:row>
      <xdr:rowOff>85725</xdr:rowOff>
    </xdr:from>
    <xdr:to>
      <xdr:col>10</xdr:col>
      <xdr:colOff>76200</xdr:colOff>
      <xdr:row>11</xdr:row>
      <xdr:rowOff>391585</xdr:rowOff>
    </xdr:to>
    <xdr:sp macro="" textlink="">
      <xdr:nvSpPr>
        <xdr:cNvPr id="7" name="TextBox 6">
          <a:extLst>
            <a:ext uri="{FF2B5EF4-FFF2-40B4-BE49-F238E27FC236}">
              <a16:creationId xmlns:a16="http://schemas.microsoft.com/office/drawing/2014/main" id="{00000000-0008-0000-0200-000007000000}"/>
            </a:ext>
          </a:extLst>
        </xdr:cNvPr>
        <xdr:cNvSpPr txBox="1">
          <a:spLocks noChangeArrowheads="1"/>
        </xdr:cNvSpPr>
      </xdr:nvSpPr>
      <xdr:spPr bwMode="auto">
        <a:xfrm>
          <a:off x="180975" y="1533525"/>
          <a:ext cx="2609850" cy="305860"/>
        </a:xfrm>
        <a:prstGeom prst="rect">
          <a:avLst/>
        </a:prstGeom>
        <a:noFill/>
        <a:ln w="9525">
          <a:noFill/>
          <a:miter lim="800000"/>
          <a:headEnd/>
          <a:tailEnd/>
        </a:ln>
      </xdr:spPr>
      <xdr:txBody>
        <a:bodyPr vertOverflow="clip" wrap="square" lIns="72000" tIns="72000" rIns="72000" bIns="72000" anchor="ctr" upright="1"/>
        <a:lstStyle/>
        <a:p>
          <a:pPr marL="0" algn="l"/>
          <a:r>
            <a:rPr lang="en-US" sz="1000" b="0" i="1" u="none" strike="noStrike">
              <a:solidFill>
                <a:srgbClr val="3B6E8F"/>
              </a:solidFill>
              <a:effectLst/>
              <a:latin typeface="+mn-lt"/>
              <a:ea typeface="+mn-ea"/>
              <a:cs typeface="Calibri"/>
            </a:rPr>
            <a:t>Click titles to see description</a:t>
          </a:r>
        </a:p>
      </xdr:txBody>
    </xdr:sp>
    <xdr:clientData fPrintsWithSheet="0"/>
  </xdr:twoCellAnchor>
  <xdr:twoCellAnchor editAs="oneCell">
    <xdr:from>
      <xdr:col>0</xdr:col>
      <xdr:colOff>95250</xdr:colOff>
      <xdr:row>2</xdr:row>
      <xdr:rowOff>0</xdr:rowOff>
    </xdr:from>
    <xdr:to>
      <xdr:col>35</xdr:col>
      <xdr:colOff>142875</xdr:colOff>
      <xdr:row>3</xdr:row>
      <xdr:rowOff>505497</xdr:rowOff>
    </xdr:to>
    <xdr:grpSp>
      <xdr:nvGrpSpPr>
        <xdr:cNvPr id="8" name="HelpBox" hidden="1">
          <a:extLst>
            <a:ext uri="{FF2B5EF4-FFF2-40B4-BE49-F238E27FC236}">
              <a16:creationId xmlns:a16="http://schemas.microsoft.com/office/drawing/2014/main" id="{00000000-0008-0000-0200-000008000000}"/>
            </a:ext>
          </a:extLst>
        </xdr:cNvPr>
        <xdr:cNvGrpSpPr/>
      </xdr:nvGrpSpPr>
      <xdr:grpSpPr>
        <a:xfrm>
          <a:off x="95250" y="1085850"/>
          <a:ext cx="11658600" cy="543597"/>
          <a:chOff x="95250" y="1924049"/>
          <a:chExt cx="11734800" cy="540000"/>
        </a:xfrm>
      </xdr:grpSpPr>
      <xdr:sp macro="" textlink="">
        <xdr:nvSpPr>
          <xdr:cNvPr id="9" name="HelpBoxMain">
            <a:extLst>
              <a:ext uri="{FF2B5EF4-FFF2-40B4-BE49-F238E27FC236}">
                <a16:creationId xmlns:a16="http://schemas.microsoft.com/office/drawing/2014/main" id="{00000000-0008-0000-0200-000009000000}"/>
              </a:ext>
            </a:extLst>
          </xdr:cNvPr>
          <xdr:cNvSpPr/>
        </xdr:nvSpPr>
        <xdr:spPr>
          <a:xfrm>
            <a:off x="95250" y="1924049"/>
            <a:ext cx="10172700" cy="540000"/>
          </a:xfrm>
          <a:prstGeom prst="rect">
            <a:avLst/>
          </a:prstGeom>
          <a:solidFill>
            <a:schemeClr val="bg1"/>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50" b="0" i="0" u="none" strike="noStrike">
                <a:solidFill>
                  <a:sysClr val="windowText" lastClr="000000"/>
                </a:solidFill>
                <a:latin typeface="Calibri"/>
                <a:cs typeface="Calibri"/>
              </a:rPr>
              <a:t>A description of this</a:t>
            </a:r>
            <a:r>
              <a:rPr lang="en-GB" sz="1050" b="0" i="0" u="none" strike="noStrike" baseline="0">
                <a:solidFill>
                  <a:sysClr val="windowText" lastClr="000000"/>
                </a:solidFill>
                <a:latin typeface="Calibri"/>
                <a:cs typeface="Calibri"/>
              </a:rPr>
              <a:t> page. to be added.</a:t>
            </a:r>
            <a:endParaRPr lang="en-GB" sz="1050" b="0" i="0" u="none" strike="noStrike">
              <a:solidFill>
                <a:sysClr val="windowText" lastClr="000000"/>
              </a:solidFill>
              <a:latin typeface="Calibri"/>
              <a:cs typeface="Calibri"/>
            </a:endParaRPr>
          </a:p>
        </xdr:txBody>
      </xdr:sp>
      <xdr:sp macro="[0]!LBChanger" textlink="uxb_works!B205">
        <xdr:nvSpPr>
          <xdr:cNvPr id="10" name="HelpPage">
            <a:extLst>
              <a:ext uri="{FF2B5EF4-FFF2-40B4-BE49-F238E27FC236}">
                <a16:creationId xmlns:a16="http://schemas.microsoft.com/office/drawing/2014/main" id="{00000000-0008-0000-0200-00000A000000}"/>
              </a:ext>
            </a:extLst>
          </xdr:cNvPr>
          <xdr:cNvSpPr/>
        </xdr:nvSpPr>
        <xdr:spPr>
          <a:xfrm>
            <a:off x="10325100" y="1924049"/>
            <a:ext cx="1504950" cy="540000"/>
          </a:xfrm>
          <a:prstGeom prst="rect">
            <a:avLst/>
          </a:prstGeom>
          <a:solidFill>
            <a:schemeClr val="bg1"/>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9329350-61A1-4C8F-8338-C30D0FD9D0E9}" type="TxLink">
              <a:rPr lang="en-US" sz="900" b="0" i="0" u="none" strike="noStrike">
                <a:solidFill>
                  <a:srgbClr val="3B6E8F"/>
                </a:solidFill>
                <a:latin typeface="Calibri"/>
                <a:cs typeface="Calibri"/>
              </a:rPr>
              <a:pPr algn="ctr"/>
              <a:t>For more general help please click 
HERE</a:t>
            </a:fld>
            <a:endParaRPr lang="en-GB" sz="1100" b="0" i="0" u="none" strike="noStrike">
              <a:solidFill>
                <a:sysClr val="windowText" lastClr="000000"/>
              </a:solidFill>
              <a:latin typeface="Calibri"/>
              <a:cs typeface="Calibri"/>
            </a:endParaRPr>
          </a:p>
        </xdr:txBody>
      </xdr:sp>
    </xdr:grpSp>
    <xdr:clientData/>
  </xdr:twoCellAnchor>
  <xdr:twoCellAnchor>
    <xdr:from>
      <xdr:col>0</xdr:col>
      <xdr:colOff>0</xdr:colOff>
      <xdr:row>0</xdr:row>
      <xdr:rowOff>0</xdr:rowOff>
    </xdr:from>
    <xdr:to>
      <xdr:col>34</xdr:col>
      <xdr:colOff>292100</xdr:colOff>
      <xdr:row>2</xdr:row>
      <xdr:rowOff>0</xdr:rowOff>
    </xdr:to>
    <xdr:grpSp>
      <xdr:nvGrpSpPr>
        <xdr:cNvPr id="11" name="MENU">
          <a:extLst>
            <a:ext uri="{FF2B5EF4-FFF2-40B4-BE49-F238E27FC236}">
              <a16:creationId xmlns:a16="http://schemas.microsoft.com/office/drawing/2014/main" id="{00000000-0008-0000-0200-00000B000000}"/>
            </a:ext>
          </a:extLst>
        </xdr:cNvPr>
        <xdr:cNvGrpSpPr/>
      </xdr:nvGrpSpPr>
      <xdr:grpSpPr>
        <a:xfrm>
          <a:off x="0" y="0"/>
          <a:ext cx="11836400" cy="1085850"/>
          <a:chOff x="0" y="0"/>
          <a:chExt cx="11836400" cy="1085850"/>
        </a:xfrm>
      </xdr:grpSpPr>
      <xdr:grpSp>
        <xdr:nvGrpSpPr>
          <xdr:cNvPr id="12" name="Group 11">
            <a:extLst>
              <a:ext uri="{FF2B5EF4-FFF2-40B4-BE49-F238E27FC236}">
                <a16:creationId xmlns:a16="http://schemas.microsoft.com/office/drawing/2014/main" id="{00000000-0008-0000-0200-00000C000000}"/>
              </a:ext>
            </a:extLst>
          </xdr:cNvPr>
          <xdr:cNvGrpSpPr/>
        </xdr:nvGrpSpPr>
        <xdr:grpSpPr>
          <a:xfrm>
            <a:off x="0" y="0"/>
            <a:ext cx="11836400" cy="1085850"/>
            <a:chOff x="0" y="0"/>
            <a:chExt cx="11836400" cy="1085850"/>
          </a:xfrm>
        </xdr:grpSpPr>
        <xdr:grpSp>
          <xdr:nvGrpSpPr>
            <xdr:cNvPr id="84" name="Group 83">
              <a:extLst>
                <a:ext uri="{FF2B5EF4-FFF2-40B4-BE49-F238E27FC236}">
                  <a16:creationId xmlns:a16="http://schemas.microsoft.com/office/drawing/2014/main" id="{00000000-0008-0000-0200-000054000000}"/>
                </a:ext>
              </a:extLst>
            </xdr:cNvPr>
            <xdr:cNvGrpSpPr/>
          </xdr:nvGrpSpPr>
          <xdr:grpSpPr>
            <a:xfrm>
              <a:off x="0" y="0"/>
              <a:ext cx="11836400" cy="1085850"/>
              <a:chOff x="0" y="0"/>
              <a:chExt cx="11836400" cy="1085850"/>
            </a:xfrm>
          </xdr:grpSpPr>
          <xdr:sp macro="" textlink="">
            <xdr:nvSpPr>
              <xdr:cNvPr id="89" name="nav_controls">
                <a:extLst>
                  <a:ext uri="{FF2B5EF4-FFF2-40B4-BE49-F238E27FC236}">
                    <a16:creationId xmlns:a16="http://schemas.microsoft.com/office/drawing/2014/main" id="{00000000-0008-0000-0200-000059000000}"/>
                  </a:ext>
                </a:extLst>
              </xdr:cNvPr>
              <xdr:cNvSpPr>
                <a:spLocks/>
              </xdr:cNvSpPr>
            </xdr:nvSpPr>
            <xdr:spPr>
              <a:xfrm>
                <a:off x="4263" y="219075"/>
                <a:ext cx="11832137" cy="866775"/>
              </a:xfrm>
              <a:prstGeom prst="rect">
                <a:avLst/>
              </a:prstGeom>
              <a:solidFill>
                <a:schemeClr val="bg2">
                  <a:alpha val="49804"/>
                </a:schemeClr>
              </a:solidFill>
              <a:ln w="6350">
                <a:solidFill>
                  <a:schemeClr val="bg2">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solidFill>
                    <a:srgbClr val="808080"/>
                  </a:solidFill>
                  <a:latin typeface="+mn-lt"/>
                  <a:ea typeface="Karla" pitchFamily="2" charset="0"/>
                </a:endParaRPr>
              </a:p>
            </xdr:txBody>
          </xdr:sp>
          <xdr:sp macro="" textlink="">
            <xdr:nvSpPr>
              <xdr:cNvPr id="90" name="Home1">
                <a:extLst>
                  <a:ext uri="{FF2B5EF4-FFF2-40B4-BE49-F238E27FC236}">
                    <a16:creationId xmlns:a16="http://schemas.microsoft.com/office/drawing/2014/main" id="{00000000-0008-0000-0200-00005A000000}"/>
                  </a:ext>
                </a:extLst>
              </xdr:cNvPr>
              <xdr:cNvSpPr>
                <a:spLocks/>
              </xdr:cNvSpPr>
            </xdr:nvSpPr>
            <xdr:spPr>
              <a:xfrm>
                <a:off x="0" y="0"/>
                <a:ext cx="937384" cy="290513"/>
              </a:xfrm>
              <a:prstGeom prst="rect">
                <a:avLst/>
              </a:prstGeom>
              <a:solidFill>
                <a:schemeClr val="bg1"/>
              </a:solidFill>
              <a:ln w="952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a:solidFill>
                    <a:srgbClr val="808080"/>
                  </a:solidFill>
                  <a:latin typeface="+mn-lt"/>
                  <a:ea typeface="Karla" pitchFamily="2" charset="0"/>
                  <a:cs typeface="DilleniaUPC" pitchFamily="18" charset="-34"/>
                </a:endParaRPr>
              </a:p>
            </xdr:txBody>
          </xdr:sp>
          <xdr:sp macro="" textlink="">
            <xdr:nvSpPr>
              <xdr:cNvPr id="95" name="Oval 94">
                <a:extLst>
                  <a:ext uri="{FF2B5EF4-FFF2-40B4-BE49-F238E27FC236}">
                    <a16:creationId xmlns:a16="http://schemas.microsoft.com/office/drawing/2014/main" id="{00000000-0008-0000-0200-00005F000000}"/>
                  </a:ext>
                </a:extLst>
              </xdr:cNvPr>
              <xdr:cNvSpPr>
                <a:spLocks/>
              </xdr:cNvSpPr>
            </xdr:nvSpPr>
            <xdr:spPr>
              <a:xfrm>
                <a:off x="347060" y="29969"/>
                <a:ext cx="236673" cy="230074"/>
              </a:xfrm>
              <a:prstGeom prst="ellipse">
                <a:avLst/>
              </a:prstGeom>
              <a:solidFill>
                <a:schemeClr val="accent5">
                  <a:lumMod val="50000"/>
                </a:schemeClr>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rgbClr val="808080"/>
                  </a:solidFill>
                  <a:latin typeface="Calibri"/>
                  <a:cs typeface="Calibri"/>
                </a:endParaRPr>
              </a:p>
            </xdr:txBody>
          </xdr:sp>
          <xdr:pic macro="[0]!LBChanger">
            <xdr:nvPicPr>
              <xdr:cNvPr id="96" name="Home" descr="Home.png">
                <a:extLst>
                  <a:ext uri="{FF2B5EF4-FFF2-40B4-BE49-F238E27FC236}">
                    <a16:creationId xmlns:a16="http://schemas.microsoft.com/office/drawing/2014/main" id="{00000000-0008-0000-0200-000060000000}"/>
                  </a:ext>
                </a:extLst>
              </xdr:cNvPr>
              <xdr:cNvPicPr>
                <a:picLocks/>
              </xdr:cNvPicPr>
            </xdr:nvPicPr>
            <xdr:blipFill>
              <a:blip xmlns:r="http://schemas.openxmlformats.org/officeDocument/2006/relationships" r:embed="rId1" cstate="print"/>
              <a:stretch>
                <a:fillRect/>
              </a:stretch>
            </xdr:blipFill>
            <xdr:spPr>
              <a:xfrm>
                <a:off x="53200" y="20741"/>
                <a:ext cx="254878" cy="247773"/>
              </a:xfrm>
              <a:prstGeom prst="rect">
                <a:avLst/>
              </a:prstGeom>
              <a:noFill/>
              <a:ln>
                <a:noFill/>
              </a:ln>
            </xdr:spPr>
          </xdr:pic>
          <xdr:pic macro="[0]!UniversalChanger">
            <xdr:nvPicPr>
              <xdr:cNvPr id="97" name="NavBack" descr="Silver-Back-Button.png">
                <a:extLst>
                  <a:ext uri="{FF2B5EF4-FFF2-40B4-BE49-F238E27FC236}">
                    <a16:creationId xmlns:a16="http://schemas.microsoft.com/office/drawing/2014/main" id="{00000000-0008-0000-0200-000061000000}"/>
                  </a:ext>
                </a:extLst>
              </xdr:cNvPr>
              <xdr:cNvPicPr>
                <a:picLocks/>
              </xdr:cNvPicPr>
            </xdr:nvPicPr>
            <xdr:blipFill>
              <a:blip xmlns:r="http://schemas.openxmlformats.org/officeDocument/2006/relationships" r:embed="rId2" cstate="print"/>
              <a:stretch>
                <a:fillRect/>
              </a:stretch>
            </xdr:blipFill>
            <xdr:spPr>
              <a:xfrm>
                <a:off x="621903" y="20741"/>
                <a:ext cx="254878" cy="247773"/>
              </a:xfrm>
              <a:prstGeom prst="rect">
                <a:avLst/>
              </a:prstGeom>
              <a:noFill/>
              <a:ln>
                <a:noFill/>
              </a:ln>
            </xdr:spPr>
          </xdr:pic>
          <xdr:sp macro="" textlink="uxb_works!B92">
            <xdr:nvSpPr>
              <xdr:cNvPr id="98" name="Home1">
                <a:extLst>
                  <a:ext uri="{FF2B5EF4-FFF2-40B4-BE49-F238E27FC236}">
                    <a16:creationId xmlns:a16="http://schemas.microsoft.com/office/drawing/2014/main" id="{00000000-0008-0000-0200-000062000000}"/>
                  </a:ext>
                </a:extLst>
              </xdr:cNvPr>
              <xdr:cNvSpPr>
                <a:spLocks/>
              </xdr:cNvSpPr>
            </xdr:nvSpPr>
            <xdr:spPr>
              <a:xfrm>
                <a:off x="936568" y="0"/>
                <a:ext cx="10895773" cy="288000"/>
              </a:xfrm>
              <a:prstGeom prst="rect">
                <a:avLst/>
              </a:prstGeom>
              <a:solidFill>
                <a:srgbClr val="FFFFFF"/>
              </a:solidFill>
              <a:ln w="317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DF606BA0-6E14-4859-A5ED-3649E8B86AAC}" type="TxLink">
                  <a:rPr lang="en-US" sz="1600" b="1" i="0" u="none" strike="noStrike">
                    <a:solidFill>
                      <a:schemeClr val="accent5">
                        <a:lumMod val="50000"/>
                      </a:schemeClr>
                    </a:solidFill>
                    <a:latin typeface="Calibri"/>
                    <a:ea typeface="Karla" pitchFamily="2" charset="0"/>
                    <a:cs typeface="Calibri"/>
                  </a:rPr>
                  <a:pPr algn="l"/>
                  <a:t>Digital Cities Index</a:t>
                </a:fld>
                <a:endParaRPr lang="en-GB" sz="1200" b="1">
                  <a:solidFill>
                    <a:schemeClr val="accent5">
                      <a:lumMod val="50000"/>
                    </a:schemeClr>
                  </a:solidFill>
                  <a:latin typeface="+mn-lt"/>
                  <a:ea typeface="Karla" pitchFamily="2" charset="0"/>
                  <a:cs typeface="DilleniaUPC" pitchFamily="18" charset="-34"/>
                </a:endParaRPr>
              </a:p>
            </xdr:txBody>
          </xdr:sp>
          <xdr:pic macro="[0]!LBChanger">
            <xdr:nvPicPr>
              <xdr:cNvPr id="99" name="Contents" descr="ii_jgc3wl5q0_162f2138d6ded0cc">
                <a:extLst>
                  <a:ext uri="{FF2B5EF4-FFF2-40B4-BE49-F238E27FC236}">
                    <a16:creationId xmlns:a16="http://schemas.microsoft.com/office/drawing/2014/main" id="{00000000-0008-0000-0200-000063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7618" y="20741"/>
                <a:ext cx="260608" cy="248400"/>
              </a:xfrm>
              <a:prstGeom prst="rect">
                <a:avLst/>
              </a:prstGeom>
              <a:solidFill>
                <a:sysClr val="window" lastClr="FFFFFF"/>
              </a:solidFill>
              <a:ln>
                <a:noFill/>
              </a:ln>
            </xdr:spPr>
          </xdr:pic>
          <xdr:sp macro="" textlink="">
            <xdr:nvSpPr>
              <xdr:cNvPr id="100" name="nav_controls">
                <a:extLst>
                  <a:ext uri="{FF2B5EF4-FFF2-40B4-BE49-F238E27FC236}">
                    <a16:creationId xmlns:a16="http://schemas.microsoft.com/office/drawing/2014/main" id="{00000000-0008-0000-0200-000064000000}"/>
                  </a:ext>
                </a:extLst>
              </xdr:cNvPr>
              <xdr:cNvSpPr>
                <a:spLocks/>
              </xdr:cNvSpPr>
            </xdr:nvSpPr>
            <xdr:spPr>
              <a:xfrm>
                <a:off x="7091375" y="461958"/>
                <a:ext cx="2647950" cy="54000"/>
              </a:xfrm>
              <a:prstGeom prst="rect">
                <a:avLst/>
              </a:prstGeom>
              <a:solidFill>
                <a:srgbClr val="9EB3BE"/>
              </a:solidFill>
              <a:ln w="6350">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000" b="1" i="0" u="none" strike="noStrike">
                  <a:solidFill>
                    <a:sysClr val="windowText" lastClr="000000"/>
                  </a:solidFill>
                  <a:latin typeface="Calibri"/>
                  <a:cs typeface="Calibri"/>
                </a:endParaRPr>
              </a:p>
            </xdr:txBody>
          </xdr:sp>
          <xdr:sp macro="" textlink="">
            <xdr:nvSpPr>
              <xdr:cNvPr id="101" name="nav_controls">
                <a:extLst>
                  <a:ext uri="{FF2B5EF4-FFF2-40B4-BE49-F238E27FC236}">
                    <a16:creationId xmlns:a16="http://schemas.microsoft.com/office/drawing/2014/main" id="{00000000-0008-0000-0200-000065000000}"/>
                  </a:ext>
                </a:extLst>
              </xdr:cNvPr>
              <xdr:cNvSpPr>
                <a:spLocks/>
              </xdr:cNvSpPr>
            </xdr:nvSpPr>
            <xdr:spPr>
              <a:xfrm>
                <a:off x="9215438" y="461958"/>
                <a:ext cx="2614081" cy="54000"/>
              </a:xfrm>
              <a:prstGeom prst="rect">
                <a:avLst/>
              </a:prstGeom>
              <a:solidFill>
                <a:srgbClr val="B5D5E5"/>
              </a:solidFill>
              <a:ln w="6350">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000" b="1" i="0" u="none" strike="noStrike">
                  <a:solidFill>
                    <a:sysClr val="windowText" lastClr="000000"/>
                  </a:solidFill>
                  <a:latin typeface="Calibri"/>
                  <a:cs typeface="Calibri"/>
                </a:endParaRPr>
              </a:p>
            </xdr:txBody>
          </xdr:sp>
          <xdr:sp macro="" textlink="">
            <xdr:nvSpPr>
              <xdr:cNvPr id="102" name="nav_controls">
                <a:extLst>
                  <a:ext uri="{FF2B5EF4-FFF2-40B4-BE49-F238E27FC236}">
                    <a16:creationId xmlns:a16="http://schemas.microsoft.com/office/drawing/2014/main" id="{00000000-0008-0000-0200-000066000000}"/>
                  </a:ext>
                </a:extLst>
              </xdr:cNvPr>
              <xdr:cNvSpPr>
                <a:spLocks/>
              </xdr:cNvSpPr>
            </xdr:nvSpPr>
            <xdr:spPr>
              <a:xfrm>
                <a:off x="0" y="466725"/>
                <a:ext cx="7081838" cy="52408"/>
              </a:xfrm>
              <a:prstGeom prst="rect">
                <a:avLst/>
              </a:prstGeom>
              <a:solidFill>
                <a:srgbClr val="2B5464"/>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b="1" i="0" u="none" strike="noStrike">
                  <a:solidFill>
                    <a:schemeClr val="bg1"/>
                  </a:solidFill>
                  <a:latin typeface="Calibri"/>
                  <a:cs typeface="Calibri"/>
                </a:endParaRPr>
              </a:p>
            </xdr:txBody>
          </xdr:sp>
          <xdr:grpSp>
            <xdr:nvGrpSpPr>
              <xdr:cNvPr id="103" name="Group 102">
                <a:extLst>
                  <a:ext uri="{FF2B5EF4-FFF2-40B4-BE49-F238E27FC236}">
                    <a16:creationId xmlns:a16="http://schemas.microsoft.com/office/drawing/2014/main" id="{00000000-0008-0000-0200-000067000000}"/>
                  </a:ext>
                </a:extLst>
              </xdr:cNvPr>
              <xdr:cNvGrpSpPr/>
            </xdr:nvGrpSpPr>
            <xdr:grpSpPr>
              <a:xfrm>
                <a:off x="0" y="285750"/>
                <a:ext cx="11814575" cy="180261"/>
                <a:chOff x="0" y="285489"/>
                <a:chExt cx="13173477" cy="180261"/>
              </a:xfrm>
            </xdr:grpSpPr>
            <xdr:sp macro="[0]!LBChanger" textlink="uxb_works!B100">
              <xdr:nvSpPr>
                <xdr:cNvPr id="104" name="Correlations">
                  <a:extLst>
                    <a:ext uri="{FF2B5EF4-FFF2-40B4-BE49-F238E27FC236}">
                      <a16:creationId xmlns:a16="http://schemas.microsoft.com/office/drawing/2014/main" id="{00000000-0008-0000-0200-000068000000}"/>
                    </a:ext>
                  </a:extLst>
                </xdr:cNvPr>
                <xdr:cNvSpPr>
                  <a:spLocks/>
                </xdr:cNvSpPr>
              </xdr:nvSpPr>
              <xdr:spPr>
                <a:xfrm>
                  <a:off x="9225833"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0D08B5CF-F601-4334-9688-6B186F573CBA}" type="TxLink">
                    <a:rPr lang="en-US" sz="900" b="1" i="0" u="none" strike="noStrike">
                      <a:solidFill>
                        <a:schemeClr val="accent5">
                          <a:lumMod val="50000"/>
                        </a:schemeClr>
                      </a:solidFill>
                      <a:latin typeface="Calibri"/>
                      <a:ea typeface="Karla" pitchFamily="2" charset="0"/>
                      <a:cs typeface="Calibri"/>
                    </a:rPr>
                    <a:pPr algn="ctr"/>
                    <a:t>CORRELATIONS</a:t>
                  </a:fld>
                  <a:endParaRPr lang="en-GB" sz="900" b="1">
                    <a:solidFill>
                      <a:schemeClr val="accent5">
                        <a:lumMod val="50000"/>
                      </a:schemeClr>
                    </a:solidFill>
                    <a:latin typeface="+mn-lt"/>
                    <a:ea typeface="Karla" pitchFamily="2" charset="0"/>
                  </a:endParaRPr>
                </a:p>
              </xdr:txBody>
            </xdr:sp>
            <xdr:sp macro="[0]!LBChanger" textlink="uxb_works!B99">
              <xdr:nvSpPr>
                <xdr:cNvPr id="105" name="Scatter">
                  <a:extLst>
                    <a:ext uri="{FF2B5EF4-FFF2-40B4-BE49-F238E27FC236}">
                      <a16:creationId xmlns:a16="http://schemas.microsoft.com/office/drawing/2014/main" id="{00000000-0008-0000-0200-000069000000}"/>
                    </a:ext>
                  </a:extLst>
                </xdr:cNvPr>
                <xdr:cNvSpPr>
                  <a:spLocks/>
                </xdr:cNvSpPr>
              </xdr:nvSpPr>
              <xdr:spPr>
                <a:xfrm>
                  <a:off x="7903939" y="285940"/>
                  <a:ext cx="1320074"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8DE1D7F-61C0-4422-A1B6-E89A6501ED1F}" type="TxLink">
                    <a:rPr lang="en-US" sz="900" b="1" i="0" u="none" strike="noStrike">
                      <a:solidFill>
                        <a:schemeClr val="accent5">
                          <a:lumMod val="50000"/>
                        </a:schemeClr>
                      </a:solidFill>
                      <a:latin typeface="Calibri"/>
                      <a:ea typeface="Karla" pitchFamily="2" charset="0"/>
                      <a:cs typeface="Calibri"/>
                    </a:rPr>
                    <a:pPr algn="ctr"/>
                    <a:t>SCATTER</a:t>
                  </a:fld>
                  <a:endParaRPr lang="en-GB" sz="900" b="1">
                    <a:solidFill>
                      <a:schemeClr val="accent5">
                        <a:lumMod val="50000"/>
                      </a:schemeClr>
                    </a:solidFill>
                    <a:latin typeface="+mn-lt"/>
                    <a:ea typeface="Karla" pitchFamily="2" charset="0"/>
                  </a:endParaRPr>
                </a:p>
              </xdr:txBody>
            </xdr:sp>
            <xdr:sp macro="[0]!LBChanger" textlink="uxb_works!B101">
              <xdr:nvSpPr>
                <xdr:cNvPr id="106" name="Scores">
                  <a:extLst>
                    <a:ext uri="{FF2B5EF4-FFF2-40B4-BE49-F238E27FC236}">
                      <a16:creationId xmlns:a16="http://schemas.microsoft.com/office/drawing/2014/main" id="{00000000-0008-0000-0200-00006A000000}"/>
                    </a:ext>
                  </a:extLst>
                </xdr:cNvPr>
                <xdr:cNvSpPr>
                  <a:spLocks/>
                </xdr:cNvSpPr>
              </xdr:nvSpPr>
              <xdr:spPr>
                <a:xfrm>
                  <a:off x="10540783"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5165ACF-6EE1-4F74-8FDB-F21F37E9E6FB}" type="TxLink">
                    <a:rPr lang="en-US" sz="900" b="1" i="0" u="none" strike="noStrike">
                      <a:solidFill>
                        <a:schemeClr val="accent5">
                          <a:lumMod val="50000"/>
                        </a:schemeClr>
                      </a:solidFill>
                      <a:latin typeface="Calibri"/>
                      <a:ea typeface="Karla" pitchFamily="2" charset="0"/>
                      <a:cs typeface="Calibri"/>
                    </a:rPr>
                    <a:pPr algn="ctr"/>
                    <a:t>DATA / SCORES</a:t>
                  </a:fld>
                  <a:endParaRPr lang="en-GB" sz="900" b="1">
                    <a:solidFill>
                      <a:schemeClr val="accent5">
                        <a:lumMod val="50000"/>
                      </a:schemeClr>
                    </a:solidFill>
                    <a:latin typeface="+mn-lt"/>
                    <a:ea typeface="Karla" pitchFamily="2" charset="0"/>
                  </a:endParaRPr>
                </a:p>
              </xdr:txBody>
            </xdr:sp>
            <xdr:sp macro="[0]!LBChanger" textlink="uxb_works!B102">
              <xdr:nvSpPr>
                <xdr:cNvPr id="107" name="Weights">
                  <a:extLst>
                    <a:ext uri="{FF2B5EF4-FFF2-40B4-BE49-F238E27FC236}">
                      <a16:creationId xmlns:a16="http://schemas.microsoft.com/office/drawing/2014/main" id="{00000000-0008-0000-0200-00006B000000}"/>
                    </a:ext>
                  </a:extLst>
                </xdr:cNvPr>
                <xdr:cNvSpPr>
                  <a:spLocks/>
                </xdr:cNvSpPr>
              </xdr:nvSpPr>
              <xdr:spPr>
                <a:xfrm>
                  <a:off x="11855698"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43627509-C0BB-4D16-AADD-A85AC599D44F}" type="TxLink">
                    <a:rPr lang="en-US" sz="900" b="1" i="0" u="none" strike="noStrike">
                      <a:solidFill>
                        <a:schemeClr val="accent5">
                          <a:lumMod val="50000"/>
                        </a:schemeClr>
                      </a:solidFill>
                      <a:latin typeface="Calibri"/>
                      <a:ea typeface="Karla" pitchFamily="2" charset="0"/>
                      <a:cs typeface="Calibri"/>
                    </a:rPr>
                    <a:pPr algn="ctr"/>
                    <a:t>WEIGHTS</a:t>
                  </a:fld>
                  <a:endParaRPr lang="en-GB" sz="900" b="1">
                    <a:solidFill>
                      <a:schemeClr val="accent5">
                        <a:lumMod val="50000"/>
                      </a:schemeClr>
                    </a:solidFill>
                    <a:latin typeface="+mn-lt"/>
                    <a:ea typeface="Karla" pitchFamily="2" charset="0"/>
                  </a:endParaRPr>
                </a:p>
              </xdr:txBody>
            </xdr:sp>
            <xdr:sp macro="[0]!LBChanger" textlink="uxb_works!B95">
              <xdr:nvSpPr>
                <xdr:cNvPr id="108" name="Summary1">
                  <a:extLst>
                    <a:ext uri="{FF2B5EF4-FFF2-40B4-BE49-F238E27FC236}">
                      <a16:creationId xmlns:a16="http://schemas.microsoft.com/office/drawing/2014/main" id="{00000000-0008-0000-0200-00006C000000}"/>
                    </a:ext>
                  </a:extLst>
                </xdr:cNvPr>
                <xdr:cNvSpPr>
                  <a:spLocks/>
                </xdr:cNvSpPr>
              </xdr:nvSpPr>
              <xdr:spPr>
                <a:xfrm>
                  <a:off x="0" y="285940"/>
                  <a:ext cx="1317779" cy="179810"/>
                </a:xfrm>
                <a:prstGeom prst="rect">
                  <a:avLst/>
                </a:prstGeom>
                <a:solidFill>
                  <a:schemeClr val="accent5">
                    <a:lumMod val="50000"/>
                  </a:schemeClr>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A5241822-14D3-4854-9411-CFDDA1D4CE0A}" type="TxLink">
                    <a:rPr lang="en-US" sz="900" b="1" i="0" u="none" strike="noStrike">
                      <a:solidFill>
                        <a:schemeClr val="bg1"/>
                      </a:solidFill>
                      <a:latin typeface="Calibri"/>
                      <a:ea typeface="Karla" pitchFamily="2" charset="0"/>
                      <a:cs typeface="Calibri"/>
                    </a:rPr>
                    <a:pPr algn="ctr"/>
                    <a:t>SUMMARY</a:t>
                  </a:fld>
                  <a:endParaRPr lang="en-GB" sz="900" b="1">
                    <a:solidFill>
                      <a:schemeClr val="bg1"/>
                    </a:solidFill>
                    <a:latin typeface="+mn-lt"/>
                    <a:ea typeface="Karla" pitchFamily="2" charset="0"/>
                  </a:endParaRPr>
                </a:p>
              </xdr:txBody>
            </xdr:sp>
            <xdr:sp macro="[0]!LBChanger" textlink="uxb_works!B96">
              <xdr:nvSpPr>
                <xdr:cNvPr id="109" name="Indicator_Ranking">
                  <a:extLst>
                    <a:ext uri="{FF2B5EF4-FFF2-40B4-BE49-F238E27FC236}">
                      <a16:creationId xmlns:a16="http://schemas.microsoft.com/office/drawing/2014/main" id="{00000000-0008-0000-0200-00006D000000}"/>
                    </a:ext>
                  </a:extLst>
                </xdr:cNvPr>
                <xdr:cNvSpPr>
                  <a:spLocks/>
                </xdr:cNvSpPr>
              </xdr:nvSpPr>
              <xdr:spPr>
                <a:xfrm>
                  <a:off x="1319392"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1D205C57-4D69-4B9A-8D11-5E0B7527B9E2}" type="TxLink">
                    <a:rPr lang="en-US" sz="900" b="1" i="0" u="none" strike="noStrike">
                      <a:solidFill>
                        <a:schemeClr val="accent5">
                          <a:lumMod val="50000"/>
                        </a:schemeClr>
                      </a:solidFill>
                      <a:latin typeface="Calibri"/>
                      <a:ea typeface="Karla" pitchFamily="2" charset="0"/>
                      <a:cs typeface="Calibri"/>
                    </a:rPr>
                    <a:pPr algn="ctr"/>
                    <a:t>INDICATOR RANKING</a:t>
                  </a:fld>
                  <a:endParaRPr lang="en-GB" sz="900" b="1">
                    <a:solidFill>
                      <a:schemeClr val="accent5">
                        <a:lumMod val="50000"/>
                      </a:schemeClr>
                    </a:solidFill>
                    <a:latin typeface="+mn-lt"/>
                    <a:ea typeface="Karla" pitchFamily="2" charset="0"/>
                  </a:endParaRPr>
                </a:p>
              </xdr:txBody>
            </xdr:sp>
            <xdr:sp macro="[0]!LBChanger" textlink="uxb_works!B98">
              <xdr:nvSpPr>
                <xdr:cNvPr id="110" name="CCompare">
                  <a:extLst>
                    <a:ext uri="{FF2B5EF4-FFF2-40B4-BE49-F238E27FC236}">
                      <a16:creationId xmlns:a16="http://schemas.microsoft.com/office/drawing/2014/main" id="{00000000-0008-0000-0200-00006E000000}"/>
                    </a:ext>
                  </a:extLst>
                </xdr:cNvPr>
                <xdr:cNvSpPr>
                  <a:spLocks/>
                </xdr:cNvSpPr>
              </xdr:nvSpPr>
              <xdr:spPr>
                <a:xfrm>
                  <a:off x="5256659" y="285940"/>
                  <a:ext cx="132486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829603AF-0DD8-4C72-8452-B09DB6262544}" type="TxLink">
                    <a:rPr lang="en-US" sz="900" b="1" i="0" u="none" strike="noStrike">
                      <a:solidFill>
                        <a:schemeClr val="accent5">
                          <a:lumMod val="50000"/>
                        </a:schemeClr>
                      </a:solidFill>
                      <a:latin typeface="Calibri"/>
                      <a:ea typeface="Karla" pitchFamily="2" charset="0"/>
                      <a:cs typeface="Calibri"/>
                    </a:rPr>
                    <a:pPr algn="ctr"/>
                    <a:t>CITY COMPARE</a:t>
                  </a:fld>
                  <a:endParaRPr lang="en-GB" sz="900" b="1">
                    <a:solidFill>
                      <a:schemeClr val="accent5">
                        <a:lumMod val="50000"/>
                      </a:schemeClr>
                    </a:solidFill>
                    <a:latin typeface="+mn-lt"/>
                    <a:ea typeface="Karla" pitchFamily="2" charset="0"/>
                  </a:endParaRPr>
                </a:p>
              </xdr:txBody>
            </xdr:sp>
            <xdr:sp macro="[0]!LBChanger" textlink="uxb_works!B97">
              <xdr:nvSpPr>
                <xdr:cNvPr id="111" name="CtyScoreCard">
                  <a:extLst>
                    <a:ext uri="{FF2B5EF4-FFF2-40B4-BE49-F238E27FC236}">
                      <a16:creationId xmlns:a16="http://schemas.microsoft.com/office/drawing/2014/main" id="{00000000-0008-0000-0200-00006F000000}"/>
                    </a:ext>
                  </a:extLst>
                </xdr:cNvPr>
                <xdr:cNvSpPr>
                  <a:spLocks/>
                </xdr:cNvSpPr>
              </xdr:nvSpPr>
              <xdr:spPr>
                <a:xfrm>
                  <a:off x="3943666" y="285489"/>
                  <a:ext cx="1317779" cy="180261"/>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fld id="{5B2B5046-96B7-4EDE-9DD8-D97FF7695B86}" type="TxLink">
                    <a:rPr lang="en-US" sz="900" b="1" i="0" u="none" strike="noStrike">
                      <a:solidFill>
                        <a:schemeClr val="accent5">
                          <a:lumMod val="50000"/>
                        </a:schemeClr>
                      </a:solidFill>
                      <a:latin typeface="Calibri"/>
                      <a:ea typeface="Karla" pitchFamily="2" charset="0"/>
                      <a:cs typeface="Calibri"/>
                    </a:rPr>
                    <a:pPr algn="ctr"/>
                    <a:t>CITY SCORECARD</a:t>
                  </a:fld>
                  <a:endParaRPr lang="en-GB" sz="900" b="1">
                    <a:solidFill>
                      <a:schemeClr val="accent5">
                        <a:lumMod val="50000"/>
                      </a:schemeClr>
                    </a:solidFill>
                    <a:latin typeface="+mn-lt"/>
                    <a:ea typeface="Karla" pitchFamily="2" charset="0"/>
                  </a:endParaRPr>
                </a:p>
              </xdr:txBody>
            </xdr:sp>
            <xdr:sp macro="[0]!LBChanger" textlink="uxb_works!B103">
              <xdr:nvSpPr>
                <xdr:cNvPr id="112" name="RegionCompare">
                  <a:extLst>
                    <a:ext uri="{FF2B5EF4-FFF2-40B4-BE49-F238E27FC236}">
                      <a16:creationId xmlns:a16="http://schemas.microsoft.com/office/drawing/2014/main" id="{00000000-0008-0000-0200-000070000000}"/>
                    </a:ext>
                  </a:extLst>
                </xdr:cNvPr>
                <xdr:cNvSpPr>
                  <a:spLocks/>
                </xdr:cNvSpPr>
              </xdr:nvSpPr>
              <xdr:spPr>
                <a:xfrm>
                  <a:off x="6578664" y="285940"/>
                  <a:ext cx="132486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51E55FBF-FB84-41A1-976B-235AB148A85F}" type="TxLink">
                    <a:rPr lang="en-US" sz="900" b="1" i="0" u="none" strike="noStrike">
                      <a:solidFill>
                        <a:schemeClr val="accent5">
                          <a:lumMod val="50000"/>
                        </a:schemeClr>
                      </a:solidFill>
                      <a:latin typeface="Calibri"/>
                      <a:ea typeface="Karla" pitchFamily="2" charset="0"/>
                      <a:cs typeface="Calibri"/>
                    </a:rPr>
                    <a:pPr algn="ctr"/>
                    <a:t>REGION COMPARE</a:t>
                  </a:fld>
                  <a:endParaRPr lang="en-GB" sz="900" b="1">
                    <a:solidFill>
                      <a:schemeClr val="accent5">
                        <a:lumMod val="50000"/>
                      </a:schemeClr>
                    </a:solidFill>
                    <a:latin typeface="+mn-lt"/>
                    <a:ea typeface="Karla" pitchFamily="2" charset="0"/>
                  </a:endParaRPr>
                </a:p>
              </xdr:txBody>
            </xdr:sp>
            <xdr:sp macro="[0]!LBChanger" textlink="uxb_works!B104">
              <xdr:nvSpPr>
                <xdr:cNvPr id="113" name="CProfile">
                  <a:extLst>
                    <a:ext uri="{FF2B5EF4-FFF2-40B4-BE49-F238E27FC236}">
                      <a16:creationId xmlns:a16="http://schemas.microsoft.com/office/drawing/2014/main" id="{00000000-0008-0000-0200-000071000000}"/>
                    </a:ext>
                  </a:extLst>
                </xdr:cNvPr>
                <xdr:cNvSpPr>
                  <a:spLocks/>
                </xdr:cNvSpPr>
              </xdr:nvSpPr>
              <xdr:spPr>
                <a:xfrm>
                  <a:off x="2635250" y="285489"/>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62C1403F-D06F-4F81-B666-49A22A849932}" type="TxLink">
                    <a:rPr lang="en-US" sz="900" b="1" i="0" u="none" strike="noStrike">
                      <a:solidFill>
                        <a:srgbClr val="366092"/>
                      </a:solidFill>
                      <a:latin typeface="Calibri"/>
                      <a:ea typeface="Karla" pitchFamily="2" charset="0"/>
                      <a:cs typeface="Calibri"/>
                    </a:rPr>
                    <a:pPr algn="ctr"/>
                    <a:t>CITY PROFILE</a:t>
                  </a:fld>
                  <a:endParaRPr lang="en-GB" sz="900" b="1">
                    <a:solidFill>
                      <a:schemeClr val="accent5">
                        <a:lumMod val="50000"/>
                      </a:schemeClr>
                    </a:solidFill>
                    <a:latin typeface="+mn-lt"/>
                    <a:ea typeface="Karla" pitchFamily="2" charset="0"/>
                  </a:endParaRPr>
                </a:p>
              </xdr:txBody>
            </xdr:sp>
          </xdr:grpSp>
        </xdr:grpSp>
        <xdr:sp macro="[0]!UniversalChanger" textlink="uxb_works!$C$111">
          <xdr:nvSpPr>
            <xdr:cNvPr id="91" name="FilterToggle">
              <a:extLst>
                <a:ext uri="{FF2B5EF4-FFF2-40B4-BE49-F238E27FC236}">
                  <a16:creationId xmlns:a16="http://schemas.microsoft.com/office/drawing/2014/main" id="{00000000-0008-0000-0200-00005B000000}"/>
                </a:ext>
              </a:extLst>
            </xdr:cNvPr>
            <xdr:cNvSpPr>
              <a:spLocks/>
            </xdr:cNvSpPr>
          </xdr:nvSpPr>
          <xdr:spPr>
            <a:xfrm>
              <a:off x="10744308" y="852242"/>
              <a:ext cx="1082221" cy="212967"/>
            </a:xfrm>
            <a:prstGeom prst="rect">
              <a:avLst/>
            </a:prstGeom>
            <a:solidFill>
              <a:srgbClr val="D9D9D9"/>
            </a:solidFill>
            <a:ln w="2857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D5B5E-6696-41FF-B581-44AEC0F219A7}" type="TxLink">
                <a:rPr lang="en-US" sz="800" b="0" i="0" u="none" strike="noStrike">
                  <a:solidFill>
                    <a:srgbClr val="000000"/>
                  </a:solidFill>
                  <a:latin typeface="Calibri"/>
                  <a:ea typeface="Karla" pitchFamily="2" charset="0"/>
                  <a:cs typeface="Calibri"/>
                </a:rPr>
                <a:pPr algn="ctr"/>
                <a:t>Hide these options</a:t>
              </a:fld>
              <a:endParaRPr lang="en-GB" sz="4000" b="1">
                <a:solidFill>
                  <a:srgbClr val="000000"/>
                </a:solidFill>
                <a:latin typeface="+mn-lt"/>
                <a:ea typeface="Karla" pitchFamily="2" charset="0"/>
              </a:endParaRPr>
            </a:p>
          </xdr:txBody>
        </xdr:sp>
        <xdr:grpSp>
          <xdr:nvGrpSpPr>
            <xdr:cNvPr id="92" name="Group 91">
              <a:extLst>
                <a:ext uri="{FF2B5EF4-FFF2-40B4-BE49-F238E27FC236}">
                  <a16:creationId xmlns:a16="http://schemas.microsoft.com/office/drawing/2014/main" id="{00000000-0008-0000-0200-00005C000000}"/>
                </a:ext>
              </a:extLst>
            </xdr:cNvPr>
            <xdr:cNvGrpSpPr/>
          </xdr:nvGrpSpPr>
          <xdr:grpSpPr>
            <a:xfrm>
              <a:off x="10753783" y="37494"/>
              <a:ext cx="999275" cy="240746"/>
              <a:chOff x="10782556" y="28575"/>
              <a:chExt cx="999806" cy="252000"/>
            </a:xfrm>
          </xdr:grpSpPr>
          <xdr:sp macro="[0]!UniversalChanger" textlink="">
            <xdr:nvSpPr>
              <xdr:cNvPr id="93" name="ctr_Reset">
                <a:extLst>
                  <a:ext uri="{FF2B5EF4-FFF2-40B4-BE49-F238E27FC236}">
                    <a16:creationId xmlns:a16="http://schemas.microsoft.com/office/drawing/2014/main" id="{00000000-0008-0000-0200-00005D000000}"/>
                  </a:ext>
                </a:extLst>
              </xdr:cNvPr>
              <xdr:cNvSpPr/>
            </xdr:nvSpPr>
            <xdr:spPr>
              <a:xfrm>
                <a:off x="10782556" y="38100"/>
                <a:ext cx="666749" cy="209550"/>
              </a:xfrm>
              <a:prstGeom prst="rect">
                <a:avLst/>
              </a:prstGeom>
              <a:solidFill>
                <a:srgbClr val="F47940">
                  <a:alpha val="20000"/>
                </a:srgbClr>
              </a:solidFill>
              <a:ln w="3175">
                <a:solidFill>
                  <a:srgbClr val="005BAD"/>
                </a:solid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r>
                  <a:rPr lang="en-GB" sz="1000" b="0">
                    <a:solidFill>
                      <a:srgbClr val="143050"/>
                    </a:solidFill>
                    <a:latin typeface="+mn-lt"/>
                    <a:ea typeface="Karla" pitchFamily="2" charset="0"/>
                  </a:rPr>
                  <a:t>RESET</a:t>
                </a:r>
              </a:p>
            </xdr:txBody>
          </xdr:sp>
          <xdr:pic macro="[0]!UniversalChanger">
            <xdr:nvPicPr>
              <xdr:cNvPr id="94" name="Excel_Out">
                <a:extLst>
                  <a:ext uri="{FF2B5EF4-FFF2-40B4-BE49-F238E27FC236}">
                    <a16:creationId xmlns:a16="http://schemas.microsoft.com/office/drawing/2014/main" id="{00000000-0008-0000-02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525506" y="28575"/>
                <a:ext cx="256856" cy="252000"/>
              </a:xfrm>
              <a:prstGeom prst="rect">
                <a:avLst/>
              </a:prstGeom>
            </xdr:spPr>
          </xdr:pic>
        </xdr:grpSp>
      </xdr:grpSp>
      <mc:AlternateContent xmlns:mc="http://schemas.openxmlformats.org/markup-compatibility/2006">
        <mc:Choice xmlns:a14="http://schemas.microsoft.com/office/drawing/2010/main" Requires="a14">
          <xdr:sp macro="" textlink="">
            <xdr:nvSpPr>
              <xdr:cNvPr id="14524417" name="S_Show_Average" hidden="1">
                <a:extLst>
                  <a:ext uri="{63B3BB69-23CF-44E3-9099-C40C66FF867C}">
                    <a14:compatExt spid="_x0000_s14524417"/>
                  </a:ext>
                  <a:ext uri="{FF2B5EF4-FFF2-40B4-BE49-F238E27FC236}">
                    <a16:creationId xmlns:a16="http://schemas.microsoft.com/office/drawing/2014/main" id="{00000000-0008-0000-0200-000001A0DD00}"/>
                  </a:ext>
                </a:extLst>
              </xdr:cNvPr>
              <xdr:cNvSpPr/>
            </xdr:nvSpPr>
            <xdr:spPr bwMode="auto">
              <a:xfrm>
                <a:off x="4752975" y="790575"/>
                <a:ext cx="1914525" cy="2571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SG" sz="800" b="0" i="0" u="none" strike="noStrike" baseline="0">
                    <a:solidFill>
                      <a:srgbClr val="000000"/>
                    </a:solidFill>
                    <a:latin typeface="Segoe UI"/>
                    <a:cs typeface="Segoe UI"/>
                  </a:rPr>
                  <a:t>Show average score in table below</a:t>
                </a:r>
              </a:p>
            </xdr:txBody>
          </xdr:sp>
        </mc:Choice>
        <mc:Fallback/>
      </mc:AlternateContent>
      <xdr:grpSp>
        <xdr:nvGrpSpPr>
          <xdr:cNvPr id="15" name="Group 14">
            <a:extLst>
              <a:ext uri="{FF2B5EF4-FFF2-40B4-BE49-F238E27FC236}">
                <a16:creationId xmlns:a16="http://schemas.microsoft.com/office/drawing/2014/main" id="{00000000-0008-0000-0200-00000F000000}"/>
              </a:ext>
            </a:extLst>
          </xdr:cNvPr>
          <xdr:cNvGrpSpPr/>
        </xdr:nvGrpSpPr>
        <xdr:grpSpPr>
          <a:xfrm>
            <a:off x="2335772" y="633675"/>
            <a:ext cx="2117869" cy="397829"/>
            <a:chOff x="6175512" y="666750"/>
            <a:chExt cx="2102986" cy="406636"/>
          </a:xfrm>
        </xdr:grpSpPr>
        <xdr:pic macro="[0]!UniversalChanger">
          <xdr:nvPicPr>
            <xdr:cNvPr id="24" name="R_HL_UP" descr="scroll_up_small.png">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5" cstate="print"/>
            <a:stretch>
              <a:fillRect/>
            </a:stretch>
          </xdr:blipFill>
          <xdr:spPr>
            <a:xfrm>
              <a:off x="7983065" y="853966"/>
              <a:ext cx="295433" cy="119545"/>
            </a:xfrm>
            <a:prstGeom prst="rect">
              <a:avLst/>
            </a:prstGeom>
          </xdr:spPr>
        </xdr:pic>
        <xdr:pic macro="[0]!UniversalChanger">
          <xdr:nvPicPr>
            <xdr:cNvPr id="25" name="R_HL_DOWN" descr="scroll_down_small.png">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cstate="print"/>
            <a:stretch>
              <a:fillRect/>
            </a:stretch>
          </xdr:blipFill>
          <xdr:spPr>
            <a:xfrm>
              <a:off x="7983065" y="971593"/>
              <a:ext cx="295433" cy="94674"/>
            </a:xfrm>
            <a:prstGeom prst="rect">
              <a:avLst/>
            </a:prstGeom>
          </xdr:spPr>
        </xdr:pic>
        <mc:AlternateContent xmlns:mc="http://schemas.openxmlformats.org/markup-compatibility/2006">
          <mc:Choice xmlns:a14="http://schemas.microsoft.com/office/drawing/2010/main" Requires="a14">
            <xdr:sp macro="" textlink="">
              <xdr:nvSpPr>
                <xdr:cNvPr id="14524418" name="R_HIGHLIGHT" hidden="1">
                  <a:extLst>
                    <a:ext uri="{63B3BB69-23CF-44E3-9099-C40C66FF867C}">
                      <a14:compatExt spid="_x0000_s14524418"/>
                    </a:ext>
                    <a:ext uri="{FF2B5EF4-FFF2-40B4-BE49-F238E27FC236}">
                      <a16:creationId xmlns:a16="http://schemas.microsoft.com/office/drawing/2014/main" id="{00000000-0008-0000-0200-000002A0DD00}"/>
                    </a:ext>
                  </a:extLst>
                </xdr:cNvPr>
                <xdr:cNvSpPr/>
              </xdr:nvSpPr>
              <xdr:spPr bwMode="auto">
                <a:xfrm>
                  <a:off x="6175512" y="852933"/>
                  <a:ext cx="1801190" cy="220453"/>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95">
          <xdr:nvSpPr>
            <xdr:cNvPr id="27" name="GRP_HL">
              <a:extLst>
                <a:ext uri="{FF2B5EF4-FFF2-40B4-BE49-F238E27FC236}">
                  <a16:creationId xmlns:a16="http://schemas.microsoft.com/office/drawing/2014/main" id="{00000000-0008-0000-0200-00001B000000}"/>
                </a:ext>
              </a:extLst>
            </xdr:cNvPr>
            <xdr:cNvSpPr>
              <a:spLocks/>
            </xdr:cNvSpPr>
          </xdr:nvSpPr>
          <xdr:spPr>
            <a:xfrm>
              <a:off x="6610349" y="666750"/>
              <a:ext cx="1666800" cy="180000"/>
            </a:xfrm>
            <a:prstGeom prst="rect">
              <a:avLst/>
            </a:prstGeom>
            <a:solidFill>
              <a:schemeClr val="bg1">
                <a:lumMod val="95000"/>
              </a:schemeClr>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27581ADC-70D7-456D-A26C-5061F4337260}" type="TxLink">
                <a:rPr lang="en-US" sz="800" b="0" i="0" u="none" strike="noStrike">
                  <a:solidFill>
                    <a:srgbClr val="143050"/>
                  </a:solidFill>
                  <a:latin typeface="Calibri"/>
                  <a:ea typeface="Karla" pitchFamily="2" charset="0"/>
                  <a:cs typeface="Calibri"/>
                </a:rPr>
                <a:pPr algn="ctr"/>
                <a:t>GROUP HIGHLIGHT</a:t>
              </a:fld>
              <a:endParaRPr lang="en-GB" sz="600" b="0">
                <a:solidFill>
                  <a:srgbClr val="000000"/>
                </a:solidFill>
                <a:latin typeface="+mn-lt"/>
                <a:ea typeface="Karla" pitchFamily="2" charset="0"/>
              </a:endParaRPr>
            </a:p>
          </xdr:txBody>
        </xdr:sp>
        <xdr:sp macro="" textlink="">
          <xdr:nvSpPr>
            <xdr:cNvPr id="28" name="Rectangle 27">
              <a:extLst>
                <a:ext uri="{FF2B5EF4-FFF2-40B4-BE49-F238E27FC236}">
                  <a16:creationId xmlns:a16="http://schemas.microsoft.com/office/drawing/2014/main" id="{00000000-0008-0000-0200-00001C000000}"/>
                </a:ext>
              </a:extLst>
            </xdr:cNvPr>
            <xdr:cNvSpPr/>
          </xdr:nvSpPr>
          <xdr:spPr>
            <a:xfrm>
              <a:off x="7973705" y="853282"/>
              <a:ext cx="304793" cy="214310"/>
            </a:xfrm>
            <a:prstGeom prst="rect">
              <a:avLst/>
            </a:prstGeom>
            <a:noFill/>
            <a:ln w="63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chemeClr val="accent1">
                    <a:lumMod val="60000"/>
                    <a:lumOff val="40000"/>
                  </a:schemeClr>
                </a:solidFill>
                <a:latin typeface="Calibri"/>
                <a:cs typeface="Calibri"/>
              </a:endParaRPr>
            </a:p>
          </xdr:txBody>
        </xdr:sp>
        <xdr:sp macro="" textlink="">
          <xdr:nvSpPr>
            <xdr:cNvPr id="29" name="lbl_cnt_City_1">
              <a:extLst>
                <a:ext uri="{FF2B5EF4-FFF2-40B4-BE49-F238E27FC236}">
                  <a16:creationId xmlns:a16="http://schemas.microsoft.com/office/drawing/2014/main" id="{00000000-0008-0000-0200-00001D000000}"/>
                </a:ext>
              </a:extLst>
            </xdr:cNvPr>
            <xdr:cNvSpPr txBox="1"/>
          </xdr:nvSpPr>
          <xdr:spPr>
            <a:xfrm>
              <a:off x="6175513" y="666754"/>
              <a:ext cx="438152" cy="180000"/>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ctr"/>
              <a:r>
                <a:rPr lang="en-GB" sz="1000" b="1">
                  <a:solidFill>
                    <a:sysClr val="windowText" lastClr="000000"/>
                  </a:solidFill>
                  <a:latin typeface="+mn-lt"/>
                  <a:ea typeface="Karla" pitchFamily="2" charset="0"/>
                </a:rPr>
                <a:t>SELECT </a:t>
              </a:r>
            </a:p>
          </xdr:txBody>
        </xdr:sp>
      </xdr:grpSp>
      <xdr:grpSp>
        <xdr:nvGrpSpPr>
          <xdr:cNvPr id="16" name="Group 15">
            <a:extLst>
              <a:ext uri="{FF2B5EF4-FFF2-40B4-BE49-F238E27FC236}">
                <a16:creationId xmlns:a16="http://schemas.microsoft.com/office/drawing/2014/main" id="{00000000-0008-0000-0200-000010000000}"/>
              </a:ext>
            </a:extLst>
          </xdr:cNvPr>
          <xdr:cNvGrpSpPr/>
        </xdr:nvGrpSpPr>
        <xdr:grpSpPr>
          <a:xfrm>
            <a:off x="127535" y="634449"/>
            <a:ext cx="2119588" cy="391387"/>
            <a:chOff x="8377365" y="657225"/>
            <a:chExt cx="2105759" cy="400050"/>
          </a:xfrm>
        </xdr:grpSpPr>
        <xdr:pic macro="[0]!UniversalChanger">
          <xdr:nvPicPr>
            <xdr:cNvPr id="17" name="C_HL_UP" descr="scroll_up_small.png">
              <a:extLst>
                <a:ext uri="{FF2B5EF4-FFF2-40B4-BE49-F238E27FC236}">
                  <a16:creationId xmlns:a16="http://schemas.microsoft.com/office/drawing/2014/main" id="{00000000-0008-0000-0200-000011000000}"/>
                </a:ext>
              </a:extLst>
            </xdr:cNvPr>
            <xdr:cNvPicPr preferRelativeResize="0">
              <a:picLocks/>
            </xdr:cNvPicPr>
          </xdr:nvPicPr>
          <xdr:blipFill>
            <a:blip xmlns:r="http://schemas.openxmlformats.org/officeDocument/2006/relationships" r:embed="rId5" cstate="print"/>
            <a:stretch>
              <a:fillRect/>
            </a:stretch>
          </xdr:blipFill>
          <xdr:spPr>
            <a:xfrm>
              <a:off x="10191597" y="844441"/>
              <a:ext cx="291527" cy="108000"/>
            </a:xfrm>
            <a:prstGeom prst="rect">
              <a:avLst/>
            </a:prstGeom>
          </xdr:spPr>
        </xdr:pic>
        <xdr:pic macro="[0]!UniversalChanger">
          <xdr:nvPicPr>
            <xdr:cNvPr id="18" name="C_HL_DOWN" descr="scroll_down_small.png">
              <a:extLst>
                <a:ext uri="{FF2B5EF4-FFF2-40B4-BE49-F238E27FC236}">
                  <a16:creationId xmlns:a16="http://schemas.microsoft.com/office/drawing/2014/main" id="{00000000-0008-0000-0200-000012000000}"/>
                </a:ext>
              </a:extLst>
            </xdr:cNvPr>
            <xdr:cNvPicPr preferRelativeResize="0">
              <a:picLocks/>
            </xdr:cNvPicPr>
          </xdr:nvPicPr>
          <xdr:blipFill>
            <a:blip xmlns:r="http://schemas.openxmlformats.org/officeDocument/2006/relationships" r:embed="rId6" cstate="print"/>
            <a:stretch>
              <a:fillRect/>
            </a:stretch>
          </xdr:blipFill>
          <xdr:spPr>
            <a:xfrm>
              <a:off x="10191597" y="948669"/>
              <a:ext cx="291527" cy="108073"/>
            </a:xfrm>
            <a:prstGeom prst="rect">
              <a:avLst/>
            </a:prstGeom>
          </xdr:spPr>
        </xdr:pic>
        <xdr:grpSp>
          <xdr:nvGrpSpPr>
            <xdr:cNvPr id="19" name="Group 18">
              <a:extLst>
                <a:ext uri="{FF2B5EF4-FFF2-40B4-BE49-F238E27FC236}">
                  <a16:creationId xmlns:a16="http://schemas.microsoft.com/office/drawing/2014/main" id="{00000000-0008-0000-0200-000013000000}"/>
                </a:ext>
              </a:extLst>
            </xdr:cNvPr>
            <xdr:cNvGrpSpPr/>
          </xdr:nvGrpSpPr>
          <xdr:grpSpPr>
            <a:xfrm>
              <a:off x="8377365" y="657225"/>
              <a:ext cx="2104583" cy="400050"/>
              <a:chOff x="8377365" y="657225"/>
              <a:chExt cx="2104583" cy="400050"/>
            </a:xfrm>
          </xdr:grpSpPr>
          <mc:AlternateContent xmlns:mc="http://schemas.openxmlformats.org/markup-compatibility/2006">
            <mc:Choice xmlns:a14="http://schemas.microsoft.com/office/drawing/2010/main" Requires="a14">
              <xdr:sp macro="" textlink="">
                <xdr:nvSpPr>
                  <xdr:cNvPr id="14524419" name="C_Highlight" hidden="1">
                    <a:extLst>
                      <a:ext uri="{63B3BB69-23CF-44E3-9099-C40C66FF867C}">
                        <a14:compatExt spid="_x0000_s14524419"/>
                      </a:ext>
                      <a:ext uri="{FF2B5EF4-FFF2-40B4-BE49-F238E27FC236}">
                        <a16:creationId xmlns:a16="http://schemas.microsoft.com/office/drawing/2014/main" id="{00000000-0008-0000-0200-000003A0DD00}"/>
                      </a:ext>
                    </a:extLst>
                  </xdr:cNvPr>
                  <xdr:cNvSpPr/>
                </xdr:nvSpPr>
                <xdr:spPr bwMode="auto">
                  <a:xfrm>
                    <a:off x="8377365" y="838200"/>
                    <a:ext cx="1804023" cy="219075"/>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94">
            <xdr:nvSpPr>
              <xdr:cNvPr id="21" name="CNT_HL">
                <a:extLst>
                  <a:ext uri="{FF2B5EF4-FFF2-40B4-BE49-F238E27FC236}">
                    <a16:creationId xmlns:a16="http://schemas.microsoft.com/office/drawing/2014/main" id="{00000000-0008-0000-0200-000015000000}"/>
                  </a:ext>
                </a:extLst>
              </xdr:cNvPr>
              <xdr:cNvSpPr>
                <a:spLocks/>
              </xdr:cNvSpPr>
            </xdr:nvSpPr>
            <xdr:spPr>
              <a:xfrm>
                <a:off x="8813798" y="657225"/>
                <a:ext cx="1667553" cy="180000"/>
              </a:xfrm>
              <a:prstGeom prst="rect">
                <a:avLst/>
              </a:prstGeom>
              <a:solidFill>
                <a:schemeClr val="bg1">
                  <a:lumMod val="95000"/>
                </a:schemeClr>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7B5D803E-C6B3-4CA6-AD56-2442E70FFF29}" type="TxLink">
                  <a:rPr lang="en-US" sz="800" b="0" i="0" u="none" strike="noStrike">
                    <a:solidFill>
                      <a:srgbClr val="143050"/>
                    </a:solidFill>
                    <a:latin typeface="Calibri"/>
                    <a:ea typeface="Karla" pitchFamily="2" charset="0"/>
                    <a:cs typeface="Calibri"/>
                  </a:rPr>
                  <a:pPr algn="ctr"/>
                  <a:t>CITY HIGHLIGHT</a:t>
                </a:fld>
                <a:endParaRPr lang="en-GB" sz="600" b="0">
                  <a:solidFill>
                    <a:srgbClr val="000000"/>
                  </a:solidFill>
                  <a:latin typeface="+mn-lt"/>
                  <a:ea typeface="Karla" pitchFamily="2" charset="0"/>
                </a:endParaRPr>
              </a:p>
            </xdr:txBody>
          </xdr:sp>
          <xdr:sp macro="" textlink="">
            <xdr:nvSpPr>
              <xdr:cNvPr id="22" name="Rectangle 21">
                <a:extLst>
                  <a:ext uri="{FF2B5EF4-FFF2-40B4-BE49-F238E27FC236}">
                    <a16:creationId xmlns:a16="http://schemas.microsoft.com/office/drawing/2014/main" id="{00000000-0008-0000-0200-000016000000}"/>
                  </a:ext>
                </a:extLst>
              </xdr:cNvPr>
              <xdr:cNvSpPr/>
            </xdr:nvSpPr>
            <xdr:spPr>
              <a:xfrm>
                <a:off x="10177155" y="843757"/>
                <a:ext cx="304793" cy="213518"/>
              </a:xfrm>
              <a:prstGeom prst="rect">
                <a:avLst/>
              </a:prstGeom>
              <a:noFill/>
              <a:ln w="63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chemeClr val="accent1">
                      <a:lumMod val="60000"/>
                      <a:lumOff val="40000"/>
                    </a:schemeClr>
                  </a:solidFill>
                  <a:latin typeface="Calibri"/>
                  <a:cs typeface="Calibri"/>
                </a:endParaRPr>
              </a:p>
            </xdr:txBody>
          </xdr:sp>
          <xdr:sp macro="" textlink="">
            <xdr:nvSpPr>
              <xdr:cNvPr id="23" name="lbl_cnt_City_1">
                <a:extLst>
                  <a:ext uri="{FF2B5EF4-FFF2-40B4-BE49-F238E27FC236}">
                    <a16:creationId xmlns:a16="http://schemas.microsoft.com/office/drawing/2014/main" id="{00000000-0008-0000-0200-000017000000}"/>
                  </a:ext>
                </a:extLst>
              </xdr:cNvPr>
              <xdr:cNvSpPr txBox="1"/>
            </xdr:nvSpPr>
            <xdr:spPr>
              <a:xfrm>
                <a:off x="8378963" y="657229"/>
                <a:ext cx="438012" cy="180000"/>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ctr"/>
                <a:r>
                  <a:rPr lang="en-GB" sz="1000" b="1">
                    <a:solidFill>
                      <a:sysClr val="windowText" lastClr="000000"/>
                    </a:solidFill>
                    <a:latin typeface="+mn-lt"/>
                    <a:ea typeface="Karla" pitchFamily="2" charset="0"/>
                  </a:rPr>
                  <a:t>SELECT </a:t>
                </a:r>
              </a:p>
            </xdr:txBody>
          </xdr:sp>
        </xdr:grpSp>
      </xdr:grpSp>
    </xdr:grpSp>
    <xdr:clientData/>
  </xdr:twoCellAnchor>
  <xdr:twoCellAnchor>
    <xdr:from>
      <xdr:col>1</xdr:col>
      <xdr:colOff>0</xdr:colOff>
      <xdr:row>12</xdr:row>
      <xdr:rowOff>0</xdr:rowOff>
    </xdr:from>
    <xdr:to>
      <xdr:col>7</xdr:col>
      <xdr:colOff>0</xdr:colOff>
      <xdr:row>14</xdr:row>
      <xdr:rowOff>9525</xdr:rowOff>
    </xdr:to>
    <xdr:sp macro="[0]!Summary_Long" textlink="">
      <xdr:nvSpPr>
        <xdr:cNvPr id="64" name="1">
          <a:extLst>
            <a:ext uri="{FF2B5EF4-FFF2-40B4-BE49-F238E27FC236}">
              <a16:creationId xmlns:a16="http://schemas.microsoft.com/office/drawing/2014/main" id="{00000000-0008-0000-0200-000040000000}"/>
            </a:ext>
          </a:extLst>
        </xdr:cNvPr>
        <xdr:cNvSpPr/>
      </xdr:nvSpPr>
      <xdr:spPr>
        <a:xfrm>
          <a:off x="180975" y="1857375"/>
          <a:ext cx="2609850" cy="695325"/>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chemeClr val="accent1">
                <a:lumMod val="60000"/>
                <a:lumOff val="40000"/>
              </a:schemeClr>
            </a:solidFill>
            <a:latin typeface="Calibri"/>
            <a:cs typeface="Calibri"/>
          </a:endParaRPr>
        </a:p>
      </xdr:txBody>
    </xdr:sp>
    <xdr:clientData/>
  </xdr:twoCellAnchor>
  <xdr:twoCellAnchor editAs="oneCell">
    <xdr:from>
      <xdr:col>0</xdr:col>
      <xdr:colOff>171450</xdr:colOff>
      <xdr:row>9</xdr:row>
      <xdr:rowOff>104775</xdr:rowOff>
    </xdr:from>
    <xdr:to>
      <xdr:col>35</xdr:col>
      <xdr:colOff>85725</xdr:colOff>
      <xdr:row>11</xdr:row>
      <xdr:rowOff>130869</xdr:rowOff>
    </xdr:to>
    <xdr:grpSp>
      <xdr:nvGrpSpPr>
        <xdr:cNvPr id="20" name="Group 19">
          <a:extLst>
            <a:ext uri="{FF2B5EF4-FFF2-40B4-BE49-F238E27FC236}">
              <a16:creationId xmlns:a16="http://schemas.microsoft.com/office/drawing/2014/main" id="{00000000-0008-0000-0200-000014000000}"/>
            </a:ext>
          </a:extLst>
        </xdr:cNvPr>
        <xdr:cNvGrpSpPr/>
      </xdr:nvGrpSpPr>
      <xdr:grpSpPr>
        <a:xfrm>
          <a:off x="171450" y="1895475"/>
          <a:ext cx="11525250" cy="388044"/>
          <a:chOff x="171450" y="1914525"/>
          <a:chExt cx="11544300" cy="388044"/>
        </a:xfrm>
      </xdr:grpSpPr>
      <xdr:sp macro="" textlink="uxb_works!B87">
        <xdr:nvSpPr>
          <xdr:cNvPr id="83" name="TextBox 82">
            <a:extLst>
              <a:ext uri="{FF2B5EF4-FFF2-40B4-BE49-F238E27FC236}">
                <a16:creationId xmlns:a16="http://schemas.microsoft.com/office/drawing/2014/main" id="{00000000-0008-0000-0200-000053000000}"/>
              </a:ext>
            </a:extLst>
          </xdr:cNvPr>
          <xdr:cNvSpPr txBox="1">
            <a:spLocks noChangeArrowheads="1"/>
          </xdr:cNvSpPr>
        </xdr:nvSpPr>
        <xdr:spPr bwMode="auto">
          <a:xfrm>
            <a:off x="171450" y="1914525"/>
            <a:ext cx="4658797" cy="388044"/>
          </a:xfrm>
          <a:prstGeom prst="rect">
            <a:avLst/>
          </a:prstGeom>
          <a:solidFill>
            <a:srgbClr val="FFFFFF"/>
          </a:solidFill>
          <a:ln w="9525">
            <a:solidFill>
              <a:srgbClr val="BCBCBC"/>
            </a:solidFill>
            <a:miter lim="800000"/>
            <a:headEnd/>
            <a:tailEnd/>
          </a:ln>
        </xdr:spPr>
        <xdr:txBody>
          <a:bodyPr vertOverflow="clip" wrap="square" lIns="72000" tIns="0" rIns="0" bIns="0" anchor="ctr" upright="1"/>
          <a:lstStyle/>
          <a:p>
            <a:pPr marL="0" algn="l"/>
            <a:fld id="{B7C2B71C-598E-4E69-833B-52B5E3EAA70B}" type="TxLink">
              <a:rPr lang="en-US" sz="800" b="0" i="0" u="none" strike="noStrike">
                <a:solidFill>
                  <a:srgbClr val="3B6E8F"/>
                </a:solidFill>
                <a:effectLst/>
                <a:latin typeface="Calibri"/>
                <a:ea typeface="+mn-ea"/>
                <a:cs typeface="Calibri"/>
              </a:rPr>
              <a:pPr marL="0" algn="l"/>
              <a:t>All data are normalised to a scale of 0 to 100, where 100 = optimal score</a:t>
            </a:fld>
            <a:endParaRPr lang="en-GB" sz="1100">
              <a:effectLst/>
              <a:latin typeface="+mn-lt"/>
              <a:ea typeface="+mn-ea"/>
              <a:cs typeface="+mn-cs"/>
            </a:endParaRPr>
          </a:p>
        </xdr:txBody>
      </xdr:sp>
      <xdr:grpSp>
        <xdr:nvGrpSpPr>
          <xdr:cNvPr id="14" name="Group 13">
            <a:extLst>
              <a:ext uri="{FF2B5EF4-FFF2-40B4-BE49-F238E27FC236}">
                <a16:creationId xmlns:a16="http://schemas.microsoft.com/office/drawing/2014/main" id="{00000000-0008-0000-0200-00000E000000}"/>
              </a:ext>
            </a:extLst>
          </xdr:cNvPr>
          <xdr:cNvGrpSpPr/>
        </xdr:nvGrpSpPr>
        <xdr:grpSpPr>
          <a:xfrm>
            <a:off x="6124575" y="2000547"/>
            <a:ext cx="5591175" cy="216000"/>
            <a:chOff x="6010275" y="1862807"/>
            <a:chExt cx="5591175" cy="216000"/>
          </a:xfrm>
        </xdr:grpSpPr>
        <xdr:sp macro="" textlink="uxb_works!H122">
          <xdr:nvSpPr>
            <xdr:cNvPr id="116" name="TextBox 115">
              <a:extLst>
                <a:ext uri="{FF2B5EF4-FFF2-40B4-BE49-F238E27FC236}">
                  <a16:creationId xmlns:a16="http://schemas.microsoft.com/office/drawing/2014/main" id="{00000000-0008-0000-0200-000074000000}"/>
                </a:ext>
              </a:extLst>
            </xdr:cNvPr>
            <xdr:cNvSpPr txBox="1"/>
          </xdr:nvSpPr>
          <xdr:spPr>
            <a:xfrm>
              <a:off x="10201271" y="1862807"/>
              <a:ext cx="1400179" cy="216000"/>
            </a:xfrm>
            <a:prstGeom prst="rect">
              <a:avLst/>
            </a:prstGeom>
            <a:solidFill>
              <a:srgbClr val="DCE6F1"/>
            </a:solidFill>
            <a:ln w="9525" cmpd="sng">
              <a:solidFill>
                <a:schemeClr val="tx2">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fld id="{2854B84E-8155-4FFA-A8E6-2C49E9B4046F}" type="TxLink">
                <a:rPr lang="en-US" sz="1000" b="0" i="0" u="none" strike="noStrike">
                  <a:solidFill>
                    <a:sysClr val="windowText" lastClr="000000"/>
                  </a:solidFill>
                  <a:latin typeface="Calibri"/>
                  <a:ea typeface="Karla" pitchFamily="2" charset="0"/>
                  <a:cs typeface="Calibri"/>
                </a:rPr>
                <a:pPr algn="ctr"/>
                <a:t>Low: 0 to 25.0</a:t>
              </a:fld>
              <a:endParaRPr lang="en-GB" sz="1000">
                <a:solidFill>
                  <a:sysClr val="windowText" lastClr="000000"/>
                </a:solidFill>
                <a:latin typeface="+mn-lt"/>
                <a:ea typeface="Karla" pitchFamily="2" charset="0"/>
              </a:endParaRPr>
            </a:p>
          </xdr:txBody>
        </xdr:sp>
        <xdr:sp macro="" textlink="uxb_works!H121">
          <xdr:nvSpPr>
            <xdr:cNvPr id="117" name="TextBox 116">
              <a:extLst>
                <a:ext uri="{FF2B5EF4-FFF2-40B4-BE49-F238E27FC236}">
                  <a16:creationId xmlns:a16="http://schemas.microsoft.com/office/drawing/2014/main" id="{00000000-0008-0000-0200-000075000000}"/>
                </a:ext>
              </a:extLst>
            </xdr:cNvPr>
            <xdr:cNvSpPr txBox="1"/>
          </xdr:nvSpPr>
          <xdr:spPr>
            <a:xfrm>
              <a:off x="8810625" y="1862807"/>
              <a:ext cx="1400176" cy="216000"/>
            </a:xfrm>
            <a:prstGeom prst="rect">
              <a:avLst/>
            </a:prstGeom>
            <a:solidFill>
              <a:srgbClr val="92C5EB"/>
            </a:solidFill>
            <a:ln w="9525" cmpd="sng">
              <a:solidFill>
                <a:schemeClr val="tx2">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fld id="{29F46DB7-42D4-4B4E-801A-1AA1CE506C95}" type="TxLink">
                <a:rPr lang="en-US" sz="1000" b="0" i="0" u="none" strike="noStrike">
                  <a:solidFill>
                    <a:sysClr val="windowText" lastClr="000000"/>
                  </a:solidFill>
                  <a:latin typeface="Calibri"/>
                  <a:ea typeface="Karla" pitchFamily="2" charset="0"/>
                  <a:cs typeface="Calibri"/>
                </a:rPr>
                <a:pPr algn="ctr"/>
                <a:t>Medium: 25.1 to 50.0</a:t>
              </a:fld>
              <a:endParaRPr lang="en-GB" sz="1000">
                <a:solidFill>
                  <a:sysClr val="windowText" lastClr="000000"/>
                </a:solidFill>
                <a:latin typeface="+mn-lt"/>
                <a:ea typeface="Karla" pitchFamily="2" charset="0"/>
              </a:endParaRPr>
            </a:p>
          </xdr:txBody>
        </xdr:sp>
        <xdr:sp macro="" textlink="uxb_works!H120">
          <xdr:nvSpPr>
            <xdr:cNvPr id="118" name="TextBox 117">
              <a:extLst>
                <a:ext uri="{FF2B5EF4-FFF2-40B4-BE49-F238E27FC236}">
                  <a16:creationId xmlns:a16="http://schemas.microsoft.com/office/drawing/2014/main" id="{00000000-0008-0000-0200-000076000000}"/>
                </a:ext>
              </a:extLst>
            </xdr:cNvPr>
            <xdr:cNvSpPr txBox="1"/>
          </xdr:nvSpPr>
          <xdr:spPr>
            <a:xfrm>
              <a:off x="7410446" y="1862807"/>
              <a:ext cx="1400179" cy="216000"/>
            </a:xfrm>
            <a:prstGeom prst="rect">
              <a:avLst/>
            </a:prstGeom>
            <a:solidFill>
              <a:schemeClr val="accent1">
                <a:lumMod val="60000"/>
                <a:lumOff val="40000"/>
              </a:schemeClr>
            </a:solidFill>
            <a:ln w="9525" cmpd="sng">
              <a:solidFill>
                <a:schemeClr val="tx2">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fld id="{E014E6EF-ABC5-4C58-9185-AC9B9C6F2992}" type="TxLink">
                <a:rPr lang="en-US" sz="1000" b="0" i="0" u="none" strike="noStrike">
                  <a:solidFill>
                    <a:schemeClr val="tx1"/>
                  </a:solidFill>
                  <a:latin typeface="Calibri"/>
                  <a:ea typeface="Karla" pitchFamily="2" charset="0"/>
                  <a:cs typeface="Calibri"/>
                </a:rPr>
                <a:pPr algn="ctr"/>
                <a:t>High: 50.1 to 75.0</a:t>
              </a:fld>
              <a:endParaRPr lang="en-GB" sz="1000">
                <a:solidFill>
                  <a:schemeClr val="tx1"/>
                </a:solidFill>
                <a:latin typeface="+mn-lt"/>
                <a:ea typeface="Karla" pitchFamily="2" charset="0"/>
              </a:endParaRPr>
            </a:p>
          </xdr:txBody>
        </xdr:sp>
        <xdr:sp macro="" textlink="uxb_works!H119">
          <xdr:nvSpPr>
            <xdr:cNvPr id="119" name="TextBox 118">
              <a:extLst>
                <a:ext uri="{FF2B5EF4-FFF2-40B4-BE49-F238E27FC236}">
                  <a16:creationId xmlns:a16="http://schemas.microsoft.com/office/drawing/2014/main" id="{00000000-0008-0000-0200-000077000000}"/>
                </a:ext>
              </a:extLst>
            </xdr:cNvPr>
            <xdr:cNvSpPr txBox="1"/>
          </xdr:nvSpPr>
          <xdr:spPr>
            <a:xfrm>
              <a:off x="6010275" y="1862807"/>
              <a:ext cx="1409700" cy="216000"/>
            </a:xfrm>
            <a:prstGeom prst="rect">
              <a:avLst/>
            </a:prstGeom>
            <a:solidFill>
              <a:srgbClr val="376092"/>
            </a:solidFill>
            <a:ln w="9525" cmpd="sng">
              <a:solidFill>
                <a:schemeClr val="tx2">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fld id="{BD393886-0134-4C35-98EA-2F7CF7DBD397}" type="TxLink">
                <a:rPr lang="en-US" sz="1000" b="0" i="0" u="none" strike="noStrike">
                  <a:solidFill>
                    <a:schemeClr val="bg1"/>
                  </a:solidFill>
                  <a:latin typeface="Calibri"/>
                  <a:ea typeface="Karla" pitchFamily="2" charset="0"/>
                  <a:cs typeface="Calibri"/>
                </a:rPr>
                <a:pPr algn="ctr"/>
                <a:t>Very high: 75.1 to 100</a:t>
              </a:fld>
              <a:endParaRPr lang="en-GB" sz="1100">
                <a:solidFill>
                  <a:schemeClr val="bg1"/>
                </a:solidFill>
                <a:latin typeface="+mn-lt"/>
                <a:ea typeface="Karla" pitchFamily="2" charset="0"/>
              </a:endParaRPr>
            </a:p>
          </xdr:txBody>
        </xdr:sp>
      </xdr:grpSp>
    </xdr:grpSp>
    <xdr:clientData/>
  </xdr:twoCellAnchor>
  <xdr:twoCellAnchor>
    <xdr:from>
      <xdr:col>29</xdr:col>
      <xdr:colOff>0</xdr:colOff>
      <xdr:row>12</xdr:row>
      <xdr:rowOff>9525</xdr:rowOff>
    </xdr:from>
    <xdr:to>
      <xdr:col>35</xdr:col>
      <xdr:colOff>0</xdr:colOff>
      <xdr:row>14</xdr:row>
      <xdr:rowOff>19050</xdr:rowOff>
    </xdr:to>
    <xdr:sp macro="[0]!Summary_Long" textlink="">
      <xdr:nvSpPr>
        <xdr:cNvPr id="115" name="5">
          <a:extLst>
            <a:ext uri="{FF2B5EF4-FFF2-40B4-BE49-F238E27FC236}">
              <a16:creationId xmlns:a16="http://schemas.microsoft.com/office/drawing/2014/main" id="{00000000-0008-0000-0200-000073000000}"/>
            </a:ext>
          </a:extLst>
        </xdr:cNvPr>
        <xdr:cNvSpPr/>
      </xdr:nvSpPr>
      <xdr:spPr>
        <a:xfrm>
          <a:off x="9001125" y="2571750"/>
          <a:ext cx="2609850" cy="695325"/>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chemeClr val="accent1">
                <a:lumMod val="60000"/>
                <a:lumOff val="40000"/>
              </a:schemeClr>
            </a:solidFill>
            <a:latin typeface="Calibri"/>
            <a:cs typeface="Calibri"/>
          </a:endParaRPr>
        </a:p>
      </xdr:txBody>
    </xdr:sp>
    <xdr:clientData/>
  </xdr:twoCellAnchor>
  <xdr:oneCellAnchor>
    <xdr:from>
      <xdr:col>26</xdr:col>
      <xdr:colOff>542925</xdr:colOff>
      <xdr:row>11</xdr:row>
      <xdr:rowOff>76200</xdr:rowOff>
    </xdr:from>
    <xdr:ext cx="3438525" cy="305860"/>
    <xdr:sp macro="" textlink="">
      <xdr:nvSpPr>
        <xdr:cNvPr id="120" name="TextBox 119">
          <a:extLst>
            <a:ext uri="{FF2B5EF4-FFF2-40B4-BE49-F238E27FC236}">
              <a16:creationId xmlns:a16="http://schemas.microsoft.com/office/drawing/2014/main" id="{00000000-0008-0000-0200-000078000000}"/>
            </a:ext>
          </a:extLst>
        </xdr:cNvPr>
        <xdr:cNvSpPr txBox="1">
          <a:spLocks noChangeArrowheads="1"/>
        </xdr:cNvSpPr>
      </xdr:nvSpPr>
      <xdr:spPr bwMode="auto">
        <a:xfrm>
          <a:off x="8296275" y="2228850"/>
          <a:ext cx="3438525" cy="305860"/>
        </a:xfrm>
        <a:prstGeom prst="rect">
          <a:avLst/>
        </a:prstGeom>
        <a:noFill/>
        <a:ln w="9525">
          <a:noFill/>
          <a:miter lim="800000"/>
          <a:headEnd/>
          <a:tailEnd/>
        </a:ln>
      </xdr:spPr>
      <xdr:txBody>
        <a:bodyPr vertOverflow="clip" wrap="square" lIns="72000" tIns="72000" rIns="72000" bIns="72000" anchor="ctr" upright="1"/>
        <a:lstStyle/>
        <a:p>
          <a:pPr marL="0" algn="r"/>
          <a:r>
            <a:rPr lang="en-US" sz="1000" b="0" i="1" u="none" strike="noStrike">
              <a:solidFill>
                <a:srgbClr val="3B6E8F"/>
              </a:solidFill>
              <a:effectLst/>
              <a:latin typeface="+mn-lt"/>
              <a:ea typeface="+mn-ea"/>
              <a:cs typeface="Calibri"/>
            </a:rPr>
            <a:t>Click on a</a:t>
          </a:r>
          <a:r>
            <a:rPr lang="en-US" sz="1000" b="0" i="1" u="none" strike="noStrike" baseline="0">
              <a:solidFill>
                <a:srgbClr val="3B6E8F"/>
              </a:solidFill>
              <a:effectLst/>
              <a:latin typeface="+mn-lt"/>
              <a:ea typeface="+mn-ea"/>
              <a:cs typeface="Calibri"/>
            </a:rPr>
            <a:t> city</a:t>
          </a:r>
          <a:r>
            <a:rPr lang="en-US" sz="1000" b="0" i="1" u="none" strike="noStrike">
              <a:solidFill>
                <a:srgbClr val="3B6E8F"/>
              </a:solidFill>
              <a:effectLst/>
              <a:latin typeface="+mn-lt"/>
              <a:ea typeface="+mn-ea"/>
              <a:cs typeface="Calibri"/>
            </a:rPr>
            <a:t> name anywhere below</a:t>
          </a:r>
          <a:r>
            <a:rPr lang="en-US" sz="1000" b="0" i="1" u="none" strike="noStrike" baseline="0">
              <a:solidFill>
                <a:srgbClr val="3B6E8F"/>
              </a:solidFill>
              <a:effectLst/>
              <a:latin typeface="+mn-lt"/>
              <a:ea typeface="+mn-ea"/>
              <a:cs typeface="Calibri"/>
            </a:rPr>
            <a:t> </a:t>
          </a:r>
          <a:r>
            <a:rPr lang="en-US" sz="1000" b="0" i="1" u="none" strike="noStrike">
              <a:solidFill>
                <a:srgbClr val="3B6E8F"/>
              </a:solidFill>
              <a:effectLst/>
              <a:latin typeface="+mn-lt"/>
              <a:ea typeface="+mn-ea"/>
              <a:cs typeface="Calibri"/>
            </a:rPr>
            <a:t>to highlight</a:t>
          </a:r>
        </a:p>
      </xdr:txBody>
    </xdr:sp>
    <xdr:clientData fPrintsWithSheet="0"/>
  </xdr:oneCellAnchor>
  <xdr:twoCellAnchor editAs="absolute">
    <xdr:from>
      <xdr:col>0</xdr:col>
      <xdr:colOff>133350</xdr:colOff>
      <xdr:row>3</xdr:row>
      <xdr:rowOff>62442</xdr:rowOff>
    </xdr:from>
    <xdr:to>
      <xdr:col>34</xdr:col>
      <xdr:colOff>151908</xdr:colOff>
      <xdr:row>3</xdr:row>
      <xdr:rowOff>607483</xdr:rowOff>
    </xdr:to>
    <xdr:grpSp>
      <xdr:nvGrpSpPr>
        <xdr:cNvPr id="121" name="Del_FILTER_OPTIONS">
          <a:extLst>
            <a:ext uri="{FF2B5EF4-FFF2-40B4-BE49-F238E27FC236}">
              <a16:creationId xmlns:a16="http://schemas.microsoft.com/office/drawing/2014/main" id="{00000000-0008-0000-0200-000079000000}"/>
            </a:ext>
          </a:extLst>
        </xdr:cNvPr>
        <xdr:cNvGrpSpPr/>
      </xdr:nvGrpSpPr>
      <xdr:grpSpPr>
        <a:xfrm>
          <a:off x="133350" y="1186392"/>
          <a:ext cx="11562858" cy="545041"/>
          <a:chOff x="123825" y="1181100"/>
          <a:chExt cx="11562858" cy="542925"/>
        </a:xfrm>
      </xdr:grpSpPr>
      <xdr:sp macro="" textlink="">
        <xdr:nvSpPr>
          <xdr:cNvPr id="122" name="lbl_cnt_City_1">
            <a:extLst>
              <a:ext uri="{FF2B5EF4-FFF2-40B4-BE49-F238E27FC236}">
                <a16:creationId xmlns:a16="http://schemas.microsoft.com/office/drawing/2014/main" id="{00000000-0008-0000-0200-00007A000000}"/>
              </a:ext>
            </a:extLst>
          </xdr:cNvPr>
          <xdr:cNvSpPr txBox="1"/>
        </xdr:nvSpPr>
        <xdr:spPr>
          <a:xfrm>
            <a:off x="123825" y="1181100"/>
            <a:ext cx="7315200" cy="54292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endParaRPr lang="en-US" sz="1000" b="1" i="0" u="none" strike="noStrike">
              <a:solidFill>
                <a:srgbClr val="143050"/>
              </a:solidFill>
              <a:latin typeface="Calibri"/>
              <a:cs typeface="Calibri"/>
            </a:endParaRPr>
          </a:p>
        </xdr:txBody>
      </xdr:sp>
      <xdr:sp macro="" textlink="uxb_works!D96">
        <xdr:nvSpPr>
          <xdr:cNvPr id="132" name="lbl_cnt_City_1">
            <a:extLst>
              <a:ext uri="{FF2B5EF4-FFF2-40B4-BE49-F238E27FC236}">
                <a16:creationId xmlns:a16="http://schemas.microsoft.com/office/drawing/2014/main" id="{00000000-0008-0000-0200-000084000000}"/>
              </a:ext>
            </a:extLst>
          </xdr:cNvPr>
          <xdr:cNvSpPr txBox="1"/>
        </xdr:nvSpPr>
        <xdr:spPr>
          <a:xfrm>
            <a:off x="228492" y="1247773"/>
            <a:ext cx="524674"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fld id="{EC6270EF-FB14-4F40-A375-01271F5F9F23}" type="TxLink">
              <a:rPr lang="en-US" sz="1000" b="1" i="0" u="none" strike="noStrike" baseline="0">
                <a:solidFill>
                  <a:sysClr val="windowText" lastClr="000000"/>
                </a:solidFill>
                <a:effectLst/>
                <a:latin typeface="Calibri"/>
                <a:ea typeface="+mn-ea"/>
                <a:cs typeface="Calibri"/>
              </a:rPr>
              <a:pPr algn="r"/>
              <a:t>CITY FILTERS</a:t>
            </a:fld>
            <a:endParaRPr lang="en-GB" sz="1000" b="1">
              <a:solidFill>
                <a:sysClr val="windowText" lastClr="000000"/>
              </a:solidFill>
              <a:latin typeface="+mn-lt"/>
            </a:endParaRPr>
          </a:p>
        </xdr:txBody>
      </xdr:sp>
      <xdr:grpSp>
        <xdr:nvGrpSpPr>
          <xdr:cNvPr id="136" name="Group 135">
            <a:extLst>
              <a:ext uri="{FF2B5EF4-FFF2-40B4-BE49-F238E27FC236}">
                <a16:creationId xmlns:a16="http://schemas.microsoft.com/office/drawing/2014/main" id="{00000000-0008-0000-0200-000088000000}"/>
              </a:ext>
            </a:extLst>
          </xdr:cNvPr>
          <xdr:cNvGrpSpPr/>
        </xdr:nvGrpSpPr>
        <xdr:grpSpPr>
          <a:xfrm>
            <a:off x="3067895" y="1266824"/>
            <a:ext cx="2085130" cy="402834"/>
            <a:chOff x="887117" y="1257299"/>
            <a:chExt cx="2094310" cy="402834"/>
          </a:xfrm>
        </xdr:grpSpPr>
        <xdr:pic macro="[0]!UniversalChanger">
          <xdr:nvPicPr>
            <xdr:cNvPr id="155" name="INCOME_FL_UP" descr="scroll_up_small.png">
              <a:extLst>
                <a:ext uri="{FF2B5EF4-FFF2-40B4-BE49-F238E27FC236}">
                  <a16:creationId xmlns:a16="http://schemas.microsoft.com/office/drawing/2014/main" id="{00000000-0008-0000-0200-00009B000000}"/>
                </a:ext>
              </a:extLst>
            </xdr:cNvPr>
            <xdr:cNvPicPr>
              <a:picLocks noChangeAspect="1"/>
            </xdr:cNvPicPr>
          </xdr:nvPicPr>
          <xdr:blipFill>
            <a:blip xmlns:r="http://schemas.openxmlformats.org/officeDocument/2006/relationships" r:embed="rId5" cstate="print"/>
            <a:stretch>
              <a:fillRect/>
            </a:stretch>
          </xdr:blipFill>
          <xdr:spPr>
            <a:xfrm>
              <a:off x="2694979" y="1447799"/>
              <a:ext cx="285679" cy="119545"/>
            </a:xfrm>
            <a:prstGeom prst="rect">
              <a:avLst/>
            </a:prstGeom>
          </xdr:spPr>
        </xdr:pic>
        <xdr:pic macro="[0]!UniversalChanger">
          <xdr:nvPicPr>
            <xdr:cNvPr id="156" name="INCOME_FL_DOWN" descr="scroll_down_small.png">
              <a:extLst>
                <a:ext uri="{FF2B5EF4-FFF2-40B4-BE49-F238E27FC236}">
                  <a16:creationId xmlns:a16="http://schemas.microsoft.com/office/drawing/2014/main" id="{00000000-0008-0000-0200-00009C000000}"/>
                </a:ext>
              </a:extLst>
            </xdr:cNvPr>
            <xdr:cNvPicPr>
              <a:picLocks noChangeAspect="1"/>
            </xdr:cNvPicPr>
          </xdr:nvPicPr>
          <xdr:blipFill>
            <a:blip xmlns:r="http://schemas.openxmlformats.org/officeDocument/2006/relationships" r:embed="rId6" cstate="print"/>
            <a:stretch>
              <a:fillRect/>
            </a:stretch>
          </xdr:blipFill>
          <xdr:spPr>
            <a:xfrm>
              <a:off x="2694972" y="1565459"/>
              <a:ext cx="285599" cy="94674"/>
            </a:xfrm>
            <a:prstGeom prst="rect">
              <a:avLst/>
            </a:prstGeom>
          </xdr:spPr>
        </xdr:pic>
        <mc:AlternateContent xmlns:mc="http://schemas.openxmlformats.org/markup-compatibility/2006">
          <mc:Choice xmlns:a14="http://schemas.microsoft.com/office/drawing/2010/main" Requires="a14">
            <xdr:sp macro="" textlink="">
              <xdr:nvSpPr>
                <xdr:cNvPr id="14524428" name="INCOME_FILTER" hidden="1">
                  <a:extLst>
                    <a:ext uri="{63B3BB69-23CF-44E3-9099-C40C66FF867C}">
                      <a14:compatExt spid="_x0000_s14524428"/>
                    </a:ext>
                    <a:ext uri="{FF2B5EF4-FFF2-40B4-BE49-F238E27FC236}">
                      <a16:creationId xmlns:a16="http://schemas.microsoft.com/office/drawing/2014/main" id="{00000000-0008-0000-0200-00000CA0DD00}"/>
                    </a:ext>
                  </a:extLst>
                </xdr:cNvPr>
                <xdr:cNvSpPr/>
              </xdr:nvSpPr>
              <xdr:spPr bwMode="auto">
                <a:xfrm>
                  <a:off x="887123" y="1438274"/>
                  <a:ext cx="1805947" cy="219075"/>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0">
          <xdr:nvSpPr>
            <xdr:cNvPr id="157" name="FILTER_GA_1">
              <a:extLst>
                <a:ext uri="{FF2B5EF4-FFF2-40B4-BE49-F238E27FC236}">
                  <a16:creationId xmlns:a16="http://schemas.microsoft.com/office/drawing/2014/main" id="{00000000-0008-0000-0200-00009D000000}"/>
                </a:ext>
              </a:extLst>
            </xdr:cNvPr>
            <xdr:cNvSpPr>
              <a:spLocks/>
            </xdr:cNvSpPr>
          </xdr:nvSpPr>
          <xdr:spPr>
            <a:xfrm>
              <a:off x="887117" y="1257299"/>
              <a:ext cx="2094310"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5B3884B5-1625-476A-A697-2341FA45AADB}" type="TxLink">
                <a:rPr lang="en-US" sz="800" b="0" i="0" u="none" strike="noStrike">
                  <a:solidFill>
                    <a:srgbClr val="000000"/>
                  </a:solidFill>
                  <a:latin typeface="Calibri"/>
                  <a:cs typeface="Calibri"/>
                </a:rPr>
                <a:pPr algn="ctr"/>
                <a:t>BY INCOME (reset)</a:t>
              </a:fld>
              <a:endParaRPr lang="en-US" sz="800" b="0" i="0" u="none" strike="noStrike">
                <a:solidFill>
                  <a:srgbClr val="000000"/>
                </a:solidFill>
                <a:latin typeface="Calibri"/>
                <a:cs typeface="Calibri"/>
              </a:endParaRPr>
            </a:p>
          </xdr:txBody>
        </xdr:sp>
      </xdr:grpSp>
      <xdr:grpSp>
        <xdr:nvGrpSpPr>
          <xdr:cNvPr id="138" name="Group 137">
            <a:extLst>
              <a:ext uri="{FF2B5EF4-FFF2-40B4-BE49-F238E27FC236}">
                <a16:creationId xmlns:a16="http://schemas.microsoft.com/office/drawing/2014/main" id="{00000000-0008-0000-0200-00008A000000}"/>
              </a:ext>
            </a:extLst>
          </xdr:cNvPr>
          <xdr:cNvGrpSpPr/>
        </xdr:nvGrpSpPr>
        <xdr:grpSpPr>
          <a:xfrm>
            <a:off x="893621" y="1266824"/>
            <a:ext cx="2094230" cy="389525"/>
            <a:chOff x="3238171" y="1266824"/>
            <a:chExt cx="2095068" cy="389525"/>
          </a:xfrm>
        </xdr:grpSpPr>
        <xdr:pic macro="[0]!UniversalChanger">
          <xdr:nvPicPr>
            <xdr:cNvPr id="152" name="R_FL_UP" descr="scroll_up_small.png">
              <a:extLst>
                <a:ext uri="{FF2B5EF4-FFF2-40B4-BE49-F238E27FC236}">
                  <a16:creationId xmlns:a16="http://schemas.microsoft.com/office/drawing/2014/main" id="{00000000-0008-0000-0200-000098000000}"/>
                </a:ext>
              </a:extLst>
            </xdr:cNvPr>
            <xdr:cNvPicPr>
              <a:picLocks noChangeAspect="1"/>
            </xdr:cNvPicPr>
          </xdr:nvPicPr>
          <xdr:blipFill>
            <a:blip xmlns:r="http://schemas.openxmlformats.org/officeDocument/2006/relationships" r:embed="rId5" cstate="print"/>
            <a:stretch>
              <a:fillRect/>
            </a:stretch>
          </xdr:blipFill>
          <xdr:spPr>
            <a:xfrm>
              <a:off x="5045868" y="1447655"/>
              <a:ext cx="285679" cy="117499"/>
            </a:xfrm>
            <a:prstGeom prst="rect">
              <a:avLst/>
            </a:prstGeom>
          </xdr:spPr>
        </xdr:pic>
        <xdr:pic macro="[0]!UniversalChanger">
          <xdr:nvPicPr>
            <xdr:cNvPr id="153" name="R_FL_DOWN" descr="scroll_down_small.png">
              <a:extLst>
                <a:ext uri="{FF2B5EF4-FFF2-40B4-BE49-F238E27FC236}">
                  <a16:creationId xmlns:a16="http://schemas.microsoft.com/office/drawing/2014/main" id="{00000000-0008-0000-0200-000099000000}"/>
                </a:ext>
              </a:extLst>
            </xdr:cNvPr>
            <xdr:cNvPicPr>
              <a:picLocks noChangeAspect="1"/>
            </xdr:cNvPicPr>
          </xdr:nvPicPr>
          <xdr:blipFill>
            <a:blip xmlns:r="http://schemas.openxmlformats.org/officeDocument/2006/relationships" r:embed="rId6" cstate="print"/>
            <a:stretch>
              <a:fillRect/>
            </a:stretch>
          </xdr:blipFill>
          <xdr:spPr>
            <a:xfrm>
              <a:off x="5045861" y="1563295"/>
              <a:ext cx="285599" cy="93054"/>
            </a:xfrm>
            <a:prstGeom prst="rect">
              <a:avLst/>
            </a:prstGeom>
          </xdr:spPr>
        </xdr:pic>
        <mc:AlternateContent xmlns:mc="http://schemas.openxmlformats.org/markup-compatibility/2006">
          <mc:Choice xmlns:a14="http://schemas.microsoft.com/office/drawing/2010/main" Requires="a14">
            <xdr:sp macro="" textlink="">
              <xdr:nvSpPr>
                <xdr:cNvPr id="14524429" name="R_FILTER" hidden="1">
                  <a:extLst>
                    <a:ext uri="{63B3BB69-23CF-44E3-9099-C40C66FF867C}">
                      <a14:compatExt spid="_x0000_s14524429"/>
                    </a:ext>
                    <a:ext uri="{FF2B5EF4-FFF2-40B4-BE49-F238E27FC236}">
                      <a16:creationId xmlns:a16="http://schemas.microsoft.com/office/drawing/2014/main" id="{00000000-0008-0000-0200-00000DA0DD00}"/>
                    </a:ext>
                  </a:extLst>
                </xdr:cNvPr>
                <xdr:cNvSpPr/>
              </xdr:nvSpPr>
              <xdr:spPr bwMode="auto">
                <a:xfrm>
                  <a:off x="3238171" y="1438295"/>
                  <a:ext cx="1806033" cy="215327"/>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2">
          <xdr:nvSpPr>
            <xdr:cNvPr id="154" name="FILTER_GB_1">
              <a:extLst>
                <a:ext uri="{FF2B5EF4-FFF2-40B4-BE49-F238E27FC236}">
                  <a16:creationId xmlns:a16="http://schemas.microsoft.com/office/drawing/2014/main" id="{00000000-0008-0000-0200-00009A000000}"/>
                </a:ext>
              </a:extLst>
            </xdr:cNvPr>
            <xdr:cNvSpPr>
              <a:spLocks/>
            </xdr:cNvSpPr>
          </xdr:nvSpPr>
          <xdr:spPr>
            <a:xfrm>
              <a:off x="3238943" y="1266824"/>
              <a:ext cx="2094296"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683254F2-E44C-4100-8BB8-067CC0F20B8C}" type="TxLink">
                <a:rPr lang="en-US" sz="800" b="0" i="0" u="none" strike="noStrike">
                  <a:solidFill>
                    <a:srgbClr val="000000"/>
                  </a:solidFill>
                  <a:latin typeface="Calibri"/>
                  <a:cs typeface="Calibri"/>
                </a:rPr>
                <a:pPr algn="ctr"/>
                <a:t>BY REGION (reset)</a:t>
              </a:fld>
              <a:endParaRPr lang="en-US" sz="800" b="0" i="0" u="none" strike="noStrike">
                <a:solidFill>
                  <a:srgbClr val="000000"/>
                </a:solidFill>
                <a:latin typeface="Calibri"/>
                <a:cs typeface="Calibri"/>
              </a:endParaRPr>
            </a:p>
          </xdr:txBody>
        </xdr:sp>
      </xdr:grpSp>
      <xdr:grpSp>
        <xdr:nvGrpSpPr>
          <xdr:cNvPr id="142" name="Group 141">
            <a:extLst>
              <a:ext uri="{FF2B5EF4-FFF2-40B4-BE49-F238E27FC236}">
                <a16:creationId xmlns:a16="http://schemas.microsoft.com/office/drawing/2014/main" id="{00000000-0008-0000-0200-00008E000000}"/>
              </a:ext>
            </a:extLst>
          </xdr:cNvPr>
          <xdr:cNvGrpSpPr/>
        </xdr:nvGrpSpPr>
        <xdr:grpSpPr>
          <a:xfrm>
            <a:off x="9883351" y="1263650"/>
            <a:ext cx="1803332" cy="393660"/>
            <a:chOff x="9936742" y="1257300"/>
            <a:chExt cx="1807200" cy="393660"/>
          </a:xfrm>
        </xdr:grpSpPr>
        <mc:AlternateContent xmlns:mc="http://schemas.openxmlformats.org/markup-compatibility/2006">
          <mc:Choice xmlns:a14="http://schemas.microsoft.com/office/drawing/2010/main" Requires="a14">
            <xdr:sp macro="" textlink="">
              <xdr:nvSpPr>
                <xdr:cNvPr id="14524430" name="L_Weights" hidden="1">
                  <a:extLst>
                    <a:ext uri="{63B3BB69-23CF-44E3-9099-C40C66FF867C}">
                      <a14:compatExt spid="_x0000_s14524430"/>
                    </a:ext>
                    <a:ext uri="{FF2B5EF4-FFF2-40B4-BE49-F238E27FC236}">
                      <a16:creationId xmlns:a16="http://schemas.microsoft.com/office/drawing/2014/main" id="{00000000-0008-0000-0200-00000EA0DD00}"/>
                    </a:ext>
                  </a:extLst>
                </xdr:cNvPr>
                <xdr:cNvSpPr/>
              </xdr:nvSpPr>
              <xdr:spPr bwMode="auto">
                <a:xfrm>
                  <a:off x="9936742" y="1431885"/>
                  <a:ext cx="1807125" cy="219075"/>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4">
          <xdr:nvSpPr>
            <xdr:cNvPr id="151" name="Weight_Reset">
              <a:extLst>
                <a:ext uri="{FF2B5EF4-FFF2-40B4-BE49-F238E27FC236}">
                  <a16:creationId xmlns:a16="http://schemas.microsoft.com/office/drawing/2014/main" id="{00000000-0008-0000-0200-000097000000}"/>
                </a:ext>
              </a:extLst>
            </xdr:cNvPr>
            <xdr:cNvSpPr>
              <a:spLocks/>
            </xdr:cNvSpPr>
          </xdr:nvSpPr>
          <xdr:spPr>
            <a:xfrm>
              <a:off x="9936742" y="1257300"/>
              <a:ext cx="1807200"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856B8423-91E9-41D2-BBE7-4949AD6F09C2}" type="TxLink">
                <a:rPr lang="en-US" sz="800" b="0" i="0" u="none" strike="noStrike">
                  <a:solidFill>
                    <a:sysClr val="windowText" lastClr="000000"/>
                  </a:solidFill>
                  <a:latin typeface="Calibri"/>
                  <a:cs typeface="Calibri"/>
                </a:rPr>
                <a:pPr algn="ctr"/>
                <a:t>WEIGHTS (reset)</a:t>
              </a:fld>
              <a:endParaRPr lang="en-US" sz="800" b="0" i="0" u="none" strike="noStrike">
                <a:solidFill>
                  <a:sysClr val="windowText" lastClr="000000"/>
                </a:solidFill>
                <a:latin typeface="Calibri"/>
                <a:cs typeface="Calibri"/>
              </a:endParaRPr>
            </a:p>
          </xdr:txBody>
        </xdr:sp>
      </xdr:grpSp>
      <xdr:grpSp>
        <xdr:nvGrpSpPr>
          <xdr:cNvPr id="146" name="Group 145">
            <a:extLst>
              <a:ext uri="{FF2B5EF4-FFF2-40B4-BE49-F238E27FC236}">
                <a16:creationId xmlns:a16="http://schemas.microsoft.com/office/drawing/2014/main" id="{00000000-0008-0000-0200-000092000000}"/>
              </a:ext>
            </a:extLst>
          </xdr:cNvPr>
          <xdr:cNvGrpSpPr/>
        </xdr:nvGrpSpPr>
        <xdr:grpSpPr>
          <a:xfrm>
            <a:off x="5238724" y="1266824"/>
            <a:ext cx="2094231" cy="389525"/>
            <a:chOff x="3238170" y="1266824"/>
            <a:chExt cx="2095069" cy="389525"/>
          </a:xfrm>
        </xdr:grpSpPr>
        <xdr:pic macro="[0]!UniversalChanger">
          <xdr:nvPicPr>
            <xdr:cNvPr id="148" name="POP_UP" descr="scroll_up_small.png">
              <a:extLst>
                <a:ext uri="{FF2B5EF4-FFF2-40B4-BE49-F238E27FC236}">
                  <a16:creationId xmlns:a16="http://schemas.microsoft.com/office/drawing/2014/main" id="{00000000-0008-0000-0200-000094000000}"/>
                </a:ext>
              </a:extLst>
            </xdr:cNvPr>
            <xdr:cNvPicPr>
              <a:picLocks noChangeAspect="1"/>
            </xdr:cNvPicPr>
          </xdr:nvPicPr>
          <xdr:blipFill>
            <a:blip xmlns:r="http://schemas.openxmlformats.org/officeDocument/2006/relationships" r:embed="rId5" cstate="print"/>
            <a:stretch>
              <a:fillRect/>
            </a:stretch>
          </xdr:blipFill>
          <xdr:spPr>
            <a:xfrm>
              <a:off x="5045868" y="1447655"/>
              <a:ext cx="285679" cy="117499"/>
            </a:xfrm>
            <a:prstGeom prst="rect">
              <a:avLst/>
            </a:prstGeom>
          </xdr:spPr>
        </xdr:pic>
        <xdr:pic macro="[0]!UniversalChanger">
          <xdr:nvPicPr>
            <xdr:cNvPr id="149" name="POP_DOWN" descr="scroll_down_small.png">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6" cstate="print"/>
            <a:stretch>
              <a:fillRect/>
            </a:stretch>
          </xdr:blipFill>
          <xdr:spPr>
            <a:xfrm>
              <a:off x="5045861" y="1563295"/>
              <a:ext cx="285599" cy="93054"/>
            </a:xfrm>
            <a:prstGeom prst="rect">
              <a:avLst/>
            </a:prstGeom>
          </xdr:spPr>
        </xdr:pic>
        <mc:AlternateContent xmlns:mc="http://schemas.openxmlformats.org/markup-compatibility/2006">
          <mc:Choice xmlns:a14="http://schemas.microsoft.com/office/drawing/2010/main" Requires="a14">
            <xdr:sp macro="" textlink="">
              <xdr:nvSpPr>
                <xdr:cNvPr id="14524431" name="POP_DD" hidden="1">
                  <a:extLst>
                    <a:ext uri="{63B3BB69-23CF-44E3-9099-C40C66FF867C}">
                      <a14:compatExt spid="_x0000_s14524431"/>
                    </a:ext>
                    <a:ext uri="{FF2B5EF4-FFF2-40B4-BE49-F238E27FC236}">
                      <a16:creationId xmlns:a16="http://schemas.microsoft.com/office/drawing/2014/main" id="{00000000-0008-0000-0200-00000FA0DD00}"/>
                    </a:ext>
                  </a:extLst>
                </xdr:cNvPr>
                <xdr:cNvSpPr/>
              </xdr:nvSpPr>
              <xdr:spPr bwMode="auto">
                <a:xfrm>
                  <a:off x="3238170" y="1438295"/>
                  <a:ext cx="1806033" cy="215327"/>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G100">
          <xdr:nvSpPr>
            <xdr:cNvPr id="150" name="FILTER_POP_RESET">
              <a:extLst>
                <a:ext uri="{FF2B5EF4-FFF2-40B4-BE49-F238E27FC236}">
                  <a16:creationId xmlns:a16="http://schemas.microsoft.com/office/drawing/2014/main" id="{00000000-0008-0000-0200-000096000000}"/>
                </a:ext>
              </a:extLst>
            </xdr:cNvPr>
            <xdr:cNvSpPr>
              <a:spLocks/>
            </xdr:cNvSpPr>
          </xdr:nvSpPr>
          <xdr:spPr>
            <a:xfrm>
              <a:off x="3238943" y="1266824"/>
              <a:ext cx="2094296"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040051F4-705A-4460-AB4E-E01CB46B3889}" type="TxLink">
                <a:rPr lang="en-US" sz="800" b="0" i="0" u="none" strike="noStrike">
                  <a:solidFill>
                    <a:sysClr val="windowText" lastClr="000000"/>
                  </a:solidFill>
                  <a:latin typeface="Calibri"/>
                  <a:cs typeface="Calibri"/>
                </a:rPr>
                <a:pPr algn="ctr"/>
                <a:t>BY POPULATION (reset)</a:t>
              </a:fld>
              <a:endParaRPr lang="en-US" sz="800" b="0" i="0" u="none" strike="noStrike">
                <a:solidFill>
                  <a:sysClr val="windowText" lastClr="000000"/>
                </a:solidFill>
                <a:latin typeface="Calibri"/>
                <a:cs typeface="Calibri"/>
              </a:endParaRPr>
            </a:p>
          </xdr:txBody>
        </xdr:sp>
      </xdr:grpSp>
    </xdr:grp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104648</xdr:colOff>
      <xdr:row>48</xdr:row>
      <xdr:rowOff>54610</xdr:rowOff>
    </xdr:from>
    <xdr:to>
      <xdr:col>3</xdr:col>
      <xdr:colOff>567191</xdr:colOff>
      <xdr:row>49</xdr:row>
      <xdr:rowOff>129540</xdr:rowOff>
    </xdr:to>
    <xdr:sp macro="[0]!UniversalChanger" textlink="">
      <xdr:nvSpPr>
        <xdr:cNvPr id="40" name="go_top_B">
          <a:extLst>
            <a:ext uri="{FF2B5EF4-FFF2-40B4-BE49-F238E27FC236}">
              <a16:creationId xmlns:a16="http://schemas.microsoft.com/office/drawing/2014/main" id="{00000000-0008-0000-0300-000028000000}"/>
            </a:ext>
          </a:extLst>
        </xdr:cNvPr>
        <xdr:cNvSpPr txBox="1"/>
      </xdr:nvSpPr>
      <xdr:spPr>
        <a:xfrm>
          <a:off x="104648" y="5236210"/>
          <a:ext cx="748293" cy="265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l" rtl="0">
            <a:defRPr sz="1000"/>
          </a:pPr>
          <a:r>
            <a:rPr lang="en-GB" sz="1100" b="1" i="0" u="sng" strike="noStrike" baseline="0">
              <a:solidFill>
                <a:srgbClr val="0070C0"/>
              </a:solidFill>
              <a:latin typeface="+mn-lt"/>
              <a:ea typeface="Karla" pitchFamily="2" charset="0"/>
            </a:rPr>
            <a:t>Back to top</a:t>
          </a:r>
        </a:p>
      </xdr:txBody>
    </xdr:sp>
    <xdr:clientData fPrintsWithSheet="0"/>
  </xdr:twoCellAnchor>
  <xdr:twoCellAnchor editAs="absolute">
    <xdr:from>
      <xdr:col>1</xdr:col>
      <xdr:colOff>3175</xdr:colOff>
      <xdr:row>3</xdr:row>
      <xdr:rowOff>57150</xdr:rowOff>
    </xdr:from>
    <xdr:to>
      <xdr:col>17</xdr:col>
      <xdr:colOff>250333</xdr:colOff>
      <xdr:row>3</xdr:row>
      <xdr:rowOff>600075</xdr:rowOff>
    </xdr:to>
    <xdr:grpSp>
      <xdr:nvGrpSpPr>
        <xdr:cNvPr id="2" name="Del_FILTER_OPTIONS">
          <a:extLst>
            <a:ext uri="{FF2B5EF4-FFF2-40B4-BE49-F238E27FC236}">
              <a16:creationId xmlns:a16="http://schemas.microsoft.com/office/drawing/2014/main" id="{00000000-0008-0000-0300-000002000000}"/>
            </a:ext>
          </a:extLst>
        </xdr:cNvPr>
        <xdr:cNvGrpSpPr/>
      </xdr:nvGrpSpPr>
      <xdr:grpSpPr>
        <a:xfrm>
          <a:off x="123825" y="1181100"/>
          <a:ext cx="11562858" cy="542925"/>
          <a:chOff x="123825" y="1181100"/>
          <a:chExt cx="11562858" cy="542925"/>
        </a:xfrm>
      </xdr:grpSpPr>
      <xdr:sp macro="" textlink="">
        <xdr:nvSpPr>
          <xdr:cNvPr id="57" name="lbl_cnt_City_1">
            <a:extLst>
              <a:ext uri="{FF2B5EF4-FFF2-40B4-BE49-F238E27FC236}">
                <a16:creationId xmlns:a16="http://schemas.microsoft.com/office/drawing/2014/main" id="{00000000-0008-0000-0300-000039000000}"/>
              </a:ext>
            </a:extLst>
          </xdr:cNvPr>
          <xdr:cNvSpPr txBox="1"/>
        </xdr:nvSpPr>
        <xdr:spPr>
          <a:xfrm>
            <a:off x="123825" y="1181100"/>
            <a:ext cx="7315200" cy="54292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endParaRPr lang="en-US" sz="1000" b="1" i="0" u="none" strike="noStrike">
              <a:solidFill>
                <a:srgbClr val="143050"/>
              </a:solidFill>
              <a:latin typeface="Calibri"/>
              <a:cs typeface="Calibri"/>
            </a:endParaRPr>
          </a:p>
        </xdr:txBody>
      </xdr:sp>
      <xdr:sp macro="" textlink="uxb_works!D96">
        <xdr:nvSpPr>
          <xdr:cNvPr id="58" name="lbl_cnt_City_1">
            <a:extLst>
              <a:ext uri="{FF2B5EF4-FFF2-40B4-BE49-F238E27FC236}">
                <a16:creationId xmlns:a16="http://schemas.microsoft.com/office/drawing/2014/main" id="{00000000-0008-0000-0300-00003A000000}"/>
              </a:ext>
            </a:extLst>
          </xdr:cNvPr>
          <xdr:cNvSpPr txBox="1"/>
        </xdr:nvSpPr>
        <xdr:spPr>
          <a:xfrm>
            <a:off x="228492" y="1247773"/>
            <a:ext cx="524674"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fld id="{EC6270EF-FB14-4F40-A375-01271F5F9F23}" type="TxLink">
              <a:rPr lang="en-US" sz="1000" b="1" i="0" u="none" strike="noStrike" baseline="0">
                <a:solidFill>
                  <a:sysClr val="windowText" lastClr="000000"/>
                </a:solidFill>
                <a:effectLst/>
                <a:latin typeface="Calibri"/>
                <a:ea typeface="+mn-ea"/>
                <a:cs typeface="Calibri"/>
              </a:rPr>
              <a:pPr algn="r"/>
              <a:t>CITY FILTERS</a:t>
            </a:fld>
            <a:endParaRPr lang="en-GB" sz="1000" b="1">
              <a:solidFill>
                <a:sysClr val="windowText" lastClr="000000"/>
              </a:solidFill>
              <a:latin typeface="+mn-lt"/>
            </a:endParaRPr>
          </a:p>
        </xdr:txBody>
      </xdr:sp>
      <xdr:grpSp>
        <xdr:nvGrpSpPr>
          <xdr:cNvPr id="59" name="Group 58">
            <a:extLst>
              <a:ext uri="{FF2B5EF4-FFF2-40B4-BE49-F238E27FC236}">
                <a16:creationId xmlns:a16="http://schemas.microsoft.com/office/drawing/2014/main" id="{00000000-0008-0000-0300-00003B000000}"/>
              </a:ext>
            </a:extLst>
          </xdr:cNvPr>
          <xdr:cNvGrpSpPr/>
        </xdr:nvGrpSpPr>
        <xdr:grpSpPr>
          <a:xfrm>
            <a:off x="3067895" y="1266824"/>
            <a:ext cx="2085130" cy="402834"/>
            <a:chOff x="887117" y="1257299"/>
            <a:chExt cx="2094310" cy="402834"/>
          </a:xfrm>
        </xdr:grpSpPr>
        <xdr:pic macro="[0]!UniversalChanger">
          <xdr:nvPicPr>
            <xdr:cNvPr id="78" name="INCOME_FL_UP" descr="scroll_up_small.png">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1" cstate="print"/>
            <a:stretch>
              <a:fillRect/>
            </a:stretch>
          </xdr:blipFill>
          <xdr:spPr>
            <a:xfrm>
              <a:off x="2694979" y="1447799"/>
              <a:ext cx="285679" cy="119545"/>
            </a:xfrm>
            <a:prstGeom prst="rect">
              <a:avLst/>
            </a:prstGeom>
          </xdr:spPr>
        </xdr:pic>
        <xdr:pic macro="[0]!UniversalChanger">
          <xdr:nvPicPr>
            <xdr:cNvPr id="110" name="INCOME_FL_DOWN" descr="scroll_down_small.png">
              <a:extLst>
                <a:ext uri="{FF2B5EF4-FFF2-40B4-BE49-F238E27FC236}">
                  <a16:creationId xmlns:a16="http://schemas.microsoft.com/office/drawing/2014/main" id="{00000000-0008-0000-0300-00006E000000}"/>
                </a:ext>
              </a:extLst>
            </xdr:cNvPr>
            <xdr:cNvPicPr>
              <a:picLocks noChangeAspect="1"/>
            </xdr:cNvPicPr>
          </xdr:nvPicPr>
          <xdr:blipFill>
            <a:blip xmlns:r="http://schemas.openxmlformats.org/officeDocument/2006/relationships" r:embed="rId2" cstate="print"/>
            <a:stretch>
              <a:fillRect/>
            </a:stretch>
          </xdr:blipFill>
          <xdr:spPr>
            <a:xfrm>
              <a:off x="2694972" y="1565459"/>
              <a:ext cx="285599" cy="94674"/>
            </a:xfrm>
            <a:prstGeom prst="rect">
              <a:avLst/>
            </a:prstGeom>
          </xdr:spPr>
        </xdr:pic>
        <mc:AlternateContent xmlns:mc="http://schemas.openxmlformats.org/markup-compatibility/2006">
          <mc:Choice xmlns:a14="http://schemas.microsoft.com/office/drawing/2010/main" Requires="a14">
            <xdr:sp macro="" textlink="">
              <xdr:nvSpPr>
                <xdr:cNvPr id="14450709" name="INCOME_FILTER" hidden="1">
                  <a:extLst>
                    <a:ext uri="{63B3BB69-23CF-44E3-9099-C40C66FF867C}">
                      <a14:compatExt spid="_x0000_s14450709"/>
                    </a:ext>
                    <a:ext uri="{FF2B5EF4-FFF2-40B4-BE49-F238E27FC236}">
                      <a16:creationId xmlns:a16="http://schemas.microsoft.com/office/drawing/2014/main" id="{00000000-0008-0000-0300-00001580DC00}"/>
                    </a:ext>
                  </a:extLst>
                </xdr:cNvPr>
                <xdr:cNvSpPr/>
              </xdr:nvSpPr>
              <xdr:spPr bwMode="auto">
                <a:xfrm>
                  <a:off x="887123" y="1438274"/>
                  <a:ext cx="1805947" cy="219075"/>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0">
          <xdr:nvSpPr>
            <xdr:cNvPr id="111" name="FILTER_GA_1">
              <a:extLst>
                <a:ext uri="{FF2B5EF4-FFF2-40B4-BE49-F238E27FC236}">
                  <a16:creationId xmlns:a16="http://schemas.microsoft.com/office/drawing/2014/main" id="{00000000-0008-0000-0300-00006F000000}"/>
                </a:ext>
              </a:extLst>
            </xdr:cNvPr>
            <xdr:cNvSpPr>
              <a:spLocks/>
            </xdr:cNvSpPr>
          </xdr:nvSpPr>
          <xdr:spPr>
            <a:xfrm>
              <a:off x="887117" y="1257299"/>
              <a:ext cx="2094310"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5B3884B5-1625-476A-A697-2341FA45AADB}" type="TxLink">
                <a:rPr lang="en-US" sz="800" b="0" i="0" u="none" strike="noStrike">
                  <a:solidFill>
                    <a:srgbClr val="000000"/>
                  </a:solidFill>
                  <a:latin typeface="Calibri"/>
                  <a:cs typeface="Calibri"/>
                </a:rPr>
                <a:pPr algn="ctr"/>
                <a:t>BY INCOME (reset)</a:t>
              </a:fld>
              <a:endParaRPr lang="en-US" sz="800" b="0" i="0" u="none" strike="noStrike">
                <a:solidFill>
                  <a:srgbClr val="000000"/>
                </a:solidFill>
                <a:latin typeface="Calibri"/>
                <a:cs typeface="Calibri"/>
              </a:endParaRPr>
            </a:p>
          </xdr:txBody>
        </xdr:sp>
      </xdr:grpSp>
      <xdr:grpSp>
        <xdr:nvGrpSpPr>
          <xdr:cNvPr id="60" name="Group 59">
            <a:extLst>
              <a:ext uri="{FF2B5EF4-FFF2-40B4-BE49-F238E27FC236}">
                <a16:creationId xmlns:a16="http://schemas.microsoft.com/office/drawing/2014/main" id="{00000000-0008-0000-0300-00003C000000}"/>
              </a:ext>
            </a:extLst>
          </xdr:cNvPr>
          <xdr:cNvGrpSpPr/>
        </xdr:nvGrpSpPr>
        <xdr:grpSpPr>
          <a:xfrm>
            <a:off x="893620" y="1266824"/>
            <a:ext cx="2094231" cy="389525"/>
            <a:chOff x="3238170" y="1266824"/>
            <a:chExt cx="2095069" cy="389525"/>
          </a:xfrm>
        </xdr:grpSpPr>
        <xdr:pic macro="[0]!UniversalChanger">
          <xdr:nvPicPr>
            <xdr:cNvPr id="74" name="R_FL_UP" descr="scroll_up_small.png">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1" cstate="print"/>
            <a:stretch>
              <a:fillRect/>
            </a:stretch>
          </xdr:blipFill>
          <xdr:spPr>
            <a:xfrm>
              <a:off x="5045868" y="1447655"/>
              <a:ext cx="285679" cy="117499"/>
            </a:xfrm>
            <a:prstGeom prst="rect">
              <a:avLst/>
            </a:prstGeom>
          </xdr:spPr>
        </xdr:pic>
        <xdr:pic macro="[0]!UniversalChanger">
          <xdr:nvPicPr>
            <xdr:cNvPr id="75" name="R_FL_DOWN" descr="scroll_down_small.png">
              <a:extLst>
                <a:ext uri="{FF2B5EF4-FFF2-40B4-BE49-F238E27FC236}">
                  <a16:creationId xmlns:a16="http://schemas.microsoft.com/office/drawing/2014/main" id="{00000000-0008-0000-0300-00004B000000}"/>
                </a:ext>
              </a:extLst>
            </xdr:cNvPr>
            <xdr:cNvPicPr>
              <a:picLocks noChangeAspect="1"/>
            </xdr:cNvPicPr>
          </xdr:nvPicPr>
          <xdr:blipFill>
            <a:blip xmlns:r="http://schemas.openxmlformats.org/officeDocument/2006/relationships" r:embed="rId2" cstate="print"/>
            <a:stretch>
              <a:fillRect/>
            </a:stretch>
          </xdr:blipFill>
          <xdr:spPr>
            <a:xfrm>
              <a:off x="5045861" y="1563295"/>
              <a:ext cx="285599" cy="93054"/>
            </a:xfrm>
            <a:prstGeom prst="rect">
              <a:avLst/>
            </a:prstGeom>
          </xdr:spPr>
        </xdr:pic>
        <mc:AlternateContent xmlns:mc="http://schemas.openxmlformats.org/markup-compatibility/2006">
          <mc:Choice xmlns:a14="http://schemas.microsoft.com/office/drawing/2010/main" Requires="a14">
            <xdr:sp macro="" textlink="">
              <xdr:nvSpPr>
                <xdr:cNvPr id="14450710" name="R_FILTER" hidden="1">
                  <a:extLst>
                    <a:ext uri="{63B3BB69-23CF-44E3-9099-C40C66FF867C}">
                      <a14:compatExt spid="_x0000_s14450710"/>
                    </a:ext>
                    <a:ext uri="{FF2B5EF4-FFF2-40B4-BE49-F238E27FC236}">
                      <a16:creationId xmlns:a16="http://schemas.microsoft.com/office/drawing/2014/main" id="{00000000-0008-0000-0300-00001680DC00}"/>
                    </a:ext>
                  </a:extLst>
                </xdr:cNvPr>
                <xdr:cNvSpPr/>
              </xdr:nvSpPr>
              <xdr:spPr bwMode="auto">
                <a:xfrm>
                  <a:off x="3238170" y="1438295"/>
                  <a:ext cx="1806033" cy="215327"/>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2">
          <xdr:nvSpPr>
            <xdr:cNvPr id="77" name="FILTER_GB_1">
              <a:extLst>
                <a:ext uri="{FF2B5EF4-FFF2-40B4-BE49-F238E27FC236}">
                  <a16:creationId xmlns:a16="http://schemas.microsoft.com/office/drawing/2014/main" id="{00000000-0008-0000-0300-00004D000000}"/>
                </a:ext>
              </a:extLst>
            </xdr:cNvPr>
            <xdr:cNvSpPr>
              <a:spLocks/>
            </xdr:cNvSpPr>
          </xdr:nvSpPr>
          <xdr:spPr>
            <a:xfrm>
              <a:off x="3238943" y="1266824"/>
              <a:ext cx="2094296"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683254F2-E44C-4100-8BB8-067CC0F20B8C}" type="TxLink">
                <a:rPr lang="en-US" sz="800" b="0" i="0" u="none" strike="noStrike">
                  <a:solidFill>
                    <a:srgbClr val="000000"/>
                  </a:solidFill>
                  <a:latin typeface="Calibri"/>
                  <a:cs typeface="Calibri"/>
                </a:rPr>
                <a:pPr algn="ctr"/>
                <a:t>BY REGION (reset)</a:t>
              </a:fld>
              <a:endParaRPr lang="en-US" sz="800" b="0" i="0" u="none" strike="noStrike">
                <a:solidFill>
                  <a:srgbClr val="000000"/>
                </a:solidFill>
                <a:latin typeface="Calibri"/>
                <a:cs typeface="Calibri"/>
              </a:endParaRPr>
            </a:p>
          </xdr:txBody>
        </xdr:sp>
      </xdr:grpSp>
      <xdr:grpSp>
        <xdr:nvGrpSpPr>
          <xdr:cNvPr id="61" name="Group 60">
            <a:extLst>
              <a:ext uri="{FF2B5EF4-FFF2-40B4-BE49-F238E27FC236}">
                <a16:creationId xmlns:a16="http://schemas.microsoft.com/office/drawing/2014/main" id="{00000000-0008-0000-0300-00003D000000}"/>
              </a:ext>
            </a:extLst>
          </xdr:cNvPr>
          <xdr:cNvGrpSpPr/>
        </xdr:nvGrpSpPr>
        <xdr:grpSpPr>
          <a:xfrm>
            <a:off x="9883351" y="1263650"/>
            <a:ext cx="1803332" cy="393699"/>
            <a:chOff x="9936742" y="1257300"/>
            <a:chExt cx="1807200" cy="393699"/>
          </a:xfrm>
        </xdr:grpSpPr>
        <mc:AlternateContent xmlns:mc="http://schemas.openxmlformats.org/markup-compatibility/2006">
          <mc:Choice xmlns:a14="http://schemas.microsoft.com/office/drawing/2010/main" Requires="a14">
            <xdr:sp macro="" textlink="">
              <xdr:nvSpPr>
                <xdr:cNvPr id="14450711" name="L_Weights" hidden="1">
                  <a:extLst>
                    <a:ext uri="{63B3BB69-23CF-44E3-9099-C40C66FF867C}">
                      <a14:compatExt spid="_x0000_s14450711"/>
                    </a:ext>
                    <a:ext uri="{FF2B5EF4-FFF2-40B4-BE49-F238E27FC236}">
                      <a16:creationId xmlns:a16="http://schemas.microsoft.com/office/drawing/2014/main" id="{00000000-0008-0000-0300-00001780DC00}"/>
                    </a:ext>
                  </a:extLst>
                </xdr:cNvPr>
                <xdr:cNvSpPr/>
              </xdr:nvSpPr>
              <xdr:spPr bwMode="auto">
                <a:xfrm>
                  <a:off x="9936742" y="1431924"/>
                  <a:ext cx="1807125" cy="219075"/>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4">
          <xdr:nvSpPr>
            <xdr:cNvPr id="73" name="Weight_Reset">
              <a:extLst>
                <a:ext uri="{FF2B5EF4-FFF2-40B4-BE49-F238E27FC236}">
                  <a16:creationId xmlns:a16="http://schemas.microsoft.com/office/drawing/2014/main" id="{00000000-0008-0000-0300-000049000000}"/>
                </a:ext>
              </a:extLst>
            </xdr:cNvPr>
            <xdr:cNvSpPr>
              <a:spLocks/>
            </xdr:cNvSpPr>
          </xdr:nvSpPr>
          <xdr:spPr>
            <a:xfrm>
              <a:off x="9936742" y="1257300"/>
              <a:ext cx="1807200"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856B8423-91E9-41D2-BBE7-4949AD6F09C2}" type="TxLink">
                <a:rPr lang="en-US" sz="800" b="0" i="0" u="none" strike="noStrike">
                  <a:solidFill>
                    <a:sysClr val="windowText" lastClr="000000"/>
                  </a:solidFill>
                  <a:latin typeface="Calibri"/>
                  <a:cs typeface="Calibri"/>
                </a:rPr>
                <a:pPr algn="ctr"/>
                <a:t>WEIGHTS (reset)</a:t>
              </a:fld>
              <a:endParaRPr lang="en-US" sz="800" b="0" i="0" u="none" strike="noStrike">
                <a:solidFill>
                  <a:sysClr val="windowText" lastClr="000000"/>
                </a:solidFill>
                <a:latin typeface="Calibri"/>
                <a:cs typeface="Calibri"/>
              </a:endParaRPr>
            </a:p>
          </xdr:txBody>
        </xdr:sp>
      </xdr:grpSp>
      <xdr:grpSp>
        <xdr:nvGrpSpPr>
          <xdr:cNvPr id="62" name="Group 61">
            <a:extLst>
              <a:ext uri="{FF2B5EF4-FFF2-40B4-BE49-F238E27FC236}">
                <a16:creationId xmlns:a16="http://schemas.microsoft.com/office/drawing/2014/main" id="{00000000-0008-0000-0300-00003E000000}"/>
              </a:ext>
            </a:extLst>
          </xdr:cNvPr>
          <xdr:cNvGrpSpPr/>
        </xdr:nvGrpSpPr>
        <xdr:grpSpPr>
          <a:xfrm>
            <a:off x="5238725" y="1266824"/>
            <a:ext cx="2094230" cy="389525"/>
            <a:chOff x="3238171" y="1266824"/>
            <a:chExt cx="2095068" cy="389525"/>
          </a:xfrm>
        </xdr:grpSpPr>
        <xdr:pic macro="[0]!UniversalChanger">
          <xdr:nvPicPr>
            <xdr:cNvPr id="68" name="POP_UP" descr="scroll_up_small.png">
              <a:extLst>
                <a:ext uri="{FF2B5EF4-FFF2-40B4-BE49-F238E27FC236}">
                  <a16:creationId xmlns:a16="http://schemas.microsoft.com/office/drawing/2014/main" id="{00000000-0008-0000-0300-000044000000}"/>
                </a:ext>
              </a:extLst>
            </xdr:cNvPr>
            <xdr:cNvPicPr>
              <a:picLocks noChangeAspect="1"/>
            </xdr:cNvPicPr>
          </xdr:nvPicPr>
          <xdr:blipFill>
            <a:blip xmlns:r="http://schemas.openxmlformats.org/officeDocument/2006/relationships" r:embed="rId1" cstate="print"/>
            <a:stretch>
              <a:fillRect/>
            </a:stretch>
          </xdr:blipFill>
          <xdr:spPr>
            <a:xfrm>
              <a:off x="5045868" y="1447655"/>
              <a:ext cx="285679" cy="117499"/>
            </a:xfrm>
            <a:prstGeom prst="rect">
              <a:avLst/>
            </a:prstGeom>
          </xdr:spPr>
        </xdr:pic>
        <xdr:pic macro="[0]!UniversalChanger">
          <xdr:nvPicPr>
            <xdr:cNvPr id="69" name="POP_DOWN" descr="scroll_down_small.png">
              <a:extLst>
                <a:ext uri="{FF2B5EF4-FFF2-40B4-BE49-F238E27FC236}">
                  <a16:creationId xmlns:a16="http://schemas.microsoft.com/office/drawing/2014/main" id="{00000000-0008-0000-0300-000045000000}"/>
                </a:ext>
              </a:extLst>
            </xdr:cNvPr>
            <xdr:cNvPicPr>
              <a:picLocks noChangeAspect="1"/>
            </xdr:cNvPicPr>
          </xdr:nvPicPr>
          <xdr:blipFill>
            <a:blip xmlns:r="http://schemas.openxmlformats.org/officeDocument/2006/relationships" r:embed="rId2" cstate="print"/>
            <a:stretch>
              <a:fillRect/>
            </a:stretch>
          </xdr:blipFill>
          <xdr:spPr>
            <a:xfrm>
              <a:off x="5045861" y="1563295"/>
              <a:ext cx="285599" cy="93054"/>
            </a:xfrm>
            <a:prstGeom prst="rect">
              <a:avLst/>
            </a:prstGeom>
          </xdr:spPr>
        </xdr:pic>
        <mc:AlternateContent xmlns:mc="http://schemas.openxmlformats.org/markup-compatibility/2006">
          <mc:Choice xmlns:a14="http://schemas.microsoft.com/office/drawing/2010/main" Requires="a14">
            <xdr:sp macro="" textlink="">
              <xdr:nvSpPr>
                <xdr:cNvPr id="14450712" name="POP_DD" hidden="1">
                  <a:extLst>
                    <a:ext uri="{63B3BB69-23CF-44E3-9099-C40C66FF867C}">
                      <a14:compatExt spid="_x0000_s14450712"/>
                    </a:ext>
                    <a:ext uri="{FF2B5EF4-FFF2-40B4-BE49-F238E27FC236}">
                      <a16:creationId xmlns:a16="http://schemas.microsoft.com/office/drawing/2014/main" id="{00000000-0008-0000-0300-00001880DC00}"/>
                    </a:ext>
                  </a:extLst>
                </xdr:cNvPr>
                <xdr:cNvSpPr/>
              </xdr:nvSpPr>
              <xdr:spPr bwMode="auto">
                <a:xfrm>
                  <a:off x="3238171" y="1438295"/>
                  <a:ext cx="1806033" cy="215327"/>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G100">
          <xdr:nvSpPr>
            <xdr:cNvPr id="71" name="FILTER_POP_RESET">
              <a:extLst>
                <a:ext uri="{FF2B5EF4-FFF2-40B4-BE49-F238E27FC236}">
                  <a16:creationId xmlns:a16="http://schemas.microsoft.com/office/drawing/2014/main" id="{00000000-0008-0000-0300-000047000000}"/>
                </a:ext>
              </a:extLst>
            </xdr:cNvPr>
            <xdr:cNvSpPr>
              <a:spLocks/>
            </xdr:cNvSpPr>
          </xdr:nvSpPr>
          <xdr:spPr>
            <a:xfrm>
              <a:off x="3238943" y="1266824"/>
              <a:ext cx="2094296"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040051F4-705A-4460-AB4E-E01CB46B3889}" type="TxLink">
                <a:rPr lang="en-US" sz="800" b="0" i="0" u="none" strike="noStrike">
                  <a:solidFill>
                    <a:sysClr val="windowText" lastClr="000000"/>
                  </a:solidFill>
                  <a:latin typeface="Calibri"/>
                  <a:cs typeface="Calibri"/>
                </a:rPr>
                <a:pPr algn="ctr"/>
                <a:t>BY POPULATION (reset)</a:t>
              </a:fld>
              <a:endParaRPr lang="en-US" sz="800" b="0" i="0" u="none" strike="noStrike">
                <a:solidFill>
                  <a:sysClr val="windowText" lastClr="000000"/>
                </a:solidFill>
                <a:latin typeface="Calibri"/>
                <a:cs typeface="Calibri"/>
              </a:endParaRPr>
            </a:p>
          </xdr:txBody>
        </xdr:sp>
      </xdr:grpSp>
    </xdr:grpSp>
    <xdr:clientData fPrintsWithSheet="0"/>
  </xdr:twoCellAnchor>
  <xdr:twoCellAnchor editAs="oneCell">
    <xdr:from>
      <xdr:col>6</xdr:col>
      <xdr:colOff>61913</xdr:colOff>
      <xdr:row>9</xdr:row>
      <xdr:rowOff>152400</xdr:rowOff>
    </xdr:from>
    <xdr:to>
      <xdr:col>35</xdr:col>
      <xdr:colOff>161290</xdr:colOff>
      <xdr:row>12</xdr:row>
      <xdr:rowOff>57617</xdr:rowOff>
    </xdr:to>
    <xdr:grpSp>
      <xdr:nvGrpSpPr>
        <xdr:cNvPr id="5" name="DistChart">
          <a:extLst>
            <a:ext uri="{FF2B5EF4-FFF2-40B4-BE49-F238E27FC236}">
              <a16:creationId xmlns:a16="http://schemas.microsoft.com/office/drawing/2014/main" id="{00000000-0008-0000-0300-000005000000}"/>
            </a:ext>
          </a:extLst>
        </xdr:cNvPr>
        <xdr:cNvGrpSpPr/>
      </xdr:nvGrpSpPr>
      <xdr:grpSpPr>
        <a:xfrm>
          <a:off x="7332663" y="1949450"/>
          <a:ext cx="4880927" cy="819617"/>
          <a:chOff x="7015163" y="1238250"/>
          <a:chExt cx="4658677" cy="829142"/>
        </a:xfrm>
      </xdr:grpSpPr>
      <xdr:sp macro="" textlink="uxb_works!C87">
        <xdr:nvSpPr>
          <xdr:cNvPr id="102" name="CountryNotes">
            <a:extLst>
              <a:ext uri="{FF2B5EF4-FFF2-40B4-BE49-F238E27FC236}">
                <a16:creationId xmlns:a16="http://schemas.microsoft.com/office/drawing/2014/main" id="{00000000-0008-0000-0300-000066000000}"/>
              </a:ext>
            </a:extLst>
          </xdr:cNvPr>
          <xdr:cNvSpPr txBox="1">
            <a:spLocks noChangeArrowheads="1"/>
          </xdr:cNvSpPr>
        </xdr:nvSpPr>
        <xdr:spPr bwMode="auto">
          <a:xfrm flipV="1">
            <a:off x="7116325" y="1861017"/>
            <a:ext cx="2768720" cy="206375"/>
          </a:xfrm>
          <a:prstGeom prst="rect">
            <a:avLst/>
          </a:prstGeom>
          <a:noFill/>
          <a:ln w="9525">
            <a:noFill/>
            <a:miter lim="800000"/>
            <a:headEnd/>
            <a:tailEnd/>
          </a:ln>
        </xdr:spPr>
        <xdr:txBody>
          <a:bodyPr vertOverflow="clip" wrap="square" lIns="72000" tIns="72000" rIns="72000" bIns="72000" anchor="ctr" upright="1">
            <a:noAutofit/>
          </a:bodyPr>
          <a:lstStyle/>
          <a:p>
            <a:pPr marL="0" algn="l"/>
            <a:fld id="{5E5A380A-F76B-4791-A1A1-B1EA0B065E66}" type="TxLink">
              <a:rPr lang="en-US" sz="800" b="0" i="0" u="none" strike="noStrike">
                <a:solidFill>
                  <a:srgbClr val="3B6E8F"/>
                </a:solidFill>
                <a:effectLst/>
                <a:latin typeface="Calibri"/>
                <a:ea typeface="+mn-ea"/>
                <a:cs typeface="Calibri"/>
              </a:rPr>
              <a:pPr marL="0" algn="l"/>
              <a:t>Scored 0-100, where 100 = most optimized</a:t>
            </a:fld>
            <a:endParaRPr lang="en-US" sz="1000" b="1" i="1" u="none" strike="noStrike">
              <a:solidFill>
                <a:sysClr val="windowText" lastClr="000000"/>
              </a:solidFill>
              <a:effectLst/>
              <a:latin typeface="+mn-lt"/>
              <a:ea typeface="+mn-ea"/>
              <a:cs typeface="Calibri"/>
            </a:endParaRPr>
          </a:p>
        </xdr:txBody>
      </xdr:sp>
      <xdr:sp macro="" textlink="">
        <xdr:nvSpPr>
          <xdr:cNvPr id="45" name="lbl_cnt_City_1">
            <a:extLst>
              <a:ext uri="{FF2B5EF4-FFF2-40B4-BE49-F238E27FC236}">
                <a16:creationId xmlns:a16="http://schemas.microsoft.com/office/drawing/2014/main" id="{00000000-0008-0000-0300-00002D000000}"/>
              </a:ext>
            </a:extLst>
          </xdr:cNvPr>
          <xdr:cNvSpPr txBox="1"/>
        </xdr:nvSpPr>
        <xdr:spPr>
          <a:xfrm>
            <a:off x="7166374" y="1262515"/>
            <a:ext cx="956374" cy="129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b"/>
          <a:lstStyle/>
          <a:p>
            <a:r>
              <a:rPr lang="en-GB" sz="900" b="1">
                <a:solidFill>
                  <a:sysClr val="windowText" lastClr="000000"/>
                </a:solidFill>
              </a:rPr>
              <a:t>DISTRIBUTION</a:t>
            </a:r>
          </a:p>
        </xdr:txBody>
      </xdr:sp>
      <xdr:graphicFrame macro="">
        <xdr:nvGraphicFramePr>
          <xdr:cNvPr id="91" name="Chart 90">
            <a:extLst>
              <a:ext uri="{FF2B5EF4-FFF2-40B4-BE49-F238E27FC236}">
                <a16:creationId xmlns:a16="http://schemas.microsoft.com/office/drawing/2014/main" id="{00000000-0008-0000-0300-00005B000000}"/>
              </a:ext>
            </a:extLst>
          </xdr:cNvPr>
          <xdr:cNvGraphicFramePr>
            <a:graphicFrameLocks/>
          </xdr:cNvGraphicFramePr>
        </xdr:nvGraphicFramePr>
        <xdr:xfrm>
          <a:off x="7067083" y="1238250"/>
          <a:ext cx="4585898" cy="695325"/>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44" name="Chart 1">
            <a:extLst>
              <a:ext uri="{FF2B5EF4-FFF2-40B4-BE49-F238E27FC236}">
                <a16:creationId xmlns:a16="http://schemas.microsoft.com/office/drawing/2014/main" id="{00000000-0008-0000-0300-00002C000000}"/>
              </a:ext>
            </a:extLst>
          </xdr:cNvPr>
          <xdr:cNvGraphicFramePr>
            <a:graphicFrameLocks/>
          </xdr:cNvGraphicFramePr>
        </xdr:nvGraphicFramePr>
        <xdr:xfrm>
          <a:off x="7015163" y="1291237"/>
          <a:ext cx="4658677" cy="61779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editAs="absolute">
    <xdr:from>
      <xdr:col>0</xdr:col>
      <xdr:colOff>0</xdr:colOff>
      <xdr:row>0</xdr:row>
      <xdr:rowOff>0</xdr:rowOff>
    </xdr:from>
    <xdr:to>
      <xdr:col>17</xdr:col>
      <xdr:colOff>400050</xdr:colOff>
      <xdr:row>2</xdr:row>
      <xdr:rowOff>0</xdr:rowOff>
    </xdr:to>
    <xdr:grpSp>
      <xdr:nvGrpSpPr>
        <xdr:cNvPr id="3" name="MENU">
          <a:extLst>
            <a:ext uri="{FF2B5EF4-FFF2-40B4-BE49-F238E27FC236}">
              <a16:creationId xmlns:a16="http://schemas.microsoft.com/office/drawing/2014/main" id="{00000000-0008-0000-0300-000003000000}"/>
            </a:ext>
          </a:extLst>
        </xdr:cNvPr>
        <xdr:cNvGrpSpPr/>
      </xdr:nvGrpSpPr>
      <xdr:grpSpPr>
        <a:xfrm>
          <a:off x="0" y="0"/>
          <a:ext cx="11836400" cy="1085850"/>
          <a:chOff x="0" y="0"/>
          <a:chExt cx="11836400" cy="1085850"/>
        </a:xfrm>
      </xdr:grpSpPr>
      <xdr:grpSp>
        <xdr:nvGrpSpPr>
          <xdr:cNvPr id="79" name="Group 78">
            <a:extLst>
              <a:ext uri="{FF2B5EF4-FFF2-40B4-BE49-F238E27FC236}">
                <a16:creationId xmlns:a16="http://schemas.microsoft.com/office/drawing/2014/main" id="{00000000-0008-0000-0300-00004F000000}"/>
              </a:ext>
            </a:extLst>
          </xdr:cNvPr>
          <xdr:cNvGrpSpPr/>
        </xdr:nvGrpSpPr>
        <xdr:grpSpPr>
          <a:xfrm>
            <a:off x="0" y="0"/>
            <a:ext cx="11836400" cy="1085850"/>
            <a:chOff x="0" y="0"/>
            <a:chExt cx="11836400" cy="1085850"/>
          </a:xfrm>
        </xdr:grpSpPr>
        <xdr:grpSp>
          <xdr:nvGrpSpPr>
            <xdr:cNvPr id="80" name="Group 79">
              <a:extLst>
                <a:ext uri="{FF2B5EF4-FFF2-40B4-BE49-F238E27FC236}">
                  <a16:creationId xmlns:a16="http://schemas.microsoft.com/office/drawing/2014/main" id="{00000000-0008-0000-0300-000050000000}"/>
                </a:ext>
              </a:extLst>
            </xdr:cNvPr>
            <xdr:cNvGrpSpPr/>
          </xdr:nvGrpSpPr>
          <xdr:grpSpPr>
            <a:xfrm>
              <a:off x="0" y="0"/>
              <a:ext cx="11836400" cy="1085850"/>
              <a:chOff x="0" y="0"/>
              <a:chExt cx="11836400" cy="1085850"/>
            </a:xfrm>
          </xdr:grpSpPr>
          <xdr:sp macro="" textlink="">
            <xdr:nvSpPr>
              <xdr:cNvPr id="85" name="nav_controls">
                <a:extLst>
                  <a:ext uri="{FF2B5EF4-FFF2-40B4-BE49-F238E27FC236}">
                    <a16:creationId xmlns:a16="http://schemas.microsoft.com/office/drawing/2014/main" id="{00000000-0008-0000-0300-000055000000}"/>
                  </a:ext>
                </a:extLst>
              </xdr:cNvPr>
              <xdr:cNvSpPr>
                <a:spLocks/>
              </xdr:cNvSpPr>
            </xdr:nvSpPr>
            <xdr:spPr>
              <a:xfrm>
                <a:off x="4263" y="219075"/>
                <a:ext cx="11832137" cy="866775"/>
              </a:xfrm>
              <a:prstGeom prst="rect">
                <a:avLst/>
              </a:prstGeom>
              <a:solidFill>
                <a:schemeClr val="bg2">
                  <a:alpha val="49804"/>
                </a:schemeClr>
              </a:solidFill>
              <a:ln w="6350">
                <a:solidFill>
                  <a:schemeClr val="bg2">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solidFill>
                    <a:srgbClr val="808080"/>
                  </a:solidFill>
                  <a:latin typeface="+mn-lt"/>
                  <a:ea typeface="Karla" pitchFamily="2" charset="0"/>
                </a:endParaRPr>
              </a:p>
            </xdr:txBody>
          </xdr:sp>
          <xdr:sp macro="" textlink="">
            <xdr:nvSpPr>
              <xdr:cNvPr id="86" name="Home1">
                <a:extLst>
                  <a:ext uri="{FF2B5EF4-FFF2-40B4-BE49-F238E27FC236}">
                    <a16:creationId xmlns:a16="http://schemas.microsoft.com/office/drawing/2014/main" id="{00000000-0008-0000-0300-000056000000}"/>
                  </a:ext>
                </a:extLst>
              </xdr:cNvPr>
              <xdr:cNvSpPr>
                <a:spLocks/>
              </xdr:cNvSpPr>
            </xdr:nvSpPr>
            <xdr:spPr>
              <a:xfrm>
                <a:off x="0" y="0"/>
                <a:ext cx="937384" cy="290513"/>
              </a:xfrm>
              <a:prstGeom prst="rect">
                <a:avLst/>
              </a:prstGeom>
              <a:solidFill>
                <a:schemeClr val="bg1"/>
              </a:solidFill>
              <a:ln w="952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a:solidFill>
                    <a:srgbClr val="808080"/>
                  </a:solidFill>
                  <a:latin typeface="+mn-lt"/>
                  <a:ea typeface="Karla" pitchFamily="2" charset="0"/>
                  <a:cs typeface="DilleniaUPC" pitchFamily="18" charset="-34"/>
                </a:endParaRPr>
              </a:p>
            </xdr:txBody>
          </xdr:sp>
          <xdr:sp macro="" textlink="">
            <xdr:nvSpPr>
              <xdr:cNvPr id="87" name="Oval 86">
                <a:extLst>
                  <a:ext uri="{FF2B5EF4-FFF2-40B4-BE49-F238E27FC236}">
                    <a16:creationId xmlns:a16="http://schemas.microsoft.com/office/drawing/2014/main" id="{00000000-0008-0000-0300-000057000000}"/>
                  </a:ext>
                </a:extLst>
              </xdr:cNvPr>
              <xdr:cNvSpPr>
                <a:spLocks/>
              </xdr:cNvSpPr>
            </xdr:nvSpPr>
            <xdr:spPr>
              <a:xfrm>
                <a:off x="347060" y="29969"/>
                <a:ext cx="236673" cy="230074"/>
              </a:xfrm>
              <a:prstGeom prst="ellipse">
                <a:avLst/>
              </a:prstGeom>
              <a:solidFill>
                <a:schemeClr val="accent5">
                  <a:lumMod val="50000"/>
                </a:schemeClr>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rgbClr val="808080"/>
                  </a:solidFill>
                  <a:latin typeface="Calibri"/>
                  <a:cs typeface="Calibri"/>
                </a:endParaRPr>
              </a:p>
            </xdr:txBody>
          </xdr:sp>
          <xdr:pic macro="[0]!LBChanger">
            <xdr:nvPicPr>
              <xdr:cNvPr id="88" name="Home" descr="Home.png">
                <a:extLst>
                  <a:ext uri="{FF2B5EF4-FFF2-40B4-BE49-F238E27FC236}">
                    <a16:creationId xmlns:a16="http://schemas.microsoft.com/office/drawing/2014/main" id="{00000000-0008-0000-0300-000058000000}"/>
                  </a:ext>
                </a:extLst>
              </xdr:cNvPr>
              <xdr:cNvPicPr>
                <a:picLocks/>
              </xdr:cNvPicPr>
            </xdr:nvPicPr>
            <xdr:blipFill>
              <a:blip xmlns:r="http://schemas.openxmlformats.org/officeDocument/2006/relationships" r:embed="rId5" cstate="print"/>
              <a:stretch>
                <a:fillRect/>
              </a:stretch>
            </xdr:blipFill>
            <xdr:spPr>
              <a:xfrm>
                <a:off x="53200" y="20741"/>
                <a:ext cx="254878" cy="247773"/>
              </a:xfrm>
              <a:prstGeom prst="rect">
                <a:avLst/>
              </a:prstGeom>
              <a:noFill/>
              <a:ln>
                <a:noFill/>
              </a:ln>
            </xdr:spPr>
          </xdr:pic>
          <xdr:pic macro="[0]!UniversalChanger">
            <xdr:nvPicPr>
              <xdr:cNvPr id="89" name="NavBack" descr="Silver-Back-Button.png">
                <a:extLst>
                  <a:ext uri="{FF2B5EF4-FFF2-40B4-BE49-F238E27FC236}">
                    <a16:creationId xmlns:a16="http://schemas.microsoft.com/office/drawing/2014/main" id="{00000000-0008-0000-0300-000059000000}"/>
                  </a:ext>
                </a:extLst>
              </xdr:cNvPr>
              <xdr:cNvPicPr>
                <a:picLocks/>
              </xdr:cNvPicPr>
            </xdr:nvPicPr>
            <xdr:blipFill>
              <a:blip xmlns:r="http://schemas.openxmlformats.org/officeDocument/2006/relationships" r:embed="rId6" cstate="print"/>
              <a:stretch>
                <a:fillRect/>
              </a:stretch>
            </xdr:blipFill>
            <xdr:spPr>
              <a:xfrm>
                <a:off x="621903" y="20741"/>
                <a:ext cx="254878" cy="247773"/>
              </a:xfrm>
              <a:prstGeom prst="rect">
                <a:avLst/>
              </a:prstGeom>
              <a:noFill/>
              <a:ln>
                <a:noFill/>
              </a:ln>
            </xdr:spPr>
          </xdr:pic>
          <xdr:sp macro="" textlink="uxb_works!B92">
            <xdr:nvSpPr>
              <xdr:cNvPr id="94" name="Home1">
                <a:extLst>
                  <a:ext uri="{FF2B5EF4-FFF2-40B4-BE49-F238E27FC236}">
                    <a16:creationId xmlns:a16="http://schemas.microsoft.com/office/drawing/2014/main" id="{00000000-0008-0000-0300-00005E000000}"/>
                  </a:ext>
                </a:extLst>
              </xdr:cNvPr>
              <xdr:cNvSpPr>
                <a:spLocks/>
              </xdr:cNvSpPr>
            </xdr:nvSpPr>
            <xdr:spPr>
              <a:xfrm>
                <a:off x="936568" y="0"/>
                <a:ext cx="10895773" cy="288000"/>
              </a:xfrm>
              <a:prstGeom prst="rect">
                <a:avLst/>
              </a:prstGeom>
              <a:solidFill>
                <a:srgbClr val="FFFFFF"/>
              </a:solidFill>
              <a:ln w="317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DF606BA0-6E14-4859-A5ED-3649E8B86AAC}" type="TxLink">
                  <a:rPr lang="en-US" sz="1600" b="1" i="0" u="none" strike="noStrike">
                    <a:solidFill>
                      <a:schemeClr val="accent5">
                        <a:lumMod val="50000"/>
                      </a:schemeClr>
                    </a:solidFill>
                    <a:latin typeface="Calibri"/>
                    <a:ea typeface="Karla" pitchFamily="2" charset="0"/>
                    <a:cs typeface="Calibri"/>
                  </a:rPr>
                  <a:pPr algn="l"/>
                  <a:t>Digital Cities Index</a:t>
                </a:fld>
                <a:endParaRPr lang="en-GB" sz="1200" b="1">
                  <a:solidFill>
                    <a:schemeClr val="accent5">
                      <a:lumMod val="50000"/>
                    </a:schemeClr>
                  </a:solidFill>
                  <a:latin typeface="+mn-lt"/>
                  <a:ea typeface="Karla" pitchFamily="2" charset="0"/>
                  <a:cs typeface="DilleniaUPC" pitchFamily="18" charset="-34"/>
                </a:endParaRPr>
              </a:p>
            </xdr:txBody>
          </xdr:sp>
          <xdr:pic macro="[0]!LBChanger">
            <xdr:nvPicPr>
              <xdr:cNvPr id="95" name="Contents" descr="ii_jgc3wl5q0_162f2138d6ded0cc">
                <a:extLst>
                  <a:ext uri="{FF2B5EF4-FFF2-40B4-BE49-F238E27FC236}">
                    <a16:creationId xmlns:a16="http://schemas.microsoft.com/office/drawing/2014/main" id="{00000000-0008-0000-0300-00005F000000}"/>
                  </a:ext>
                </a:extLst>
              </xdr:cNvPr>
              <xdr:cNvPicPr>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37618" y="20741"/>
                <a:ext cx="260608" cy="248400"/>
              </a:xfrm>
              <a:prstGeom prst="rect">
                <a:avLst/>
              </a:prstGeom>
              <a:solidFill>
                <a:sysClr val="window" lastClr="FFFFFF"/>
              </a:solidFill>
              <a:ln>
                <a:noFill/>
              </a:ln>
            </xdr:spPr>
          </xdr:pic>
          <xdr:sp macro="" textlink="">
            <xdr:nvSpPr>
              <xdr:cNvPr id="96" name="nav_controls">
                <a:extLst>
                  <a:ext uri="{FF2B5EF4-FFF2-40B4-BE49-F238E27FC236}">
                    <a16:creationId xmlns:a16="http://schemas.microsoft.com/office/drawing/2014/main" id="{00000000-0008-0000-0300-000060000000}"/>
                  </a:ext>
                </a:extLst>
              </xdr:cNvPr>
              <xdr:cNvSpPr>
                <a:spLocks/>
              </xdr:cNvSpPr>
            </xdr:nvSpPr>
            <xdr:spPr>
              <a:xfrm>
                <a:off x="7091375" y="461958"/>
                <a:ext cx="2647950" cy="54000"/>
              </a:xfrm>
              <a:prstGeom prst="rect">
                <a:avLst/>
              </a:prstGeom>
              <a:solidFill>
                <a:srgbClr val="9EB3BE"/>
              </a:solidFill>
              <a:ln w="6350">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000" b="1" i="0" u="none" strike="noStrike">
                  <a:solidFill>
                    <a:sysClr val="windowText" lastClr="000000"/>
                  </a:solidFill>
                  <a:latin typeface="Calibri"/>
                  <a:cs typeface="Calibri"/>
                </a:endParaRPr>
              </a:p>
            </xdr:txBody>
          </xdr:sp>
          <xdr:sp macro="" textlink="">
            <xdr:nvSpPr>
              <xdr:cNvPr id="97" name="nav_controls">
                <a:extLst>
                  <a:ext uri="{FF2B5EF4-FFF2-40B4-BE49-F238E27FC236}">
                    <a16:creationId xmlns:a16="http://schemas.microsoft.com/office/drawing/2014/main" id="{00000000-0008-0000-0300-000061000000}"/>
                  </a:ext>
                </a:extLst>
              </xdr:cNvPr>
              <xdr:cNvSpPr>
                <a:spLocks/>
              </xdr:cNvSpPr>
            </xdr:nvSpPr>
            <xdr:spPr>
              <a:xfrm>
                <a:off x="9215438" y="461958"/>
                <a:ext cx="2614081" cy="54000"/>
              </a:xfrm>
              <a:prstGeom prst="rect">
                <a:avLst/>
              </a:prstGeom>
              <a:solidFill>
                <a:srgbClr val="B5D5E5"/>
              </a:solidFill>
              <a:ln w="6350">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000" b="1" i="0" u="none" strike="noStrike">
                  <a:solidFill>
                    <a:sysClr val="windowText" lastClr="000000"/>
                  </a:solidFill>
                  <a:latin typeface="Calibri"/>
                  <a:cs typeface="Calibri"/>
                </a:endParaRPr>
              </a:p>
            </xdr:txBody>
          </xdr:sp>
          <xdr:sp macro="" textlink="">
            <xdr:nvSpPr>
              <xdr:cNvPr id="98" name="nav_controls">
                <a:extLst>
                  <a:ext uri="{FF2B5EF4-FFF2-40B4-BE49-F238E27FC236}">
                    <a16:creationId xmlns:a16="http://schemas.microsoft.com/office/drawing/2014/main" id="{00000000-0008-0000-0300-000062000000}"/>
                  </a:ext>
                </a:extLst>
              </xdr:cNvPr>
              <xdr:cNvSpPr>
                <a:spLocks/>
              </xdr:cNvSpPr>
            </xdr:nvSpPr>
            <xdr:spPr>
              <a:xfrm>
                <a:off x="0" y="466725"/>
                <a:ext cx="7081838" cy="52408"/>
              </a:xfrm>
              <a:prstGeom prst="rect">
                <a:avLst/>
              </a:prstGeom>
              <a:solidFill>
                <a:srgbClr val="2B5464"/>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b="1" i="0" u="none" strike="noStrike">
                  <a:solidFill>
                    <a:schemeClr val="bg1"/>
                  </a:solidFill>
                  <a:latin typeface="Calibri"/>
                  <a:cs typeface="Calibri"/>
                </a:endParaRPr>
              </a:p>
            </xdr:txBody>
          </xdr:sp>
          <xdr:grpSp>
            <xdr:nvGrpSpPr>
              <xdr:cNvPr id="99" name="Group 98">
                <a:extLst>
                  <a:ext uri="{FF2B5EF4-FFF2-40B4-BE49-F238E27FC236}">
                    <a16:creationId xmlns:a16="http://schemas.microsoft.com/office/drawing/2014/main" id="{00000000-0008-0000-0300-000063000000}"/>
                  </a:ext>
                </a:extLst>
              </xdr:cNvPr>
              <xdr:cNvGrpSpPr/>
            </xdr:nvGrpSpPr>
            <xdr:grpSpPr>
              <a:xfrm>
                <a:off x="0" y="285750"/>
                <a:ext cx="11814575" cy="180261"/>
                <a:chOff x="0" y="285489"/>
                <a:chExt cx="13173477" cy="180261"/>
              </a:xfrm>
            </xdr:grpSpPr>
            <xdr:sp macro="[0]!LBChanger" textlink="uxb_works!B100">
              <xdr:nvSpPr>
                <xdr:cNvPr id="100" name="Correlations">
                  <a:extLst>
                    <a:ext uri="{FF2B5EF4-FFF2-40B4-BE49-F238E27FC236}">
                      <a16:creationId xmlns:a16="http://schemas.microsoft.com/office/drawing/2014/main" id="{00000000-0008-0000-0300-000064000000}"/>
                    </a:ext>
                  </a:extLst>
                </xdr:cNvPr>
                <xdr:cNvSpPr>
                  <a:spLocks/>
                </xdr:cNvSpPr>
              </xdr:nvSpPr>
              <xdr:spPr>
                <a:xfrm>
                  <a:off x="9225833"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0D08B5CF-F601-4334-9688-6B186F573CBA}" type="TxLink">
                    <a:rPr lang="en-US" sz="900" b="1" i="0" u="none" strike="noStrike">
                      <a:solidFill>
                        <a:schemeClr val="accent5">
                          <a:lumMod val="50000"/>
                        </a:schemeClr>
                      </a:solidFill>
                      <a:latin typeface="Calibri"/>
                      <a:ea typeface="Karla" pitchFamily="2" charset="0"/>
                      <a:cs typeface="Calibri"/>
                    </a:rPr>
                    <a:pPr algn="ctr"/>
                    <a:t>CORRELATIONS</a:t>
                  </a:fld>
                  <a:endParaRPr lang="en-GB" sz="900" b="1">
                    <a:solidFill>
                      <a:schemeClr val="accent5">
                        <a:lumMod val="50000"/>
                      </a:schemeClr>
                    </a:solidFill>
                    <a:latin typeface="+mn-lt"/>
                    <a:ea typeface="Karla" pitchFamily="2" charset="0"/>
                  </a:endParaRPr>
                </a:p>
              </xdr:txBody>
            </xdr:sp>
            <xdr:sp macro="[0]!LBChanger" textlink="uxb_works!B99">
              <xdr:nvSpPr>
                <xdr:cNvPr id="101" name="Scatter">
                  <a:extLst>
                    <a:ext uri="{FF2B5EF4-FFF2-40B4-BE49-F238E27FC236}">
                      <a16:creationId xmlns:a16="http://schemas.microsoft.com/office/drawing/2014/main" id="{00000000-0008-0000-0300-000065000000}"/>
                    </a:ext>
                  </a:extLst>
                </xdr:cNvPr>
                <xdr:cNvSpPr>
                  <a:spLocks/>
                </xdr:cNvSpPr>
              </xdr:nvSpPr>
              <xdr:spPr>
                <a:xfrm>
                  <a:off x="7903939" y="285940"/>
                  <a:ext cx="1320074"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8DE1D7F-61C0-4422-A1B6-E89A6501ED1F}" type="TxLink">
                    <a:rPr lang="en-US" sz="900" b="1" i="0" u="none" strike="noStrike">
                      <a:solidFill>
                        <a:schemeClr val="accent5">
                          <a:lumMod val="50000"/>
                        </a:schemeClr>
                      </a:solidFill>
                      <a:latin typeface="Calibri"/>
                      <a:ea typeface="Karla" pitchFamily="2" charset="0"/>
                      <a:cs typeface="Calibri"/>
                    </a:rPr>
                    <a:pPr algn="ctr"/>
                    <a:t>SCATTER</a:t>
                  </a:fld>
                  <a:endParaRPr lang="en-GB" sz="900" b="1">
                    <a:solidFill>
                      <a:schemeClr val="accent5">
                        <a:lumMod val="50000"/>
                      </a:schemeClr>
                    </a:solidFill>
                    <a:latin typeface="+mn-lt"/>
                    <a:ea typeface="Karla" pitchFamily="2" charset="0"/>
                  </a:endParaRPr>
                </a:p>
              </xdr:txBody>
            </xdr:sp>
            <xdr:sp macro="[0]!LBChanger" textlink="uxb_works!B101">
              <xdr:nvSpPr>
                <xdr:cNvPr id="103" name="Scores">
                  <a:extLst>
                    <a:ext uri="{FF2B5EF4-FFF2-40B4-BE49-F238E27FC236}">
                      <a16:creationId xmlns:a16="http://schemas.microsoft.com/office/drawing/2014/main" id="{00000000-0008-0000-0300-000067000000}"/>
                    </a:ext>
                  </a:extLst>
                </xdr:cNvPr>
                <xdr:cNvSpPr>
                  <a:spLocks/>
                </xdr:cNvSpPr>
              </xdr:nvSpPr>
              <xdr:spPr>
                <a:xfrm>
                  <a:off x="10540783"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5165ACF-6EE1-4F74-8FDB-F21F37E9E6FB}" type="TxLink">
                    <a:rPr lang="en-US" sz="900" b="1" i="0" u="none" strike="noStrike">
                      <a:solidFill>
                        <a:schemeClr val="accent5">
                          <a:lumMod val="50000"/>
                        </a:schemeClr>
                      </a:solidFill>
                      <a:latin typeface="Calibri"/>
                      <a:ea typeface="Karla" pitchFamily="2" charset="0"/>
                      <a:cs typeface="Calibri"/>
                    </a:rPr>
                    <a:pPr algn="ctr"/>
                    <a:t>DATA / SCORES</a:t>
                  </a:fld>
                  <a:endParaRPr lang="en-GB" sz="900" b="1">
                    <a:solidFill>
                      <a:schemeClr val="accent5">
                        <a:lumMod val="50000"/>
                      </a:schemeClr>
                    </a:solidFill>
                    <a:latin typeface="+mn-lt"/>
                    <a:ea typeface="Karla" pitchFamily="2" charset="0"/>
                  </a:endParaRPr>
                </a:p>
              </xdr:txBody>
            </xdr:sp>
            <xdr:sp macro="[0]!LBChanger" textlink="uxb_works!B102">
              <xdr:nvSpPr>
                <xdr:cNvPr id="104" name="Weights">
                  <a:extLst>
                    <a:ext uri="{FF2B5EF4-FFF2-40B4-BE49-F238E27FC236}">
                      <a16:creationId xmlns:a16="http://schemas.microsoft.com/office/drawing/2014/main" id="{00000000-0008-0000-0300-000068000000}"/>
                    </a:ext>
                  </a:extLst>
                </xdr:cNvPr>
                <xdr:cNvSpPr>
                  <a:spLocks/>
                </xdr:cNvSpPr>
              </xdr:nvSpPr>
              <xdr:spPr>
                <a:xfrm>
                  <a:off x="11855698"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43627509-C0BB-4D16-AADD-A85AC599D44F}" type="TxLink">
                    <a:rPr lang="en-US" sz="900" b="1" i="0" u="none" strike="noStrike">
                      <a:solidFill>
                        <a:schemeClr val="accent5">
                          <a:lumMod val="50000"/>
                        </a:schemeClr>
                      </a:solidFill>
                      <a:latin typeface="Calibri"/>
                      <a:ea typeface="Karla" pitchFamily="2" charset="0"/>
                      <a:cs typeface="Calibri"/>
                    </a:rPr>
                    <a:pPr algn="ctr"/>
                    <a:t>WEIGHTS</a:t>
                  </a:fld>
                  <a:endParaRPr lang="en-GB" sz="900" b="1">
                    <a:solidFill>
                      <a:schemeClr val="accent5">
                        <a:lumMod val="50000"/>
                      </a:schemeClr>
                    </a:solidFill>
                    <a:latin typeface="+mn-lt"/>
                    <a:ea typeface="Karla" pitchFamily="2" charset="0"/>
                  </a:endParaRPr>
                </a:p>
              </xdr:txBody>
            </xdr:sp>
            <xdr:sp macro="[0]!LBChanger" textlink="uxb_works!B95">
              <xdr:nvSpPr>
                <xdr:cNvPr id="105" name="Summary1">
                  <a:extLst>
                    <a:ext uri="{FF2B5EF4-FFF2-40B4-BE49-F238E27FC236}">
                      <a16:creationId xmlns:a16="http://schemas.microsoft.com/office/drawing/2014/main" id="{00000000-0008-0000-0300-000069000000}"/>
                    </a:ext>
                  </a:extLst>
                </xdr:cNvPr>
                <xdr:cNvSpPr>
                  <a:spLocks/>
                </xdr:cNvSpPr>
              </xdr:nvSpPr>
              <xdr:spPr>
                <a:xfrm>
                  <a:off x="0"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A5241822-14D3-4854-9411-CFDDA1D4CE0A}" type="TxLink">
                    <a:rPr lang="en-US" sz="900" b="1" i="0" u="none" strike="noStrike">
                      <a:solidFill>
                        <a:schemeClr val="accent5">
                          <a:lumMod val="50000"/>
                        </a:schemeClr>
                      </a:solidFill>
                      <a:latin typeface="Calibri"/>
                      <a:ea typeface="Karla" pitchFamily="2" charset="0"/>
                      <a:cs typeface="Calibri"/>
                    </a:rPr>
                    <a:pPr algn="ctr"/>
                    <a:t>SUMMARY</a:t>
                  </a:fld>
                  <a:endParaRPr lang="en-GB" sz="900" b="1">
                    <a:solidFill>
                      <a:schemeClr val="accent5">
                        <a:lumMod val="50000"/>
                      </a:schemeClr>
                    </a:solidFill>
                    <a:latin typeface="+mn-lt"/>
                    <a:ea typeface="Karla" pitchFamily="2" charset="0"/>
                  </a:endParaRPr>
                </a:p>
              </xdr:txBody>
            </xdr:sp>
            <xdr:sp macro="[0]!LBChanger" textlink="uxb_works!B96">
              <xdr:nvSpPr>
                <xdr:cNvPr id="106" name="Indicator_Ranking">
                  <a:extLst>
                    <a:ext uri="{FF2B5EF4-FFF2-40B4-BE49-F238E27FC236}">
                      <a16:creationId xmlns:a16="http://schemas.microsoft.com/office/drawing/2014/main" id="{00000000-0008-0000-0300-00006A000000}"/>
                    </a:ext>
                  </a:extLst>
                </xdr:cNvPr>
                <xdr:cNvSpPr>
                  <a:spLocks/>
                </xdr:cNvSpPr>
              </xdr:nvSpPr>
              <xdr:spPr>
                <a:xfrm>
                  <a:off x="1319392" y="285940"/>
                  <a:ext cx="1317779" cy="179810"/>
                </a:xfrm>
                <a:prstGeom prst="rect">
                  <a:avLst/>
                </a:prstGeom>
                <a:solidFill>
                  <a:schemeClr val="accent5">
                    <a:lumMod val="50000"/>
                  </a:schemeClr>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1D205C57-4D69-4B9A-8D11-5E0B7527B9E2}" type="TxLink">
                    <a:rPr lang="en-US" sz="900" b="1" i="0" u="none" strike="noStrike">
                      <a:solidFill>
                        <a:schemeClr val="bg1"/>
                      </a:solidFill>
                      <a:latin typeface="Calibri"/>
                      <a:ea typeface="Karla" pitchFamily="2" charset="0"/>
                      <a:cs typeface="Calibri"/>
                    </a:rPr>
                    <a:pPr algn="ctr"/>
                    <a:t>INDICATOR RANKING</a:t>
                  </a:fld>
                  <a:endParaRPr lang="en-GB" sz="900" b="1">
                    <a:solidFill>
                      <a:schemeClr val="bg1"/>
                    </a:solidFill>
                    <a:latin typeface="+mn-lt"/>
                    <a:ea typeface="Karla" pitchFamily="2" charset="0"/>
                  </a:endParaRPr>
                </a:p>
              </xdr:txBody>
            </xdr:sp>
            <xdr:sp macro="[0]!LBChanger" textlink="uxb_works!B98">
              <xdr:nvSpPr>
                <xdr:cNvPr id="107" name="CCompare">
                  <a:extLst>
                    <a:ext uri="{FF2B5EF4-FFF2-40B4-BE49-F238E27FC236}">
                      <a16:creationId xmlns:a16="http://schemas.microsoft.com/office/drawing/2014/main" id="{00000000-0008-0000-0300-00006B000000}"/>
                    </a:ext>
                  </a:extLst>
                </xdr:cNvPr>
                <xdr:cNvSpPr>
                  <a:spLocks/>
                </xdr:cNvSpPr>
              </xdr:nvSpPr>
              <xdr:spPr>
                <a:xfrm>
                  <a:off x="5256659" y="285940"/>
                  <a:ext cx="132486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829603AF-0DD8-4C72-8452-B09DB6262544}" type="TxLink">
                    <a:rPr lang="en-US" sz="900" b="1" i="0" u="none" strike="noStrike">
                      <a:solidFill>
                        <a:schemeClr val="accent5">
                          <a:lumMod val="50000"/>
                        </a:schemeClr>
                      </a:solidFill>
                      <a:latin typeface="Calibri"/>
                      <a:ea typeface="Karla" pitchFamily="2" charset="0"/>
                      <a:cs typeface="Calibri"/>
                    </a:rPr>
                    <a:pPr algn="ctr"/>
                    <a:t>CITY COMPARE</a:t>
                  </a:fld>
                  <a:endParaRPr lang="en-GB" sz="900" b="1">
                    <a:solidFill>
                      <a:schemeClr val="accent5">
                        <a:lumMod val="50000"/>
                      </a:schemeClr>
                    </a:solidFill>
                    <a:latin typeface="+mn-lt"/>
                    <a:ea typeface="Karla" pitchFamily="2" charset="0"/>
                  </a:endParaRPr>
                </a:p>
              </xdr:txBody>
            </xdr:sp>
            <xdr:sp macro="[0]!LBChanger" textlink="uxb_works!B97">
              <xdr:nvSpPr>
                <xdr:cNvPr id="108" name="CtyScoreCard">
                  <a:extLst>
                    <a:ext uri="{FF2B5EF4-FFF2-40B4-BE49-F238E27FC236}">
                      <a16:creationId xmlns:a16="http://schemas.microsoft.com/office/drawing/2014/main" id="{00000000-0008-0000-0300-00006C000000}"/>
                    </a:ext>
                  </a:extLst>
                </xdr:cNvPr>
                <xdr:cNvSpPr>
                  <a:spLocks/>
                </xdr:cNvSpPr>
              </xdr:nvSpPr>
              <xdr:spPr>
                <a:xfrm>
                  <a:off x="3943666" y="285489"/>
                  <a:ext cx="1317779" cy="180261"/>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fld id="{5B2B5046-96B7-4EDE-9DD8-D97FF7695B86}" type="TxLink">
                    <a:rPr lang="en-US" sz="900" b="1" i="0" u="none" strike="noStrike">
                      <a:solidFill>
                        <a:schemeClr val="accent5">
                          <a:lumMod val="50000"/>
                        </a:schemeClr>
                      </a:solidFill>
                      <a:latin typeface="Calibri"/>
                      <a:ea typeface="Karla" pitchFamily="2" charset="0"/>
                      <a:cs typeface="Calibri"/>
                    </a:rPr>
                    <a:pPr algn="ctr"/>
                    <a:t>CITY SCORECARD</a:t>
                  </a:fld>
                  <a:endParaRPr lang="en-GB" sz="900" b="1">
                    <a:solidFill>
                      <a:schemeClr val="accent5">
                        <a:lumMod val="50000"/>
                      </a:schemeClr>
                    </a:solidFill>
                    <a:latin typeface="+mn-lt"/>
                    <a:ea typeface="Karla" pitchFamily="2" charset="0"/>
                  </a:endParaRPr>
                </a:p>
              </xdr:txBody>
            </xdr:sp>
            <xdr:sp macro="[0]!LBChanger" textlink="uxb_works!B103">
              <xdr:nvSpPr>
                <xdr:cNvPr id="109" name="RegionCompare">
                  <a:extLst>
                    <a:ext uri="{FF2B5EF4-FFF2-40B4-BE49-F238E27FC236}">
                      <a16:creationId xmlns:a16="http://schemas.microsoft.com/office/drawing/2014/main" id="{00000000-0008-0000-0300-00006D000000}"/>
                    </a:ext>
                  </a:extLst>
                </xdr:cNvPr>
                <xdr:cNvSpPr>
                  <a:spLocks/>
                </xdr:cNvSpPr>
              </xdr:nvSpPr>
              <xdr:spPr>
                <a:xfrm>
                  <a:off x="6578664" y="285940"/>
                  <a:ext cx="132486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51E55FBF-FB84-41A1-976B-235AB148A85F}" type="TxLink">
                    <a:rPr lang="en-US" sz="900" b="1" i="0" u="none" strike="noStrike">
                      <a:solidFill>
                        <a:schemeClr val="accent5">
                          <a:lumMod val="50000"/>
                        </a:schemeClr>
                      </a:solidFill>
                      <a:latin typeface="Calibri"/>
                      <a:ea typeface="Karla" pitchFamily="2" charset="0"/>
                      <a:cs typeface="Calibri"/>
                    </a:rPr>
                    <a:pPr algn="ctr"/>
                    <a:t>REGION COMPARE</a:t>
                  </a:fld>
                  <a:endParaRPr lang="en-GB" sz="900" b="1">
                    <a:solidFill>
                      <a:schemeClr val="accent5">
                        <a:lumMod val="50000"/>
                      </a:schemeClr>
                    </a:solidFill>
                    <a:latin typeface="+mn-lt"/>
                    <a:ea typeface="Karla" pitchFamily="2" charset="0"/>
                  </a:endParaRPr>
                </a:p>
              </xdr:txBody>
            </xdr:sp>
            <xdr:sp macro="[0]!LBChanger" textlink="uxb_works!B104">
              <xdr:nvSpPr>
                <xdr:cNvPr id="147" name="CProfile">
                  <a:extLst>
                    <a:ext uri="{FF2B5EF4-FFF2-40B4-BE49-F238E27FC236}">
                      <a16:creationId xmlns:a16="http://schemas.microsoft.com/office/drawing/2014/main" id="{00000000-0008-0000-0300-000093000000}"/>
                    </a:ext>
                  </a:extLst>
                </xdr:cNvPr>
                <xdr:cNvSpPr>
                  <a:spLocks/>
                </xdr:cNvSpPr>
              </xdr:nvSpPr>
              <xdr:spPr>
                <a:xfrm>
                  <a:off x="2635250" y="285489"/>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62C1403F-D06F-4F81-B666-49A22A849932}" type="TxLink">
                    <a:rPr lang="en-US" sz="900" b="1" i="0" u="none" strike="noStrike">
                      <a:solidFill>
                        <a:srgbClr val="366092"/>
                      </a:solidFill>
                      <a:latin typeface="Calibri"/>
                      <a:ea typeface="Karla" pitchFamily="2" charset="0"/>
                      <a:cs typeface="Calibri"/>
                    </a:rPr>
                    <a:pPr algn="ctr"/>
                    <a:t>CITY PROFILE</a:t>
                  </a:fld>
                  <a:endParaRPr lang="en-GB" sz="900" b="1">
                    <a:solidFill>
                      <a:schemeClr val="accent5">
                        <a:lumMod val="50000"/>
                      </a:schemeClr>
                    </a:solidFill>
                    <a:latin typeface="+mn-lt"/>
                    <a:ea typeface="Karla" pitchFamily="2" charset="0"/>
                  </a:endParaRPr>
                </a:p>
              </xdr:txBody>
            </xdr:sp>
          </xdr:grpSp>
        </xdr:grpSp>
        <xdr:sp macro="[0]!UniversalChanger" textlink="uxb_works!$C$111">
          <xdr:nvSpPr>
            <xdr:cNvPr id="81" name="FilterToggle">
              <a:extLst>
                <a:ext uri="{FF2B5EF4-FFF2-40B4-BE49-F238E27FC236}">
                  <a16:creationId xmlns:a16="http://schemas.microsoft.com/office/drawing/2014/main" id="{00000000-0008-0000-0300-000051000000}"/>
                </a:ext>
              </a:extLst>
            </xdr:cNvPr>
            <xdr:cNvSpPr>
              <a:spLocks/>
            </xdr:cNvSpPr>
          </xdr:nvSpPr>
          <xdr:spPr>
            <a:xfrm>
              <a:off x="10744308" y="852242"/>
              <a:ext cx="1082221" cy="212967"/>
            </a:xfrm>
            <a:prstGeom prst="rect">
              <a:avLst/>
            </a:prstGeom>
            <a:solidFill>
              <a:srgbClr val="D9D9D9"/>
            </a:solidFill>
            <a:ln w="2857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D5B5E-6696-41FF-B581-44AEC0F219A7}" type="TxLink">
                <a:rPr lang="en-US" sz="800" b="0" i="0" u="none" strike="noStrike">
                  <a:solidFill>
                    <a:srgbClr val="000000"/>
                  </a:solidFill>
                  <a:latin typeface="Calibri"/>
                  <a:ea typeface="Karla" pitchFamily="2" charset="0"/>
                  <a:cs typeface="Calibri"/>
                </a:rPr>
                <a:pPr algn="ctr"/>
                <a:t>Hide these options</a:t>
              </a:fld>
              <a:endParaRPr lang="en-GB" sz="4000" b="1">
                <a:solidFill>
                  <a:srgbClr val="000000"/>
                </a:solidFill>
                <a:latin typeface="+mn-lt"/>
                <a:ea typeface="Karla" pitchFamily="2" charset="0"/>
              </a:endParaRPr>
            </a:p>
          </xdr:txBody>
        </xdr:sp>
        <xdr:grpSp>
          <xdr:nvGrpSpPr>
            <xdr:cNvPr id="82" name="Group 81">
              <a:extLst>
                <a:ext uri="{FF2B5EF4-FFF2-40B4-BE49-F238E27FC236}">
                  <a16:creationId xmlns:a16="http://schemas.microsoft.com/office/drawing/2014/main" id="{00000000-0008-0000-0300-000052000000}"/>
                </a:ext>
              </a:extLst>
            </xdr:cNvPr>
            <xdr:cNvGrpSpPr/>
          </xdr:nvGrpSpPr>
          <xdr:grpSpPr>
            <a:xfrm>
              <a:off x="10753783" y="37494"/>
              <a:ext cx="999275" cy="240746"/>
              <a:chOff x="10782556" y="28575"/>
              <a:chExt cx="999806" cy="252000"/>
            </a:xfrm>
          </xdr:grpSpPr>
          <xdr:sp macro="[0]!UniversalChanger" textlink="">
            <xdr:nvSpPr>
              <xdr:cNvPr id="83" name="ctr_Reset">
                <a:extLst>
                  <a:ext uri="{FF2B5EF4-FFF2-40B4-BE49-F238E27FC236}">
                    <a16:creationId xmlns:a16="http://schemas.microsoft.com/office/drawing/2014/main" id="{00000000-0008-0000-0300-000053000000}"/>
                  </a:ext>
                </a:extLst>
              </xdr:cNvPr>
              <xdr:cNvSpPr/>
            </xdr:nvSpPr>
            <xdr:spPr>
              <a:xfrm>
                <a:off x="10782556" y="38100"/>
                <a:ext cx="666749" cy="209550"/>
              </a:xfrm>
              <a:prstGeom prst="rect">
                <a:avLst/>
              </a:prstGeom>
              <a:solidFill>
                <a:srgbClr val="F47940">
                  <a:alpha val="20000"/>
                </a:srgbClr>
              </a:solidFill>
              <a:ln w="3175">
                <a:solidFill>
                  <a:srgbClr val="005BAD"/>
                </a:solid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r>
                  <a:rPr lang="en-GB" sz="1000" b="0">
                    <a:solidFill>
                      <a:srgbClr val="143050"/>
                    </a:solidFill>
                    <a:latin typeface="+mn-lt"/>
                    <a:ea typeface="Karla" pitchFamily="2" charset="0"/>
                  </a:rPr>
                  <a:t>RESET</a:t>
                </a:r>
              </a:p>
            </xdr:txBody>
          </xdr:sp>
          <xdr:pic macro="[0]!UniversalChanger">
            <xdr:nvPicPr>
              <xdr:cNvPr id="84" name="Excel_Out">
                <a:extLst>
                  <a:ext uri="{FF2B5EF4-FFF2-40B4-BE49-F238E27FC236}">
                    <a16:creationId xmlns:a16="http://schemas.microsoft.com/office/drawing/2014/main" id="{00000000-0008-0000-0300-00005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525506" y="28575"/>
                <a:ext cx="256856" cy="252000"/>
              </a:xfrm>
              <a:prstGeom prst="rect">
                <a:avLst/>
              </a:prstGeom>
            </xdr:spPr>
          </xdr:pic>
        </xdr:grpSp>
      </xdr:grpSp>
      <xdr:grpSp>
        <xdr:nvGrpSpPr>
          <xdr:cNvPr id="134" name="Group 133">
            <a:extLst>
              <a:ext uri="{FF2B5EF4-FFF2-40B4-BE49-F238E27FC236}">
                <a16:creationId xmlns:a16="http://schemas.microsoft.com/office/drawing/2014/main" id="{00000000-0008-0000-0300-000086000000}"/>
              </a:ext>
            </a:extLst>
          </xdr:cNvPr>
          <xdr:cNvGrpSpPr/>
        </xdr:nvGrpSpPr>
        <xdr:grpSpPr>
          <a:xfrm>
            <a:off x="134868" y="639941"/>
            <a:ext cx="4806678" cy="394802"/>
            <a:chOff x="66675" y="666750"/>
            <a:chExt cx="4817611" cy="400077"/>
          </a:xfrm>
        </xdr:grpSpPr>
        <xdr:grpSp>
          <xdr:nvGrpSpPr>
            <xdr:cNvPr id="150" name="Group 149">
              <a:extLst>
                <a:ext uri="{FF2B5EF4-FFF2-40B4-BE49-F238E27FC236}">
                  <a16:creationId xmlns:a16="http://schemas.microsoft.com/office/drawing/2014/main" id="{00000000-0008-0000-0300-000096000000}"/>
                </a:ext>
              </a:extLst>
            </xdr:cNvPr>
            <xdr:cNvGrpSpPr/>
          </xdr:nvGrpSpPr>
          <xdr:grpSpPr>
            <a:xfrm>
              <a:off x="66675" y="666754"/>
              <a:ext cx="4817611" cy="400073"/>
              <a:chOff x="1238250" y="666754"/>
              <a:chExt cx="4817611" cy="400073"/>
            </a:xfrm>
          </xdr:grpSpPr>
          <xdr:pic macro="[0]!UniversalChanger">
            <xdr:nvPicPr>
              <xdr:cNvPr id="153" name="cnt_series_up" descr="scroll_up_small.png">
                <a:extLst>
                  <a:ext uri="{FF2B5EF4-FFF2-40B4-BE49-F238E27FC236}">
                    <a16:creationId xmlns:a16="http://schemas.microsoft.com/office/drawing/2014/main" id="{00000000-0008-0000-0300-000099000000}"/>
                  </a:ext>
                </a:extLst>
              </xdr:cNvPr>
              <xdr:cNvPicPr preferRelativeResize="0">
                <a:picLocks/>
              </xdr:cNvPicPr>
            </xdr:nvPicPr>
            <xdr:blipFill>
              <a:blip xmlns:r="http://schemas.openxmlformats.org/officeDocument/2006/relationships" r:embed="rId1" cstate="print"/>
              <a:stretch>
                <a:fillRect/>
              </a:stretch>
            </xdr:blipFill>
            <xdr:spPr>
              <a:xfrm>
                <a:off x="5750998" y="850262"/>
                <a:ext cx="304863" cy="107385"/>
              </a:xfrm>
              <a:prstGeom prst="rect">
                <a:avLst/>
              </a:prstGeom>
            </xdr:spPr>
          </xdr:pic>
          <xdr:pic macro="[0]!UniversalChanger">
            <xdr:nvPicPr>
              <xdr:cNvPr id="154" name="cnt_series_down" descr="scroll_down_small.png">
                <a:extLst>
                  <a:ext uri="{FF2B5EF4-FFF2-40B4-BE49-F238E27FC236}">
                    <a16:creationId xmlns:a16="http://schemas.microsoft.com/office/drawing/2014/main" id="{00000000-0008-0000-0300-00009A000000}"/>
                  </a:ext>
                </a:extLst>
              </xdr:cNvPr>
              <xdr:cNvPicPr preferRelativeResize="0">
                <a:picLocks/>
              </xdr:cNvPicPr>
            </xdr:nvPicPr>
            <xdr:blipFill>
              <a:blip xmlns:r="http://schemas.openxmlformats.org/officeDocument/2006/relationships" r:embed="rId2" cstate="print"/>
              <a:stretch>
                <a:fillRect/>
              </a:stretch>
            </xdr:blipFill>
            <xdr:spPr>
              <a:xfrm>
                <a:off x="5750998" y="955178"/>
                <a:ext cx="304863" cy="107385"/>
              </a:xfrm>
              <a:prstGeom prst="rect">
                <a:avLst/>
              </a:prstGeom>
            </xdr:spPr>
          </xdr:pic>
          <xdr:sp macro="" textlink="">
            <xdr:nvSpPr>
              <xdr:cNvPr id="155" name="lbl_cnt_City_1">
                <a:extLst>
                  <a:ext uri="{FF2B5EF4-FFF2-40B4-BE49-F238E27FC236}">
                    <a16:creationId xmlns:a16="http://schemas.microsoft.com/office/drawing/2014/main" id="{00000000-0008-0000-0300-00009B000000}"/>
                  </a:ext>
                </a:extLst>
              </xdr:cNvPr>
              <xdr:cNvSpPr txBox="1"/>
            </xdr:nvSpPr>
            <xdr:spPr>
              <a:xfrm>
                <a:off x="1238251" y="666754"/>
                <a:ext cx="438152" cy="180000"/>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ctr"/>
                <a:r>
                  <a:rPr lang="en-GB" sz="1000" b="1">
                    <a:solidFill>
                      <a:sysClr val="windowText" lastClr="000000"/>
                    </a:solidFill>
                    <a:latin typeface="+mn-lt"/>
                    <a:ea typeface="Karla" pitchFamily="2" charset="0"/>
                  </a:rPr>
                  <a:t>SELECT </a:t>
                </a:r>
              </a:p>
            </xdr:txBody>
          </xdr:sp>
          <mc:AlternateContent xmlns:mc="http://schemas.openxmlformats.org/markup-compatibility/2006">
            <mc:Choice xmlns:a14="http://schemas.microsoft.com/office/drawing/2010/main" Requires="a14">
              <xdr:sp macro="" textlink="">
                <xdr:nvSpPr>
                  <xdr:cNvPr id="14450703" name="cnt_indicator" hidden="1">
                    <a:extLst>
                      <a:ext uri="{63B3BB69-23CF-44E3-9099-C40C66FF867C}">
                        <a14:compatExt spid="_x0000_s14450703"/>
                      </a:ext>
                      <a:ext uri="{FF2B5EF4-FFF2-40B4-BE49-F238E27FC236}">
                        <a16:creationId xmlns:a16="http://schemas.microsoft.com/office/drawing/2014/main" id="{00000000-0008-0000-0300-00000F80DC00}"/>
                      </a:ext>
                    </a:extLst>
                  </xdr:cNvPr>
                  <xdr:cNvSpPr/>
                </xdr:nvSpPr>
                <xdr:spPr bwMode="auto">
                  <a:xfrm>
                    <a:off x="1238250" y="847744"/>
                    <a:ext cx="4521600" cy="219083"/>
                  </a:xfrm>
                  <a:prstGeom prst="rect">
                    <a:avLst/>
                  </a:prstGeom>
                  <a:noFill/>
                  <a:ln>
                    <a:noFill/>
                  </a:ln>
                  <a:extLst>
                    <a:ext uri="{91240B29-F687-4F45-9708-019B960494DF}">
                      <a14:hiddenLine w="9525">
                        <a:noFill/>
                        <a:miter lim="800000"/>
                        <a:headEnd/>
                        <a:tailEnd/>
                      </a14:hiddenLine>
                    </a:ext>
                  </a:extLst>
                </xdr:spPr>
              </xdr:sp>
            </mc:Choice>
            <mc:Fallback/>
          </mc:AlternateContent>
        </xdr:grpSp>
        <xdr:sp macro="[0]!UniversalChanger" textlink="uxb_works!H94">
          <xdr:nvSpPr>
            <xdr:cNvPr id="151" name="btn_1">
              <a:extLst>
                <a:ext uri="{FF2B5EF4-FFF2-40B4-BE49-F238E27FC236}">
                  <a16:creationId xmlns:a16="http://schemas.microsoft.com/office/drawing/2014/main" id="{00000000-0008-0000-0300-000097000000}"/>
                </a:ext>
              </a:extLst>
            </xdr:cNvPr>
            <xdr:cNvSpPr>
              <a:spLocks/>
            </xdr:cNvSpPr>
          </xdr:nvSpPr>
          <xdr:spPr>
            <a:xfrm>
              <a:off x="500064" y="666750"/>
              <a:ext cx="4371975" cy="180000"/>
            </a:xfrm>
            <a:prstGeom prst="rect">
              <a:avLst/>
            </a:prstGeom>
            <a:solidFill>
              <a:schemeClr val="bg1">
                <a:lumMod val="95000"/>
              </a:schemeClr>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A23FB796-3414-4DD6-9E99-4B2879C19228}" type="TxLink">
                <a:rPr lang="en-US" sz="800" b="0" i="0" u="none" strike="noStrike">
                  <a:solidFill>
                    <a:srgbClr val="000000"/>
                  </a:solidFill>
                  <a:latin typeface="Calibri"/>
                  <a:ea typeface="Karla" pitchFamily="2" charset="0"/>
                  <a:cs typeface="Calibri"/>
                </a:rPr>
                <a:pPr algn="ctr"/>
                <a:t>INDEX INDICATORS (click to reset)</a:t>
              </a:fld>
              <a:endParaRPr lang="en-GB" sz="800" b="1">
                <a:solidFill>
                  <a:srgbClr val="000000"/>
                </a:solidFill>
                <a:latin typeface="+mn-lt"/>
                <a:ea typeface="Karla" pitchFamily="2" charset="0"/>
              </a:endParaRPr>
            </a:p>
          </xdr:txBody>
        </xdr:sp>
        <xdr:sp macro="" textlink="">
          <xdr:nvSpPr>
            <xdr:cNvPr id="152" name="Rectangle 151">
              <a:extLst>
                <a:ext uri="{FF2B5EF4-FFF2-40B4-BE49-F238E27FC236}">
                  <a16:creationId xmlns:a16="http://schemas.microsoft.com/office/drawing/2014/main" id="{00000000-0008-0000-0300-000098000000}"/>
                </a:ext>
              </a:extLst>
            </xdr:cNvPr>
            <xdr:cNvSpPr/>
          </xdr:nvSpPr>
          <xdr:spPr>
            <a:xfrm>
              <a:off x="4586295" y="850107"/>
              <a:ext cx="285744" cy="214310"/>
            </a:xfrm>
            <a:prstGeom prst="rect">
              <a:avLst/>
            </a:prstGeom>
            <a:noFill/>
            <a:ln w="63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chemeClr val="accent1">
                    <a:lumMod val="60000"/>
                    <a:lumOff val="40000"/>
                  </a:schemeClr>
                </a:solidFill>
                <a:latin typeface="Calibri"/>
                <a:cs typeface="Calibri"/>
              </a:endParaRPr>
            </a:p>
          </xdr:txBody>
        </xdr:sp>
      </xdr:grpSp>
      <xdr:grpSp>
        <xdr:nvGrpSpPr>
          <xdr:cNvPr id="136" name="Group 135">
            <a:extLst>
              <a:ext uri="{FF2B5EF4-FFF2-40B4-BE49-F238E27FC236}">
                <a16:creationId xmlns:a16="http://schemas.microsoft.com/office/drawing/2014/main" id="{00000000-0008-0000-0300-000088000000}"/>
              </a:ext>
            </a:extLst>
          </xdr:cNvPr>
          <xdr:cNvGrpSpPr/>
        </xdr:nvGrpSpPr>
        <xdr:grpSpPr>
          <a:xfrm>
            <a:off x="5003755" y="639940"/>
            <a:ext cx="2091747" cy="394735"/>
            <a:chOff x="8372739" y="657225"/>
            <a:chExt cx="2110385" cy="400010"/>
          </a:xfrm>
        </xdr:grpSpPr>
        <xdr:pic macro="[0]!UniversalChanger">
          <xdr:nvPicPr>
            <xdr:cNvPr id="137" name="C_HL_UP" descr="scroll_up_small.png">
              <a:extLst>
                <a:ext uri="{FF2B5EF4-FFF2-40B4-BE49-F238E27FC236}">
                  <a16:creationId xmlns:a16="http://schemas.microsoft.com/office/drawing/2014/main" id="{00000000-0008-0000-0300-000089000000}"/>
                </a:ext>
              </a:extLst>
            </xdr:cNvPr>
            <xdr:cNvPicPr preferRelativeResize="0">
              <a:picLocks/>
            </xdr:cNvPicPr>
          </xdr:nvPicPr>
          <xdr:blipFill>
            <a:blip xmlns:r="http://schemas.openxmlformats.org/officeDocument/2006/relationships" r:embed="rId1" cstate="print"/>
            <a:stretch>
              <a:fillRect/>
            </a:stretch>
          </xdr:blipFill>
          <xdr:spPr>
            <a:xfrm>
              <a:off x="10191597" y="844441"/>
              <a:ext cx="291527" cy="108000"/>
            </a:xfrm>
            <a:prstGeom prst="rect">
              <a:avLst/>
            </a:prstGeom>
          </xdr:spPr>
        </xdr:pic>
        <xdr:pic macro="[0]!UniversalChanger">
          <xdr:nvPicPr>
            <xdr:cNvPr id="138" name="C_HL_DOWN" descr="scroll_down_small.png">
              <a:extLst>
                <a:ext uri="{FF2B5EF4-FFF2-40B4-BE49-F238E27FC236}">
                  <a16:creationId xmlns:a16="http://schemas.microsoft.com/office/drawing/2014/main" id="{00000000-0008-0000-0300-00008A000000}"/>
                </a:ext>
              </a:extLst>
            </xdr:cNvPr>
            <xdr:cNvPicPr preferRelativeResize="0">
              <a:picLocks/>
            </xdr:cNvPicPr>
          </xdr:nvPicPr>
          <xdr:blipFill>
            <a:blip xmlns:r="http://schemas.openxmlformats.org/officeDocument/2006/relationships" r:embed="rId2" cstate="print"/>
            <a:stretch>
              <a:fillRect/>
            </a:stretch>
          </xdr:blipFill>
          <xdr:spPr>
            <a:xfrm>
              <a:off x="10191597" y="948669"/>
              <a:ext cx="291527" cy="108073"/>
            </a:xfrm>
            <a:prstGeom prst="rect">
              <a:avLst/>
            </a:prstGeom>
          </xdr:spPr>
        </xdr:pic>
        <xdr:grpSp>
          <xdr:nvGrpSpPr>
            <xdr:cNvPr id="139" name="Group 138">
              <a:extLst>
                <a:ext uri="{FF2B5EF4-FFF2-40B4-BE49-F238E27FC236}">
                  <a16:creationId xmlns:a16="http://schemas.microsoft.com/office/drawing/2014/main" id="{00000000-0008-0000-0300-00008B000000}"/>
                </a:ext>
              </a:extLst>
            </xdr:cNvPr>
            <xdr:cNvGrpSpPr/>
          </xdr:nvGrpSpPr>
          <xdr:grpSpPr>
            <a:xfrm>
              <a:off x="8372739" y="657225"/>
              <a:ext cx="2109872" cy="400010"/>
              <a:chOff x="8372739" y="657225"/>
              <a:chExt cx="2109872" cy="400010"/>
            </a:xfrm>
          </xdr:grpSpPr>
          <mc:AlternateContent xmlns:mc="http://schemas.openxmlformats.org/markup-compatibility/2006">
            <mc:Choice xmlns:a14="http://schemas.microsoft.com/office/drawing/2010/main" Requires="a14">
              <xdr:sp macro="" textlink="">
                <xdr:nvSpPr>
                  <xdr:cNvPr id="14450705" name="C_Highlight" hidden="1">
                    <a:extLst>
                      <a:ext uri="{63B3BB69-23CF-44E3-9099-C40C66FF867C}">
                        <a14:compatExt spid="_x0000_s14450705"/>
                      </a:ext>
                      <a:ext uri="{FF2B5EF4-FFF2-40B4-BE49-F238E27FC236}">
                        <a16:creationId xmlns:a16="http://schemas.microsoft.com/office/drawing/2014/main" id="{00000000-0008-0000-0300-00001180DC00}"/>
                      </a:ext>
                    </a:extLst>
                  </xdr:cNvPr>
                  <xdr:cNvSpPr/>
                </xdr:nvSpPr>
                <xdr:spPr bwMode="auto">
                  <a:xfrm>
                    <a:off x="8372739" y="838155"/>
                    <a:ext cx="1807248" cy="219080"/>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94">
            <xdr:nvSpPr>
              <xdr:cNvPr id="141" name="CNT_HL">
                <a:extLst>
                  <a:ext uri="{FF2B5EF4-FFF2-40B4-BE49-F238E27FC236}">
                    <a16:creationId xmlns:a16="http://schemas.microsoft.com/office/drawing/2014/main" id="{00000000-0008-0000-0300-00008D000000}"/>
                  </a:ext>
                </a:extLst>
              </xdr:cNvPr>
              <xdr:cNvSpPr>
                <a:spLocks/>
              </xdr:cNvSpPr>
            </xdr:nvSpPr>
            <xdr:spPr>
              <a:xfrm>
                <a:off x="8813798" y="657225"/>
                <a:ext cx="1668813" cy="180000"/>
              </a:xfrm>
              <a:prstGeom prst="rect">
                <a:avLst/>
              </a:prstGeom>
              <a:solidFill>
                <a:schemeClr val="bg1">
                  <a:lumMod val="95000"/>
                </a:schemeClr>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7B5D803E-C6B3-4CA6-AD56-2442E70FFF29}" type="TxLink">
                  <a:rPr lang="en-US" sz="800" b="0" i="0" u="none" strike="noStrike">
                    <a:solidFill>
                      <a:srgbClr val="143050"/>
                    </a:solidFill>
                    <a:latin typeface="Calibri"/>
                    <a:ea typeface="Karla" pitchFamily="2" charset="0"/>
                    <a:cs typeface="Calibri"/>
                  </a:rPr>
                  <a:pPr algn="ctr"/>
                  <a:t>CITY HIGHLIGHT</a:t>
                </a:fld>
                <a:endParaRPr lang="en-GB" sz="600" b="0">
                  <a:solidFill>
                    <a:srgbClr val="000000"/>
                  </a:solidFill>
                  <a:latin typeface="+mn-lt"/>
                  <a:ea typeface="Karla" pitchFamily="2" charset="0"/>
                </a:endParaRPr>
              </a:p>
            </xdr:txBody>
          </xdr:sp>
          <xdr:sp macro="" textlink="">
            <xdr:nvSpPr>
              <xdr:cNvPr id="142" name="Rectangle 141">
                <a:extLst>
                  <a:ext uri="{FF2B5EF4-FFF2-40B4-BE49-F238E27FC236}">
                    <a16:creationId xmlns:a16="http://schemas.microsoft.com/office/drawing/2014/main" id="{00000000-0008-0000-0300-00008E000000}"/>
                  </a:ext>
                </a:extLst>
              </xdr:cNvPr>
              <xdr:cNvSpPr/>
            </xdr:nvSpPr>
            <xdr:spPr>
              <a:xfrm>
                <a:off x="10177155" y="840582"/>
                <a:ext cx="304793" cy="213518"/>
              </a:xfrm>
              <a:prstGeom prst="rect">
                <a:avLst/>
              </a:prstGeom>
              <a:noFill/>
              <a:ln w="63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chemeClr val="accent1">
                      <a:lumMod val="60000"/>
                      <a:lumOff val="40000"/>
                    </a:schemeClr>
                  </a:solidFill>
                  <a:latin typeface="Calibri"/>
                  <a:cs typeface="Calibri"/>
                </a:endParaRPr>
              </a:p>
            </xdr:txBody>
          </xdr:sp>
          <xdr:sp macro="" textlink="">
            <xdr:nvSpPr>
              <xdr:cNvPr id="143" name="lbl_cnt_City_1">
                <a:extLst>
                  <a:ext uri="{FF2B5EF4-FFF2-40B4-BE49-F238E27FC236}">
                    <a16:creationId xmlns:a16="http://schemas.microsoft.com/office/drawing/2014/main" id="{00000000-0008-0000-0300-00008F000000}"/>
                  </a:ext>
                </a:extLst>
              </xdr:cNvPr>
              <xdr:cNvSpPr txBox="1"/>
            </xdr:nvSpPr>
            <xdr:spPr>
              <a:xfrm>
                <a:off x="8374200" y="657229"/>
                <a:ext cx="439200" cy="180000"/>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ctr"/>
                <a:r>
                  <a:rPr lang="en-GB" sz="1000" b="1">
                    <a:solidFill>
                      <a:sysClr val="windowText" lastClr="000000"/>
                    </a:solidFill>
                    <a:latin typeface="+mn-lt"/>
                    <a:ea typeface="Karla" pitchFamily="2" charset="0"/>
                  </a:rPr>
                  <a:t>SELECT </a:t>
                </a:r>
              </a:p>
            </xdr:txBody>
          </xdr:sp>
        </xdr:grpSp>
      </xdr:grpSp>
      <xdr:grpSp>
        <xdr:nvGrpSpPr>
          <xdr:cNvPr id="133" name="Group 132">
            <a:extLst>
              <a:ext uri="{FF2B5EF4-FFF2-40B4-BE49-F238E27FC236}">
                <a16:creationId xmlns:a16="http://schemas.microsoft.com/office/drawing/2014/main" id="{00000000-0008-0000-0300-000085000000}"/>
              </a:ext>
            </a:extLst>
          </xdr:cNvPr>
          <xdr:cNvGrpSpPr/>
        </xdr:nvGrpSpPr>
        <xdr:grpSpPr>
          <a:xfrm>
            <a:off x="7230715" y="636869"/>
            <a:ext cx="2112374" cy="397829"/>
            <a:chOff x="6175512" y="666750"/>
            <a:chExt cx="2102986" cy="406636"/>
          </a:xfrm>
        </xdr:grpSpPr>
        <xdr:pic macro="[0]!UniversalChanger">
          <xdr:nvPicPr>
            <xdr:cNvPr id="135" name="R_HL_UP" descr="scroll_up_small.png">
              <a:extLst>
                <a:ext uri="{FF2B5EF4-FFF2-40B4-BE49-F238E27FC236}">
                  <a16:creationId xmlns:a16="http://schemas.microsoft.com/office/drawing/2014/main" id="{00000000-0008-0000-0300-000087000000}"/>
                </a:ext>
              </a:extLst>
            </xdr:cNvPr>
            <xdr:cNvPicPr>
              <a:picLocks noChangeAspect="1"/>
            </xdr:cNvPicPr>
          </xdr:nvPicPr>
          <xdr:blipFill>
            <a:blip xmlns:r="http://schemas.openxmlformats.org/officeDocument/2006/relationships" r:embed="rId1" cstate="print"/>
            <a:stretch>
              <a:fillRect/>
            </a:stretch>
          </xdr:blipFill>
          <xdr:spPr>
            <a:xfrm>
              <a:off x="7983065" y="853966"/>
              <a:ext cx="295433" cy="119545"/>
            </a:xfrm>
            <a:prstGeom prst="rect">
              <a:avLst/>
            </a:prstGeom>
          </xdr:spPr>
        </xdr:pic>
        <xdr:pic macro="[0]!UniversalChanger">
          <xdr:nvPicPr>
            <xdr:cNvPr id="140" name="R_HL_DOWN" descr="scroll_down_small.png">
              <a:extLst>
                <a:ext uri="{FF2B5EF4-FFF2-40B4-BE49-F238E27FC236}">
                  <a16:creationId xmlns:a16="http://schemas.microsoft.com/office/drawing/2014/main" id="{00000000-0008-0000-0300-00008C000000}"/>
                </a:ext>
              </a:extLst>
            </xdr:cNvPr>
            <xdr:cNvPicPr>
              <a:picLocks noChangeAspect="1"/>
            </xdr:cNvPicPr>
          </xdr:nvPicPr>
          <xdr:blipFill>
            <a:blip xmlns:r="http://schemas.openxmlformats.org/officeDocument/2006/relationships" r:embed="rId2" cstate="print"/>
            <a:stretch>
              <a:fillRect/>
            </a:stretch>
          </xdr:blipFill>
          <xdr:spPr>
            <a:xfrm>
              <a:off x="7983065" y="971593"/>
              <a:ext cx="295433" cy="94674"/>
            </a:xfrm>
            <a:prstGeom prst="rect">
              <a:avLst/>
            </a:prstGeom>
          </xdr:spPr>
        </xdr:pic>
        <mc:AlternateContent xmlns:mc="http://schemas.openxmlformats.org/markup-compatibility/2006">
          <mc:Choice xmlns:a14="http://schemas.microsoft.com/office/drawing/2010/main" Requires="a14">
            <xdr:sp macro="" textlink="">
              <xdr:nvSpPr>
                <xdr:cNvPr id="14450713" name="R_HIGHLIGHT" hidden="1">
                  <a:extLst>
                    <a:ext uri="{63B3BB69-23CF-44E3-9099-C40C66FF867C}">
                      <a14:compatExt spid="_x0000_s14450713"/>
                    </a:ext>
                    <a:ext uri="{FF2B5EF4-FFF2-40B4-BE49-F238E27FC236}">
                      <a16:creationId xmlns:a16="http://schemas.microsoft.com/office/drawing/2014/main" id="{00000000-0008-0000-0300-00001980DC00}"/>
                    </a:ext>
                  </a:extLst>
                </xdr:cNvPr>
                <xdr:cNvSpPr/>
              </xdr:nvSpPr>
              <xdr:spPr bwMode="auto">
                <a:xfrm>
                  <a:off x="6175512" y="852933"/>
                  <a:ext cx="1801190" cy="220453"/>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95">
          <xdr:nvSpPr>
            <xdr:cNvPr id="144" name="GRP_HL">
              <a:extLst>
                <a:ext uri="{FF2B5EF4-FFF2-40B4-BE49-F238E27FC236}">
                  <a16:creationId xmlns:a16="http://schemas.microsoft.com/office/drawing/2014/main" id="{00000000-0008-0000-0300-000090000000}"/>
                </a:ext>
              </a:extLst>
            </xdr:cNvPr>
            <xdr:cNvSpPr>
              <a:spLocks/>
            </xdr:cNvSpPr>
          </xdr:nvSpPr>
          <xdr:spPr>
            <a:xfrm>
              <a:off x="6610349" y="666750"/>
              <a:ext cx="1666800" cy="180000"/>
            </a:xfrm>
            <a:prstGeom prst="rect">
              <a:avLst/>
            </a:prstGeom>
            <a:solidFill>
              <a:schemeClr val="bg1">
                <a:lumMod val="95000"/>
              </a:schemeClr>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408ECF44-92ED-4542-BEB2-A1DE1356DFA2}" type="TxLink">
                <a:rPr lang="en-US" sz="800" b="0" i="0" u="none" strike="noStrike">
                  <a:solidFill>
                    <a:sysClr val="windowText" lastClr="000000"/>
                  </a:solidFill>
                  <a:latin typeface="Calibri"/>
                  <a:ea typeface="Karla" pitchFamily="2" charset="0"/>
                  <a:cs typeface="Calibri"/>
                </a:rPr>
                <a:pPr algn="ctr"/>
                <a:t>GROUP HIGHLIGHT</a:t>
              </a:fld>
              <a:endParaRPr lang="en-GB" sz="400" b="0">
                <a:solidFill>
                  <a:sysClr val="windowText" lastClr="000000"/>
                </a:solidFill>
                <a:latin typeface="+mn-lt"/>
                <a:ea typeface="Karla" pitchFamily="2" charset="0"/>
              </a:endParaRPr>
            </a:p>
          </xdr:txBody>
        </xdr:sp>
        <xdr:sp macro="" textlink="">
          <xdr:nvSpPr>
            <xdr:cNvPr id="145" name="Rectangle 144">
              <a:extLst>
                <a:ext uri="{FF2B5EF4-FFF2-40B4-BE49-F238E27FC236}">
                  <a16:creationId xmlns:a16="http://schemas.microsoft.com/office/drawing/2014/main" id="{00000000-0008-0000-0300-000091000000}"/>
                </a:ext>
              </a:extLst>
            </xdr:cNvPr>
            <xdr:cNvSpPr/>
          </xdr:nvSpPr>
          <xdr:spPr>
            <a:xfrm>
              <a:off x="7973705" y="853282"/>
              <a:ext cx="304793" cy="214310"/>
            </a:xfrm>
            <a:prstGeom prst="rect">
              <a:avLst/>
            </a:prstGeom>
            <a:noFill/>
            <a:ln w="63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chemeClr val="accent1">
                    <a:lumMod val="60000"/>
                    <a:lumOff val="40000"/>
                  </a:schemeClr>
                </a:solidFill>
                <a:latin typeface="Calibri"/>
                <a:cs typeface="Calibri"/>
              </a:endParaRPr>
            </a:p>
          </xdr:txBody>
        </xdr:sp>
        <xdr:sp macro="" textlink="">
          <xdr:nvSpPr>
            <xdr:cNvPr id="146" name="lbl_cnt_City_1">
              <a:extLst>
                <a:ext uri="{FF2B5EF4-FFF2-40B4-BE49-F238E27FC236}">
                  <a16:creationId xmlns:a16="http://schemas.microsoft.com/office/drawing/2014/main" id="{00000000-0008-0000-0300-000092000000}"/>
                </a:ext>
              </a:extLst>
            </xdr:cNvPr>
            <xdr:cNvSpPr txBox="1"/>
          </xdr:nvSpPr>
          <xdr:spPr>
            <a:xfrm>
              <a:off x="6175513" y="666754"/>
              <a:ext cx="438152" cy="180000"/>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ctr"/>
              <a:r>
                <a:rPr lang="en-GB" sz="1000" b="1">
                  <a:solidFill>
                    <a:sysClr val="windowText" lastClr="000000"/>
                  </a:solidFill>
                  <a:latin typeface="+mn-lt"/>
                  <a:ea typeface="Karla" pitchFamily="2" charset="0"/>
                </a:rPr>
                <a:t>SELECT </a:t>
              </a: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3790950</xdr:colOff>
      <xdr:row>14</xdr:row>
      <xdr:rowOff>26723</xdr:rowOff>
    </xdr:from>
    <xdr:to>
      <xdr:col>14</xdr:col>
      <xdr:colOff>252412</xdr:colOff>
      <xdr:row>15</xdr:row>
      <xdr:rowOff>56573</xdr:rowOff>
    </xdr:to>
    <xdr:graphicFrame macro="">
      <xdr:nvGraphicFramePr>
        <xdr:cNvPr id="2" name="Chart_BOV" hidden="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3790950</xdr:colOff>
      <xdr:row>15</xdr:row>
      <xdr:rowOff>26723</xdr:rowOff>
    </xdr:from>
    <xdr:ext cx="4567237" cy="468000"/>
    <xdr:graphicFrame macro="">
      <xdr:nvGraphicFramePr>
        <xdr:cNvPr id="3" name="Chart_BOV" hidden="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2</xdr:col>
      <xdr:colOff>3790950</xdr:colOff>
      <xdr:row>15</xdr:row>
      <xdr:rowOff>409575</xdr:rowOff>
    </xdr:from>
    <xdr:ext cx="4567237" cy="496800"/>
    <xdr:graphicFrame macro="">
      <xdr:nvGraphicFramePr>
        <xdr:cNvPr id="4" name="Chart_B1.0" hidden="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twoCellAnchor editAs="oneCell">
    <xdr:from>
      <xdr:col>0</xdr:col>
      <xdr:colOff>104648</xdr:colOff>
      <xdr:row>25</xdr:row>
      <xdr:rowOff>133350</xdr:rowOff>
    </xdr:from>
    <xdr:to>
      <xdr:col>2</xdr:col>
      <xdr:colOff>745871</xdr:colOff>
      <xdr:row>26</xdr:row>
      <xdr:rowOff>57150</xdr:rowOff>
    </xdr:to>
    <xdr:sp macro="[0]!UniversalChanger" textlink="">
      <xdr:nvSpPr>
        <xdr:cNvPr id="5" name="go_top_B">
          <a:extLst>
            <a:ext uri="{FF2B5EF4-FFF2-40B4-BE49-F238E27FC236}">
              <a16:creationId xmlns:a16="http://schemas.microsoft.com/office/drawing/2014/main" id="{00000000-0008-0000-0400-000005000000}"/>
            </a:ext>
          </a:extLst>
        </xdr:cNvPr>
        <xdr:cNvSpPr txBox="1"/>
      </xdr:nvSpPr>
      <xdr:spPr>
        <a:xfrm>
          <a:off x="104648" y="6305550"/>
          <a:ext cx="822198"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l" rtl="0">
            <a:defRPr sz="1000"/>
          </a:pPr>
          <a:r>
            <a:rPr lang="en-GB" sz="1100" b="1" i="0" u="sng" strike="noStrike" baseline="0">
              <a:solidFill>
                <a:srgbClr val="0070C0"/>
              </a:solidFill>
              <a:latin typeface="Karla" pitchFamily="2" charset="0"/>
              <a:ea typeface="Karla" pitchFamily="2" charset="0"/>
            </a:rPr>
            <a:t>Back to top</a:t>
          </a:r>
        </a:p>
      </xdr:txBody>
    </xdr:sp>
    <xdr:clientData/>
  </xdr:twoCellAnchor>
  <xdr:twoCellAnchor editAs="oneCell">
    <xdr:from>
      <xdr:col>0</xdr:col>
      <xdr:colOff>104774</xdr:colOff>
      <xdr:row>9</xdr:row>
      <xdr:rowOff>85719</xdr:rowOff>
    </xdr:from>
    <xdr:to>
      <xdr:col>23</xdr:col>
      <xdr:colOff>0</xdr:colOff>
      <xdr:row>25</xdr:row>
      <xdr:rowOff>104774</xdr:rowOff>
    </xdr:to>
    <xdr:sp macro="" textlink="">
      <xdr:nvSpPr>
        <xdr:cNvPr id="6" name="LeftBox1">
          <a:extLst>
            <a:ext uri="{FF2B5EF4-FFF2-40B4-BE49-F238E27FC236}">
              <a16:creationId xmlns:a16="http://schemas.microsoft.com/office/drawing/2014/main" id="{00000000-0008-0000-0400-000006000000}"/>
            </a:ext>
          </a:extLst>
        </xdr:cNvPr>
        <xdr:cNvSpPr>
          <a:spLocks/>
        </xdr:cNvSpPr>
      </xdr:nvSpPr>
      <xdr:spPr>
        <a:xfrm>
          <a:off x="104774" y="1171569"/>
          <a:ext cx="11639551" cy="5105405"/>
        </a:xfrm>
        <a:prstGeom prst="rect">
          <a:avLst/>
        </a:prstGeom>
        <a:no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400" b="1" i="0" u="none" strike="noStrike">
            <a:solidFill>
              <a:schemeClr val="accent1">
                <a:lumMod val="60000"/>
                <a:lumOff val="40000"/>
              </a:schemeClr>
            </a:solidFill>
            <a:latin typeface="Calibri"/>
            <a:cs typeface="Calibri"/>
          </a:endParaRPr>
        </a:p>
      </xdr:txBody>
    </xdr:sp>
    <xdr:clientData/>
  </xdr:twoCellAnchor>
  <xdr:twoCellAnchor editAs="oneCell">
    <xdr:from>
      <xdr:col>8</xdr:col>
      <xdr:colOff>219075</xdr:colOff>
      <xdr:row>9</xdr:row>
      <xdr:rowOff>133350</xdr:rowOff>
    </xdr:from>
    <xdr:to>
      <xdr:col>22</xdr:col>
      <xdr:colOff>85725</xdr:colOff>
      <xdr:row>24</xdr:row>
      <xdr:rowOff>380999</xdr:rowOff>
    </xdr:to>
    <xdr:grpSp>
      <xdr:nvGrpSpPr>
        <xdr:cNvPr id="8" name="Group 7">
          <a:extLst>
            <a:ext uri="{FF2B5EF4-FFF2-40B4-BE49-F238E27FC236}">
              <a16:creationId xmlns:a16="http://schemas.microsoft.com/office/drawing/2014/main" id="{00000000-0008-0000-0400-000008000000}"/>
            </a:ext>
          </a:extLst>
        </xdr:cNvPr>
        <xdr:cNvGrpSpPr/>
      </xdr:nvGrpSpPr>
      <xdr:grpSpPr>
        <a:xfrm>
          <a:off x="6048375" y="1219200"/>
          <a:ext cx="5600700" cy="4952999"/>
          <a:chOff x="7191375" y="1600199"/>
          <a:chExt cx="5600700" cy="4943475"/>
        </a:xfrm>
      </xdr:grpSpPr>
      <xdr:sp macro="" textlink="">
        <xdr:nvSpPr>
          <xdr:cNvPr id="7" name="Rectangle 6">
            <a:extLst>
              <a:ext uri="{FF2B5EF4-FFF2-40B4-BE49-F238E27FC236}">
                <a16:creationId xmlns:a16="http://schemas.microsoft.com/office/drawing/2014/main" id="{00000000-0008-0000-0400-000007000000}"/>
              </a:ext>
            </a:extLst>
          </xdr:cNvPr>
          <xdr:cNvSpPr/>
        </xdr:nvSpPr>
        <xdr:spPr>
          <a:xfrm>
            <a:off x="7191375" y="1600199"/>
            <a:ext cx="5600700" cy="4943475"/>
          </a:xfrm>
          <a:prstGeom prst="rect">
            <a:avLst/>
          </a:prstGeom>
          <a:solidFill>
            <a:schemeClr val="bg1">
              <a:lumMod val="95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chemeClr val="accent1">
                  <a:lumMod val="60000"/>
                  <a:lumOff val="40000"/>
                </a:schemeClr>
              </a:solidFill>
              <a:latin typeface="Calibri"/>
              <a:cs typeface="Calibri"/>
            </a:endParaRPr>
          </a:p>
        </xdr:txBody>
      </xdr:sp>
      <xdr:graphicFrame macro="">
        <xdr:nvGraphicFramePr>
          <xdr:cNvPr id="34" name="CPChart">
            <a:extLst>
              <a:ext uri="{FF2B5EF4-FFF2-40B4-BE49-F238E27FC236}">
                <a16:creationId xmlns:a16="http://schemas.microsoft.com/office/drawing/2014/main" id="{00000000-0008-0000-0400-000022000000}"/>
              </a:ext>
            </a:extLst>
          </xdr:cNvPr>
          <xdr:cNvGraphicFramePr>
            <a:graphicFrameLocks/>
          </xdr:cNvGraphicFramePr>
        </xdr:nvGraphicFramePr>
        <xdr:xfrm>
          <a:off x="7286625" y="1709736"/>
          <a:ext cx="5410200" cy="472440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xdr:col>
      <xdr:colOff>0</xdr:colOff>
      <xdr:row>12</xdr:row>
      <xdr:rowOff>19050</xdr:rowOff>
    </xdr:from>
    <xdr:to>
      <xdr:col>2</xdr:col>
      <xdr:colOff>2206816</xdr:colOff>
      <xdr:row>12</xdr:row>
      <xdr:rowOff>228600</xdr:rowOff>
    </xdr:to>
    <xdr:sp macro="" textlink="">
      <xdr:nvSpPr>
        <xdr:cNvPr id="57" name="Del_Message">
          <a:extLst>
            <a:ext uri="{FF2B5EF4-FFF2-40B4-BE49-F238E27FC236}">
              <a16:creationId xmlns:a16="http://schemas.microsoft.com/office/drawing/2014/main" id="{00000000-0008-0000-0400-000039000000}"/>
            </a:ext>
          </a:extLst>
        </xdr:cNvPr>
        <xdr:cNvSpPr txBox="1">
          <a:spLocks noChangeArrowheads="1"/>
        </xdr:cNvSpPr>
      </xdr:nvSpPr>
      <xdr:spPr bwMode="auto">
        <a:xfrm>
          <a:off x="180975" y="1628775"/>
          <a:ext cx="2206816" cy="209550"/>
        </a:xfrm>
        <a:prstGeom prst="rect">
          <a:avLst/>
        </a:prstGeom>
        <a:noFill/>
        <a:ln w="9525">
          <a:noFill/>
          <a:miter lim="800000"/>
          <a:headEnd/>
          <a:tailEnd/>
        </a:ln>
      </xdr:spPr>
      <xdr:txBody>
        <a:bodyPr vertOverflow="clip" wrap="square" lIns="72000" tIns="72000" rIns="72000" bIns="72000" anchor="ctr" upright="1"/>
        <a:lstStyle/>
        <a:p>
          <a:pPr marL="0" algn="l"/>
          <a:r>
            <a:rPr lang="en-US" sz="900" b="0" i="1" u="none" strike="noStrike">
              <a:solidFill>
                <a:sysClr val="windowText" lastClr="000000"/>
              </a:solidFill>
              <a:effectLst/>
              <a:latin typeface="+mn-lt"/>
              <a:ea typeface="+mn-ea"/>
              <a:cs typeface="Calibri"/>
            </a:rPr>
            <a:t>Click indicator below to view more detail</a:t>
          </a:r>
        </a:p>
      </xdr:txBody>
    </xdr:sp>
    <xdr:clientData/>
  </xdr:twoCellAnchor>
  <xdr:twoCellAnchor editAs="oneCell">
    <xdr:from>
      <xdr:col>0</xdr:col>
      <xdr:colOff>142875</xdr:colOff>
      <xdr:row>21</xdr:row>
      <xdr:rowOff>371475</xdr:rowOff>
    </xdr:from>
    <xdr:to>
      <xdr:col>2</xdr:col>
      <xdr:colOff>2740819</xdr:colOff>
      <xdr:row>22</xdr:row>
      <xdr:rowOff>198587</xdr:rowOff>
    </xdr:to>
    <xdr:sp macro="" textlink="uxb_works!C87">
      <xdr:nvSpPr>
        <xdr:cNvPr id="58" name="CountryNotes">
          <a:extLst>
            <a:ext uri="{FF2B5EF4-FFF2-40B4-BE49-F238E27FC236}">
              <a16:creationId xmlns:a16="http://schemas.microsoft.com/office/drawing/2014/main" id="{00000000-0008-0000-0400-00003A000000}"/>
            </a:ext>
          </a:extLst>
        </xdr:cNvPr>
        <xdr:cNvSpPr txBox="1">
          <a:spLocks noChangeArrowheads="1"/>
        </xdr:cNvSpPr>
      </xdr:nvSpPr>
      <xdr:spPr bwMode="auto">
        <a:xfrm flipV="1">
          <a:off x="142875" y="5019675"/>
          <a:ext cx="2778919" cy="208112"/>
        </a:xfrm>
        <a:prstGeom prst="rect">
          <a:avLst/>
        </a:prstGeom>
        <a:noFill/>
        <a:ln w="9525">
          <a:noFill/>
          <a:miter lim="800000"/>
          <a:headEnd/>
          <a:tailEnd/>
        </a:ln>
      </xdr:spPr>
      <xdr:txBody>
        <a:bodyPr vertOverflow="clip" wrap="square" lIns="72000" tIns="72000" rIns="72000" bIns="72000" anchor="ctr" upright="1">
          <a:noAutofit/>
        </a:bodyPr>
        <a:lstStyle/>
        <a:p>
          <a:pPr marL="0" algn="l"/>
          <a:fld id="{5E5A380A-F76B-4791-A1A1-B1EA0B065E66}" type="TxLink">
            <a:rPr lang="en-US" sz="800" b="0" i="0" u="none" strike="noStrike">
              <a:solidFill>
                <a:srgbClr val="3B6E8F"/>
              </a:solidFill>
              <a:effectLst/>
              <a:latin typeface="Calibri"/>
              <a:ea typeface="+mn-ea"/>
              <a:cs typeface="Calibri"/>
            </a:rPr>
            <a:pPr marL="0" algn="l"/>
            <a:t>Scored 0-100, where 100 = most optimized</a:t>
          </a:fld>
          <a:endParaRPr lang="en-US" sz="1000" b="1" i="1" u="none" strike="noStrike">
            <a:solidFill>
              <a:sysClr val="windowText" lastClr="000000"/>
            </a:solidFill>
            <a:effectLst/>
            <a:latin typeface="+mn-lt"/>
            <a:ea typeface="+mn-ea"/>
            <a:cs typeface="Calibri"/>
          </a:endParaRPr>
        </a:p>
      </xdr:txBody>
    </xdr:sp>
    <xdr:clientData/>
  </xdr:twoCellAnchor>
  <xdr:twoCellAnchor>
    <xdr:from>
      <xdr:col>0</xdr:col>
      <xdr:colOff>0</xdr:colOff>
      <xdr:row>0</xdr:row>
      <xdr:rowOff>0</xdr:rowOff>
    </xdr:from>
    <xdr:to>
      <xdr:col>21</xdr:col>
      <xdr:colOff>101600</xdr:colOff>
      <xdr:row>2</xdr:row>
      <xdr:rowOff>0</xdr:rowOff>
    </xdr:to>
    <xdr:grpSp>
      <xdr:nvGrpSpPr>
        <xdr:cNvPr id="23" name="MENU">
          <a:extLst>
            <a:ext uri="{FF2B5EF4-FFF2-40B4-BE49-F238E27FC236}">
              <a16:creationId xmlns:a16="http://schemas.microsoft.com/office/drawing/2014/main" id="{00000000-0008-0000-0400-000017000000}"/>
            </a:ext>
          </a:extLst>
        </xdr:cNvPr>
        <xdr:cNvGrpSpPr/>
      </xdr:nvGrpSpPr>
      <xdr:grpSpPr>
        <a:xfrm>
          <a:off x="0" y="0"/>
          <a:ext cx="11836400" cy="1085850"/>
          <a:chOff x="0" y="0"/>
          <a:chExt cx="11836400" cy="1085850"/>
        </a:xfrm>
      </xdr:grpSpPr>
      <xdr:grpSp>
        <xdr:nvGrpSpPr>
          <xdr:cNvPr id="68" name="Group 67">
            <a:extLst>
              <a:ext uri="{FF2B5EF4-FFF2-40B4-BE49-F238E27FC236}">
                <a16:creationId xmlns:a16="http://schemas.microsoft.com/office/drawing/2014/main" id="{00000000-0008-0000-0400-000044000000}"/>
              </a:ext>
            </a:extLst>
          </xdr:cNvPr>
          <xdr:cNvGrpSpPr/>
        </xdr:nvGrpSpPr>
        <xdr:grpSpPr>
          <a:xfrm>
            <a:off x="0" y="0"/>
            <a:ext cx="11836400" cy="1085850"/>
            <a:chOff x="0" y="0"/>
            <a:chExt cx="11836400" cy="1085850"/>
          </a:xfrm>
        </xdr:grpSpPr>
        <xdr:sp macro="" textlink="">
          <xdr:nvSpPr>
            <xdr:cNvPr id="74" name="nav_controls">
              <a:extLst>
                <a:ext uri="{FF2B5EF4-FFF2-40B4-BE49-F238E27FC236}">
                  <a16:creationId xmlns:a16="http://schemas.microsoft.com/office/drawing/2014/main" id="{00000000-0008-0000-0400-00004A000000}"/>
                </a:ext>
              </a:extLst>
            </xdr:cNvPr>
            <xdr:cNvSpPr>
              <a:spLocks/>
            </xdr:cNvSpPr>
          </xdr:nvSpPr>
          <xdr:spPr>
            <a:xfrm>
              <a:off x="4263" y="219075"/>
              <a:ext cx="11832137" cy="866775"/>
            </a:xfrm>
            <a:prstGeom prst="rect">
              <a:avLst/>
            </a:prstGeom>
            <a:solidFill>
              <a:schemeClr val="bg2">
                <a:alpha val="49804"/>
              </a:schemeClr>
            </a:solidFill>
            <a:ln w="6350">
              <a:solidFill>
                <a:schemeClr val="bg2">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solidFill>
                  <a:srgbClr val="808080"/>
                </a:solidFill>
                <a:latin typeface="+mn-lt"/>
                <a:ea typeface="Karla" pitchFamily="2" charset="0"/>
              </a:endParaRPr>
            </a:p>
          </xdr:txBody>
        </xdr:sp>
        <xdr:sp macro="" textlink="">
          <xdr:nvSpPr>
            <xdr:cNvPr id="75" name="Home1">
              <a:extLst>
                <a:ext uri="{FF2B5EF4-FFF2-40B4-BE49-F238E27FC236}">
                  <a16:creationId xmlns:a16="http://schemas.microsoft.com/office/drawing/2014/main" id="{00000000-0008-0000-0400-00004B000000}"/>
                </a:ext>
              </a:extLst>
            </xdr:cNvPr>
            <xdr:cNvSpPr>
              <a:spLocks/>
            </xdr:cNvSpPr>
          </xdr:nvSpPr>
          <xdr:spPr>
            <a:xfrm>
              <a:off x="0" y="0"/>
              <a:ext cx="937384" cy="290513"/>
            </a:xfrm>
            <a:prstGeom prst="rect">
              <a:avLst/>
            </a:prstGeom>
            <a:solidFill>
              <a:schemeClr val="bg1"/>
            </a:solidFill>
            <a:ln w="952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a:solidFill>
                  <a:srgbClr val="808080"/>
                </a:solidFill>
                <a:latin typeface="+mn-lt"/>
                <a:ea typeface="Karla" pitchFamily="2" charset="0"/>
                <a:cs typeface="DilleniaUPC" pitchFamily="18" charset="-34"/>
              </a:endParaRPr>
            </a:p>
          </xdr:txBody>
        </xdr:sp>
        <xdr:sp macro="" textlink="">
          <xdr:nvSpPr>
            <xdr:cNvPr id="76" name="Oval 75">
              <a:extLst>
                <a:ext uri="{FF2B5EF4-FFF2-40B4-BE49-F238E27FC236}">
                  <a16:creationId xmlns:a16="http://schemas.microsoft.com/office/drawing/2014/main" id="{00000000-0008-0000-0400-00004C000000}"/>
                </a:ext>
              </a:extLst>
            </xdr:cNvPr>
            <xdr:cNvSpPr>
              <a:spLocks/>
            </xdr:cNvSpPr>
          </xdr:nvSpPr>
          <xdr:spPr>
            <a:xfrm>
              <a:off x="347060" y="29969"/>
              <a:ext cx="236673" cy="230074"/>
            </a:xfrm>
            <a:prstGeom prst="ellipse">
              <a:avLst/>
            </a:prstGeom>
            <a:solidFill>
              <a:schemeClr val="accent5">
                <a:lumMod val="50000"/>
              </a:schemeClr>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rgbClr val="808080"/>
                </a:solidFill>
                <a:latin typeface="Calibri"/>
                <a:cs typeface="Calibri"/>
              </a:endParaRPr>
            </a:p>
          </xdr:txBody>
        </xdr:sp>
        <xdr:pic macro="[0]!LBChanger">
          <xdr:nvPicPr>
            <xdr:cNvPr id="77" name="Home" descr="Home.png">
              <a:extLst>
                <a:ext uri="{FF2B5EF4-FFF2-40B4-BE49-F238E27FC236}">
                  <a16:creationId xmlns:a16="http://schemas.microsoft.com/office/drawing/2014/main" id="{00000000-0008-0000-0400-00004D000000}"/>
                </a:ext>
              </a:extLst>
            </xdr:cNvPr>
            <xdr:cNvPicPr>
              <a:picLocks/>
            </xdr:cNvPicPr>
          </xdr:nvPicPr>
          <xdr:blipFill>
            <a:blip xmlns:r="http://schemas.openxmlformats.org/officeDocument/2006/relationships" r:embed="rId5" cstate="print"/>
            <a:stretch>
              <a:fillRect/>
            </a:stretch>
          </xdr:blipFill>
          <xdr:spPr>
            <a:xfrm>
              <a:off x="53200" y="20741"/>
              <a:ext cx="254878" cy="247773"/>
            </a:xfrm>
            <a:prstGeom prst="rect">
              <a:avLst/>
            </a:prstGeom>
            <a:noFill/>
            <a:ln>
              <a:noFill/>
            </a:ln>
          </xdr:spPr>
        </xdr:pic>
        <xdr:pic macro="[0]!UniversalChanger">
          <xdr:nvPicPr>
            <xdr:cNvPr id="78" name="NavBack" descr="Silver-Back-Button.png">
              <a:extLst>
                <a:ext uri="{FF2B5EF4-FFF2-40B4-BE49-F238E27FC236}">
                  <a16:creationId xmlns:a16="http://schemas.microsoft.com/office/drawing/2014/main" id="{00000000-0008-0000-0400-00004E000000}"/>
                </a:ext>
              </a:extLst>
            </xdr:cNvPr>
            <xdr:cNvPicPr>
              <a:picLocks/>
            </xdr:cNvPicPr>
          </xdr:nvPicPr>
          <xdr:blipFill>
            <a:blip xmlns:r="http://schemas.openxmlformats.org/officeDocument/2006/relationships" r:embed="rId6" cstate="print"/>
            <a:stretch>
              <a:fillRect/>
            </a:stretch>
          </xdr:blipFill>
          <xdr:spPr>
            <a:xfrm>
              <a:off x="621903" y="20741"/>
              <a:ext cx="254878" cy="247773"/>
            </a:xfrm>
            <a:prstGeom prst="rect">
              <a:avLst/>
            </a:prstGeom>
            <a:noFill/>
            <a:ln>
              <a:noFill/>
            </a:ln>
          </xdr:spPr>
        </xdr:pic>
        <xdr:sp macro="" textlink="uxb_works!B92">
          <xdr:nvSpPr>
            <xdr:cNvPr id="79" name="Home1">
              <a:extLst>
                <a:ext uri="{FF2B5EF4-FFF2-40B4-BE49-F238E27FC236}">
                  <a16:creationId xmlns:a16="http://schemas.microsoft.com/office/drawing/2014/main" id="{00000000-0008-0000-0400-00004F000000}"/>
                </a:ext>
              </a:extLst>
            </xdr:cNvPr>
            <xdr:cNvSpPr>
              <a:spLocks/>
            </xdr:cNvSpPr>
          </xdr:nvSpPr>
          <xdr:spPr>
            <a:xfrm>
              <a:off x="936568" y="0"/>
              <a:ext cx="10895773" cy="288000"/>
            </a:xfrm>
            <a:prstGeom prst="rect">
              <a:avLst/>
            </a:prstGeom>
            <a:solidFill>
              <a:srgbClr val="FFFFFF"/>
            </a:solidFill>
            <a:ln w="317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DF606BA0-6E14-4859-A5ED-3649E8B86AAC}" type="TxLink">
                <a:rPr lang="en-US" sz="1600" b="1" i="0" u="none" strike="noStrike">
                  <a:solidFill>
                    <a:schemeClr val="accent5">
                      <a:lumMod val="50000"/>
                    </a:schemeClr>
                  </a:solidFill>
                  <a:latin typeface="Calibri"/>
                  <a:ea typeface="Karla" pitchFamily="2" charset="0"/>
                  <a:cs typeface="Calibri"/>
                </a:rPr>
                <a:pPr algn="l"/>
                <a:t>Digital Cities Index</a:t>
              </a:fld>
              <a:endParaRPr lang="en-GB" sz="1200" b="1">
                <a:solidFill>
                  <a:schemeClr val="accent5">
                    <a:lumMod val="50000"/>
                  </a:schemeClr>
                </a:solidFill>
                <a:latin typeface="+mn-lt"/>
                <a:ea typeface="Karla" pitchFamily="2" charset="0"/>
                <a:cs typeface="DilleniaUPC" pitchFamily="18" charset="-34"/>
              </a:endParaRPr>
            </a:p>
          </xdr:txBody>
        </xdr:sp>
        <xdr:pic macro="[0]!LBChanger">
          <xdr:nvPicPr>
            <xdr:cNvPr id="80" name="Contents" descr="ii_jgc3wl5q0_162f2138d6ded0cc">
              <a:extLst>
                <a:ext uri="{FF2B5EF4-FFF2-40B4-BE49-F238E27FC236}">
                  <a16:creationId xmlns:a16="http://schemas.microsoft.com/office/drawing/2014/main" id="{00000000-0008-0000-0400-000050000000}"/>
                </a:ext>
              </a:extLst>
            </xdr:cNvPr>
            <xdr:cNvPicPr>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37618" y="20741"/>
              <a:ext cx="260608" cy="248400"/>
            </a:xfrm>
            <a:prstGeom prst="rect">
              <a:avLst/>
            </a:prstGeom>
            <a:solidFill>
              <a:sysClr val="window" lastClr="FFFFFF"/>
            </a:solidFill>
            <a:ln>
              <a:noFill/>
            </a:ln>
          </xdr:spPr>
        </xdr:pic>
        <xdr:sp macro="" textlink="">
          <xdr:nvSpPr>
            <xdr:cNvPr id="81" name="nav_controls">
              <a:extLst>
                <a:ext uri="{FF2B5EF4-FFF2-40B4-BE49-F238E27FC236}">
                  <a16:creationId xmlns:a16="http://schemas.microsoft.com/office/drawing/2014/main" id="{00000000-0008-0000-0400-000051000000}"/>
                </a:ext>
              </a:extLst>
            </xdr:cNvPr>
            <xdr:cNvSpPr>
              <a:spLocks/>
            </xdr:cNvSpPr>
          </xdr:nvSpPr>
          <xdr:spPr>
            <a:xfrm>
              <a:off x="7091375" y="461958"/>
              <a:ext cx="2647950" cy="54000"/>
            </a:xfrm>
            <a:prstGeom prst="rect">
              <a:avLst/>
            </a:prstGeom>
            <a:solidFill>
              <a:srgbClr val="9EB3BE"/>
            </a:solidFill>
            <a:ln w="6350">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000" b="1" i="0" u="none" strike="noStrike">
                <a:solidFill>
                  <a:sysClr val="windowText" lastClr="000000"/>
                </a:solidFill>
                <a:latin typeface="Calibri"/>
                <a:cs typeface="Calibri"/>
              </a:endParaRPr>
            </a:p>
          </xdr:txBody>
        </xdr:sp>
        <xdr:sp macro="" textlink="">
          <xdr:nvSpPr>
            <xdr:cNvPr id="82" name="nav_controls">
              <a:extLst>
                <a:ext uri="{FF2B5EF4-FFF2-40B4-BE49-F238E27FC236}">
                  <a16:creationId xmlns:a16="http://schemas.microsoft.com/office/drawing/2014/main" id="{00000000-0008-0000-0400-000052000000}"/>
                </a:ext>
              </a:extLst>
            </xdr:cNvPr>
            <xdr:cNvSpPr>
              <a:spLocks/>
            </xdr:cNvSpPr>
          </xdr:nvSpPr>
          <xdr:spPr>
            <a:xfrm>
              <a:off x="9215438" y="461958"/>
              <a:ext cx="2614081" cy="54000"/>
            </a:xfrm>
            <a:prstGeom prst="rect">
              <a:avLst/>
            </a:prstGeom>
            <a:solidFill>
              <a:srgbClr val="B5D5E5"/>
            </a:solidFill>
            <a:ln w="6350">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000" b="1" i="0" u="none" strike="noStrike">
                <a:solidFill>
                  <a:sysClr val="windowText" lastClr="000000"/>
                </a:solidFill>
                <a:latin typeface="Calibri"/>
                <a:cs typeface="Calibri"/>
              </a:endParaRPr>
            </a:p>
          </xdr:txBody>
        </xdr:sp>
        <xdr:sp macro="" textlink="">
          <xdr:nvSpPr>
            <xdr:cNvPr id="83" name="nav_controls">
              <a:extLst>
                <a:ext uri="{FF2B5EF4-FFF2-40B4-BE49-F238E27FC236}">
                  <a16:creationId xmlns:a16="http://schemas.microsoft.com/office/drawing/2014/main" id="{00000000-0008-0000-0400-000053000000}"/>
                </a:ext>
              </a:extLst>
            </xdr:cNvPr>
            <xdr:cNvSpPr>
              <a:spLocks/>
            </xdr:cNvSpPr>
          </xdr:nvSpPr>
          <xdr:spPr>
            <a:xfrm>
              <a:off x="0" y="466725"/>
              <a:ext cx="7081838" cy="52408"/>
            </a:xfrm>
            <a:prstGeom prst="rect">
              <a:avLst/>
            </a:prstGeom>
            <a:solidFill>
              <a:srgbClr val="2B5464"/>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b="1" i="0" u="none" strike="noStrike">
                <a:solidFill>
                  <a:schemeClr val="bg1"/>
                </a:solidFill>
                <a:latin typeface="Calibri"/>
                <a:cs typeface="Calibri"/>
              </a:endParaRPr>
            </a:p>
          </xdr:txBody>
        </xdr:sp>
        <xdr:grpSp>
          <xdr:nvGrpSpPr>
            <xdr:cNvPr id="84" name="Group 83">
              <a:extLst>
                <a:ext uri="{FF2B5EF4-FFF2-40B4-BE49-F238E27FC236}">
                  <a16:creationId xmlns:a16="http://schemas.microsoft.com/office/drawing/2014/main" id="{00000000-0008-0000-0400-000054000000}"/>
                </a:ext>
              </a:extLst>
            </xdr:cNvPr>
            <xdr:cNvGrpSpPr/>
          </xdr:nvGrpSpPr>
          <xdr:grpSpPr>
            <a:xfrm>
              <a:off x="0" y="285750"/>
              <a:ext cx="11814575" cy="180261"/>
              <a:chOff x="0" y="285489"/>
              <a:chExt cx="13173477" cy="180261"/>
            </a:xfrm>
          </xdr:grpSpPr>
          <xdr:sp macro="[0]!LBChanger" textlink="uxb_works!B100">
            <xdr:nvSpPr>
              <xdr:cNvPr id="85" name="Correlations">
                <a:extLst>
                  <a:ext uri="{FF2B5EF4-FFF2-40B4-BE49-F238E27FC236}">
                    <a16:creationId xmlns:a16="http://schemas.microsoft.com/office/drawing/2014/main" id="{00000000-0008-0000-0400-000055000000}"/>
                  </a:ext>
                </a:extLst>
              </xdr:cNvPr>
              <xdr:cNvSpPr>
                <a:spLocks/>
              </xdr:cNvSpPr>
            </xdr:nvSpPr>
            <xdr:spPr>
              <a:xfrm>
                <a:off x="9225833"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0D08B5CF-F601-4334-9688-6B186F573CBA}" type="TxLink">
                  <a:rPr lang="en-US" sz="900" b="1" i="0" u="none" strike="noStrike">
                    <a:solidFill>
                      <a:schemeClr val="accent5">
                        <a:lumMod val="50000"/>
                      </a:schemeClr>
                    </a:solidFill>
                    <a:latin typeface="Calibri"/>
                    <a:ea typeface="Karla" pitchFamily="2" charset="0"/>
                    <a:cs typeface="Calibri"/>
                  </a:rPr>
                  <a:pPr algn="ctr"/>
                  <a:t>CORRELATIONS</a:t>
                </a:fld>
                <a:endParaRPr lang="en-GB" sz="900" b="1">
                  <a:solidFill>
                    <a:schemeClr val="accent5">
                      <a:lumMod val="50000"/>
                    </a:schemeClr>
                  </a:solidFill>
                  <a:latin typeface="+mn-lt"/>
                  <a:ea typeface="Karla" pitchFamily="2" charset="0"/>
                </a:endParaRPr>
              </a:p>
            </xdr:txBody>
          </xdr:sp>
          <xdr:sp macro="[0]!LBChanger" textlink="uxb_works!B99">
            <xdr:nvSpPr>
              <xdr:cNvPr id="86" name="Scatter">
                <a:extLst>
                  <a:ext uri="{FF2B5EF4-FFF2-40B4-BE49-F238E27FC236}">
                    <a16:creationId xmlns:a16="http://schemas.microsoft.com/office/drawing/2014/main" id="{00000000-0008-0000-0400-000056000000}"/>
                  </a:ext>
                </a:extLst>
              </xdr:cNvPr>
              <xdr:cNvSpPr>
                <a:spLocks/>
              </xdr:cNvSpPr>
            </xdr:nvSpPr>
            <xdr:spPr>
              <a:xfrm>
                <a:off x="7903939" y="285940"/>
                <a:ext cx="1320074"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8DE1D7F-61C0-4422-A1B6-E89A6501ED1F}" type="TxLink">
                  <a:rPr lang="en-US" sz="900" b="1" i="0" u="none" strike="noStrike">
                    <a:solidFill>
                      <a:schemeClr val="accent5">
                        <a:lumMod val="50000"/>
                      </a:schemeClr>
                    </a:solidFill>
                    <a:latin typeface="Calibri"/>
                    <a:ea typeface="Karla" pitchFamily="2" charset="0"/>
                    <a:cs typeface="Calibri"/>
                  </a:rPr>
                  <a:pPr algn="ctr"/>
                  <a:t>SCATTER</a:t>
                </a:fld>
                <a:endParaRPr lang="en-GB" sz="900" b="1">
                  <a:solidFill>
                    <a:schemeClr val="accent5">
                      <a:lumMod val="50000"/>
                    </a:schemeClr>
                  </a:solidFill>
                  <a:latin typeface="+mn-lt"/>
                  <a:ea typeface="Karla" pitchFamily="2" charset="0"/>
                </a:endParaRPr>
              </a:p>
            </xdr:txBody>
          </xdr:sp>
          <xdr:sp macro="[0]!LBChanger" textlink="uxb_works!B101">
            <xdr:nvSpPr>
              <xdr:cNvPr id="87" name="Scores">
                <a:extLst>
                  <a:ext uri="{FF2B5EF4-FFF2-40B4-BE49-F238E27FC236}">
                    <a16:creationId xmlns:a16="http://schemas.microsoft.com/office/drawing/2014/main" id="{00000000-0008-0000-0400-000057000000}"/>
                  </a:ext>
                </a:extLst>
              </xdr:cNvPr>
              <xdr:cNvSpPr>
                <a:spLocks/>
              </xdr:cNvSpPr>
            </xdr:nvSpPr>
            <xdr:spPr>
              <a:xfrm>
                <a:off x="10540783"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5165ACF-6EE1-4F74-8FDB-F21F37E9E6FB}" type="TxLink">
                  <a:rPr lang="en-US" sz="900" b="1" i="0" u="none" strike="noStrike">
                    <a:solidFill>
                      <a:schemeClr val="accent5">
                        <a:lumMod val="50000"/>
                      </a:schemeClr>
                    </a:solidFill>
                    <a:latin typeface="Calibri"/>
                    <a:ea typeface="Karla" pitchFamily="2" charset="0"/>
                    <a:cs typeface="Calibri"/>
                  </a:rPr>
                  <a:pPr algn="ctr"/>
                  <a:t>DATA / SCORES</a:t>
                </a:fld>
                <a:endParaRPr lang="en-GB" sz="900" b="1">
                  <a:solidFill>
                    <a:schemeClr val="accent5">
                      <a:lumMod val="50000"/>
                    </a:schemeClr>
                  </a:solidFill>
                  <a:latin typeface="+mn-lt"/>
                  <a:ea typeface="Karla" pitchFamily="2" charset="0"/>
                </a:endParaRPr>
              </a:p>
            </xdr:txBody>
          </xdr:sp>
          <xdr:sp macro="[0]!LBChanger" textlink="uxb_works!B102">
            <xdr:nvSpPr>
              <xdr:cNvPr id="88" name="Weights">
                <a:extLst>
                  <a:ext uri="{FF2B5EF4-FFF2-40B4-BE49-F238E27FC236}">
                    <a16:creationId xmlns:a16="http://schemas.microsoft.com/office/drawing/2014/main" id="{00000000-0008-0000-0400-000058000000}"/>
                  </a:ext>
                </a:extLst>
              </xdr:cNvPr>
              <xdr:cNvSpPr>
                <a:spLocks/>
              </xdr:cNvSpPr>
            </xdr:nvSpPr>
            <xdr:spPr>
              <a:xfrm>
                <a:off x="11855698"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43627509-C0BB-4D16-AADD-A85AC599D44F}" type="TxLink">
                  <a:rPr lang="en-US" sz="900" b="1" i="0" u="none" strike="noStrike">
                    <a:solidFill>
                      <a:schemeClr val="accent5">
                        <a:lumMod val="50000"/>
                      </a:schemeClr>
                    </a:solidFill>
                    <a:latin typeface="Calibri"/>
                    <a:ea typeface="Karla" pitchFamily="2" charset="0"/>
                    <a:cs typeface="Calibri"/>
                  </a:rPr>
                  <a:pPr algn="ctr"/>
                  <a:t>WEIGHTS</a:t>
                </a:fld>
                <a:endParaRPr lang="en-GB" sz="900" b="1">
                  <a:solidFill>
                    <a:schemeClr val="accent5">
                      <a:lumMod val="50000"/>
                    </a:schemeClr>
                  </a:solidFill>
                  <a:latin typeface="+mn-lt"/>
                  <a:ea typeface="Karla" pitchFamily="2" charset="0"/>
                </a:endParaRPr>
              </a:p>
            </xdr:txBody>
          </xdr:sp>
          <xdr:sp macro="[0]!LBChanger" textlink="uxb_works!B95">
            <xdr:nvSpPr>
              <xdr:cNvPr id="89" name="Summary1">
                <a:extLst>
                  <a:ext uri="{FF2B5EF4-FFF2-40B4-BE49-F238E27FC236}">
                    <a16:creationId xmlns:a16="http://schemas.microsoft.com/office/drawing/2014/main" id="{00000000-0008-0000-0400-000059000000}"/>
                  </a:ext>
                </a:extLst>
              </xdr:cNvPr>
              <xdr:cNvSpPr>
                <a:spLocks/>
              </xdr:cNvSpPr>
            </xdr:nvSpPr>
            <xdr:spPr>
              <a:xfrm>
                <a:off x="0"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A5241822-14D3-4854-9411-CFDDA1D4CE0A}" type="TxLink">
                  <a:rPr lang="en-US" sz="900" b="1" i="0" u="none" strike="noStrike">
                    <a:solidFill>
                      <a:schemeClr val="accent5">
                        <a:lumMod val="50000"/>
                      </a:schemeClr>
                    </a:solidFill>
                    <a:latin typeface="Calibri"/>
                    <a:ea typeface="Karla" pitchFamily="2" charset="0"/>
                    <a:cs typeface="Calibri"/>
                  </a:rPr>
                  <a:pPr algn="ctr"/>
                  <a:t>SUMMARY</a:t>
                </a:fld>
                <a:endParaRPr lang="en-GB" sz="900" b="1">
                  <a:solidFill>
                    <a:schemeClr val="accent5">
                      <a:lumMod val="50000"/>
                    </a:schemeClr>
                  </a:solidFill>
                  <a:latin typeface="+mn-lt"/>
                  <a:ea typeface="Karla" pitchFamily="2" charset="0"/>
                </a:endParaRPr>
              </a:p>
            </xdr:txBody>
          </xdr:sp>
          <xdr:sp macro="[0]!LBChanger" textlink="uxb_works!B96">
            <xdr:nvSpPr>
              <xdr:cNvPr id="90" name="Indicator_Ranking">
                <a:extLst>
                  <a:ext uri="{FF2B5EF4-FFF2-40B4-BE49-F238E27FC236}">
                    <a16:creationId xmlns:a16="http://schemas.microsoft.com/office/drawing/2014/main" id="{00000000-0008-0000-0400-00005A000000}"/>
                  </a:ext>
                </a:extLst>
              </xdr:cNvPr>
              <xdr:cNvSpPr>
                <a:spLocks/>
              </xdr:cNvSpPr>
            </xdr:nvSpPr>
            <xdr:spPr>
              <a:xfrm>
                <a:off x="1319392"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1D205C57-4D69-4B9A-8D11-5E0B7527B9E2}" type="TxLink">
                  <a:rPr lang="en-US" sz="900" b="1" i="0" u="none" strike="noStrike">
                    <a:solidFill>
                      <a:schemeClr val="accent5">
                        <a:lumMod val="50000"/>
                      </a:schemeClr>
                    </a:solidFill>
                    <a:latin typeface="Calibri"/>
                    <a:ea typeface="Karla" pitchFamily="2" charset="0"/>
                    <a:cs typeface="Calibri"/>
                  </a:rPr>
                  <a:pPr algn="ctr"/>
                  <a:t>INDICATOR RANKING</a:t>
                </a:fld>
                <a:endParaRPr lang="en-GB" sz="900" b="1">
                  <a:solidFill>
                    <a:schemeClr val="accent5">
                      <a:lumMod val="50000"/>
                    </a:schemeClr>
                  </a:solidFill>
                  <a:latin typeface="+mn-lt"/>
                  <a:ea typeface="Karla" pitchFamily="2" charset="0"/>
                </a:endParaRPr>
              </a:p>
            </xdr:txBody>
          </xdr:sp>
          <xdr:sp macro="[0]!LBChanger" textlink="uxb_works!B98">
            <xdr:nvSpPr>
              <xdr:cNvPr id="91" name="CCompare">
                <a:extLst>
                  <a:ext uri="{FF2B5EF4-FFF2-40B4-BE49-F238E27FC236}">
                    <a16:creationId xmlns:a16="http://schemas.microsoft.com/office/drawing/2014/main" id="{00000000-0008-0000-0400-00005B000000}"/>
                  </a:ext>
                </a:extLst>
              </xdr:cNvPr>
              <xdr:cNvSpPr>
                <a:spLocks/>
              </xdr:cNvSpPr>
            </xdr:nvSpPr>
            <xdr:spPr>
              <a:xfrm>
                <a:off x="5256659" y="285940"/>
                <a:ext cx="132486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829603AF-0DD8-4C72-8452-B09DB6262544}" type="TxLink">
                  <a:rPr lang="en-US" sz="900" b="1" i="0" u="none" strike="noStrike">
                    <a:solidFill>
                      <a:schemeClr val="accent5">
                        <a:lumMod val="50000"/>
                      </a:schemeClr>
                    </a:solidFill>
                    <a:latin typeface="Calibri"/>
                    <a:ea typeface="Karla" pitchFamily="2" charset="0"/>
                    <a:cs typeface="Calibri"/>
                  </a:rPr>
                  <a:pPr algn="ctr"/>
                  <a:t>CITY COMPARE</a:t>
                </a:fld>
                <a:endParaRPr lang="en-GB" sz="900" b="1">
                  <a:solidFill>
                    <a:schemeClr val="accent5">
                      <a:lumMod val="50000"/>
                    </a:schemeClr>
                  </a:solidFill>
                  <a:latin typeface="+mn-lt"/>
                  <a:ea typeface="Karla" pitchFamily="2" charset="0"/>
                </a:endParaRPr>
              </a:p>
            </xdr:txBody>
          </xdr:sp>
          <xdr:sp macro="[0]!LBChanger" textlink="uxb_works!B97">
            <xdr:nvSpPr>
              <xdr:cNvPr id="92" name="CtyScoreCard">
                <a:extLst>
                  <a:ext uri="{FF2B5EF4-FFF2-40B4-BE49-F238E27FC236}">
                    <a16:creationId xmlns:a16="http://schemas.microsoft.com/office/drawing/2014/main" id="{00000000-0008-0000-0400-00005C000000}"/>
                  </a:ext>
                </a:extLst>
              </xdr:cNvPr>
              <xdr:cNvSpPr>
                <a:spLocks/>
              </xdr:cNvSpPr>
            </xdr:nvSpPr>
            <xdr:spPr>
              <a:xfrm>
                <a:off x="3943666" y="285489"/>
                <a:ext cx="1317779" cy="180261"/>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fld id="{5B2B5046-96B7-4EDE-9DD8-D97FF7695B86}" type="TxLink">
                  <a:rPr lang="en-US" sz="900" b="1" i="0" u="none" strike="noStrike">
                    <a:solidFill>
                      <a:schemeClr val="accent5">
                        <a:lumMod val="50000"/>
                      </a:schemeClr>
                    </a:solidFill>
                    <a:latin typeface="Calibri"/>
                    <a:ea typeface="Karla" pitchFamily="2" charset="0"/>
                    <a:cs typeface="Calibri"/>
                  </a:rPr>
                  <a:pPr algn="ctr"/>
                  <a:t>CITY SCORECARD</a:t>
                </a:fld>
                <a:endParaRPr lang="en-GB" sz="900" b="1">
                  <a:solidFill>
                    <a:schemeClr val="accent5">
                      <a:lumMod val="50000"/>
                    </a:schemeClr>
                  </a:solidFill>
                  <a:latin typeface="+mn-lt"/>
                  <a:ea typeface="Karla" pitchFamily="2" charset="0"/>
                </a:endParaRPr>
              </a:p>
            </xdr:txBody>
          </xdr:sp>
          <xdr:sp macro="[0]!LBChanger" textlink="uxb_works!B103">
            <xdr:nvSpPr>
              <xdr:cNvPr id="117" name="RegionCompare">
                <a:extLst>
                  <a:ext uri="{FF2B5EF4-FFF2-40B4-BE49-F238E27FC236}">
                    <a16:creationId xmlns:a16="http://schemas.microsoft.com/office/drawing/2014/main" id="{00000000-0008-0000-0400-000075000000}"/>
                  </a:ext>
                </a:extLst>
              </xdr:cNvPr>
              <xdr:cNvSpPr>
                <a:spLocks/>
              </xdr:cNvSpPr>
            </xdr:nvSpPr>
            <xdr:spPr>
              <a:xfrm>
                <a:off x="6578664" y="285940"/>
                <a:ext cx="132486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51E55FBF-FB84-41A1-976B-235AB148A85F}" type="TxLink">
                  <a:rPr lang="en-US" sz="900" b="1" i="0" u="none" strike="noStrike">
                    <a:solidFill>
                      <a:schemeClr val="accent5">
                        <a:lumMod val="50000"/>
                      </a:schemeClr>
                    </a:solidFill>
                    <a:latin typeface="Calibri"/>
                    <a:ea typeface="Karla" pitchFamily="2" charset="0"/>
                    <a:cs typeface="Calibri"/>
                  </a:rPr>
                  <a:pPr algn="ctr"/>
                  <a:t>REGION COMPARE</a:t>
                </a:fld>
                <a:endParaRPr lang="en-GB" sz="900" b="1">
                  <a:solidFill>
                    <a:schemeClr val="accent5">
                      <a:lumMod val="50000"/>
                    </a:schemeClr>
                  </a:solidFill>
                  <a:latin typeface="+mn-lt"/>
                  <a:ea typeface="Karla" pitchFamily="2" charset="0"/>
                </a:endParaRPr>
              </a:p>
            </xdr:txBody>
          </xdr:sp>
          <xdr:sp macro="[0]!LBChanger" textlink="uxb_works!B104">
            <xdr:nvSpPr>
              <xdr:cNvPr id="118" name="CProfile">
                <a:extLst>
                  <a:ext uri="{FF2B5EF4-FFF2-40B4-BE49-F238E27FC236}">
                    <a16:creationId xmlns:a16="http://schemas.microsoft.com/office/drawing/2014/main" id="{00000000-0008-0000-0400-000076000000}"/>
                  </a:ext>
                </a:extLst>
              </xdr:cNvPr>
              <xdr:cNvSpPr>
                <a:spLocks/>
              </xdr:cNvSpPr>
            </xdr:nvSpPr>
            <xdr:spPr>
              <a:xfrm>
                <a:off x="2635250" y="285489"/>
                <a:ext cx="1317779" cy="179810"/>
              </a:xfrm>
              <a:prstGeom prst="rect">
                <a:avLst/>
              </a:prstGeom>
              <a:solidFill>
                <a:schemeClr val="accent5">
                  <a:lumMod val="50000"/>
                </a:schemeClr>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62C1403F-D06F-4F81-B666-49A22A849932}" type="TxLink">
                  <a:rPr lang="en-US" sz="900" b="1" i="0" u="none" strike="noStrike">
                    <a:solidFill>
                      <a:schemeClr val="bg1"/>
                    </a:solidFill>
                    <a:latin typeface="Calibri"/>
                    <a:ea typeface="Karla" pitchFamily="2" charset="0"/>
                    <a:cs typeface="Calibri"/>
                  </a:rPr>
                  <a:pPr algn="ctr"/>
                  <a:t>CITY PROFILE</a:t>
                </a:fld>
                <a:endParaRPr lang="en-GB" sz="900" b="1">
                  <a:solidFill>
                    <a:schemeClr val="bg1"/>
                  </a:solidFill>
                  <a:latin typeface="+mn-lt"/>
                  <a:ea typeface="Karla" pitchFamily="2" charset="0"/>
                </a:endParaRPr>
              </a:p>
            </xdr:txBody>
          </xdr:sp>
        </xdr:grpSp>
      </xdr:grpSp>
      <xdr:grpSp>
        <xdr:nvGrpSpPr>
          <xdr:cNvPr id="71" name="Group 70">
            <a:extLst>
              <a:ext uri="{FF2B5EF4-FFF2-40B4-BE49-F238E27FC236}">
                <a16:creationId xmlns:a16="http://schemas.microsoft.com/office/drawing/2014/main" id="{00000000-0008-0000-0400-000047000000}"/>
              </a:ext>
            </a:extLst>
          </xdr:cNvPr>
          <xdr:cNvGrpSpPr/>
        </xdr:nvGrpSpPr>
        <xdr:grpSpPr>
          <a:xfrm>
            <a:off x="10753783" y="37494"/>
            <a:ext cx="999275" cy="240746"/>
            <a:chOff x="10782556" y="28575"/>
            <a:chExt cx="999806" cy="252000"/>
          </a:xfrm>
        </xdr:grpSpPr>
        <xdr:sp macro="[0]!UniversalChanger" textlink="">
          <xdr:nvSpPr>
            <xdr:cNvPr id="72" name="ctr_Reset">
              <a:extLst>
                <a:ext uri="{FF2B5EF4-FFF2-40B4-BE49-F238E27FC236}">
                  <a16:creationId xmlns:a16="http://schemas.microsoft.com/office/drawing/2014/main" id="{00000000-0008-0000-0400-000048000000}"/>
                </a:ext>
              </a:extLst>
            </xdr:cNvPr>
            <xdr:cNvSpPr/>
          </xdr:nvSpPr>
          <xdr:spPr>
            <a:xfrm>
              <a:off x="10782556" y="38100"/>
              <a:ext cx="666749" cy="209550"/>
            </a:xfrm>
            <a:prstGeom prst="rect">
              <a:avLst/>
            </a:prstGeom>
            <a:solidFill>
              <a:srgbClr val="F47940">
                <a:alpha val="20000"/>
              </a:srgbClr>
            </a:solidFill>
            <a:ln w="3175">
              <a:solidFill>
                <a:srgbClr val="005BAD"/>
              </a:solid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r>
                <a:rPr lang="en-GB" sz="1000" b="0">
                  <a:solidFill>
                    <a:srgbClr val="143050"/>
                  </a:solidFill>
                  <a:latin typeface="+mn-lt"/>
                  <a:ea typeface="Karla" pitchFamily="2" charset="0"/>
                </a:rPr>
                <a:t>RESET</a:t>
              </a:r>
            </a:p>
          </xdr:txBody>
        </xdr:sp>
        <xdr:pic macro="[0]!UniversalChanger">
          <xdr:nvPicPr>
            <xdr:cNvPr id="73" name="Excel_Out">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525506" y="28575"/>
              <a:ext cx="256856" cy="252000"/>
            </a:xfrm>
            <a:prstGeom prst="rect">
              <a:avLst/>
            </a:prstGeom>
          </xdr:spPr>
        </xdr:pic>
      </xdr:grpSp>
      <xdr:grpSp>
        <xdr:nvGrpSpPr>
          <xdr:cNvPr id="19" name="Group 18">
            <a:extLst>
              <a:ext uri="{FF2B5EF4-FFF2-40B4-BE49-F238E27FC236}">
                <a16:creationId xmlns:a16="http://schemas.microsoft.com/office/drawing/2014/main" id="{00000000-0008-0000-0400-000013000000}"/>
              </a:ext>
            </a:extLst>
          </xdr:cNvPr>
          <xdr:cNvGrpSpPr/>
        </xdr:nvGrpSpPr>
        <xdr:grpSpPr>
          <a:xfrm>
            <a:off x="112717" y="612525"/>
            <a:ext cx="4838184" cy="383880"/>
            <a:chOff x="112717" y="612525"/>
            <a:chExt cx="4838184" cy="383880"/>
          </a:xfrm>
        </xdr:grpSpPr>
        <xdr:grpSp>
          <xdr:nvGrpSpPr>
            <xdr:cNvPr id="11" name="Group 10">
              <a:extLst>
                <a:ext uri="{FF2B5EF4-FFF2-40B4-BE49-F238E27FC236}">
                  <a16:creationId xmlns:a16="http://schemas.microsoft.com/office/drawing/2014/main" id="{00000000-0008-0000-0400-00000B000000}"/>
                </a:ext>
              </a:extLst>
            </xdr:cNvPr>
            <xdr:cNvGrpSpPr/>
          </xdr:nvGrpSpPr>
          <xdr:grpSpPr>
            <a:xfrm>
              <a:off x="112717" y="785938"/>
              <a:ext cx="4837722" cy="210467"/>
              <a:chOff x="4105219" y="819129"/>
              <a:chExt cx="4500196" cy="219620"/>
            </a:xfrm>
          </xdr:grpSpPr>
          <xdr:pic macro="[0]!UniversalChanger">
            <xdr:nvPicPr>
              <xdr:cNvPr id="12" name="CP_Cat_Select_Up" descr="scroll_up_small.png">
                <a:extLst>
                  <a:ext uri="{FF2B5EF4-FFF2-40B4-BE49-F238E27FC236}">
                    <a16:creationId xmlns:a16="http://schemas.microsoft.com/office/drawing/2014/main" id="{00000000-0008-0000-0400-00000C000000}"/>
                  </a:ext>
                </a:extLst>
              </xdr:cNvPr>
              <xdr:cNvPicPr preferRelativeResize="0">
                <a:picLocks/>
              </xdr:cNvPicPr>
            </xdr:nvPicPr>
            <xdr:blipFill>
              <a:blip xmlns:r="http://schemas.openxmlformats.org/officeDocument/2006/relationships" r:embed="rId9" cstate="print"/>
              <a:stretch>
                <a:fillRect/>
              </a:stretch>
            </xdr:blipFill>
            <xdr:spPr>
              <a:xfrm>
                <a:off x="8319105" y="829500"/>
                <a:ext cx="286310" cy="103062"/>
              </a:xfrm>
              <a:prstGeom prst="rect">
                <a:avLst/>
              </a:prstGeom>
            </xdr:spPr>
          </xdr:pic>
          <xdr:pic macro="[0]!UniversalChanger">
            <xdr:nvPicPr>
              <xdr:cNvPr id="13" name="CP_Cat_Select_Down" descr="scroll_down_small.png">
                <a:extLst>
                  <a:ext uri="{FF2B5EF4-FFF2-40B4-BE49-F238E27FC236}">
                    <a16:creationId xmlns:a16="http://schemas.microsoft.com/office/drawing/2014/main" id="{00000000-0008-0000-0400-00000D000000}"/>
                  </a:ext>
                </a:extLst>
              </xdr:cNvPr>
              <xdr:cNvPicPr preferRelativeResize="0">
                <a:picLocks/>
              </xdr:cNvPicPr>
            </xdr:nvPicPr>
            <xdr:blipFill>
              <a:blip xmlns:r="http://schemas.openxmlformats.org/officeDocument/2006/relationships" r:embed="rId10" cstate="print"/>
              <a:stretch>
                <a:fillRect/>
              </a:stretch>
            </xdr:blipFill>
            <xdr:spPr>
              <a:xfrm>
                <a:off x="8319105" y="932562"/>
                <a:ext cx="286310" cy="105663"/>
              </a:xfrm>
              <a:prstGeom prst="rect">
                <a:avLst/>
              </a:prstGeom>
            </xdr:spPr>
          </xdr:pic>
          <mc:AlternateContent xmlns:mc="http://schemas.openxmlformats.org/markup-compatibility/2006">
            <mc:Choice xmlns:a14="http://schemas.microsoft.com/office/drawing/2010/main" Requires="a14">
              <xdr:sp macro="" textlink="">
                <xdr:nvSpPr>
                  <xdr:cNvPr id="14451714" name="CP_Cat_Select" hidden="1">
                    <a:extLst>
                      <a:ext uri="{63B3BB69-23CF-44E3-9099-C40C66FF867C}">
                        <a14:compatExt spid="_x0000_s14451714"/>
                      </a:ext>
                      <a:ext uri="{FF2B5EF4-FFF2-40B4-BE49-F238E27FC236}">
                        <a16:creationId xmlns:a16="http://schemas.microsoft.com/office/drawing/2014/main" id="{00000000-0008-0000-0400-00000284DC00}"/>
                      </a:ext>
                    </a:extLst>
                  </xdr:cNvPr>
                  <xdr:cNvSpPr/>
                </xdr:nvSpPr>
                <xdr:spPr bwMode="auto">
                  <a:xfrm>
                    <a:off x="4105219" y="819129"/>
                    <a:ext cx="4214753" cy="219620"/>
                  </a:xfrm>
                  <a:prstGeom prst="rect">
                    <a:avLst/>
                  </a:prstGeom>
                  <a:noFill/>
                  <a:ln>
                    <a:noFill/>
                  </a:ln>
                  <a:extLst>
                    <a:ext uri="{91240B29-F687-4F45-9708-019B960494DF}">
                      <a14:hiddenLine w="9525">
                        <a:noFill/>
                        <a:miter lim="800000"/>
                        <a:headEnd/>
                        <a:tailEnd/>
                      </a14:hiddenLine>
                    </a:ext>
                  </a:extLst>
                </xdr:spPr>
              </xdr:sp>
            </mc:Choice>
            <mc:Fallback/>
          </mc:AlternateContent>
        </xdr:grpSp>
        <xdr:grpSp>
          <xdr:nvGrpSpPr>
            <xdr:cNvPr id="21" name="Group 20">
              <a:extLst>
                <a:ext uri="{FF2B5EF4-FFF2-40B4-BE49-F238E27FC236}">
                  <a16:creationId xmlns:a16="http://schemas.microsoft.com/office/drawing/2014/main" id="{00000000-0008-0000-0400-000015000000}"/>
                </a:ext>
              </a:extLst>
            </xdr:cNvPr>
            <xdr:cNvGrpSpPr/>
          </xdr:nvGrpSpPr>
          <xdr:grpSpPr>
            <a:xfrm>
              <a:off x="112783" y="612525"/>
              <a:ext cx="4838118" cy="383377"/>
              <a:chOff x="104775" y="638175"/>
              <a:chExt cx="4500563" cy="400049"/>
            </a:xfrm>
          </xdr:grpSpPr>
          <xdr:grpSp>
            <xdr:nvGrpSpPr>
              <xdr:cNvPr id="9" name="Group 8">
                <a:extLst>
                  <a:ext uri="{FF2B5EF4-FFF2-40B4-BE49-F238E27FC236}">
                    <a16:creationId xmlns:a16="http://schemas.microsoft.com/office/drawing/2014/main" id="{00000000-0008-0000-0400-000009000000}"/>
                  </a:ext>
                </a:extLst>
              </xdr:cNvPr>
              <xdr:cNvGrpSpPr/>
            </xdr:nvGrpSpPr>
            <xdr:grpSpPr>
              <a:xfrm>
                <a:off x="104775" y="638175"/>
                <a:ext cx="4500563" cy="180000"/>
                <a:chOff x="885825" y="685800"/>
                <a:chExt cx="4767263" cy="180000"/>
              </a:xfrm>
            </xdr:grpSpPr>
            <xdr:sp macro="[0]!UniversalChanger" textlink="uxb_works!E100">
              <xdr:nvSpPr>
                <xdr:cNvPr id="59" name="Cat_Reset">
                  <a:extLst>
                    <a:ext uri="{FF2B5EF4-FFF2-40B4-BE49-F238E27FC236}">
                      <a16:creationId xmlns:a16="http://schemas.microsoft.com/office/drawing/2014/main" id="{00000000-0008-0000-0400-00003B000000}"/>
                    </a:ext>
                  </a:extLst>
                </xdr:cNvPr>
                <xdr:cNvSpPr>
                  <a:spLocks/>
                </xdr:cNvSpPr>
              </xdr:nvSpPr>
              <xdr:spPr>
                <a:xfrm>
                  <a:off x="1493089" y="685800"/>
                  <a:ext cx="4159999"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88477DC5-27B5-4C3F-AE6D-5380B0E4299D}" type="TxLink">
                    <a:rPr lang="en-US" sz="800" b="0" i="0" u="none" strike="noStrike">
                      <a:solidFill>
                        <a:sysClr val="windowText" lastClr="000000"/>
                      </a:solidFill>
                      <a:latin typeface="Calibri"/>
                      <a:ea typeface="Karla" pitchFamily="2" charset="0"/>
                      <a:cs typeface="Calibri"/>
                    </a:rPr>
                    <a:pPr algn="ctr"/>
                    <a:t>CATEGORY (reset)</a:t>
                  </a:fld>
                  <a:endParaRPr lang="en-GB" sz="800" b="1">
                    <a:solidFill>
                      <a:sysClr val="windowText" lastClr="000000"/>
                    </a:solidFill>
                    <a:latin typeface="+mn-lt"/>
                    <a:ea typeface="Karla" pitchFamily="2" charset="0"/>
                  </a:endParaRPr>
                </a:p>
              </xdr:txBody>
            </xdr:sp>
            <xdr:sp macro="" textlink="">
              <xdr:nvSpPr>
                <xdr:cNvPr id="60" name="lbl_cnt_City_1">
                  <a:extLst>
                    <a:ext uri="{FF2B5EF4-FFF2-40B4-BE49-F238E27FC236}">
                      <a16:creationId xmlns:a16="http://schemas.microsoft.com/office/drawing/2014/main" id="{00000000-0008-0000-0400-00003C000000}"/>
                    </a:ext>
                  </a:extLst>
                </xdr:cNvPr>
                <xdr:cNvSpPr txBox="1"/>
              </xdr:nvSpPr>
              <xdr:spPr>
                <a:xfrm>
                  <a:off x="885825" y="685800"/>
                  <a:ext cx="607264" cy="180000"/>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ctr"/>
                  <a:r>
                    <a:rPr lang="en-GB" sz="1000" b="1">
                      <a:solidFill>
                        <a:sysClr val="windowText" lastClr="000000"/>
                      </a:solidFill>
                      <a:latin typeface="+mn-lt"/>
                      <a:ea typeface="Karla" pitchFamily="2" charset="0"/>
                    </a:rPr>
                    <a:t>SELECT</a:t>
                  </a:r>
                </a:p>
              </xdr:txBody>
            </xdr:sp>
          </xdr:grpSp>
          <xdr:sp macro="" textlink="">
            <xdr:nvSpPr>
              <xdr:cNvPr id="61" name="Rectangle 60">
                <a:extLst>
                  <a:ext uri="{FF2B5EF4-FFF2-40B4-BE49-F238E27FC236}">
                    <a16:creationId xmlns:a16="http://schemas.microsoft.com/office/drawing/2014/main" id="{00000000-0008-0000-0400-00003D000000}"/>
                  </a:ext>
                </a:extLst>
              </xdr:cNvPr>
              <xdr:cNvSpPr/>
            </xdr:nvSpPr>
            <xdr:spPr>
              <a:xfrm>
                <a:off x="4319588" y="819150"/>
                <a:ext cx="285750" cy="219074"/>
              </a:xfrm>
              <a:prstGeom prst="rect">
                <a:avLst/>
              </a:prstGeom>
              <a:noFill/>
              <a:ln w="63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chemeClr val="accent1">
                      <a:lumMod val="60000"/>
                      <a:lumOff val="40000"/>
                    </a:schemeClr>
                  </a:solidFill>
                  <a:latin typeface="Calibri"/>
                  <a:cs typeface="Calibri"/>
                </a:endParaRPr>
              </a:p>
            </xdr:txBody>
          </xdr:sp>
        </xdr:grpSp>
      </xdr:grpSp>
      <xdr:grpSp>
        <xdr:nvGrpSpPr>
          <xdr:cNvPr id="20" name="Group 19">
            <a:extLst>
              <a:ext uri="{FF2B5EF4-FFF2-40B4-BE49-F238E27FC236}">
                <a16:creationId xmlns:a16="http://schemas.microsoft.com/office/drawing/2014/main" id="{00000000-0008-0000-0400-000014000000}"/>
              </a:ext>
            </a:extLst>
          </xdr:cNvPr>
          <xdr:cNvGrpSpPr/>
        </xdr:nvGrpSpPr>
        <xdr:grpSpPr>
          <a:xfrm>
            <a:off x="5058135" y="612531"/>
            <a:ext cx="1666838" cy="383723"/>
            <a:chOff x="5058135" y="612531"/>
            <a:chExt cx="1666838" cy="383723"/>
          </a:xfrm>
        </xdr:grpSpPr>
        <xdr:grpSp>
          <xdr:nvGrpSpPr>
            <xdr:cNvPr id="10" name="Group 9">
              <a:extLst>
                <a:ext uri="{FF2B5EF4-FFF2-40B4-BE49-F238E27FC236}">
                  <a16:creationId xmlns:a16="http://schemas.microsoft.com/office/drawing/2014/main" id="{00000000-0008-0000-0400-00000A000000}"/>
                </a:ext>
              </a:extLst>
            </xdr:cNvPr>
            <xdr:cNvGrpSpPr/>
          </xdr:nvGrpSpPr>
          <xdr:grpSpPr>
            <a:xfrm>
              <a:off x="5058135" y="786068"/>
              <a:ext cx="1666838" cy="210186"/>
              <a:chOff x="114228" y="818993"/>
              <a:chExt cx="1544877" cy="219601"/>
            </a:xfrm>
          </xdr:grpSpPr>
          <xdr:pic macro="[0]!UniversalChanger">
            <xdr:nvPicPr>
              <xdr:cNvPr id="17" name="Cnt_Select_up" descr="scroll_up_small.png">
                <a:extLst>
                  <a:ext uri="{FF2B5EF4-FFF2-40B4-BE49-F238E27FC236}">
                    <a16:creationId xmlns:a16="http://schemas.microsoft.com/office/drawing/2014/main" id="{00000000-0008-0000-0400-000011000000}"/>
                  </a:ext>
                </a:extLst>
              </xdr:cNvPr>
              <xdr:cNvPicPr preferRelativeResize="0">
                <a:picLocks/>
              </xdr:cNvPicPr>
            </xdr:nvPicPr>
            <xdr:blipFill>
              <a:blip xmlns:r="http://schemas.openxmlformats.org/officeDocument/2006/relationships" r:embed="rId9" cstate="print"/>
              <a:stretch>
                <a:fillRect/>
              </a:stretch>
            </xdr:blipFill>
            <xdr:spPr>
              <a:xfrm>
                <a:off x="1370311" y="834664"/>
                <a:ext cx="288794" cy="107897"/>
              </a:xfrm>
              <a:prstGeom prst="rect">
                <a:avLst/>
              </a:prstGeom>
            </xdr:spPr>
          </xdr:pic>
          <xdr:pic macro="[0]!UniversalChanger">
            <xdr:nvPicPr>
              <xdr:cNvPr id="18" name="Cnt_Select_down" descr="scroll_down_small.png">
                <a:extLst>
                  <a:ext uri="{FF2B5EF4-FFF2-40B4-BE49-F238E27FC236}">
                    <a16:creationId xmlns:a16="http://schemas.microsoft.com/office/drawing/2014/main" id="{00000000-0008-0000-0400-000012000000}"/>
                  </a:ext>
                </a:extLst>
              </xdr:cNvPr>
              <xdr:cNvPicPr preferRelativeResize="0">
                <a:picLocks/>
              </xdr:cNvPicPr>
            </xdr:nvPicPr>
            <xdr:blipFill>
              <a:blip xmlns:r="http://schemas.openxmlformats.org/officeDocument/2006/relationships" r:embed="rId10" cstate="print"/>
              <a:stretch>
                <a:fillRect/>
              </a:stretch>
            </xdr:blipFill>
            <xdr:spPr>
              <a:xfrm>
                <a:off x="1370311" y="934757"/>
                <a:ext cx="288794" cy="98699"/>
              </a:xfrm>
              <a:prstGeom prst="rect">
                <a:avLst/>
              </a:prstGeom>
            </xdr:spPr>
          </xdr:pic>
          <mc:AlternateContent xmlns:mc="http://schemas.openxmlformats.org/markup-compatibility/2006">
            <mc:Choice xmlns:a14="http://schemas.microsoft.com/office/drawing/2010/main" Requires="a14">
              <xdr:sp macro="" textlink="">
                <xdr:nvSpPr>
                  <xdr:cNvPr id="14451713" name="Cnt_Select" hidden="1">
                    <a:extLst>
                      <a:ext uri="{63B3BB69-23CF-44E3-9099-C40C66FF867C}">
                        <a14:compatExt spid="_x0000_s14451713"/>
                      </a:ext>
                      <a:ext uri="{FF2B5EF4-FFF2-40B4-BE49-F238E27FC236}">
                        <a16:creationId xmlns:a16="http://schemas.microsoft.com/office/drawing/2014/main" id="{00000000-0008-0000-0400-00000184DC00}"/>
                      </a:ext>
                    </a:extLst>
                  </xdr:cNvPr>
                  <xdr:cNvSpPr/>
                </xdr:nvSpPr>
                <xdr:spPr bwMode="auto">
                  <a:xfrm>
                    <a:off x="114228" y="818993"/>
                    <a:ext cx="1256868" cy="219601"/>
                  </a:xfrm>
                  <a:prstGeom prst="rect">
                    <a:avLst/>
                  </a:prstGeom>
                  <a:noFill/>
                  <a:ln>
                    <a:noFill/>
                  </a:ln>
                  <a:extLst>
                    <a:ext uri="{91240B29-F687-4F45-9708-019B960494DF}">
                      <a14:hiddenLine w="9525">
                        <a:noFill/>
                        <a:miter lim="800000"/>
                        <a:headEnd/>
                        <a:tailEnd/>
                      </a14:hiddenLine>
                    </a:ext>
                  </a:extLst>
                </xdr:spPr>
              </xdr:sp>
            </mc:Choice>
            <mc:Fallback/>
          </mc:AlternateContent>
        </xdr:grpSp>
        <xdr:grpSp>
          <xdr:nvGrpSpPr>
            <xdr:cNvPr id="25" name="Group 24">
              <a:extLst>
                <a:ext uri="{FF2B5EF4-FFF2-40B4-BE49-F238E27FC236}">
                  <a16:creationId xmlns:a16="http://schemas.microsoft.com/office/drawing/2014/main" id="{00000000-0008-0000-0400-000019000000}"/>
                </a:ext>
              </a:extLst>
            </xdr:cNvPr>
            <xdr:cNvGrpSpPr/>
          </xdr:nvGrpSpPr>
          <xdr:grpSpPr>
            <a:xfrm>
              <a:off x="5058179" y="612531"/>
              <a:ext cx="1661017" cy="383369"/>
              <a:chOff x="4705350" y="638178"/>
              <a:chExt cx="1547813" cy="400045"/>
            </a:xfrm>
          </xdr:grpSpPr>
          <xdr:grpSp>
            <xdr:nvGrpSpPr>
              <xdr:cNvPr id="22" name="Group 21">
                <a:extLst>
                  <a:ext uri="{FF2B5EF4-FFF2-40B4-BE49-F238E27FC236}">
                    <a16:creationId xmlns:a16="http://schemas.microsoft.com/office/drawing/2014/main" id="{00000000-0008-0000-0400-000016000000}"/>
                  </a:ext>
                </a:extLst>
              </xdr:cNvPr>
              <xdr:cNvGrpSpPr/>
            </xdr:nvGrpSpPr>
            <xdr:grpSpPr>
              <a:xfrm>
                <a:off x="4705350" y="638178"/>
                <a:ext cx="1547813" cy="180004"/>
                <a:chOff x="4705350" y="609600"/>
                <a:chExt cx="1547813" cy="180004"/>
              </a:xfrm>
            </xdr:grpSpPr>
            <xdr:sp macro="[0]!UniversalChanger" textlink="uxb_works!E101">
              <xdr:nvSpPr>
                <xdr:cNvPr id="62" name="CNT_HL">
                  <a:extLst>
                    <a:ext uri="{FF2B5EF4-FFF2-40B4-BE49-F238E27FC236}">
                      <a16:creationId xmlns:a16="http://schemas.microsoft.com/office/drawing/2014/main" id="{00000000-0008-0000-0400-00003E000000}"/>
                    </a:ext>
                  </a:extLst>
                </xdr:cNvPr>
                <xdr:cNvSpPr>
                  <a:spLocks/>
                </xdr:cNvSpPr>
              </xdr:nvSpPr>
              <xdr:spPr>
                <a:xfrm>
                  <a:off x="5147568" y="609600"/>
                  <a:ext cx="1105595" cy="180000"/>
                </a:xfrm>
                <a:prstGeom prst="rect">
                  <a:avLst/>
                </a:prstGeom>
                <a:solidFill>
                  <a:schemeClr val="bg1">
                    <a:lumMod val="95000"/>
                  </a:schemeClr>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E72B4391-6C48-478F-9041-78395BD7406E}" type="TxLink">
                    <a:rPr lang="en-US" sz="800" b="0" i="0" u="none" strike="noStrike">
                      <a:solidFill>
                        <a:sysClr val="windowText" lastClr="000000"/>
                      </a:solidFill>
                      <a:latin typeface="Calibri"/>
                      <a:ea typeface="Karla" pitchFamily="2" charset="0"/>
                      <a:cs typeface="Calibri"/>
                    </a:rPr>
                    <a:pPr algn="ctr"/>
                    <a:t>CITY</a:t>
                  </a:fld>
                  <a:endParaRPr lang="en-GB" sz="600" b="0">
                    <a:solidFill>
                      <a:sysClr val="windowText" lastClr="000000"/>
                    </a:solidFill>
                    <a:latin typeface="+mn-lt"/>
                    <a:ea typeface="Karla" pitchFamily="2" charset="0"/>
                  </a:endParaRPr>
                </a:p>
              </xdr:txBody>
            </xdr:sp>
            <xdr:sp macro="" textlink="">
              <xdr:nvSpPr>
                <xdr:cNvPr id="63" name="lbl_cnt_City_1">
                  <a:extLst>
                    <a:ext uri="{FF2B5EF4-FFF2-40B4-BE49-F238E27FC236}">
                      <a16:creationId xmlns:a16="http://schemas.microsoft.com/office/drawing/2014/main" id="{00000000-0008-0000-0400-00003F000000}"/>
                    </a:ext>
                  </a:extLst>
                </xdr:cNvPr>
                <xdr:cNvSpPr txBox="1"/>
              </xdr:nvSpPr>
              <xdr:spPr>
                <a:xfrm>
                  <a:off x="4705350" y="609604"/>
                  <a:ext cx="440651" cy="180000"/>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ctr"/>
                  <a:r>
                    <a:rPr lang="en-GB" sz="1000" b="1">
                      <a:solidFill>
                        <a:sysClr val="windowText" lastClr="000000"/>
                      </a:solidFill>
                      <a:latin typeface="+mn-lt"/>
                      <a:ea typeface="Karla" pitchFamily="2" charset="0"/>
                    </a:rPr>
                    <a:t>SELECT </a:t>
                  </a:r>
                </a:p>
              </xdr:txBody>
            </xdr:sp>
          </xdr:grpSp>
          <xdr:sp macro="" textlink="">
            <xdr:nvSpPr>
              <xdr:cNvPr id="65" name="Rectangle 64">
                <a:extLst>
                  <a:ext uri="{FF2B5EF4-FFF2-40B4-BE49-F238E27FC236}">
                    <a16:creationId xmlns:a16="http://schemas.microsoft.com/office/drawing/2014/main" id="{00000000-0008-0000-0400-000041000000}"/>
                  </a:ext>
                </a:extLst>
              </xdr:cNvPr>
              <xdr:cNvSpPr/>
            </xdr:nvSpPr>
            <xdr:spPr>
              <a:xfrm>
                <a:off x="5967413" y="819149"/>
                <a:ext cx="285750" cy="219074"/>
              </a:xfrm>
              <a:prstGeom prst="rect">
                <a:avLst/>
              </a:prstGeom>
              <a:noFill/>
              <a:ln w="63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chemeClr val="accent1">
                      <a:lumMod val="60000"/>
                      <a:lumOff val="40000"/>
                    </a:schemeClr>
                  </a:solidFill>
                  <a:latin typeface="Calibri"/>
                  <a:cs typeface="Calibri"/>
                </a:endParaRPr>
              </a:p>
            </xdr:txBody>
          </xdr:sp>
        </xdr:grpSp>
      </xdr:grpSp>
    </xdr:grpSp>
    <xdr:clientData/>
  </xdr:twoCellAnchor>
  <xdr:twoCellAnchor editAs="oneCell">
    <xdr:from>
      <xdr:col>1</xdr:col>
      <xdr:colOff>0</xdr:colOff>
      <xdr:row>22</xdr:row>
      <xdr:rowOff>228600</xdr:rowOff>
    </xdr:from>
    <xdr:to>
      <xdr:col>2</xdr:col>
      <xdr:colOff>2119312</xdr:colOff>
      <xdr:row>25</xdr:row>
      <xdr:rowOff>27892</xdr:rowOff>
    </xdr:to>
    <xdr:grpSp>
      <xdr:nvGrpSpPr>
        <xdr:cNvPr id="14" name="Group 13">
          <a:extLst>
            <a:ext uri="{FF2B5EF4-FFF2-40B4-BE49-F238E27FC236}">
              <a16:creationId xmlns:a16="http://schemas.microsoft.com/office/drawing/2014/main" id="{00000000-0008-0000-0400-00000E000000}"/>
            </a:ext>
          </a:extLst>
        </xdr:cNvPr>
        <xdr:cNvGrpSpPr/>
      </xdr:nvGrpSpPr>
      <xdr:grpSpPr>
        <a:xfrm>
          <a:off x="180975" y="5257800"/>
          <a:ext cx="2119312" cy="942292"/>
          <a:chOff x="180975" y="5172075"/>
          <a:chExt cx="2119312" cy="942292"/>
        </a:xfrm>
      </xdr:grpSpPr>
      <xdr:sp macro="" textlink="uxb_works!H122">
        <xdr:nvSpPr>
          <xdr:cNvPr id="54" name="TextBox 53">
            <a:extLst>
              <a:ext uri="{FF2B5EF4-FFF2-40B4-BE49-F238E27FC236}">
                <a16:creationId xmlns:a16="http://schemas.microsoft.com/office/drawing/2014/main" id="{00000000-0008-0000-0400-000036000000}"/>
              </a:ext>
            </a:extLst>
          </xdr:cNvPr>
          <xdr:cNvSpPr txBox="1"/>
        </xdr:nvSpPr>
        <xdr:spPr>
          <a:xfrm>
            <a:off x="180975" y="5872832"/>
            <a:ext cx="2119312" cy="241535"/>
          </a:xfrm>
          <a:prstGeom prst="rect">
            <a:avLst/>
          </a:prstGeom>
          <a:solidFill>
            <a:srgbClr val="DCE6F1"/>
          </a:solidFill>
          <a:ln w="9525" cmpd="sng">
            <a:solidFill>
              <a:schemeClr val="tx2">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fld id="{2854B84E-8155-4FFA-A8E6-2C49E9B4046F}" type="TxLink">
              <a:rPr lang="en-US" sz="1000" b="0" i="0" u="none" strike="noStrike">
                <a:solidFill>
                  <a:sysClr val="windowText" lastClr="000000"/>
                </a:solidFill>
                <a:latin typeface="Calibri"/>
                <a:ea typeface="Karla" pitchFamily="2" charset="0"/>
                <a:cs typeface="Calibri"/>
              </a:rPr>
              <a:pPr algn="ctr"/>
              <a:t>Low: 0 to 25.0</a:t>
            </a:fld>
            <a:endParaRPr lang="en-GB" sz="1000">
              <a:solidFill>
                <a:sysClr val="windowText" lastClr="000000"/>
              </a:solidFill>
              <a:latin typeface="+mn-lt"/>
              <a:ea typeface="Karla" pitchFamily="2" charset="0"/>
            </a:endParaRPr>
          </a:p>
        </xdr:txBody>
      </xdr:sp>
      <xdr:sp macro="" textlink="uxb_works!H121">
        <xdr:nvSpPr>
          <xdr:cNvPr id="55" name="TextBox 54">
            <a:extLst>
              <a:ext uri="{FF2B5EF4-FFF2-40B4-BE49-F238E27FC236}">
                <a16:creationId xmlns:a16="http://schemas.microsoft.com/office/drawing/2014/main" id="{00000000-0008-0000-0400-000037000000}"/>
              </a:ext>
            </a:extLst>
          </xdr:cNvPr>
          <xdr:cNvSpPr txBox="1"/>
        </xdr:nvSpPr>
        <xdr:spPr>
          <a:xfrm>
            <a:off x="180975" y="5639901"/>
            <a:ext cx="2119312" cy="241535"/>
          </a:xfrm>
          <a:prstGeom prst="rect">
            <a:avLst/>
          </a:prstGeom>
          <a:solidFill>
            <a:srgbClr val="92C5EB"/>
          </a:solidFill>
          <a:ln w="9525" cmpd="sng">
            <a:solidFill>
              <a:schemeClr val="tx2">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fld id="{29F46DB7-42D4-4B4E-801A-1AA1CE506C95}" type="TxLink">
              <a:rPr lang="en-US" sz="1000" b="0" i="0" u="none" strike="noStrike">
                <a:solidFill>
                  <a:sysClr val="windowText" lastClr="000000"/>
                </a:solidFill>
                <a:latin typeface="Calibri"/>
                <a:ea typeface="Karla" pitchFamily="2" charset="0"/>
                <a:cs typeface="Calibri"/>
              </a:rPr>
              <a:pPr algn="ctr"/>
              <a:t>Medium: 25.1 to 50.0</a:t>
            </a:fld>
            <a:endParaRPr lang="en-GB" sz="1000">
              <a:solidFill>
                <a:sysClr val="windowText" lastClr="000000"/>
              </a:solidFill>
              <a:latin typeface="+mn-lt"/>
              <a:ea typeface="Karla" pitchFamily="2" charset="0"/>
            </a:endParaRPr>
          </a:p>
        </xdr:txBody>
      </xdr:sp>
      <xdr:sp macro="" textlink="uxb_works!H120">
        <xdr:nvSpPr>
          <xdr:cNvPr id="56" name="TextBox 55">
            <a:extLst>
              <a:ext uri="{FF2B5EF4-FFF2-40B4-BE49-F238E27FC236}">
                <a16:creationId xmlns:a16="http://schemas.microsoft.com/office/drawing/2014/main" id="{00000000-0008-0000-0400-000038000000}"/>
              </a:ext>
            </a:extLst>
          </xdr:cNvPr>
          <xdr:cNvSpPr txBox="1"/>
        </xdr:nvSpPr>
        <xdr:spPr>
          <a:xfrm>
            <a:off x="180975" y="5410205"/>
            <a:ext cx="2119312" cy="242457"/>
          </a:xfrm>
          <a:prstGeom prst="rect">
            <a:avLst/>
          </a:prstGeom>
          <a:solidFill>
            <a:schemeClr val="accent1">
              <a:lumMod val="60000"/>
              <a:lumOff val="40000"/>
            </a:schemeClr>
          </a:solidFill>
          <a:ln w="9525" cmpd="sng">
            <a:solidFill>
              <a:schemeClr val="tx2">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fld id="{E014E6EF-ABC5-4C58-9185-AC9B9C6F2992}" type="TxLink">
              <a:rPr lang="en-US" sz="1000" b="0" i="0" u="none" strike="noStrike">
                <a:solidFill>
                  <a:schemeClr val="tx1"/>
                </a:solidFill>
                <a:latin typeface="Calibri"/>
                <a:ea typeface="Karla" pitchFamily="2" charset="0"/>
                <a:cs typeface="Calibri"/>
              </a:rPr>
              <a:pPr algn="ctr"/>
              <a:t>High: 50.1 to 75.0</a:t>
            </a:fld>
            <a:endParaRPr lang="en-GB" sz="1000">
              <a:solidFill>
                <a:schemeClr val="tx1"/>
              </a:solidFill>
              <a:latin typeface="+mn-lt"/>
              <a:ea typeface="Karla" pitchFamily="2" charset="0"/>
            </a:endParaRPr>
          </a:p>
        </xdr:txBody>
      </xdr:sp>
      <xdr:sp macro="" textlink="uxb_works!H119">
        <xdr:nvSpPr>
          <xdr:cNvPr id="66" name="TextBox 65">
            <a:extLst>
              <a:ext uri="{FF2B5EF4-FFF2-40B4-BE49-F238E27FC236}">
                <a16:creationId xmlns:a16="http://schemas.microsoft.com/office/drawing/2014/main" id="{00000000-0008-0000-0400-000042000000}"/>
              </a:ext>
            </a:extLst>
          </xdr:cNvPr>
          <xdr:cNvSpPr txBox="1"/>
        </xdr:nvSpPr>
        <xdr:spPr>
          <a:xfrm>
            <a:off x="180975" y="5172075"/>
            <a:ext cx="2119312" cy="242457"/>
          </a:xfrm>
          <a:prstGeom prst="rect">
            <a:avLst/>
          </a:prstGeom>
          <a:solidFill>
            <a:srgbClr val="376092"/>
          </a:solidFill>
          <a:ln w="9525" cmpd="sng">
            <a:solidFill>
              <a:schemeClr val="tx2">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ctr"/>
          <a:lstStyle/>
          <a:p>
            <a:pPr algn="ctr"/>
            <a:fld id="{BD393886-0134-4C35-98EA-2F7CF7DBD397}" type="TxLink">
              <a:rPr lang="en-US" sz="1000" b="0" i="0" u="none" strike="noStrike">
                <a:solidFill>
                  <a:schemeClr val="bg1"/>
                </a:solidFill>
                <a:latin typeface="Calibri"/>
                <a:ea typeface="Karla" pitchFamily="2" charset="0"/>
                <a:cs typeface="Calibri"/>
              </a:rPr>
              <a:pPr algn="ctr"/>
              <a:t>Very high: 75.1 to 100</a:t>
            </a:fld>
            <a:endParaRPr lang="en-GB" sz="1100">
              <a:solidFill>
                <a:schemeClr val="bg1"/>
              </a:solidFill>
              <a:latin typeface="+mn-lt"/>
              <a:ea typeface="Karla" pitchFamily="2"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495300</xdr:colOff>
      <xdr:row>12</xdr:row>
      <xdr:rowOff>44454</xdr:rowOff>
    </xdr:from>
    <xdr:to>
      <xdr:col>8</xdr:col>
      <xdr:colOff>73730</xdr:colOff>
      <xdr:row>12</xdr:row>
      <xdr:rowOff>623363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4695825" y="1254129"/>
          <a:ext cx="4683830" cy="578909"/>
          <a:chOff x="3757082" y="1164167"/>
          <a:chExt cx="4658086" cy="572559"/>
        </a:xfrm>
      </xdr:grpSpPr>
      <xdr:graphicFrame macro="">
        <xdr:nvGraphicFramePr>
          <xdr:cNvPr id="3" name="Number_Line">
            <a:extLst>
              <a:ext uri="{FF2B5EF4-FFF2-40B4-BE49-F238E27FC236}">
                <a16:creationId xmlns:a16="http://schemas.microsoft.com/office/drawing/2014/main" id="{00000000-0008-0000-0500-000003000000}"/>
              </a:ext>
            </a:extLst>
          </xdr:cNvPr>
          <xdr:cNvGraphicFramePr>
            <a:graphicFrameLocks/>
          </xdr:cNvGraphicFramePr>
        </xdr:nvGraphicFramePr>
        <xdr:xfrm>
          <a:off x="3757082" y="1164167"/>
          <a:ext cx="4658086" cy="57255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0500-000004000000}"/>
              </a:ext>
            </a:extLst>
          </xdr:cNvPr>
          <xdr:cNvSpPr/>
        </xdr:nvSpPr>
        <xdr:spPr>
          <a:xfrm>
            <a:off x="3767667" y="1223826"/>
            <a:ext cx="4631013" cy="18905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grpSp>
    <xdr:clientData/>
  </xdr:twoCellAnchor>
  <xdr:twoCellAnchor editAs="oneCell">
    <xdr:from>
      <xdr:col>3</xdr:col>
      <xdr:colOff>533400</xdr:colOff>
      <xdr:row>14</xdr:row>
      <xdr:rowOff>9525</xdr:rowOff>
    </xdr:from>
    <xdr:to>
      <xdr:col>6</xdr:col>
      <xdr:colOff>4000500</xdr:colOff>
      <xdr:row>15</xdr:row>
      <xdr:rowOff>77260</xdr:rowOff>
    </xdr:to>
    <xdr:graphicFrame macro="">
      <xdr:nvGraphicFramePr>
        <xdr:cNvPr id="6" name="Chart_A1.0">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542925</xdr:colOff>
      <xdr:row>16</xdr:row>
      <xdr:rowOff>390525</xdr:rowOff>
    </xdr:from>
    <xdr:to>
      <xdr:col>7</xdr:col>
      <xdr:colOff>0</xdr:colOff>
      <xdr:row>18</xdr:row>
      <xdr:rowOff>58210</xdr:rowOff>
    </xdr:to>
    <xdr:graphicFrame macro="">
      <xdr:nvGraphicFramePr>
        <xdr:cNvPr id="9" name="Chart_A1.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533400</xdr:colOff>
      <xdr:row>19</xdr:row>
      <xdr:rowOff>388541</xdr:rowOff>
    </xdr:from>
    <xdr:to>
      <xdr:col>6</xdr:col>
      <xdr:colOff>4000500</xdr:colOff>
      <xdr:row>21</xdr:row>
      <xdr:rowOff>56226</xdr:rowOff>
    </xdr:to>
    <xdr:graphicFrame macro="">
      <xdr:nvGraphicFramePr>
        <xdr:cNvPr id="12" name="Chart_A1.6">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552450</xdr:colOff>
      <xdr:row>23</xdr:row>
      <xdr:rowOff>0</xdr:rowOff>
    </xdr:from>
    <xdr:to>
      <xdr:col>6</xdr:col>
      <xdr:colOff>4019550</xdr:colOff>
      <xdr:row>24</xdr:row>
      <xdr:rowOff>67735</xdr:rowOff>
    </xdr:to>
    <xdr:graphicFrame macro="">
      <xdr:nvGraphicFramePr>
        <xdr:cNvPr id="15" name="Chart_A2.2">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104648</xdr:colOff>
      <xdr:row>45</xdr:row>
      <xdr:rowOff>133985</xdr:rowOff>
    </xdr:from>
    <xdr:to>
      <xdr:col>2</xdr:col>
      <xdr:colOff>736473</xdr:colOff>
      <xdr:row>47</xdr:row>
      <xdr:rowOff>149067</xdr:rowOff>
    </xdr:to>
    <xdr:sp macro="[0]!UniversalChanger" textlink="">
      <xdr:nvSpPr>
        <xdr:cNvPr id="16" name="go_top_B">
          <a:extLst>
            <a:ext uri="{FF2B5EF4-FFF2-40B4-BE49-F238E27FC236}">
              <a16:creationId xmlns:a16="http://schemas.microsoft.com/office/drawing/2014/main" id="{00000000-0008-0000-0500-000010000000}"/>
            </a:ext>
          </a:extLst>
        </xdr:cNvPr>
        <xdr:cNvSpPr txBox="1"/>
      </xdr:nvSpPr>
      <xdr:spPr>
        <a:xfrm>
          <a:off x="104648" y="11478260"/>
          <a:ext cx="803275" cy="396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l" rtl="0">
            <a:defRPr sz="1000"/>
          </a:pPr>
          <a:r>
            <a:rPr lang="en-GB" sz="1100" b="1" i="0" u="sng" strike="noStrike" baseline="0">
              <a:solidFill>
                <a:srgbClr val="0070C0"/>
              </a:solidFill>
              <a:latin typeface="Karla" pitchFamily="2" charset="0"/>
              <a:ea typeface="Karla" pitchFamily="2" charset="0"/>
            </a:rPr>
            <a:t>Back to top</a:t>
          </a:r>
        </a:p>
      </xdr:txBody>
    </xdr:sp>
    <xdr:clientData/>
  </xdr:twoCellAnchor>
  <xdr:twoCellAnchor editAs="oneCell">
    <xdr:from>
      <xdr:col>2</xdr:col>
      <xdr:colOff>14288</xdr:colOff>
      <xdr:row>13</xdr:row>
      <xdr:rowOff>42333</xdr:rowOff>
    </xdr:from>
    <xdr:to>
      <xdr:col>2</xdr:col>
      <xdr:colOff>3614288</xdr:colOff>
      <xdr:row>13</xdr:row>
      <xdr:rowOff>391583</xdr:rowOff>
    </xdr:to>
    <xdr:sp macro="[0]!UniversalChanger" textlink="">
      <xdr:nvSpPr>
        <xdr:cNvPr id="17" name="Jump_1">
          <a:extLst>
            <a:ext uri="{FF2B5EF4-FFF2-40B4-BE49-F238E27FC236}">
              <a16:creationId xmlns:a16="http://schemas.microsoft.com/office/drawing/2014/main" id="{00000000-0008-0000-0500-000011000000}"/>
            </a:ext>
          </a:extLst>
        </xdr:cNvPr>
        <xdr:cNvSpPr/>
      </xdr:nvSpPr>
      <xdr:spPr>
        <a:xfrm>
          <a:off x="185738" y="1966383"/>
          <a:ext cx="360000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fPrintsWithSheet="0"/>
  </xdr:twoCellAnchor>
  <xdr:twoCellAnchor editAs="oneCell">
    <xdr:from>
      <xdr:col>2</xdr:col>
      <xdr:colOff>14288</xdr:colOff>
      <xdr:row>14</xdr:row>
      <xdr:rowOff>32808</xdr:rowOff>
    </xdr:from>
    <xdr:to>
      <xdr:col>2</xdr:col>
      <xdr:colOff>3614288</xdr:colOff>
      <xdr:row>14</xdr:row>
      <xdr:rowOff>382058</xdr:rowOff>
    </xdr:to>
    <xdr:sp macro="[0]!UniversalChanger" textlink="">
      <xdr:nvSpPr>
        <xdr:cNvPr id="18" name="Jump_2">
          <a:extLst>
            <a:ext uri="{FF2B5EF4-FFF2-40B4-BE49-F238E27FC236}">
              <a16:creationId xmlns:a16="http://schemas.microsoft.com/office/drawing/2014/main" id="{00000000-0008-0000-0500-000012000000}"/>
            </a:ext>
          </a:extLst>
        </xdr:cNvPr>
        <xdr:cNvSpPr/>
      </xdr:nvSpPr>
      <xdr:spPr>
        <a:xfrm>
          <a:off x="185738" y="2395008"/>
          <a:ext cx="360000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fPrintsWithSheet="0"/>
  </xdr:twoCellAnchor>
  <xdr:twoCellAnchor editAs="oneCell">
    <xdr:from>
      <xdr:col>2</xdr:col>
      <xdr:colOff>14288</xdr:colOff>
      <xdr:row>15</xdr:row>
      <xdr:rowOff>13758</xdr:rowOff>
    </xdr:from>
    <xdr:to>
      <xdr:col>2</xdr:col>
      <xdr:colOff>3614288</xdr:colOff>
      <xdr:row>15</xdr:row>
      <xdr:rowOff>363008</xdr:rowOff>
    </xdr:to>
    <xdr:sp macro="[0]!UniversalChanger" textlink="">
      <xdr:nvSpPr>
        <xdr:cNvPr id="19" name="Jump_3">
          <a:extLst>
            <a:ext uri="{FF2B5EF4-FFF2-40B4-BE49-F238E27FC236}">
              <a16:creationId xmlns:a16="http://schemas.microsoft.com/office/drawing/2014/main" id="{00000000-0008-0000-0500-000013000000}"/>
            </a:ext>
          </a:extLst>
        </xdr:cNvPr>
        <xdr:cNvSpPr/>
      </xdr:nvSpPr>
      <xdr:spPr>
        <a:xfrm>
          <a:off x="185738" y="2776008"/>
          <a:ext cx="360000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fPrintsWithSheet="0"/>
  </xdr:twoCellAnchor>
  <xdr:twoCellAnchor editAs="oneCell">
    <xdr:from>
      <xdr:col>2</xdr:col>
      <xdr:colOff>14288</xdr:colOff>
      <xdr:row>16</xdr:row>
      <xdr:rowOff>23283</xdr:rowOff>
    </xdr:from>
    <xdr:to>
      <xdr:col>2</xdr:col>
      <xdr:colOff>3614288</xdr:colOff>
      <xdr:row>16</xdr:row>
      <xdr:rowOff>372533</xdr:rowOff>
    </xdr:to>
    <xdr:sp macro="[0]!UniversalChanger" textlink="">
      <xdr:nvSpPr>
        <xdr:cNvPr id="20" name="Jump_4">
          <a:extLst>
            <a:ext uri="{FF2B5EF4-FFF2-40B4-BE49-F238E27FC236}">
              <a16:creationId xmlns:a16="http://schemas.microsoft.com/office/drawing/2014/main" id="{00000000-0008-0000-0500-000014000000}"/>
            </a:ext>
          </a:extLst>
        </xdr:cNvPr>
        <xdr:cNvSpPr/>
      </xdr:nvSpPr>
      <xdr:spPr>
        <a:xfrm>
          <a:off x="185738" y="3185583"/>
          <a:ext cx="360000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fPrintsWithSheet="0"/>
  </xdr:twoCellAnchor>
  <xdr:twoCellAnchor editAs="oneCell">
    <xdr:from>
      <xdr:col>2</xdr:col>
      <xdr:colOff>14288</xdr:colOff>
      <xdr:row>17</xdr:row>
      <xdr:rowOff>23283</xdr:rowOff>
    </xdr:from>
    <xdr:to>
      <xdr:col>2</xdr:col>
      <xdr:colOff>3614288</xdr:colOff>
      <xdr:row>17</xdr:row>
      <xdr:rowOff>372533</xdr:rowOff>
    </xdr:to>
    <xdr:sp macro="[0]!UniversalChanger" textlink="">
      <xdr:nvSpPr>
        <xdr:cNvPr id="21" name="Jump_5">
          <a:extLst>
            <a:ext uri="{FF2B5EF4-FFF2-40B4-BE49-F238E27FC236}">
              <a16:creationId xmlns:a16="http://schemas.microsoft.com/office/drawing/2014/main" id="{00000000-0008-0000-0500-000015000000}"/>
            </a:ext>
          </a:extLst>
        </xdr:cNvPr>
        <xdr:cNvSpPr/>
      </xdr:nvSpPr>
      <xdr:spPr>
        <a:xfrm>
          <a:off x="185738" y="3585633"/>
          <a:ext cx="360000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fPrintsWithSheet="0"/>
  </xdr:twoCellAnchor>
  <xdr:twoCellAnchor editAs="oneCell">
    <xdr:from>
      <xdr:col>2</xdr:col>
      <xdr:colOff>14288</xdr:colOff>
      <xdr:row>18</xdr:row>
      <xdr:rowOff>13758</xdr:rowOff>
    </xdr:from>
    <xdr:to>
      <xdr:col>2</xdr:col>
      <xdr:colOff>3614288</xdr:colOff>
      <xdr:row>18</xdr:row>
      <xdr:rowOff>363008</xdr:rowOff>
    </xdr:to>
    <xdr:sp macro="[0]!UniversalChanger" textlink="">
      <xdr:nvSpPr>
        <xdr:cNvPr id="22" name="Jump_6">
          <a:extLst>
            <a:ext uri="{FF2B5EF4-FFF2-40B4-BE49-F238E27FC236}">
              <a16:creationId xmlns:a16="http://schemas.microsoft.com/office/drawing/2014/main" id="{00000000-0008-0000-0500-000016000000}"/>
            </a:ext>
          </a:extLst>
        </xdr:cNvPr>
        <xdr:cNvSpPr/>
      </xdr:nvSpPr>
      <xdr:spPr>
        <a:xfrm>
          <a:off x="185738" y="3976158"/>
          <a:ext cx="360000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fPrintsWithSheet="0"/>
  </xdr:twoCellAnchor>
  <xdr:twoCellAnchor editAs="oneCell">
    <xdr:from>
      <xdr:col>2</xdr:col>
      <xdr:colOff>14288</xdr:colOff>
      <xdr:row>19</xdr:row>
      <xdr:rowOff>13758</xdr:rowOff>
    </xdr:from>
    <xdr:to>
      <xdr:col>2</xdr:col>
      <xdr:colOff>3614288</xdr:colOff>
      <xdr:row>19</xdr:row>
      <xdr:rowOff>363008</xdr:rowOff>
    </xdr:to>
    <xdr:sp macro="[0]!UniversalChanger" textlink="">
      <xdr:nvSpPr>
        <xdr:cNvPr id="23" name="Jump_7">
          <a:extLst>
            <a:ext uri="{FF2B5EF4-FFF2-40B4-BE49-F238E27FC236}">
              <a16:creationId xmlns:a16="http://schemas.microsoft.com/office/drawing/2014/main" id="{00000000-0008-0000-0500-000017000000}"/>
            </a:ext>
          </a:extLst>
        </xdr:cNvPr>
        <xdr:cNvSpPr/>
      </xdr:nvSpPr>
      <xdr:spPr>
        <a:xfrm>
          <a:off x="185738" y="4376208"/>
          <a:ext cx="360000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fPrintsWithSheet="0"/>
  </xdr:twoCellAnchor>
  <xdr:twoCellAnchor editAs="oneCell">
    <xdr:from>
      <xdr:col>2</xdr:col>
      <xdr:colOff>14288</xdr:colOff>
      <xdr:row>20</xdr:row>
      <xdr:rowOff>32808</xdr:rowOff>
    </xdr:from>
    <xdr:to>
      <xdr:col>2</xdr:col>
      <xdr:colOff>3614288</xdr:colOff>
      <xdr:row>20</xdr:row>
      <xdr:rowOff>382058</xdr:rowOff>
    </xdr:to>
    <xdr:sp macro="[0]!UniversalChanger" textlink="">
      <xdr:nvSpPr>
        <xdr:cNvPr id="24" name="Jump_8">
          <a:extLst>
            <a:ext uri="{FF2B5EF4-FFF2-40B4-BE49-F238E27FC236}">
              <a16:creationId xmlns:a16="http://schemas.microsoft.com/office/drawing/2014/main" id="{00000000-0008-0000-0500-000018000000}"/>
            </a:ext>
          </a:extLst>
        </xdr:cNvPr>
        <xdr:cNvSpPr/>
      </xdr:nvSpPr>
      <xdr:spPr>
        <a:xfrm>
          <a:off x="185738" y="4795308"/>
          <a:ext cx="360000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fPrintsWithSheet="0"/>
  </xdr:twoCellAnchor>
  <xdr:twoCellAnchor editAs="oneCell">
    <xdr:from>
      <xdr:col>2</xdr:col>
      <xdr:colOff>14288</xdr:colOff>
      <xdr:row>21</xdr:row>
      <xdr:rowOff>23283</xdr:rowOff>
    </xdr:from>
    <xdr:to>
      <xdr:col>2</xdr:col>
      <xdr:colOff>3614288</xdr:colOff>
      <xdr:row>21</xdr:row>
      <xdr:rowOff>372533</xdr:rowOff>
    </xdr:to>
    <xdr:sp macro="[0]!UniversalChanger" textlink="">
      <xdr:nvSpPr>
        <xdr:cNvPr id="25" name="Jump_9">
          <a:extLst>
            <a:ext uri="{FF2B5EF4-FFF2-40B4-BE49-F238E27FC236}">
              <a16:creationId xmlns:a16="http://schemas.microsoft.com/office/drawing/2014/main" id="{00000000-0008-0000-0500-000019000000}"/>
            </a:ext>
          </a:extLst>
        </xdr:cNvPr>
        <xdr:cNvSpPr/>
      </xdr:nvSpPr>
      <xdr:spPr>
        <a:xfrm>
          <a:off x="185738" y="5185833"/>
          <a:ext cx="360000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fPrintsWithSheet="0"/>
  </xdr:twoCellAnchor>
  <xdr:twoCellAnchor editAs="oneCell">
    <xdr:from>
      <xdr:col>2</xdr:col>
      <xdr:colOff>14288</xdr:colOff>
      <xdr:row>22</xdr:row>
      <xdr:rowOff>13758</xdr:rowOff>
    </xdr:from>
    <xdr:to>
      <xdr:col>2</xdr:col>
      <xdr:colOff>3614288</xdr:colOff>
      <xdr:row>22</xdr:row>
      <xdr:rowOff>363008</xdr:rowOff>
    </xdr:to>
    <xdr:sp macro="[0]!UniversalChanger" textlink="">
      <xdr:nvSpPr>
        <xdr:cNvPr id="26" name="Jump_10">
          <a:extLst>
            <a:ext uri="{FF2B5EF4-FFF2-40B4-BE49-F238E27FC236}">
              <a16:creationId xmlns:a16="http://schemas.microsoft.com/office/drawing/2014/main" id="{00000000-0008-0000-0500-00001A000000}"/>
            </a:ext>
          </a:extLst>
        </xdr:cNvPr>
        <xdr:cNvSpPr/>
      </xdr:nvSpPr>
      <xdr:spPr>
        <a:xfrm>
          <a:off x="185738" y="5576358"/>
          <a:ext cx="360000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fPrintsWithSheet="0"/>
  </xdr:twoCellAnchor>
  <xdr:twoCellAnchor editAs="oneCell">
    <xdr:from>
      <xdr:col>2</xdr:col>
      <xdr:colOff>14288</xdr:colOff>
      <xdr:row>23</xdr:row>
      <xdr:rowOff>13758</xdr:rowOff>
    </xdr:from>
    <xdr:to>
      <xdr:col>2</xdr:col>
      <xdr:colOff>3614288</xdr:colOff>
      <xdr:row>23</xdr:row>
      <xdr:rowOff>363008</xdr:rowOff>
    </xdr:to>
    <xdr:sp macro="[0]!UniversalChanger" textlink="">
      <xdr:nvSpPr>
        <xdr:cNvPr id="27" name="Jump_11">
          <a:extLst>
            <a:ext uri="{FF2B5EF4-FFF2-40B4-BE49-F238E27FC236}">
              <a16:creationId xmlns:a16="http://schemas.microsoft.com/office/drawing/2014/main" id="{00000000-0008-0000-0500-00001B000000}"/>
            </a:ext>
          </a:extLst>
        </xdr:cNvPr>
        <xdr:cNvSpPr/>
      </xdr:nvSpPr>
      <xdr:spPr>
        <a:xfrm>
          <a:off x="185738" y="5976408"/>
          <a:ext cx="360000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fPrintsWithSheet="0"/>
  </xdr:twoCellAnchor>
  <xdr:twoCellAnchor editAs="oneCell">
    <xdr:from>
      <xdr:col>2</xdr:col>
      <xdr:colOff>14288</xdr:colOff>
      <xdr:row>24</xdr:row>
      <xdr:rowOff>23283</xdr:rowOff>
    </xdr:from>
    <xdr:to>
      <xdr:col>2</xdr:col>
      <xdr:colOff>3614288</xdr:colOff>
      <xdr:row>24</xdr:row>
      <xdr:rowOff>372533</xdr:rowOff>
    </xdr:to>
    <xdr:sp macro="[0]!UniversalChanger" textlink="">
      <xdr:nvSpPr>
        <xdr:cNvPr id="28" name="Jump_12">
          <a:extLst>
            <a:ext uri="{FF2B5EF4-FFF2-40B4-BE49-F238E27FC236}">
              <a16:creationId xmlns:a16="http://schemas.microsoft.com/office/drawing/2014/main" id="{00000000-0008-0000-0500-00001C000000}"/>
            </a:ext>
          </a:extLst>
        </xdr:cNvPr>
        <xdr:cNvSpPr/>
      </xdr:nvSpPr>
      <xdr:spPr>
        <a:xfrm>
          <a:off x="185738" y="6385983"/>
          <a:ext cx="360000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lang="en-GB" sz="1100">
              <a:solidFill>
                <a:sysClr val="windowText" lastClr="000000"/>
              </a:solidFill>
            </a:rPr>
            <a:t>`</a:t>
          </a:r>
        </a:p>
      </xdr:txBody>
    </xdr:sp>
    <xdr:clientData fPrintsWithSheet="0"/>
  </xdr:twoCellAnchor>
  <xdr:oneCellAnchor>
    <xdr:from>
      <xdr:col>2</xdr:col>
      <xdr:colOff>14288</xdr:colOff>
      <xdr:row>25</xdr:row>
      <xdr:rowOff>23283</xdr:rowOff>
    </xdr:from>
    <xdr:ext cx="3600000" cy="349250"/>
    <xdr:sp macro="[0]!UniversalChanger" textlink="">
      <xdr:nvSpPr>
        <xdr:cNvPr id="29" name="Jump_13">
          <a:extLst>
            <a:ext uri="{FF2B5EF4-FFF2-40B4-BE49-F238E27FC236}">
              <a16:creationId xmlns:a16="http://schemas.microsoft.com/office/drawing/2014/main" id="{00000000-0008-0000-0500-00001D000000}"/>
            </a:ext>
          </a:extLst>
        </xdr:cNvPr>
        <xdr:cNvSpPr/>
      </xdr:nvSpPr>
      <xdr:spPr>
        <a:xfrm>
          <a:off x="185738" y="6786033"/>
          <a:ext cx="360000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fPrintsWithSheet="0"/>
  </xdr:oneCellAnchor>
  <xdr:twoCellAnchor editAs="oneCell">
    <xdr:from>
      <xdr:col>0</xdr:col>
      <xdr:colOff>114300</xdr:colOff>
      <xdr:row>12</xdr:row>
      <xdr:rowOff>323850</xdr:rowOff>
    </xdr:from>
    <xdr:to>
      <xdr:col>2</xdr:col>
      <xdr:colOff>3429000</xdr:colOff>
      <xdr:row>12</xdr:row>
      <xdr:rowOff>629710</xdr:rowOff>
    </xdr:to>
    <xdr:sp macro="" textlink="">
      <xdr:nvSpPr>
        <xdr:cNvPr id="33" name="TextBox 32">
          <a:extLst>
            <a:ext uri="{FF2B5EF4-FFF2-40B4-BE49-F238E27FC236}">
              <a16:creationId xmlns:a16="http://schemas.microsoft.com/office/drawing/2014/main" id="{00000000-0008-0000-0500-000021000000}"/>
            </a:ext>
          </a:extLst>
        </xdr:cNvPr>
        <xdr:cNvSpPr txBox="1">
          <a:spLocks noChangeArrowheads="1"/>
        </xdr:cNvSpPr>
      </xdr:nvSpPr>
      <xdr:spPr bwMode="auto">
        <a:xfrm>
          <a:off x="114300" y="1533525"/>
          <a:ext cx="3486150" cy="305860"/>
        </a:xfrm>
        <a:prstGeom prst="rect">
          <a:avLst/>
        </a:prstGeom>
        <a:noFill/>
        <a:ln w="9525">
          <a:noFill/>
          <a:miter lim="800000"/>
          <a:headEnd/>
          <a:tailEnd/>
        </a:ln>
      </xdr:spPr>
      <xdr:txBody>
        <a:bodyPr vertOverflow="clip" wrap="square" lIns="72000" tIns="72000" rIns="72000" bIns="72000" anchor="ctr" upright="1"/>
        <a:lstStyle/>
        <a:p>
          <a:pPr marL="0" algn="l"/>
          <a:r>
            <a:rPr lang="en-US" sz="1000" b="0" i="1" u="none" strike="noStrike">
              <a:solidFill>
                <a:srgbClr val="3B6E8F"/>
              </a:solidFill>
              <a:effectLst/>
              <a:latin typeface="+mn-lt"/>
              <a:ea typeface="+mn-ea"/>
              <a:cs typeface="Calibri"/>
            </a:rPr>
            <a:t>Click on any indicator to read</a:t>
          </a:r>
          <a:r>
            <a:rPr lang="en-US" sz="1000" b="0" i="1" u="none" strike="noStrike" baseline="0">
              <a:solidFill>
                <a:srgbClr val="3B6E8F"/>
              </a:solidFill>
              <a:effectLst/>
              <a:latin typeface="+mn-lt"/>
              <a:ea typeface="+mn-ea"/>
              <a:cs typeface="Calibri"/>
            </a:rPr>
            <a:t> full details in indicator ranking</a:t>
          </a:r>
          <a:endParaRPr lang="en-US" sz="1000" b="0" i="1" u="none" strike="noStrike">
            <a:solidFill>
              <a:srgbClr val="3B6E8F"/>
            </a:solidFill>
            <a:effectLst/>
            <a:latin typeface="+mn-lt"/>
            <a:ea typeface="+mn-ea"/>
            <a:cs typeface="Calibri"/>
          </a:endParaRPr>
        </a:p>
      </xdr:txBody>
    </xdr:sp>
    <xdr:clientData fPrintsWithSheet="0"/>
  </xdr:twoCellAnchor>
  <xdr:twoCellAnchor editAs="oneCell">
    <xdr:from>
      <xdr:col>2</xdr:col>
      <xdr:colOff>9525</xdr:colOff>
      <xdr:row>36</xdr:row>
      <xdr:rowOff>85725</xdr:rowOff>
    </xdr:from>
    <xdr:to>
      <xdr:col>2</xdr:col>
      <xdr:colOff>3324225</xdr:colOff>
      <xdr:row>37</xdr:row>
      <xdr:rowOff>189178</xdr:rowOff>
    </xdr:to>
    <xdr:sp macro="" textlink="">
      <xdr:nvSpPr>
        <xdr:cNvPr id="34" name="TextBox 33">
          <a:extLst>
            <a:ext uri="{FF2B5EF4-FFF2-40B4-BE49-F238E27FC236}">
              <a16:creationId xmlns:a16="http://schemas.microsoft.com/office/drawing/2014/main" id="{00000000-0008-0000-0500-000022000000}"/>
            </a:ext>
          </a:extLst>
        </xdr:cNvPr>
        <xdr:cNvSpPr txBox="1">
          <a:spLocks noChangeArrowheads="1"/>
        </xdr:cNvSpPr>
      </xdr:nvSpPr>
      <xdr:spPr bwMode="auto">
        <a:xfrm>
          <a:off x="180975" y="8448675"/>
          <a:ext cx="3314700" cy="303478"/>
        </a:xfrm>
        <a:prstGeom prst="rect">
          <a:avLst/>
        </a:prstGeom>
        <a:noFill/>
        <a:ln w="9525">
          <a:noFill/>
          <a:miter lim="800000"/>
          <a:headEnd/>
          <a:tailEnd/>
        </a:ln>
      </xdr:spPr>
      <xdr:txBody>
        <a:bodyPr vertOverflow="clip" wrap="square" lIns="72000" tIns="72000" rIns="72000" bIns="72000" anchor="ctr" upright="1"/>
        <a:lstStyle/>
        <a:p>
          <a:pPr marL="0" algn="l"/>
          <a:r>
            <a:rPr lang="en-US" sz="1000" b="0" i="1" u="none" strike="noStrike">
              <a:solidFill>
                <a:srgbClr val="3B6E8F"/>
              </a:solidFill>
              <a:effectLst/>
              <a:latin typeface="+mn-lt"/>
              <a:ea typeface="+mn-ea"/>
              <a:cs typeface="Calibri"/>
            </a:rPr>
            <a:t>Click on any indicator to read</a:t>
          </a:r>
          <a:r>
            <a:rPr lang="en-US" sz="1000" b="0" i="1" u="none" strike="noStrike" baseline="0">
              <a:solidFill>
                <a:srgbClr val="3B6E8F"/>
              </a:solidFill>
              <a:effectLst/>
              <a:latin typeface="+mn-lt"/>
              <a:ea typeface="+mn-ea"/>
              <a:cs typeface="Calibri"/>
            </a:rPr>
            <a:t> full details in indicator ranking</a:t>
          </a:r>
          <a:endParaRPr lang="en-US" sz="1000" b="0" i="1" u="none" strike="noStrike">
            <a:solidFill>
              <a:srgbClr val="3B6E8F"/>
            </a:solidFill>
            <a:effectLst/>
            <a:latin typeface="+mn-lt"/>
            <a:ea typeface="+mn-ea"/>
            <a:cs typeface="Calibri"/>
          </a:endParaRPr>
        </a:p>
      </xdr:txBody>
    </xdr:sp>
    <xdr:clientData fPrintsWithSheet="0"/>
  </xdr:twoCellAnchor>
  <xdr:twoCellAnchor>
    <xdr:from>
      <xdr:col>0</xdr:col>
      <xdr:colOff>85725</xdr:colOff>
      <xdr:row>9</xdr:row>
      <xdr:rowOff>76197</xdr:rowOff>
    </xdr:from>
    <xdr:to>
      <xdr:col>11</xdr:col>
      <xdr:colOff>122025</xdr:colOff>
      <xdr:row>38</xdr:row>
      <xdr:rowOff>104775</xdr:rowOff>
    </xdr:to>
    <xdr:sp macro="" textlink="">
      <xdr:nvSpPr>
        <xdr:cNvPr id="35" name="LeftBox1">
          <a:extLst>
            <a:ext uri="{FF2B5EF4-FFF2-40B4-BE49-F238E27FC236}">
              <a16:creationId xmlns:a16="http://schemas.microsoft.com/office/drawing/2014/main" id="{00000000-0008-0000-0500-000023000000}"/>
            </a:ext>
          </a:extLst>
        </xdr:cNvPr>
        <xdr:cNvSpPr>
          <a:spLocks/>
        </xdr:cNvSpPr>
      </xdr:nvSpPr>
      <xdr:spPr>
        <a:xfrm>
          <a:off x="85725" y="1162047"/>
          <a:ext cx="11647275" cy="10096503"/>
        </a:xfrm>
        <a:prstGeom prst="rect">
          <a:avLst/>
        </a:prstGeom>
        <a:noFill/>
        <a:ln w="6350">
          <a:solidFill>
            <a:srgbClr val="005E9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400" b="1" i="0" u="none" strike="noStrike">
            <a:solidFill>
              <a:schemeClr val="accent1">
                <a:lumMod val="60000"/>
                <a:lumOff val="40000"/>
              </a:schemeClr>
            </a:solidFill>
            <a:latin typeface="Calibri"/>
            <a:cs typeface="Calibri"/>
          </a:endParaRPr>
        </a:p>
      </xdr:txBody>
    </xdr:sp>
    <xdr:clientData/>
  </xdr:twoCellAnchor>
  <xdr:oneCellAnchor>
    <xdr:from>
      <xdr:col>3</xdr:col>
      <xdr:colOff>533400</xdr:colOff>
      <xdr:row>26</xdr:row>
      <xdr:rowOff>0</xdr:rowOff>
    </xdr:from>
    <xdr:ext cx="4562475" cy="467784"/>
    <xdr:graphicFrame macro="">
      <xdr:nvGraphicFramePr>
        <xdr:cNvPr id="89" name="Chart_A2.2">
          <a:extLst>
            <a:ext uri="{FF2B5EF4-FFF2-40B4-BE49-F238E27FC236}">
              <a16:creationId xmlns:a16="http://schemas.microsoft.com/office/drawing/2014/main" id="{00000000-0008-0000-05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xdr:col>
      <xdr:colOff>14288</xdr:colOff>
      <xdr:row>26</xdr:row>
      <xdr:rowOff>32808</xdr:rowOff>
    </xdr:from>
    <xdr:ext cx="3600000" cy="349250"/>
    <xdr:sp macro="[0]!UniversalChanger" textlink="">
      <xdr:nvSpPr>
        <xdr:cNvPr id="92" name="Jump_14">
          <a:extLst>
            <a:ext uri="{FF2B5EF4-FFF2-40B4-BE49-F238E27FC236}">
              <a16:creationId xmlns:a16="http://schemas.microsoft.com/office/drawing/2014/main" id="{00000000-0008-0000-0500-00005C000000}"/>
            </a:ext>
          </a:extLst>
        </xdr:cNvPr>
        <xdr:cNvSpPr/>
      </xdr:nvSpPr>
      <xdr:spPr>
        <a:xfrm>
          <a:off x="185738" y="7195608"/>
          <a:ext cx="360000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fPrintsWithSheet="0"/>
  </xdr:oneCellAnchor>
  <xdr:oneCellAnchor>
    <xdr:from>
      <xdr:col>2</xdr:col>
      <xdr:colOff>19050</xdr:colOff>
      <xdr:row>27</xdr:row>
      <xdr:rowOff>13758</xdr:rowOff>
    </xdr:from>
    <xdr:ext cx="3600000" cy="349250"/>
    <xdr:sp macro="[0]!UniversalChanger" textlink="">
      <xdr:nvSpPr>
        <xdr:cNvPr id="93" name="Jump_15">
          <a:extLst>
            <a:ext uri="{FF2B5EF4-FFF2-40B4-BE49-F238E27FC236}">
              <a16:creationId xmlns:a16="http://schemas.microsoft.com/office/drawing/2014/main" id="{00000000-0008-0000-0500-00005D000000}"/>
            </a:ext>
          </a:extLst>
        </xdr:cNvPr>
        <xdr:cNvSpPr/>
      </xdr:nvSpPr>
      <xdr:spPr>
        <a:xfrm>
          <a:off x="190500" y="7576608"/>
          <a:ext cx="360000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fPrintsWithSheet="0"/>
  </xdr:oneCellAnchor>
  <xdr:oneCellAnchor>
    <xdr:from>
      <xdr:col>2</xdr:col>
      <xdr:colOff>47625</xdr:colOff>
      <xdr:row>28</xdr:row>
      <xdr:rowOff>38100</xdr:rowOff>
    </xdr:from>
    <xdr:ext cx="3600000" cy="349250"/>
    <xdr:sp macro="[0]!UniversalChanger" textlink="">
      <xdr:nvSpPr>
        <xdr:cNvPr id="94" name="Jump_16">
          <a:extLst>
            <a:ext uri="{FF2B5EF4-FFF2-40B4-BE49-F238E27FC236}">
              <a16:creationId xmlns:a16="http://schemas.microsoft.com/office/drawing/2014/main" id="{00000000-0008-0000-0500-00005E000000}"/>
            </a:ext>
          </a:extLst>
        </xdr:cNvPr>
        <xdr:cNvSpPr/>
      </xdr:nvSpPr>
      <xdr:spPr>
        <a:xfrm>
          <a:off x="1133475" y="8705850"/>
          <a:ext cx="360000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fPrintsWithSheet="0"/>
  </xdr:oneCellAnchor>
  <xdr:oneCellAnchor>
    <xdr:from>
      <xdr:col>3</xdr:col>
      <xdr:colOff>533400</xdr:colOff>
      <xdr:row>27</xdr:row>
      <xdr:rowOff>0</xdr:rowOff>
    </xdr:from>
    <xdr:ext cx="4562475" cy="467784"/>
    <xdr:graphicFrame macro="">
      <xdr:nvGraphicFramePr>
        <xdr:cNvPr id="95" name="Chart_A2.2">
          <a:extLst>
            <a:ext uri="{FF2B5EF4-FFF2-40B4-BE49-F238E27FC236}">
              <a16:creationId xmlns:a16="http://schemas.microsoft.com/office/drawing/2014/main" id="{00000000-0008-0000-05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3</xdr:col>
      <xdr:colOff>533400</xdr:colOff>
      <xdr:row>28</xdr:row>
      <xdr:rowOff>0</xdr:rowOff>
    </xdr:from>
    <xdr:ext cx="4562475" cy="467784"/>
    <xdr:graphicFrame macro="">
      <xdr:nvGraphicFramePr>
        <xdr:cNvPr id="98" name="Chart_A2.2">
          <a:extLst>
            <a:ext uri="{FF2B5EF4-FFF2-40B4-BE49-F238E27FC236}">
              <a16:creationId xmlns:a16="http://schemas.microsoft.com/office/drawing/2014/main" id="{00000000-0008-0000-05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3</xdr:col>
      <xdr:colOff>533400</xdr:colOff>
      <xdr:row>29</xdr:row>
      <xdr:rowOff>0</xdr:rowOff>
    </xdr:from>
    <xdr:ext cx="4562475" cy="467784"/>
    <xdr:graphicFrame macro="">
      <xdr:nvGraphicFramePr>
        <xdr:cNvPr id="99" name="Chart_A2.2">
          <a:extLst>
            <a:ext uri="{FF2B5EF4-FFF2-40B4-BE49-F238E27FC236}">
              <a16:creationId xmlns:a16="http://schemas.microsoft.com/office/drawing/2014/main" id="{00000000-0008-0000-05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3</xdr:col>
      <xdr:colOff>533400</xdr:colOff>
      <xdr:row>30</xdr:row>
      <xdr:rowOff>0</xdr:rowOff>
    </xdr:from>
    <xdr:ext cx="4562475" cy="467784"/>
    <xdr:graphicFrame macro="">
      <xdr:nvGraphicFramePr>
        <xdr:cNvPr id="100" name="Chart_A2.2">
          <a:extLst>
            <a:ext uri="{FF2B5EF4-FFF2-40B4-BE49-F238E27FC236}">
              <a16:creationId xmlns:a16="http://schemas.microsoft.com/office/drawing/2014/main" id="{00000000-0008-0000-05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oneCellAnchor>
    <xdr:from>
      <xdr:col>3</xdr:col>
      <xdr:colOff>533400</xdr:colOff>
      <xdr:row>31</xdr:row>
      <xdr:rowOff>0</xdr:rowOff>
    </xdr:from>
    <xdr:ext cx="4562475" cy="467784"/>
    <xdr:graphicFrame macro="">
      <xdr:nvGraphicFramePr>
        <xdr:cNvPr id="101" name="Chart_A2.2">
          <a:extLst>
            <a:ext uri="{FF2B5EF4-FFF2-40B4-BE49-F238E27FC236}">
              <a16:creationId xmlns:a16="http://schemas.microsoft.com/office/drawing/2014/main" id="{00000000-0008-0000-05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oneCellAnchor>
  <xdr:oneCellAnchor>
    <xdr:from>
      <xdr:col>3</xdr:col>
      <xdr:colOff>533400</xdr:colOff>
      <xdr:row>32</xdr:row>
      <xdr:rowOff>0</xdr:rowOff>
    </xdr:from>
    <xdr:ext cx="4562475" cy="467784"/>
    <xdr:graphicFrame macro="">
      <xdr:nvGraphicFramePr>
        <xdr:cNvPr id="102" name="Chart_A2.2">
          <a:extLst>
            <a:ext uri="{FF2B5EF4-FFF2-40B4-BE49-F238E27FC236}">
              <a16:creationId xmlns:a16="http://schemas.microsoft.com/office/drawing/2014/main" id="{00000000-0008-0000-0500-00006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oneCellAnchor>
  <xdr:oneCellAnchor>
    <xdr:from>
      <xdr:col>3</xdr:col>
      <xdr:colOff>533400</xdr:colOff>
      <xdr:row>33</xdr:row>
      <xdr:rowOff>0</xdr:rowOff>
    </xdr:from>
    <xdr:ext cx="4562475" cy="467784"/>
    <xdr:graphicFrame macro="">
      <xdr:nvGraphicFramePr>
        <xdr:cNvPr id="103" name="Chart_A2.2">
          <a:extLst>
            <a:ext uri="{FF2B5EF4-FFF2-40B4-BE49-F238E27FC236}">
              <a16:creationId xmlns:a16="http://schemas.microsoft.com/office/drawing/2014/main" id="{00000000-0008-0000-05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oneCellAnchor>
    <xdr:from>
      <xdr:col>3</xdr:col>
      <xdr:colOff>533400</xdr:colOff>
      <xdr:row>34</xdr:row>
      <xdr:rowOff>0</xdr:rowOff>
    </xdr:from>
    <xdr:ext cx="4562475" cy="467784"/>
    <xdr:graphicFrame macro="">
      <xdr:nvGraphicFramePr>
        <xdr:cNvPr id="104" name="Chart_A2.2">
          <a:extLst>
            <a:ext uri="{FF2B5EF4-FFF2-40B4-BE49-F238E27FC236}">
              <a16:creationId xmlns:a16="http://schemas.microsoft.com/office/drawing/2014/main" id="{00000000-0008-0000-05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oneCellAnchor>
  <xdr:twoCellAnchor editAs="oneCell">
    <xdr:from>
      <xdr:col>3</xdr:col>
      <xdr:colOff>552450</xdr:colOff>
      <xdr:row>15</xdr:row>
      <xdr:rowOff>0</xdr:rowOff>
    </xdr:from>
    <xdr:to>
      <xdr:col>6</xdr:col>
      <xdr:colOff>4019550</xdr:colOff>
      <xdr:row>16</xdr:row>
      <xdr:rowOff>67733</xdr:rowOff>
    </xdr:to>
    <xdr:graphicFrame macro="">
      <xdr:nvGraphicFramePr>
        <xdr:cNvPr id="105" name="Chart_A1.0">
          <a:extLst>
            <a:ext uri="{FF2B5EF4-FFF2-40B4-BE49-F238E27FC236}">
              <a16:creationId xmlns:a16="http://schemas.microsoft.com/office/drawing/2014/main" id="{00000000-0008-0000-05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3</xdr:col>
      <xdr:colOff>552450</xdr:colOff>
      <xdr:row>16</xdr:row>
      <xdr:rowOff>0</xdr:rowOff>
    </xdr:from>
    <xdr:to>
      <xdr:col>6</xdr:col>
      <xdr:colOff>4019550</xdr:colOff>
      <xdr:row>17</xdr:row>
      <xdr:rowOff>67734</xdr:rowOff>
    </xdr:to>
    <xdr:graphicFrame macro="">
      <xdr:nvGraphicFramePr>
        <xdr:cNvPr id="106" name="Chart_A1.0">
          <a:extLst>
            <a:ext uri="{FF2B5EF4-FFF2-40B4-BE49-F238E27FC236}">
              <a16:creationId xmlns:a16="http://schemas.microsoft.com/office/drawing/2014/main" id="{00000000-0008-0000-0500-00006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xdr:col>
      <xdr:colOff>533400</xdr:colOff>
      <xdr:row>18</xdr:row>
      <xdr:rowOff>0</xdr:rowOff>
    </xdr:from>
    <xdr:to>
      <xdr:col>6</xdr:col>
      <xdr:colOff>4019550</xdr:colOff>
      <xdr:row>19</xdr:row>
      <xdr:rowOff>67733</xdr:rowOff>
    </xdr:to>
    <xdr:graphicFrame macro="">
      <xdr:nvGraphicFramePr>
        <xdr:cNvPr id="107" name="Chart_A1.3">
          <a:extLst>
            <a:ext uri="{FF2B5EF4-FFF2-40B4-BE49-F238E27FC236}">
              <a16:creationId xmlns:a16="http://schemas.microsoft.com/office/drawing/2014/main" id="{00000000-0008-0000-05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xdr:col>
      <xdr:colOff>533400</xdr:colOff>
      <xdr:row>19</xdr:row>
      <xdr:rowOff>0</xdr:rowOff>
    </xdr:from>
    <xdr:to>
      <xdr:col>6</xdr:col>
      <xdr:colOff>4019550</xdr:colOff>
      <xdr:row>20</xdr:row>
      <xdr:rowOff>67734</xdr:rowOff>
    </xdr:to>
    <xdr:graphicFrame macro="">
      <xdr:nvGraphicFramePr>
        <xdr:cNvPr id="108" name="Chart_A1.3">
          <a:extLst>
            <a:ext uri="{FF2B5EF4-FFF2-40B4-BE49-F238E27FC236}">
              <a16:creationId xmlns:a16="http://schemas.microsoft.com/office/drawing/2014/main" id="{00000000-0008-0000-0500-00006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3</xdr:col>
      <xdr:colOff>552450</xdr:colOff>
      <xdr:row>21</xdr:row>
      <xdr:rowOff>0</xdr:rowOff>
    </xdr:from>
    <xdr:to>
      <xdr:col>6</xdr:col>
      <xdr:colOff>4019550</xdr:colOff>
      <xdr:row>22</xdr:row>
      <xdr:rowOff>67733</xdr:rowOff>
    </xdr:to>
    <xdr:graphicFrame macro="">
      <xdr:nvGraphicFramePr>
        <xdr:cNvPr id="109" name="Chart_A1.6">
          <a:extLst>
            <a:ext uri="{FF2B5EF4-FFF2-40B4-BE49-F238E27FC236}">
              <a16:creationId xmlns:a16="http://schemas.microsoft.com/office/drawing/2014/main" id="{00000000-0008-0000-0500-00006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552450</xdr:colOff>
      <xdr:row>22</xdr:row>
      <xdr:rowOff>0</xdr:rowOff>
    </xdr:from>
    <xdr:to>
      <xdr:col>6</xdr:col>
      <xdr:colOff>4019550</xdr:colOff>
      <xdr:row>23</xdr:row>
      <xdr:rowOff>67734</xdr:rowOff>
    </xdr:to>
    <xdr:graphicFrame macro="">
      <xdr:nvGraphicFramePr>
        <xdr:cNvPr id="110" name="Chart_A1.6">
          <a:extLst>
            <a:ext uri="{FF2B5EF4-FFF2-40B4-BE49-F238E27FC236}">
              <a16:creationId xmlns:a16="http://schemas.microsoft.com/office/drawing/2014/main" id="{00000000-0008-0000-05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3</xdr:col>
      <xdr:colOff>552450</xdr:colOff>
      <xdr:row>24</xdr:row>
      <xdr:rowOff>0</xdr:rowOff>
    </xdr:from>
    <xdr:to>
      <xdr:col>6</xdr:col>
      <xdr:colOff>4019550</xdr:colOff>
      <xdr:row>25</xdr:row>
      <xdr:rowOff>67733</xdr:rowOff>
    </xdr:to>
    <xdr:graphicFrame macro="">
      <xdr:nvGraphicFramePr>
        <xdr:cNvPr id="111" name="Chart_A2.2">
          <a:extLst>
            <a:ext uri="{FF2B5EF4-FFF2-40B4-BE49-F238E27FC236}">
              <a16:creationId xmlns:a16="http://schemas.microsoft.com/office/drawing/2014/main" id="{00000000-0008-0000-05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3</xdr:col>
      <xdr:colOff>552450</xdr:colOff>
      <xdr:row>25</xdr:row>
      <xdr:rowOff>0</xdr:rowOff>
    </xdr:from>
    <xdr:to>
      <xdr:col>6</xdr:col>
      <xdr:colOff>4019550</xdr:colOff>
      <xdr:row>26</xdr:row>
      <xdr:rowOff>67734</xdr:rowOff>
    </xdr:to>
    <xdr:graphicFrame macro="">
      <xdr:nvGraphicFramePr>
        <xdr:cNvPr id="112" name="Chart_A2.2">
          <a:extLst>
            <a:ext uri="{FF2B5EF4-FFF2-40B4-BE49-F238E27FC236}">
              <a16:creationId xmlns:a16="http://schemas.microsoft.com/office/drawing/2014/main" id="{00000000-0008-0000-05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absolute">
    <xdr:from>
      <xdr:col>0</xdr:col>
      <xdr:colOff>104775</xdr:colOff>
      <xdr:row>9</xdr:row>
      <xdr:rowOff>81492</xdr:rowOff>
    </xdr:from>
    <xdr:to>
      <xdr:col>10</xdr:col>
      <xdr:colOff>594291</xdr:colOff>
      <xdr:row>12</xdr:row>
      <xdr:rowOff>500592</xdr:rowOff>
    </xdr:to>
    <xdr:grpSp>
      <xdr:nvGrpSpPr>
        <xdr:cNvPr id="113" name="Del_FILTER_OPTIONS" hidden="1">
          <a:extLst>
            <a:ext uri="{FF2B5EF4-FFF2-40B4-BE49-F238E27FC236}">
              <a16:creationId xmlns:a16="http://schemas.microsoft.com/office/drawing/2014/main" id="{00000000-0008-0000-0500-000071000000}"/>
            </a:ext>
          </a:extLst>
        </xdr:cNvPr>
        <xdr:cNvGrpSpPr/>
      </xdr:nvGrpSpPr>
      <xdr:grpSpPr>
        <a:xfrm>
          <a:off x="104775" y="1167342"/>
          <a:ext cx="11563916" cy="539750"/>
          <a:chOff x="123825" y="1181100"/>
          <a:chExt cx="11562858" cy="542925"/>
        </a:xfrm>
      </xdr:grpSpPr>
      <xdr:sp macro="" textlink="">
        <xdr:nvSpPr>
          <xdr:cNvPr id="114" name="lbl_cnt_City_1" hidden="1">
            <a:extLst>
              <a:ext uri="{FF2B5EF4-FFF2-40B4-BE49-F238E27FC236}">
                <a16:creationId xmlns:a16="http://schemas.microsoft.com/office/drawing/2014/main" id="{00000000-0008-0000-0500-000072000000}"/>
              </a:ext>
            </a:extLst>
          </xdr:cNvPr>
          <xdr:cNvSpPr txBox="1"/>
        </xdr:nvSpPr>
        <xdr:spPr>
          <a:xfrm>
            <a:off x="123825" y="1181100"/>
            <a:ext cx="7315200" cy="54292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endParaRPr lang="en-US" sz="1000" b="1" i="0" u="none" strike="noStrike">
              <a:solidFill>
                <a:srgbClr val="143050"/>
              </a:solidFill>
              <a:latin typeface="Calibri"/>
              <a:cs typeface="Calibri"/>
            </a:endParaRPr>
          </a:p>
        </xdr:txBody>
      </xdr:sp>
      <xdr:sp macro="" textlink="uxb_works!D96">
        <xdr:nvSpPr>
          <xdr:cNvPr id="115" name="lbl_cnt_City_1" hidden="1">
            <a:extLst>
              <a:ext uri="{FF2B5EF4-FFF2-40B4-BE49-F238E27FC236}">
                <a16:creationId xmlns:a16="http://schemas.microsoft.com/office/drawing/2014/main" id="{00000000-0008-0000-0500-000073000000}"/>
              </a:ext>
            </a:extLst>
          </xdr:cNvPr>
          <xdr:cNvSpPr txBox="1"/>
        </xdr:nvSpPr>
        <xdr:spPr>
          <a:xfrm>
            <a:off x="228492" y="1247773"/>
            <a:ext cx="524674"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fld id="{EC6270EF-FB14-4F40-A375-01271F5F9F23}" type="TxLink">
              <a:rPr lang="en-US" sz="1000" b="1" i="0" u="none" strike="noStrike" baseline="0">
                <a:solidFill>
                  <a:sysClr val="windowText" lastClr="000000"/>
                </a:solidFill>
                <a:effectLst/>
                <a:latin typeface="Calibri"/>
                <a:ea typeface="+mn-ea"/>
                <a:cs typeface="Calibri"/>
              </a:rPr>
              <a:pPr algn="r"/>
              <a:t>CITY FILTERS</a:t>
            </a:fld>
            <a:endParaRPr lang="en-GB" sz="1000" b="1">
              <a:solidFill>
                <a:sysClr val="windowText" lastClr="000000"/>
              </a:solidFill>
              <a:latin typeface="+mn-lt"/>
            </a:endParaRPr>
          </a:p>
        </xdr:txBody>
      </xdr:sp>
      <xdr:grpSp>
        <xdr:nvGrpSpPr>
          <xdr:cNvPr id="116" name="Group 115" hidden="1">
            <a:extLst>
              <a:ext uri="{FF2B5EF4-FFF2-40B4-BE49-F238E27FC236}">
                <a16:creationId xmlns:a16="http://schemas.microsoft.com/office/drawing/2014/main" id="{00000000-0008-0000-0500-000074000000}"/>
              </a:ext>
            </a:extLst>
          </xdr:cNvPr>
          <xdr:cNvGrpSpPr/>
        </xdr:nvGrpSpPr>
        <xdr:grpSpPr>
          <a:xfrm>
            <a:off x="3067895" y="1266824"/>
            <a:ext cx="2085130" cy="402834"/>
            <a:chOff x="887117" y="1257299"/>
            <a:chExt cx="2094310" cy="402834"/>
          </a:xfrm>
        </xdr:grpSpPr>
        <xdr:pic macro="[0]!UniversalChanger">
          <xdr:nvPicPr>
            <xdr:cNvPr id="127" name="INCOME_FL_UP" descr="scroll_up_small.png" hidden="1">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23" cstate="print"/>
            <a:stretch>
              <a:fillRect/>
            </a:stretch>
          </xdr:blipFill>
          <xdr:spPr>
            <a:xfrm>
              <a:off x="2694979" y="1447799"/>
              <a:ext cx="285679" cy="119545"/>
            </a:xfrm>
            <a:prstGeom prst="rect">
              <a:avLst/>
            </a:prstGeom>
          </xdr:spPr>
        </xdr:pic>
        <xdr:pic macro="[0]!UniversalChanger">
          <xdr:nvPicPr>
            <xdr:cNvPr id="128" name="INCOME_FL_DOWN" descr="scroll_down_small.png" hidden="1">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24" cstate="print"/>
            <a:stretch>
              <a:fillRect/>
            </a:stretch>
          </xdr:blipFill>
          <xdr:spPr>
            <a:xfrm>
              <a:off x="2694972" y="1565459"/>
              <a:ext cx="285599" cy="94674"/>
            </a:xfrm>
            <a:prstGeom prst="rect">
              <a:avLst/>
            </a:prstGeom>
          </xdr:spPr>
        </xdr:pic>
        <mc:AlternateContent xmlns:mc="http://schemas.openxmlformats.org/markup-compatibility/2006">
          <mc:Choice xmlns:a14="http://schemas.microsoft.com/office/drawing/2010/main" Requires="a14">
            <xdr:sp macro="" textlink="">
              <xdr:nvSpPr>
                <xdr:cNvPr id="14576647" name="INCOME_FILTER" hidden="1">
                  <a:extLst>
                    <a:ext uri="{63B3BB69-23CF-44E3-9099-C40C66FF867C}">
                      <a14:compatExt spid="_x0000_s14576647"/>
                    </a:ext>
                    <a:ext uri="{FF2B5EF4-FFF2-40B4-BE49-F238E27FC236}">
                      <a16:creationId xmlns:a16="http://schemas.microsoft.com/office/drawing/2014/main" id="{00000000-0008-0000-0500-0000076CDE00}"/>
                    </a:ext>
                  </a:extLst>
                </xdr:cNvPr>
                <xdr:cNvSpPr/>
              </xdr:nvSpPr>
              <xdr:spPr bwMode="auto">
                <a:xfrm>
                  <a:off x="887123" y="1438274"/>
                  <a:ext cx="1805947" cy="219075"/>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0">
          <xdr:nvSpPr>
            <xdr:cNvPr id="129" name="FILTER_GA_1" hidden="1">
              <a:extLst>
                <a:ext uri="{FF2B5EF4-FFF2-40B4-BE49-F238E27FC236}">
                  <a16:creationId xmlns:a16="http://schemas.microsoft.com/office/drawing/2014/main" id="{00000000-0008-0000-0500-000081000000}"/>
                </a:ext>
              </a:extLst>
            </xdr:cNvPr>
            <xdr:cNvSpPr>
              <a:spLocks/>
            </xdr:cNvSpPr>
          </xdr:nvSpPr>
          <xdr:spPr>
            <a:xfrm>
              <a:off x="887117" y="1257299"/>
              <a:ext cx="2094310"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5B3884B5-1625-476A-A697-2341FA45AADB}" type="TxLink">
                <a:rPr lang="en-US" sz="800" b="0" i="0" u="none" strike="noStrike">
                  <a:solidFill>
                    <a:srgbClr val="000000"/>
                  </a:solidFill>
                  <a:latin typeface="Calibri"/>
                  <a:cs typeface="Calibri"/>
                </a:rPr>
                <a:pPr algn="ctr"/>
                <a:t>BY INCOME (reset)</a:t>
              </a:fld>
              <a:endParaRPr lang="en-US" sz="800" b="0" i="0" u="none" strike="noStrike">
                <a:solidFill>
                  <a:srgbClr val="000000"/>
                </a:solidFill>
                <a:latin typeface="Calibri"/>
                <a:cs typeface="Calibri"/>
              </a:endParaRPr>
            </a:p>
          </xdr:txBody>
        </xdr:sp>
      </xdr:grpSp>
      <xdr:grpSp>
        <xdr:nvGrpSpPr>
          <xdr:cNvPr id="117" name="Group 116" hidden="1">
            <a:extLst>
              <a:ext uri="{FF2B5EF4-FFF2-40B4-BE49-F238E27FC236}">
                <a16:creationId xmlns:a16="http://schemas.microsoft.com/office/drawing/2014/main" id="{00000000-0008-0000-0500-000075000000}"/>
              </a:ext>
            </a:extLst>
          </xdr:cNvPr>
          <xdr:cNvGrpSpPr/>
        </xdr:nvGrpSpPr>
        <xdr:grpSpPr>
          <a:xfrm>
            <a:off x="893581" y="1266824"/>
            <a:ext cx="2094270" cy="389525"/>
            <a:chOff x="3238131" y="1266824"/>
            <a:chExt cx="2095108" cy="389525"/>
          </a:xfrm>
        </xdr:grpSpPr>
        <xdr:pic macro="[0]!UniversalChanger">
          <xdr:nvPicPr>
            <xdr:cNvPr id="124" name="R_FL_UP" descr="scroll_up_small.png" hidden="1">
              <a:extLst>
                <a:ext uri="{FF2B5EF4-FFF2-40B4-BE49-F238E27FC236}">
                  <a16:creationId xmlns:a16="http://schemas.microsoft.com/office/drawing/2014/main" id="{00000000-0008-0000-0500-00007C000000}"/>
                </a:ext>
              </a:extLst>
            </xdr:cNvPr>
            <xdr:cNvPicPr>
              <a:picLocks noChangeAspect="1"/>
            </xdr:cNvPicPr>
          </xdr:nvPicPr>
          <xdr:blipFill>
            <a:blip xmlns:r="http://schemas.openxmlformats.org/officeDocument/2006/relationships" r:embed="rId23" cstate="print"/>
            <a:stretch>
              <a:fillRect/>
            </a:stretch>
          </xdr:blipFill>
          <xdr:spPr>
            <a:xfrm>
              <a:off x="5045868" y="1447655"/>
              <a:ext cx="285679" cy="117499"/>
            </a:xfrm>
            <a:prstGeom prst="rect">
              <a:avLst/>
            </a:prstGeom>
          </xdr:spPr>
        </xdr:pic>
        <xdr:pic macro="[0]!UniversalChanger">
          <xdr:nvPicPr>
            <xdr:cNvPr id="125" name="R_FL_DOWN" descr="scroll_down_small.png" hidden="1">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24" cstate="print"/>
            <a:stretch>
              <a:fillRect/>
            </a:stretch>
          </xdr:blipFill>
          <xdr:spPr>
            <a:xfrm>
              <a:off x="5045861" y="1563295"/>
              <a:ext cx="285599" cy="93054"/>
            </a:xfrm>
            <a:prstGeom prst="rect">
              <a:avLst/>
            </a:prstGeom>
          </xdr:spPr>
        </xdr:pic>
        <mc:AlternateContent xmlns:mc="http://schemas.openxmlformats.org/markup-compatibility/2006">
          <mc:Choice xmlns:a14="http://schemas.microsoft.com/office/drawing/2010/main" Requires="a14">
            <xdr:sp macro="" textlink="">
              <xdr:nvSpPr>
                <xdr:cNvPr id="14576648" name="R_FILTER" hidden="1">
                  <a:extLst>
                    <a:ext uri="{63B3BB69-23CF-44E3-9099-C40C66FF867C}">
                      <a14:compatExt spid="_x0000_s14576648"/>
                    </a:ext>
                    <a:ext uri="{FF2B5EF4-FFF2-40B4-BE49-F238E27FC236}">
                      <a16:creationId xmlns:a16="http://schemas.microsoft.com/office/drawing/2014/main" id="{00000000-0008-0000-0500-0000086CDE00}"/>
                    </a:ext>
                  </a:extLst>
                </xdr:cNvPr>
                <xdr:cNvSpPr/>
              </xdr:nvSpPr>
              <xdr:spPr bwMode="auto">
                <a:xfrm>
                  <a:off x="3238131" y="1438295"/>
                  <a:ext cx="1805993" cy="215327"/>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2">
          <xdr:nvSpPr>
            <xdr:cNvPr id="126" name="FILTER_GB_1" hidden="1">
              <a:extLst>
                <a:ext uri="{FF2B5EF4-FFF2-40B4-BE49-F238E27FC236}">
                  <a16:creationId xmlns:a16="http://schemas.microsoft.com/office/drawing/2014/main" id="{00000000-0008-0000-0500-00007E000000}"/>
                </a:ext>
              </a:extLst>
            </xdr:cNvPr>
            <xdr:cNvSpPr>
              <a:spLocks/>
            </xdr:cNvSpPr>
          </xdr:nvSpPr>
          <xdr:spPr>
            <a:xfrm>
              <a:off x="3238943" y="1266824"/>
              <a:ext cx="2094296"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683254F2-E44C-4100-8BB8-067CC0F20B8C}" type="TxLink">
                <a:rPr lang="en-US" sz="800" b="0" i="0" u="none" strike="noStrike">
                  <a:solidFill>
                    <a:srgbClr val="000000"/>
                  </a:solidFill>
                  <a:latin typeface="Calibri"/>
                  <a:cs typeface="Calibri"/>
                </a:rPr>
                <a:pPr algn="ctr"/>
                <a:t>BY REGION (reset)</a:t>
              </a:fld>
              <a:endParaRPr lang="en-US" sz="800" b="0" i="0" u="none" strike="noStrike">
                <a:solidFill>
                  <a:srgbClr val="000000"/>
                </a:solidFill>
                <a:latin typeface="Calibri"/>
                <a:cs typeface="Calibri"/>
              </a:endParaRPr>
            </a:p>
          </xdr:txBody>
        </xdr:sp>
      </xdr:grpSp>
      <xdr:grpSp>
        <xdr:nvGrpSpPr>
          <xdr:cNvPr id="118" name="Group 117" hidden="1">
            <a:extLst>
              <a:ext uri="{FF2B5EF4-FFF2-40B4-BE49-F238E27FC236}">
                <a16:creationId xmlns:a16="http://schemas.microsoft.com/office/drawing/2014/main" id="{00000000-0008-0000-0500-000076000000}"/>
              </a:ext>
            </a:extLst>
          </xdr:cNvPr>
          <xdr:cNvGrpSpPr/>
        </xdr:nvGrpSpPr>
        <xdr:grpSpPr>
          <a:xfrm>
            <a:off x="9883351" y="1263650"/>
            <a:ext cx="1803332" cy="393754"/>
            <a:chOff x="9936742" y="1257300"/>
            <a:chExt cx="1807200" cy="393754"/>
          </a:xfrm>
        </xdr:grpSpPr>
        <mc:AlternateContent xmlns:mc="http://schemas.openxmlformats.org/markup-compatibility/2006">
          <mc:Choice xmlns:a14="http://schemas.microsoft.com/office/drawing/2010/main" Requires="a14">
            <xdr:sp macro="" textlink="">
              <xdr:nvSpPr>
                <xdr:cNvPr id="14576649" name="L_Weights" hidden="1">
                  <a:extLst>
                    <a:ext uri="{63B3BB69-23CF-44E3-9099-C40C66FF867C}">
                      <a14:compatExt spid="_x0000_s14576649"/>
                    </a:ext>
                    <a:ext uri="{FF2B5EF4-FFF2-40B4-BE49-F238E27FC236}">
                      <a16:creationId xmlns:a16="http://schemas.microsoft.com/office/drawing/2014/main" id="{00000000-0008-0000-0500-0000096CDE00}"/>
                    </a:ext>
                  </a:extLst>
                </xdr:cNvPr>
                <xdr:cNvSpPr/>
              </xdr:nvSpPr>
              <xdr:spPr bwMode="auto">
                <a:xfrm>
                  <a:off x="9936742" y="1431950"/>
                  <a:ext cx="1807125" cy="219104"/>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4">
          <xdr:nvSpPr>
            <xdr:cNvPr id="123" name="Weight_Reset" hidden="1">
              <a:extLst>
                <a:ext uri="{FF2B5EF4-FFF2-40B4-BE49-F238E27FC236}">
                  <a16:creationId xmlns:a16="http://schemas.microsoft.com/office/drawing/2014/main" id="{00000000-0008-0000-0500-00007B000000}"/>
                </a:ext>
              </a:extLst>
            </xdr:cNvPr>
            <xdr:cNvSpPr>
              <a:spLocks/>
            </xdr:cNvSpPr>
          </xdr:nvSpPr>
          <xdr:spPr>
            <a:xfrm>
              <a:off x="9936742" y="1257300"/>
              <a:ext cx="1807200"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856B8423-91E9-41D2-BBE7-4949AD6F09C2}" type="TxLink">
                <a:rPr lang="en-US" sz="800" b="0" i="0" u="none" strike="noStrike">
                  <a:solidFill>
                    <a:sysClr val="windowText" lastClr="000000"/>
                  </a:solidFill>
                  <a:latin typeface="Calibri"/>
                  <a:cs typeface="Calibri"/>
                </a:rPr>
                <a:pPr algn="ctr"/>
                <a:t>WEIGHTS (reset)</a:t>
              </a:fld>
              <a:endParaRPr lang="en-US" sz="800" b="0" i="0" u="none" strike="noStrike">
                <a:solidFill>
                  <a:sysClr val="windowText" lastClr="000000"/>
                </a:solidFill>
                <a:latin typeface="Calibri"/>
                <a:cs typeface="Calibri"/>
              </a:endParaRPr>
            </a:p>
          </xdr:txBody>
        </xdr:sp>
      </xdr:grpSp>
      <xdr:grpSp>
        <xdr:nvGrpSpPr>
          <xdr:cNvPr id="119" name="Group 118" hidden="1">
            <a:extLst>
              <a:ext uri="{FF2B5EF4-FFF2-40B4-BE49-F238E27FC236}">
                <a16:creationId xmlns:a16="http://schemas.microsoft.com/office/drawing/2014/main" id="{00000000-0008-0000-0500-000077000000}"/>
              </a:ext>
            </a:extLst>
          </xdr:cNvPr>
          <xdr:cNvGrpSpPr/>
        </xdr:nvGrpSpPr>
        <xdr:grpSpPr>
          <a:xfrm>
            <a:off x="5238725" y="1266824"/>
            <a:ext cx="2094230" cy="389525"/>
            <a:chOff x="3238171" y="1266824"/>
            <a:chExt cx="2095068" cy="389525"/>
          </a:xfrm>
        </xdr:grpSpPr>
        <xdr:pic macro="[0]!UniversalChanger">
          <xdr:nvPicPr>
            <xdr:cNvPr id="120" name="POP_UP" descr="scroll_up_small.png" hidden="1">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23" cstate="print"/>
            <a:stretch>
              <a:fillRect/>
            </a:stretch>
          </xdr:blipFill>
          <xdr:spPr>
            <a:xfrm>
              <a:off x="5045868" y="1447655"/>
              <a:ext cx="285679" cy="117499"/>
            </a:xfrm>
            <a:prstGeom prst="rect">
              <a:avLst/>
            </a:prstGeom>
          </xdr:spPr>
        </xdr:pic>
        <xdr:pic macro="[0]!UniversalChanger">
          <xdr:nvPicPr>
            <xdr:cNvPr id="121" name="POP_DOWN" descr="scroll_down_small.png" hidden="1">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24" cstate="print"/>
            <a:stretch>
              <a:fillRect/>
            </a:stretch>
          </xdr:blipFill>
          <xdr:spPr>
            <a:xfrm>
              <a:off x="5045861" y="1563295"/>
              <a:ext cx="285599" cy="93054"/>
            </a:xfrm>
            <a:prstGeom prst="rect">
              <a:avLst/>
            </a:prstGeom>
          </xdr:spPr>
        </xdr:pic>
        <mc:AlternateContent xmlns:mc="http://schemas.openxmlformats.org/markup-compatibility/2006">
          <mc:Choice xmlns:a14="http://schemas.microsoft.com/office/drawing/2010/main" Requires="a14">
            <xdr:sp macro="" textlink="">
              <xdr:nvSpPr>
                <xdr:cNvPr id="14576650" name="POP_DD" hidden="1">
                  <a:extLst>
                    <a:ext uri="{63B3BB69-23CF-44E3-9099-C40C66FF867C}">
                      <a14:compatExt spid="_x0000_s14576650"/>
                    </a:ext>
                    <a:ext uri="{FF2B5EF4-FFF2-40B4-BE49-F238E27FC236}">
                      <a16:creationId xmlns:a16="http://schemas.microsoft.com/office/drawing/2014/main" id="{00000000-0008-0000-0500-00000A6CDE00}"/>
                    </a:ext>
                  </a:extLst>
                </xdr:cNvPr>
                <xdr:cNvSpPr/>
              </xdr:nvSpPr>
              <xdr:spPr bwMode="auto">
                <a:xfrm>
                  <a:off x="3238171" y="1438295"/>
                  <a:ext cx="1805993" cy="215327"/>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G100">
          <xdr:nvSpPr>
            <xdr:cNvPr id="122" name="FILTER_POP_RESET" hidden="1">
              <a:extLst>
                <a:ext uri="{FF2B5EF4-FFF2-40B4-BE49-F238E27FC236}">
                  <a16:creationId xmlns:a16="http://schemas.microsoft.com/office/drawing/2014/main" id="{00000000-0008-0000-0500-00007A000000}"/>
                </a:ext>
              </a:extLst>
            </xdr:cNvPr>
            <xdr:cNvSpPr>
              <a:spLocks/>
            </xdr:cNvSpPr>
          </xdr:nvSpPr>
          <xdr:spPr>
            <a:xfrm>
              <a:off x="3238943" y="1266824"/>
              <a:ext cx="2094296"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040051F4-705A-4460-AB4E-E01CB46B3889}" type="TxLink">
                <a:rPr lang="en-US" sz="800" b="0" i="0" u="none" strike="noStrike">
                  <a:solidFill>
                    <a:sysClr val="windowText" lastClr="000000"/>
                  </a:solidFill>
                  <a:latin typeface="Calibri"/>
                  <a:cs typeface="Calibri"/>
                </a:rPr>
                <a:pPr algn="ctr"/>
                <a:t>BY POPULATION (reset)</a:t>
              </a:fld>
              <a:endParaRPr lang="en-US" sz="800" b="0" i="0" u="none" strike="noStrike">
                <a:solidFill>
                  <a:sysClr val="windowText" lastClr="000000"/>
                </a:solidFill>
                <a:latin typeface="Calibri"/>
                <a:cs typeface="Calibri"/>
              </a:endParaRPr>
            </a:p>
          </xdr:txBody>
        </xdr:sp>
      </xdr:grpSp>
    </xdr:grpSp>
    <xdr:clientData fPrintsWithSheet="0"/>
  </xdr:twoCellAnchor>
  <xdr:oneCellAnchor>
    <xdr:from>
      <xdr:col>2</xdr:col>
      <xdr:colOff>47625</xdr:colOff>
      <xdr:row>29</xdr:row>
      <xdr:rowOff>19050</xdr:rowOff>
    </xdr:from>
    <xdr:ext cx="3600000" cy="349250"/>
    <xdr:sp macro="[0]!UniversalChanger" textlink="">
      <xdr:nvSpPr>
        <xdr:cNvPr id="139" name="Jump_17">
          <a:extLst>
            <a:ext uri="{FF2B5EF4-FFF2-40B4-BE49-F238E27FC236}">
              <a16:creationId xmlns:a16="http://schemas.microsoft.com/office/drawing/2014/main" id="{00000000-0008-0000-0500-00008B000000}"/>
            </a:ext>
          </a:extLst>
        </xdr:cNvPr>
        <xdr:cNvSpPr/>
      </xdr:nvSpPr>
      <xdr:spPr>
        <a:xfrm>
          <a:off x="1133475" y="9086850"/>
          <a:ext cx="360000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fPrintsWithSheet="0"/>
  </xdr:oneCellAnchor>
  <xdr:oneCellAnchor>
    <xdr:from>
      <xdr:col>2</xdr:col>
      <xdr:colOff>47625</xdr:colOff>
      <xdr:row>30</xdr:row>
      <xdr:rowOff>28575</xdr:rowOff>
    </xdr:from>
    <xdr:ext cx="3600000" cy="349250"/>
    <xdr:sp macro="[0]!UniversalChanger" textlink="">
      <xdr:nvSpPr>
        <xdr:cNvPr id="140" name="Jump_18">
          <a:extLst>
            <a:ext uri="{FF2B5EF4-FFF2-40B4-BE49-F238E27FC236}">
              <a16:creationId xmlns:a16="http://schemas.microsoft.com/office/drawing/2014/main" id="{00000000-0008-0000-0500-00008C000000}"/>
            </a:ext>
          </a:extLst>
        </xdr:cNvPr>
        <xdr:cNvSpPr/>
      </xdr:nvSpPr>
      <xdr:spPr>
        <a:xfrm>
          <a:off x="1133475" y="9496425"/>
          <a:ext cx="360000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fPrintsWithSheet="0"/>
  </xdr:oneCellAnchor>
  <xdr:oneCellAnchor>
    <xdr:from>
      <xdr:col>2</xdr:col>
      <xdr:colOff>47625</xdr:colOff>
      <xdr:row>31</xdr:row>
      <xdr:rowOff>9525</xdr:rowOff>
    </xdr:from>
    <xdr:ext cx="3600000" cy="349250"/>
    <xdr:sp macro="[0]!UniversalChanger" textlink="">
      <xdr:nvSpPr>
        <xdr:cNvPr id="141" name="Jump_19">
          <a:extLst>
            <a:ext uri="{FF2B5EF4-FFF2-40B4-BE49-F238E27FC236}">
              <a16:creationId xmlns:a16="http://schemas.microsoft.com/office/drawing/2014/main" id="{00000000-0008-0000-0500-00008D000000}"/>
            </a:ext>
          </a:extLst>
        </xdr:cNvPr>
        <xdr:cNvSpPr/>
      </xdr:nvSpPr>
      <xdr:spPr>
        <a:xfrm>
          <a:off x="1133475" y="9877425"/>
          <a:ext cx="360000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fPrintsWithSheet="0"/>
  </xdr:oneCellAnchor>
  <xdr:oneCellAnchor>
    <xdr:from>
      <xdr:col>2</xdr:col>
      <xdr:colOff>47625</xdr:colOff>
      <xdr:row>32</xdr:row>
      <xdr:rowOff>0</xdr:rowOff>
    </xdr:from>
    <xdr:ext cx="3600000" cy="349250"/>
    <xdr:sp macro="[0]!UniversalChanger" textlink="">
      <xdr:nvSpPr>
        <xdr:cNvPr id="142" name="Jump_20">
          <a:extLst>
            <a:ext uri="{FF2B5EF4-FFF2-40B4-BE49-F238E27FC236}">
              <a16:creationId xmlns:a16="http://schemas.microsoft.com/office/drawing/2014/main" id="{00000000-0008-0000-0500-00008E000000}"/>
            </a:ext>
          </a:extLst>
        </xdr:cNvPr>
        <xdr:cNvSpPr/>
      </xdr:nvSpPr>
      <xdr:spPr>
        <a:xfrm>
          <a:off x="1133475" y="10267950"/>
          <a:ext cx="360000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fPrintsWithSheet="0"/>
  </xdr:oneCellAnchor>
  <xdr:oneCellAnchor>
    <xdr:from>
      <xdr:col>2</xdr:col>
      <xdr:colOff>47625</xdr:colOff>
      <xdr:row>33</xdr:row>
      <xdr:rowOff>0</xdr:rowOff>
    </xdr:from>
    <xdr:ext cx="3600000" cy="349250"/>
    <xdr:sp macro="[0]!UniversalChanger" textlink="">
      <xdr:nvSpPr>
        <xdr:cNvPr id="143" name="Jump_21">
          <a:extLst>
            <a:ext uri="{FF2B5EF4-FFF2-40B4-BE49-F238E27FC236}">
              <a16:creationId xmlns:a16="http://schemas.microsoft.com/office/drawing/2014/main" id="{00000000-0008-0000-0500-00008F000000}"/>
            </a:ext>
          </a:extLst>
        </xdr:cNvPr>
        <xdr:cNvSpPr/>
      </xdr:nvSpPr>
      <xdr:spPr>
        <a:xfrm>
          <a:off x="1133475" y="10668000"/>
          <a:ext cx="360000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fPrintsWithSheet="0"/>
  </xdr:oneCellAnchor>
  <xdr:oneCellAnchor>
    <xdr:from>
      <xdr:col>2</xdr:col>
      <xdr:colOff>47625</xdr:colOff>
      <xdr:row>34</xdr:row>
      <xdr:rowOff>9525</xdr:rowOff>
    </xdr:from>
    <xdr:ext cx="3600000" cy="349250"/>
    <xdr:sp macro="[0]!UniversalChanger" textlink="">
      <xdr:nvSpPr>
        <xdr:cNvPr id="144" name="Jump_22">
          <a:extLst>
            <a:ext uri="{FF2B5EF4-FFF2-40B4-BE49-F238E27FC236}">
              <a16:creationId xmlns:a16="http://schemas.microsoft.com/office/drawing/2014/main" id="{00000000-0008-0000-0500-000090000000}"/>
            </a:ext>
          </a:extLst>
        </xdr:cNvPr>
        <xdr:cNvSpPr/>
      </xdr:nvSpPr>
      <xdr:spPr>
        <a:xfrm>
          <a:off x="1133475" y="11077575"/>
          <a:ext cx="3600000" cy="3492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1100">
            <a:solidFill>
              <a:sysClr val="windowText" lastClr="000000"/>
            </a:solidFill>
          </a:endParaRPr>
        </a:p>
      </xdr:txBody>
    </xdr:sp>
    <xdr:clientData fPrintsWithSheet="0"/>
  </xdr:oneCellAnchor>
  <xdr:twoCellAnchor editAs="absolute">
    <xdr:from>
      <xdr:col>0</xdr:col>
      <xdr:colOff>0</xdr:colOff>
      <xdr:row>0</xdr:row>
      <xdr:rowOff>0</xdr:rowOff>
    </xdr:from>
    <xdr:to>
      <xdr:col>10</xdr:col>
      <xdr:colOff>762000</xdr:colOff>
      <xdr:row>2</xdr:row>
      <xdr:rowOff>0</xdr:rowOff>
    </xdr:to>
    <xdr:grpSp>
      <xdr:nvGrpSpPr>
        <xdr:cNvPr id="5" name="MENU">
          <a:extLst>
            <a:ext uri="{FF2B5EF4-FFF2-40B4-BE49-F238E27FC236}">
              <a16:creationId xmlns:a16="http://schemas.microsoft.com/office/drawing/2014/main" id="{00000000-0008-0000-0500-000005000000}"/>
            </a:ext>
          </a:extLst>
        </xdr:cNvPr>
        <xdr:cNvGrpSpPr/>
      </xdr:nvGrpSpPr>
      <xdr:grpSpPr>
        <a:xfrm>
          <a:off x="0" y="0"/>
          <a:ext cx="11836400" cy="1085850"/>
          <a:chOff x="0" y="0"/>
          <a:chExt cx="11836400" cy="1085850"/>
        </a:xfrm>
      </xdr:grpSpPr>
      <xdr:grpSp>
        <xdr:nvGrpSpPr>
          <xdr:cNvPr id="173" name="Group 172">
            <a:extLst>
              <a:ext uri="{FF2B5EF4-FFF2-40B4-BE49-F238E27FC236}">
                <a16:creationId xmlns:a16="http://schemas.microsoft.com/office/drawing/2014/main" id="{00000000-0008-0000-0500-0000AD000000}"/>
              </a:ext>
            </a:extLst>
          </xdr:cNvPr>
          <xdr:cNvGrpSpPr/>
        </xdr:nvGrpSpPr>
        <xdr:grpSpPr>
          <a:xfrm>
            <a:off x="0" y="0"/>
            <a:ext cx="11836400" cy="1085850"/>
            <a:chOff x="0" y="0"/>
            <a:chExt cx="11836400" cy="1085850"/>
          </a:xfrm>
        </xdr:grpSpPr>
        <xdr:grpSp>
          <xdr:nvGrpSpPr>
            <xdr:cNvPr id="174" name="Group 173">
              <a:extLst>
                <a:ext uri="{FF2B5EF4-FFF2-40B4-BE49-F238E27FC236}">
                  <a16:creationId xmlns:a16="http://schemas.microsoft.com/office/drawing/2014/main" id="{00000000-0008-0000-0500-0000AE000000}"/>
                </a:ext>
              </a:extLst>
            </xdr:cNvPr>
            <xdr:cNvGrpSpPr/>
          </xdr:nvGrpSpPr>
          <xdr:grpSpPr>
            <a:xfrm>
              <a:off x="0" y="0"/>
              <a:ext cx="11836400" cy="1085850"/>
              <a:chOff x="0" y="0"/>
              <a:chExt cx="11836400" cy="1085850"/>
            </a:xfrm>
          </xdr:grpSpPr>
          <xdr:sp macro="" textlink="">
            <xdr:nvSpPr>
              <xdr:cNvPr id="179" name="nav_controls">
                <a:extLst>
                  <a:ext uri="{FF2B5EF4-FFF2-40B4-BE49-F238E27FC236}">
                    <a16:creationId xmlns:a16="http://schemas.microsoft.com/office/drawing/2014/main" id="{00000000-0008-0000-0500-0000B3000000}"/>
                  </a:ext>
                </a:extLst>
              </xdr:cNvPr>
              <xdr:cNvSpPr>
                <a:spLocks/>
              </xdr:cNvSpPr>
            </xdr:nvSpPr>
            <xdr:spPr>
              <a:xfrm>
                <a:off x="4263" y="219075"/>
                <a:ext cx="11832137" cy="866775"/>
              </a:xfrm>
              <a:prstGeom prst="rect">
                <a:avLst/>
              </a:prstGeom>
              <a:solidFill>
                <a:schemeClr val="bg2">
                  <a:alpha val="49804"/>
                </a:schemeClr>
              </a:solidFill>
              <a:ln w="6350">
                <a:solidFill>
                  <a:schemeClr val="bg2">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solidFill>
                    <a:srgbClr val="808080"/>
                  </a:solidFill>
                  <a:latin typeface="+mn-lt"/>
                  <a:ea typeface="Karla" pitchFamily="2" charset="0"/>
                </a:endParaRPr>
              </a:p>
            </xdr:txBody>
          </xdr:sp>
          <xdr:sp macro="" textlink="">
            <xdr:nvSpPr>
              <xdr:cNvPr id="180" name="Home1">
                <a:extLst>
                  <a:ext uri="{FF2B5EF4-FFF2-40B4-BE49-F238E27FC236}">
                    <a16:creationId xmlns:a16="http://schemas.microsoft.com/office/drawing/2014/main" id="{00000000-0008-0000-0500-0000B4000000}"/>
                  </a:ext>
                </a:extLst>
              </xdr:cNvPr>
              <xdr:cNvSpPr>
                <a:spLocks/>
              </xdr:cNvSpPr>
            </xdr:nvSpPr>
            <xdr:spPr>
              <a:xfrm>
                <a:off x="0" y="0"/>
                <a:ext cx="937384" cy="290513"/>
              </a:xfrm>
              <a:prstGeom prst="rect">
                <a:avLst/>
              </a:prstGeom>
              <a:solidFill>
                <a:schemeClr val="bg1"/>
              </a:solidFill>
              <a:ln w="952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a:solidFill>
                    <a:srgbClr val="808080"/>
                  </a:solidFill>
                  <a:latin typeface="+mn-lt"/>
                  <a:ea typeface="Karla" pitchFamily="2" charset="0"/>
                  <a:cs typeface="DilleniaUPC" pitchFamily="18" charset="-34"/>
                </a:endParaRPr>
              </a:p>
            </xdr:txBody>
          </xdr:sp>
          <xdr:sp macro="" textlink="">
            <xdr:nvSpPr>
              <xdr:cNvPr id="181" name="Oval 180">
                <a:extLst>
                  <a:ext uri="{FF2B5EF4-FFF2-40B4-BE49-F238E27FC236}">
                    <a16:creationId xmlns:a16="http://schemas.microsoft.com/office/drawing/2014/main" id="{00000000-0008-0000-0500-0000B5000000}"/>
                  </a:ext>
                </a:extLst>
              </xdr:cNvPr>
              <xdr:cNvSpPr>
                <a:spLocks/>
              </xdr:cNvSpPr>
            </xdr:nvSpPr>
            <xdr:spPr>
              <a:xfrm>
                <a:off x="347060" y="29969"/>
                <a:ext cx="236673" cy="230074"/>
              </a:xfrm>
              <a:prstGeom prst="ellipse">
                <a:avLst/>
              </a:prstGeom>
              <a:solidFill>
                <a:schemeClr val="accent5">
                  <a:lumMod val="50000"/>
                </a:schemeClr>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rgbClr val="808080"/>
                  </a:solidFill>
                  <a:latin typeface="Calibri"/>
                  <a:cs typeface="Calibri"/>
                </a:endParaRPr>
              </a:p>
            </xdr:txBody>
          </xdr:sp>
          <xdr:pic macro="[0]!LBChanger">
            <xdr:nvPicPr>
              <xdr:cNvPr id="182" name="Home" descr="Home.png">
                <a:extLst>
                  <a:ext uri="{FF2B5EF4-FFF2-40B4-BE49-F238E27FC236}">
                    <a16:creationId xmlns:a16="http://schemas.microsoft.com/office/drawing/2014/main" id="{00000000-0008-0000-0500-0000B6000000}"/>
                  </a:ext>
                </a:extLst>
              </xdr:cNvPr>
              <xdr:cNvPicPr>
                <a:picLocks/>
              </xdr:cNvPicPr>
            </xdr:nvPicPr>
            <xdr:blipFill>
              <a:blip xmlns:r="http://schemas.openxmlformats.org/officeDocument/2006/relationships" r:embed="rId25" cstate="print"/>
              <a:stretch>
                <a:fillRect/>
              </a:stretch>
            </xdr:blipFill>
            <xdr:spPr>
              <a:xfrm>
                <a:off x="53200" y="20741"/>
                <a:ext cx="254878" cy="247773"/>
              </a:xfrm>
              <a:prstGeom prst="rect">
                <a:avLst/>
              </a:prstGeom>
              <a:noFill/>
              <a:ln>
                <a:noFill/>
              </a:ln>
            </xdr:spPr>
          </xdr:pic>
          <xdr:pic macro="[0]!UniversalChanger">
            <xdr:nvPicPr>
              <xdr:cNvPr id="183" name="NavBack" descr="Silver-Back-Button.png">
                <a:extLst>
                  <a:ext uri="{FF2B5EF4-FFF2-40B4-BE49-F238E27FC236}">
                    <a16:creationId xmlns:a16="http://schemas.microsoft.com/office/drawing/2014/main" id="{00000000-0008-0000-0500-0000B7000000}"/>
                  </a:ext>
                </a:extLst>
              </xdr:cNvPr>
              <xdr:cNvPicPr>
                <a:picLocks/>
              </xdr:cNvPicPr>
            </xdr:nvPicPr>
            <xdr:blipFill>
              <a:blip xmlns:r="http://schemas.openxmlformats.org/officeDocument/2006/relationships" r:embed="rId26" cstate="print"/>
              <a:stretch>
                <a:fillRect/>
              </a:stretch>
            </xdr:blipFill>
            <xdr:spPr>
              <a:xfrm>
                <a:off x="621903" y="20741"/>
                <a:ext cx="254878" cy="247773"/>
              </a:xfrm>
              <a:prstGeom prst="rect">
                <a:avLst/>
              </a:prstGeom>
              <a:noFill/>
              <a:ln>
                <a:noFill/>
              </a:ln>
            </xdr:spPr>
          </xdr:pic>
          <xdr:sp macro="" textlink="uxb_works!B92">
            <xdr:nvSpPr>
              <xdr:cNvPr id="184" name="Home1">
                <a:extLst>
                  <a:ext uri="{FF2B5EF4-FFF2-40B4-BE49-F238E27FC236}">
                    <a16:creationId xmlns:a16="http://schemas.microsoft.com/office/drawing/2014/main" id="{00000000-0008-0000-0500-0000B8000000}"/>
                  </a:ext>
                </a:extLst>
              </xdr:cNvPr>
              <xdr:cNvSpPr>
                <a:spLocks/>
              </xdr:cNvSpPr>
            </xdr:nvSpPr>
            <xdr:spPr>
              <a:xfrm>
                <a:off x="936568" y="0"/>
                <a:ext cx="10895773" cy="288000"/>
              </a:xfrm>
              <a:prstGeom prst="rect">
                <a:avLst/>
              </a:prstGeom>
              <a:solidFill>
                <a:srgbClr val="FFFFFF"/>
              </a:solidFill>
              <a:ln w="317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DF606BA0-6E14-4859-A5ED-3649E8B86AAC}" type="TxLink">
                  <a:rPr lang="en-US" sz="1600" b="1" i="0" u="none" strike="noStrike">
                    <a:solidFill>
                      <a:schemeClr val="accent5">
                        <a:lumMod val="50000"/>
                      </a:schemeClr>
                    </a:solidFill>
                    <a:latin typeface="Calibri"/>
                    <a:ea typeface="Karla" pitchFamily="2" charset="0"/>
                    <a:cs typeface="Calibri"/>
                  </a:rPr>
                  <a:pPr algn="l"/>
                  <a:t>Digital Cities Index</a:t>
                </a:fld>
                <a:endParaRPr lang="en-GB" sz="1200" b="1">
                  <a:solidFill>
                    <a:schemeClr val="accent5">
                      <a:lumMod val="50000"/>
                    </a:schemeClr>
                  </a:solidFill>
                  <a:latin typeface="+mn-lt"/>
                  <a:ea typeface="Karla" pitchFamily="2" charset="0"/>
                  <a:cs typeface="DilleniaUPC" pitchFamily="18" charset="-34"/>
                </a:endParaRPr>
              </a:p>
            </xdr:txBody>
          </xdr:sp>
          <xdr:pic macro="[0]!LBChanger">
            <xdr:nvPicPr>
              <xdr:cNvPr id="185" name="Contents" descr="ii_jgc3wl5q0_162f2138d6ded0cc">
                <a:extLst>
                  <a:ext uri="{FF2B5EF4-FFF2-40B4-BE49-F238E27FC236}">
                    <a16:creationId xmlns:a16="http://schemas.microsoft.com/office/drawing/2014/main" id="{00000000-0008-0000-0500-0000B9000000}"/>
                  </a:ext>
                </a:extLst>
              </xdr:cNvPr>
              <xdr:cNvPicPr>
                <a:picLocks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337618" y="20741"/>
                <a:ext cx="260608" cy="248400"/>
              </a:xfrm>
              <a:prstGeom prst="rect">
                <a:avLst/>
              </a:prstGeom>
              <a:solidFill>
                <a:sysClr val="window" lastClr="FFFFFF"/>
              </a:solidFill>
              <a:ln>
                <a:noFill/>
              </a:ln>
            </xdr:spPr>
          </xdr:pic>
          <xdr:sp macro="" textlink="">
            <xdr:nvSpPr>
              <xdr:cNvPr id="186" name="nav_controls">
                <a:extLst>
                  <a:ext uri="{FF2B5EF4-FFF2-40B4-BE49-F238E27FC236}">
                    <a16:creationId xmlns:a16="http://schemas.microsoft.com/office/drawing/2014/main" id="{00000000-0008-0000-0500-0000BA000000}"/>
                  </a:ext>
                </a:extLst>
              </xdr:cNvPr>
              <xdr:cNvSpPr>
                <a:spLocks/>
              </xdr:cNvSpPr>
            </xdr:nvSpPr>
            <xdr:spPr>
              <a:xfrm>
                <a:off x="7091375" y="461958"/>
                <a:ext cx="2647950" cy="54000"/>
              </a:xfrm>
              <a:prstGeom prst="rect">
                <a:avLst/>
              </a:prstGeom>
              <a:solidFill>
                <a:srgbClr val="9EB3BE"/>
              </a:solidFill>
              <a:ln w="6350">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000" b="1" i="0" u="none" strike="noStrike">
                  <a:solidFill>
                    <a:sysClr val="windowText" lastClr="000000"/>
                  </a:solidFill>
                  <a:latin typeface="Calibri"/>
                  <a:cs typeface="Calibri"/>
                </a:endParaRPr>
              </a:p>
            </xdr:txBody>
          </xdr:sp>
          <xdr:sp macro="" textlink="">
            <xdr:nvSpPr>
              <xdr:cNvPr id="187" name="nav_controls">
                <a:extLst>
                  <a:ext uri="{FF2B5EF4-FFF2-40B4-BE49-F238E27FC236}">
                    <a16:creationId xmlns:a16="http://schemas.microsoft.com/office/drawing/2014/main" id="{00000000-0008-0000-0500-0000BB000000}"/>
                  </a:ext>
                </a:extLst>
              </xdr:cNvPr>
              <xdr:cNvSpPr>
                <a:spLocks/>
              </xdr:cNvSpPr>
            </xdr:nvSpPr>
            <xdr:spPr>
              <a:xfrm>
                <a:off x="9215438" y="461958"/>
                <a:ext cx="2614081" cy="54000"/>
              </a:xfrm>
              <a:prstGeom prst="rect">
                <a:avLst/>
              </a:prstGeom>
              <a:solidFill>
                <a:srgbClr val="B5D5E5"/>
              </a:solidFill>
              <a:ln w="6350">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000" b="1" i="0" u="none" strike="noStrike">
                  <a:solidFill>
                    <a:sysClr val="windowText" lastClr="000000"/>
                  </a:solidFill>
                  <a:latin typeface="Calibri"/>
                  <a:cs typeface="Calibri"/>
                </a:endParaRPr>
              </a:p>
            </xdr:txBody>
          </xdr:sp>
          <xdr:sp macro="" textlink="">
            <xdr:nvSpPr>
              <xdr:cNvPr id="188" name="nav_controls">
                <a:extLst>
                  <a:ext uri="{FF2B5EF4-FFF2-40B4-BE49-F238E27FC236}">
                    <a16:creationId xmlns:a16="http://schemas.microsoft.com/office/drawing/2014/main" id="{00000000-0008-0000-0500-0000BC000000}"/>
                  </a:ext>
                </a:extLst>
              </xdr:cNvPr>
              <xdr:cNvSpPr>
                <a:spLocks/>
              </xdr:cNvSpPr>
            </xdr:nvSpPr>
            <xdr:spPr>
              <a:xfrm>
                <a:off x="0" y="466725"/>
                <a:ext cx="7081838" cy="52408"/>
              </a:xfrm>
              <a:prstGeom prst="rect">
                <a:avLst/>
              </a:prstGeom>
              <a:solidFill>
                <a:srgbClr val="2B5464"/>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b="1" i="0" u="none" strike="noStrike">
                  <a:solidFill>
                    <a:schemeClr val="bg1"/>
                  </a:solidFill>
                  <a:latin typeface="Calibri"/>
                  <a:cs typeface="Calibri"/>
                </a:endParaRPr>
              </a:p>
            </xdr:txBody>
          </xdr:sp>
          <xdr:grpSp>
            <xdr:nvGrpSpPr>
              <xdr:cNvPr id="189" name="Group 188">
                <a:extLst>
                  <a:ext uri="{FF2B5EF4-FFF2-40B4-BE49-F238E27FC236}">
                    <a16:creationId xmlns:a16="http://schemas.microsoft.com/office/drawing/2014/main" id="{00000000-0008-0000-0500-0000BD000000}"/>
                  </a:ext>
                </a:extLst>
              </xdr:cNvPr>
              <xdr:cNvGrpSpPr/>
            </xdr:nvGrpSpPr>
            <xdr:grpSpPr>
              <a:xfrm>
                <a:off x="0" y="285750"/>
                <a:ext cx="11814575" cy="180261"/>
                <a:chOff x="0" y="285489"/>
                <a:chExt cx="13173477" cy="180261"/>
              </a:xfrm>
            </xdr:grpSpPr>
            <xdr:sp macro="[0]!LBChanger" textlink="uxb_works!B100">
              <xdr:nvSpPr>
                <xdr:cNvPr id="190" name="Correlations">
                  <a:extLst>
                    <a:ext uri="{FF2B5EF4-FFF2-40B4-BE49-F238E27FC236}">
                      <a16:creationId xmlns:a16="http://schemas.microsoft.com/office/drawing/2014/main" id="{00000000-0008-0000-0500-0000BE000000}"/>
                    </a:ext>
                  </a:extLst>
                </xdr:cNvPr>
                <xdr:cNvSpPr>
                  <a:spLocks/>
                </xdr:cNvSpPr>
              </xdr:nvSpPr>
              <xdr:spPr>
                <a:xfrm>
                  <a:off x="9225833"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0D08B5CF-F601-4334-9688-6B186F573CBA}" type="TxLink">
                    <a:rPr lang="en-US" sz="900" b="1" i="0" u="none" strike="noStrike">
                      <a:solidFill>
                        <a:schemeClr val="accent5">
                          <a:lumMod val="50000"/>
                        </a:schemeClr>
                      </a:solidFill>
                      <a:latin typeface="Calibri"/>
                      <a:ea typeface="Karla" pitchFamily="2" charset="0"/>
                      <a:cs typeface="Calibri"/>
                    </a:rPr>
                    <a:pPr algn="ctr"/>
                    <a:t>CORRELATIONS</a:t>
                  </a:fld>
                  <a:endParaRPr lang="en-GB" sz="900" b="1">
                    <a:solidFill>
                      <a:schemeClr val="accent5">
                        <a:lumMod val="50000"/>
                      </a:schemeClr>
                    </a:solidFill>
                    <a:latin typeface="+mn-lt"/>
                    <a:ea typeface="Karla" pitchFamily="2" charset="0"/>
                  </a:endParaRPr>
                </a:p>
              </xdr:txBody>
            </xdr:sp>
            <xdr:sp macro="[0]!LBChanger" textlink="uxb_works!B99">
              <xdr:nvSpPr>
                <xdr:cNvPr id="191" name="Scatter">
                  <a:extLst>
                    <a:ext uri="{FF2B5EF4-FFF2-40B4-BE49-F238E27FC236}">
                      <a16:creationId xmlns:a16="http://schemas.microsoft.com/office/drawing/2014/main" id="{00000000-0008-0000-0500-0000BF000000}"/>
                    </a:ext>
                  </a:extLst>
                </xdr:cNvPr>
                <xdr:cNvSpPr>
                  <a:spLocks/>
                </xdr:cNvSpPr>
              </xdr:nvSpPr>
              <xdr:spPr>
                <a:xfrm>
                  <a:off x="7903939" y="285940"/>
                  <a:ext cx="1320074"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8DE1D7F-61C0-4422-A1B6-E89A6501ED1F}" type="TxLink">
                    <a:rPr lang="en-US" sz="900" b="1" i="0" u="none" strike="noStrike">
                      <a:solidFill>
                        <a:schemeClr val="accent5">
                          <a:lumMod val="50000"/>
                        </a:schemeClr>
                      </a:solidFill>
                      <a:latin typeface="Calibri"/>
                      <a:ea typeface="Karla" pitchFamily="2" charset="0"/>
                      <a:cs typeface="Calibri"/>
                    </a:rPr>
                    <a:pPr algn="ctr"/>
                    <a:t>SCATTER</a:t>
                  </a:fld>
                  <a:endParaRPr lang="en-GB" sz="900" b="1">
                    <a:solidFill>
                      <a:schemeClr val="accent5">
                        <a:lumMod val="50000"/>
                      </a:schemeClr>
                    </a:solidFill>
                    <a:latin typeface="+mn-lt"/>
                    <a:ea typeface="Karla" pitchFamily="2" charset="0"/>
                  </a:endParaRPr>
                </a:p>
              </xdr:txBody>
            </xdr:sp>
            <xdr:sp macro="[0]!LBChanger" textlink="uxb_works!B101">
              <xdr:nvSpPr>
                <xdr:cNvPr id="192" name="Scores">
                  <a:extLst>
                    <a:ext uri="{FF2B5EF4-FFF2-40B4-BE49-F238E27FC236}">
                      <a16:creationId xmlns:a16="http://schemas.microsoft.com/office/drawing/2014/main" id="{00000000-0008-0000-0500-0000C0000000}"/>
                    </a:ext>
                  </a:extLst>
                </xdr:cNvPr>
                <xdr:cNvSpPr>
                  <a:spLocks/>
                </xdr:cNvSpPr>
              </xdr:nvSpPr>
              <xdr:spPr>
                <a:xfrm>
                  <a:off x="10540783"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5165ACF-6EE1-4F74-8FDB-F21F37E9E6FB}" type="TxLink">
                    <a:rPr lang="en-US" sz="900" b="1" i="0" u="none" strike="noStrike">
                      <a:solidFill>
                        <a:schemeClr val="accent5">
                          <a:lumMod val="50000"/>
                        </a:schemeClr>
                      </a:solidFill>
                      <a:latin typeface="Calibri"/>
                      <a:ea typeface="Karla" pitchFamily="2" charset="0"/>
                      <a:cs typeface="Calibri"/>
                    </a:rPr>
                    <a:pPr algn="ctr"/>
                    <a:t>DATA / SCORES</a:t>
                  </a:fld>
                  <a:endParaRPr lang="en-GB" sz="900" b="1">
                    <a:solidFill>
                      <a:schemeClr val="accent5">
                        <a:lumMod val="50000"/>
                      </a:schemeClr>
                    </a:solidFill>
                    <a:latin typeface="+mn-lt"/>
                    <a:ea typeface="Karla" pitchFamily="2" charset="0"/>
                  </a:endParaRPr>
                </a:p>
              </xdr:txBody>
            </xdr:sp>
            <xdr:sp macro="[0]!LBChanger" textlink="uxb_works!B102">
              <xdr:nvSpPr>
                <xdr:cNvPr id="193" name="Weights">
                  <a:extLst>
                    <a:ext uri="{FF2B5EF4-FFF2-40B4-BE49-F238E27FC236}">
                      <a16:creationId xmlns:a16="http://schemas.microsoft.com/office/drawing/2014/main" id="{00000000-0008-0000-0500-0000C1000000}"/>
                    </a:ext>
                  </a:extLst>
                </xdr:cNvPr>
                <xdr:cNvSpPr>
                  <a:spLocks/>
                </xdr:cNvSpPr>
              </xdr:nvSpPr>
              <xdr:spPr>
                <a:xfrm>
                  <a:off x="11855698"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43627509-C0BB-4D16-AADD-A85AC599D44F}" type="TxLink">
                    <a:rPr lang="en-US" sz="900" b="1" i="0" u="none" strike="noStrike">
                      <a:solidFill>
                        <a:schemeClr val="accent5">
                          <a:lumMod val="50000"/>
                        </a:schemeClr>
                      </a:solidFill>
                      <a:latin typeface="Calibri"/>
                      <a:ea typeface="Karla" pitchFamily="2" charset="0"/>
                      <a:cs typeface="Calibri"/>
                    </a:rPr>
                    <a:pPr algn="ctr"/>
                    <a:t>WEIGHTS</a:t>
                  </a:fld>
                  <a:endParaRPr lang="en-GB" sz="900" b="1">
                    <a:solidFill>
                      <a:schemeClr val="accent5">
                        <a:lumMod val="50000"/>
                      </a:schemeClr>
                    </a:solidFill>
                    <a:latin typeface="+mn-lt"/>
                    <a:ea typeface="Karla" pitchFamily="2" charset="0"/>
                  </a:endParaRPr>
                </a:p>
              </xdr:txBody>
            </xdr:sp>
            <xdr:sp macro="[0]!LBChanger" textlink="uxb_works!B95">
              <xdr:nvSpPr>
                <xdr:cNvPr id="194" name="Summary1">
                  <a:extLst>
                    <a:ext uri="{FF2B5EF4-FFF2-40B4-BE49-F238E27FC236}">
                      <a16:creationId xmlns:a16="http://schemas.microsoft.com/office/drawing/2014/main" id="{00000000-0008-0000-0500-0000C2000000}"/>
                    </a:ext>
                  </a:extLst>
                </xdr:cNvPr>
                <xdr:cNvSpPr>
                  <a:spLocks/>
                </xdr:cNvSpPr>
              </xdr:nvSpPr>
              <xdr:spPr>
                <a:xfrm>
                  <a:off x="0"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A5241822-14D3-4854-9411-CFDDA1D4CE0A}" type="TxLink">
                    <a:rPr lang="en-US" sz="900" b="1" i="0" u="none" strike="noStrike">
                      <a:solidFill>
                        <a:schemeClr val="accent5">
                          <a:lumMod val="50000"/>
                        </a:schemeClr>
                      </a:solidFill>
                      <a:latin typeface="Calibri"/>
                      <a:ea typeface="Karla" pitchFamily="2" charset="0"/>
                      <a:cs typeface="Calibri"/>
                    </a:rPr>
                    <a:pPr algn="ctr"/>
                    <a:t>SUMMARY</a:t>
                  </a:fld>
                  <a:endParaRPr lang="en-GB" sz="900" b="1">
                    <a:solidFill>
                      <a:schemeClr val="accent5">
                        <a:lumMod val="50000"/>
                      </a:schemeClr>
                    </a:solidFill>
                    <a:latin typeface="+mn-lt"/>
                    <a:ea typeface="Karla" pitchFamily="2" charset="0"/>
                  </a:endParaRPr>
                </a:p>
              </xdr:txBody>
            </xdr:sp>
            <xdr:sp macro="[0]!LBChanger" textlink="uxb_works!B96">
              <xdr:nvSpPr>
                <xdr:cNvPr id="195" name="Indicator_Ranking">
                  <a:extLst>
                    <a:ext uri="{FF2B5EF4-FFF2-40B4-BE49-F238E27FC236}">
                      <a16:creationId xmlns:a16="http://schemas.microsoft.com/office/drawing/2014/main" id="{00000000-0008-0000-0500-0000C3000000}"/>
                    </a:ext>
                  </a:extLst>
                </xdr:cNvPr>
                <xdr:cNvSpPr>
                  <a:spLocks/>
                </xdr:cNvSpPr>
              </xdr:nvSpPr>
              <xdr:spPr>
                <a:xfrm>
                  <a:off x="1319392"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1D205C57-4D69-4B9A-8D11-5E0B7527B9E2}" type="TxLink">
                    <a:rPr lang="en-US" sz="900" b="1" i="0" u="none" strike="noStrike">
                      <a:solidFill>
                        <a:schemeClr val="accent5">
                          <a:lumMod val="50000"/>
                        </a:schemeClr>
                      </a:solidFill>
                      <a:latin typeface="Calibri"/>
                      <a:ea typeface="Karla" pitchFamily="2" charset="0"/>
                      <a:cs typeface="Calibri"/>
                    </a:rPr>
                    <a:pPr algn="ctr"/>
                    <a:t>INDICATOR RANKING</a:t>
                  </a:fld>
                  <a:endParaRPr lang="en-GB" sz="900" b="1">
                    <a:solidFill>
                      <a:schemeClr val="accent5">
                        <a:lumMod val="50000"/>
                      </a:schemeClr>
                    </a:solidFill>
                    <a:latin typeface="+mn-lt"/>
                    <a:ea typeface="Karla" pitchFamily="2" charset="0"/>
                  </a:endParaRPr>
                </a:p>
              </xdr:txBody>
            </xdr:sp>
            <xdr:sp macro="[0]!LBChanger" textlink="uxb_works!B98">
              <xdr:nvSpPr>
                <xdr:cNvPr id="196" name="CCompare">
                  <a:extLst>
                    <a:ext uri="{FF2B5EF4-FFF2-40B4-BE49-F238E27FC236}">
                      <a16:creationId xmlns:a16="http://schemas.microsoft.com/office/drawing/2014/main" id="{00000000-0008-0000-0500-0000C4000000}"/>
                    </a:ext>
                  </a:extLst>
                </xdr:cNvPr>
                <xdr:cNvSpPr>
                  <a:spLocks/>
                </xdr:cNvSpPr>
              </xdr:nvSpPr>
              <xdr:spPr>
                <a:xfrm>
                  <a:off x="5256659" y="285940"/>
                  <a:ext cx="132486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829603AF-0DD8-4C72-8452-B09DB6262544}" type="TxLink">
                    <a:rPr lang="en-US" sz="900" b="1" i="0" u="none" strike="noStrike">
                      <a:solidFill>
                        <a:schemeClr val="accent5">
                          <a:lumMod val="50000"/>
                        </a:schemeClr>
                      </a:solidFill>
                      <a:latin typeface="Calibri"/>
                      <a:ea typeface="Karla" pitchFamily="2" charset="0"/>
                      <a:cs typeface="Calibri"/>
                    </a:rPr>
                    <a:pPr algn="ctr"/>
                    <a:t>CITY COMPARE</a:t>
                  </a:fld>
                  <a:endParaRPr lang="en-GB" sz="900" b="1">
                    <a:solidFill>
                      <a:schemeClr val="accent5">
                        <a:lumMod val="50000"/>
                      </a:schemeClr>
                    </a:solidFill>
                    <a:latin typeface="+mn-lt"/>
                    <a:ea typeface="Karla" pitchFamily="2" charset="0"/>
                  </a:endParaRPr>
                </a:p>
              </xdr:txBody>
            </xdr:sp>
            <xdr:sp macro="[0]!LBChanger" textlink="uxb_works!B97">
              <xdr:nvSpPr>
                <xdr:cNvPr id="197" name="CtyScoreCard">
                  <a:extLst>
                    <a:ext uri="{FF2B5EF4-FFF2-40B4-BE49-F238E27FC236}">
                      <a16:creationId xmlns:a16="http://schemas.microsoft.com/office/drawing/2014/main" id="{00000000-0008-0000-0500-0000C5000000}"/>
                    </a:ext>
                  </a:extLst>
                </xdr:cNvPr>
                <xdr:cNvSpPr>
                  <a:spLocks/>
                </xdr:cNvSpPr>
              </xdr:nvSpPr>
              <xdr:spPr>
                <a:xfrm>
                  <a:off x="3943666" y="285489"/>
                  <a:ext cx="1317779" cy="180261"/>
                </a:xfrm>
                <a:prstGeom prst="rect">
                  <a:avLst/>
                </a:prstGeom>
                <a:solidFill>
                  <a:schemeClr val="accent5">
                    <a:lumMod val="50000"/>
                  </a:schemeClr>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fld id="{5B2B5046-96B7-4EDE-9DD8-D97FF7695B86}" type="TxLink">
                    <a:rPr lang="en-US" sz="900" b="1" i="0" u="none" strike="noStrike">
                      <a:solidFill>
                        <a:schemeClr val="bg1"/>
                      </a:solidFill>
                      <a:latin typeface="Calibri"/>
                      <a:ea typeface="Karla" pitchFamily="2" charset="0"/>
                      <a:cs typeface="Calibri"/>
                    </a:rPr>
                    <a:pPr algn="ctr"/>
                    <a:t>CITY SCORECARD</a:t>
                  </a:fld>
                  <a:endParaRPr lang="en-GB" sz="900" b="1">
                    <a:solidFill>
                      <a:schemeClr val="bg1"/>
                    </a:solidFill>
                    <a:latin typeface="+mn-lt"/>
                    <a:ea typeface="Karla" pitchFamily="2" charset="0"/>
                  </a:endParaRPr>
                </a:p>
              </xdr:txBody>
            </xdr:sp>
            <xdr:sp macro="[0]!LBChanger" textlink="uxb_works!B103">
              <xdr:nvSpPr>
                <xdr:cNvPr id="198" name="RegionCompare">
                  <a:extLst>
                    <a:ext uri="{FF2B5EF4-FFF2-40B4-BE49-F238E27FC236}">
                      <a16:creationId xmlns:a16="http://schemas.microsoft.com/office/drawing/2014/main" id="{00000000-0008-0000-0500-0000C6000000}"/>
                    </a:ext>
                  </a:extLst>
                </xdr:cNvPr>
                <xdr:cNvSpPr>
                  <a:spLocks/>
                </xdr:cNvSpPr>
              </xdr:nvSpPr>
              <xdr:spPr>
                <a:xfrm>
                  <a:off x="6578664" y="285940"/>
                  <a:ext cx="132486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51E55FBF-FB84-41A1-976B-235AB148A85F}" type="TxLink">
                    <a:rPr lang="en-US" sz="900" b="1" i="0" u="none" strike="noStrike">
                      <a:solidFill>
                        <a:schemeClr val="accent5">
                          <a:lumMod val="50000"/>
                        </a:schemeClr>
                      </a:solidFill>
                      <a:latin typeface="Calibri"/>
                      <a:ea typeface="Karla" pitchFamily="2" charset="0"/>
                      <a:cs typeface="Calibri"/>
                    </a:rPr>
                    <a:pPr algn="ctr"/>
                    <a:t>REGION COMPARE</a:t>
                  </a:fld>
                  <a:endParaRPr lang="en-GB" sz="900" b="1">
                    <a:solidFill>
                      <a:schemeClr val="accent5">
                        <a:lumMod val="50000"/>
                      </a:schemeClr>
                    </a:solidFill>
                    <a:latin typeface="+mn-lt"/>
                    <a:ea typeface="Karla" pitchFamily="2" charset="0"/>
                  </a:endParaRPr>
                </a:p>
              </xdr:txBody>
            </xdr:sp>
            <xdr:sp macro="[0]!LBChanger" textlink="uxb_works!B104">
              <xdr:nvSpPr>
                <xdr:cNvPr id="199" name="CProfile">
                  <a:extLst>
                    <a:ext uri="{FF2B5EF4-FFF2-40B4-BE49-F238E27FC236}">
                      <a16:creationId xmlns:a16="http://schemas.microsoft.com/office/drawing/2014/main" id="{00000000-0008-0000-0500-0000C7000000}"/>
                    </a:ext>
                  </a:extLst>
                </xdr:cNvPr>
                <xdr:cNvSpPr>
                  <a:spLocks/>
                </xdr:cNvSpPr>
              </xdr:nvSpPr>
              <xdr:spPr>
                <a:xfrm>
                  <a:off x="2635250" y="285489"/>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62C1403F-D06F-4F81-B666-49A22A849932}" type="TxLink">
                    <a:rPr lang="en-US" sz="900" b="1" i="0" u="none" strike="noStrike">
                      <a:solidFill>
                        <a:srgbClr val="366092"/>
                      </a:solidFill>
                      <a:latin typeface="Calibri"/>
                      <a:ea typeface="Karla" pitchFamily="2" charset="0"/>
                      <a:cs typeface="Calibri"/>
                    </a:rPr>
                    <a:pPr algn="ctr"/>
                    <a:t>CITY PROFILE</a:t>
                  </a:fld>
                  <a:endParaRPr lang="en-GB" sz="900" b="1">
                    <a:solidFill>
                      <a:schemeClr val="accent5">
                        <a:lumMod val="50000"/>
                      </a:schemeClr>
                    </a:solidFill>
                    <a:latin typeface="+mn-lt"/>
                    <a:ea typeface="Karla" pitchFamily="2" charset="0"/>
                  </a:endParaRPr>
                </a:p>
              </xdr:txBody>
            </xdr:sp>
          </xdr:grpSp>
        </xdr:grpSp>
        <xdr:sp macro="[0]!UniversalChanger" textlink="uxb_works!$C$111">
          <xdr:nvSpPr>
            <xdr:cNvPr id="175" name="FilterToggle">
              <a:extLst>
                <a:ext uri="{FF2B5EF4-FFF2-40B4-BE49-F238E27FC236}">
                  <a16:creationId xmlns:a16="http://schemas.microsoft.com/office/drawing/2014/main" id="{00000000-0008-0000-0500-0000AF000000}"/>
                </a:ext>
              </a:extLst>
            </xdr:cNvPr>
            <xdr:cNvSpPr>
              <a:spLocks/>
            </xdr:cNvSpPr>
          </xdr:nvSpPr>
          <xdr:spPr>
            <a:xfrm>
              <a:off x="10744308" y="852242"/>
              <a:ext cx="1082221" cy="212967"/>
            </a:xfrm>
            <a:prstGeom prst="rect">
              <a:avLst/>
            </a:prstGeom>
            <a:solidFill>
              <a:srgbClr val="D9D9D9"/>
            </a:solidFill>
            <a:ln w="28575">
              <a:solidFill>
                <a:srgbClr val="F2F2F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D5B5E-6696-41FF-B581-44AEC0F219A7}" type="TxLink">
                <a:rPr lang="en-US" sz="800" b="0" i="0" u="none" strike="noStrike">
                  <a:solidFill>
                    <a:srgbClr val="376092"/>
                  </a:solidFill>
                  <a:latin typeface="Calibri"/>
                  <a:ea typeface="Karla" pitchFamily="2" charset="0"/>
                  <a:cs typeface="Calibri"/>
                </a:rPr>
                <a:pPr algn="ctr"/>
                <a:t>Hide these options</a:t>
              </a:fld>
              <a:endParaRPr lang="en-GB" sz="4000" b="1">
                <a:solidFill>
                  <a:srgbClr val="376092"/>
                </a:solidFill>
                <a:latin typeface="+mn-lt"/>
                <a:ea typeface="Karla" pitchFamily="2" charset="0"/>
              </a:endParaRPr>
            </a:p>
          </xdr:txBody>
        </xdr:sp>
        <xdr:grpSp>
          <xdr:nvGrpSpPr>
            <xdr:cNvPr id="176" name="Group 175">
              <a:extLst>
                <a:ext uri="{FF2B5EF4-FFF2-40B4-BE49-F238E27FC236}">
                  <a16:creationId xmlns:a16="http://schemas.microsoft.com/office/drawing/2014/main" id="{00000000-0008-0000-0500-0000B0000000}"/>
                </a:ext>
              </a:extLst>
            </xdr:cNvPr>
            <xdr:cNvGrpSpPr/>
          </xdr:nvGrpSpPr>
          <xdr:grpSpPr>
            <a:xfrm>
              <a:off x="10753783" y="37494"/>
              <a:ext cx="999275" cy="240746"/>
              <a:chOff x="10782556" y="28575"/>
              <a:chExt cx="999806" cy="252000"/>
            </a:xfrm>
          </xdr:grpSpPr>
          <xdr:sp macro="[0]!UniversalChanger" textlink="">
            <xdr:nvSpPr>
              <xdr:cNvPr id="177" name="ctr_Reset">
                <a:extLst>
                  <a:ext uri="{FF2B5EF4-FFF2-40B4-BE49-F238E27FC236}">
                    <a16:creationId xmlns:a16="http://schemas.microsoft.com/office/drawing/2014/main" id="{00000000-0008-0000-0500-0000B1000000}"/>
                  </a:ext>
                </a:extLst>
              </xdr:cNvPr>
              <xdr:cNvSpPr/>
            </xdr:nvSpPr>
            <xdr:spPr>
              <a:xfrm>
                <a:off x="10782556" y="38100"/>
                <a:ext cx="666749" cy="209550"/>
              </a:xfrm>
              <a:prstGeom prst="rect">
                <a:avLst/>
              </a:prstGeom>
              <a:solidFill>
                <a:srgbClr val="F47940">
                  <a:alpha val="20000"/>
                </a:srgbClr>
              </a:solidFill>
              <a:ln w="3175">
                <a:solidFill>
                  <a:srgbClr val="005BAD"/>
                </a:solid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r>
                  <a:rPr lang="en-GB" sz="1000" b="0">
                    <a:solidFill>
                      <a:srgbClr val="143050"/>
                    </a:solidFill>
                    <a:latin typeface="+mn-lt"/>
                    <a:ea typeface="Karla" pitchFamily="2" charset="0"/>
                  </a:rPr>
                  <a:t>RESET</a:t>
                </a:r>
              </a:p>
            </xdr:txBody>
          </xdr:sp>
          <xdr:pic macro="[0]!UniversalChanger">
            <xdr:nvPicPr>
              <xdr:cNvPr id="178" name="Excel_Out">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1525506" y="28575"/>
                <a:ext cx="256856" cy="252000"/>
              </a:xfrm>
              <a:prstGeom prst="rect">
                <a:avLst/>
              </a:prstGeom>
            </xdr:spPr>
          </xdr:pic>
        </xdr:grpSp>
      </xdr:grpSp>
      <xdr:grpSp>
        <xdr:nvGrpSpPr>
          <xdr:cNvPr id="41" name="Group 40">
            <a:extLst>
              <a:ext uri="{FF2B5EF4-FFF2-40B4-BE49-F238E27FC236}">
                <a16:creationId xmlns:a16="http://schemas.microsoft.com/office/drawing/2014/main" id="{00000000-0008-0000-0500-000029000000}"/>
              </a:ext>
            </a:extLst>
          </xdr:cNvPr>
          <xdr:cNvGrpSpPr/>
        </xdr:nvGrpSpPr>
        <xdr:grpSpPr>
          <a:xfrm>
            <a:off x="1866148" y="740390"/>
            <a:ext cx="1825118" cy="302552"/>
            <a:chOff x="6386513" y="1390650"/>
            <a:chExt cx="1824038" cy="305860"/>
          </a:xfrm>
        </xdr:grpSpPr>
        <xdr:sp macro="" textlink="">
          <xdr:nvSpPr>
            <xdr:cNvPr id="48" name="Oval 47">
              <a:extLst>
                <a:ext uri="{FF2B5EF4-FFF2-40B4-BE49-F238E27FC236}">
                  <a16:creationId xmlns:a16="http://schemas.microsoft.com/office/drawing/2014/main" id="{00000000-0008-0000-0500-000030000000}"/>
                </a:ext>
              </a:extLst>
            </xdr:cNvPr>
            <xdr:cNvSpPr/>
          </xdr:nvSpPr>
          <xdr:spPr>
            <a:xfrm>
              <a:off x="6386513" y="1474730"/>
              <a:ext cx="144000" cy="144000"/>
            </a:xfrm>
            <a:prstGeom prst="ellipse">
              <a:avLst/>
            </a:prstGeom>
            <a:solidFill>
              <a:srgbClr val="C0504D"/>
            </a:solidFill>
            <a:ln>
              <a:solidFill>
                <a:srgbClr val="993366"/>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endParaRPr lang="en-GB" sz="1400" b="1" i="0" u="none" strike="noStrike">
                <a:solidFill>
                  <a:schemeClr val="accent1">
                    <a:lumMod val="60000"/>
                    <a:lumOff val="40000"/>
                  </a:schemeClr>
                </a:solidFill>
                <a:latin typeface="Calibri"/>
                <a:cs typeface="Calibri"/>
              </a:endParaRPr>
            </a:p>
          </xdr:txBody>
        </xdr:sp>
        <xdr:sp macro="" textlink="">
          <xdr:nvSpPr>
            <xdr:cNvPr id="49" name="TextBox 48">
              <a:extLst>
                <a:ext uri="{FF2B5EF4-FFF2-40B4-BE49-F238E27FC236}">
                  <a16:creationId xmlns:a16="http://schemas.microsoft.com/office/drawing/2014/main" id="{00000000-0008-0000-0500-000031000000}"/>
                </a:ext>
              </a:extLst>
            </xdr:cNvPr>
            <xdr:cNvSpPr txBox="1">
              <a:spLocks noChangeArrowheads="1"/>
            </xdr:cNvSpPr>
          </xdr:nvSpPr>
          <xdr:spPr bwMode="auto">
            <a:xfrm>
              <a:off x="6515101" y="1390650"/>
              <a:ext cx="1695450" cy="305860"/>
            </a:xfrm>
            <a:prstGeom prst="rect">
              <a:avLst/>
            </a:prstGeom>
            <a:noFill/>
            <a:ln w="9525">
              <a:noFill/>
              <a:miter lim="800000"/>
              <a:headEnd/>
              <a:tailEnd/>
            </a:ln>
          </xdr:spPr>
          <xdr:txBody>
            <a:bodyPr vertOverflow="clip" wrap="square" lIns="72000" tIns="72000" rIns="72000" bIns="72000" anchor="ctr" upright="1"/>
            <a:lstStyle/>
            <a:p>
              <a:pPr marL="0" algn="l"/>
              <a:r>
                <a:rPr lang="en-US" sz="1000" b="0" i="0" u="none" strike="noStrike">
                  <a:solidFill>
                    <a:sysClr val="windowText" lastClr="000000"/>
                  </a:solidFill>
                  <a:effectLst/>
                  <a:latin typeface="+mn-lt"/>
                  <a:ea typeface="+mn-ea"/>
                  <a:cs typeface="Calibri"/>
                </a:rPr>
                <a:t>City highlighted</a:t>
              </a:r>
            </a:p>
          </xdr:txBody>
        </xdr:sp>
      </xdr:grpSp>
      <xdr:grpSp>
        <xdr:nvGrpSpPr>
          <xdr:cNvPr id="42" name="Group 41">
            <a:extLst>
              <a:ext uri="{FF2B5EF4-FFF2-40B4-BE49-F238E27FC236}">
                <a16:creationId xmlns:a16="http://schemas.microsoft.com/office/drawing/2014/main" id="{00000000-0008-0000-0500-00002A000000}"/>
              </a:ext>
            </a:extLst>
          </xdr:cNvPr>
          <xdr:cNvGrpSpPr/>
        </xdr:nvGrpSpPr>
        <xdr:grpSpPr>
          <a:xfrm>
            <a:off x="3357692" y="740390"/>
            <a:ext cx="2207926" cy="302552"/>
            <a:chOff x="2578686" y="1638300"/>
            <a:chExt cx="2193426" cy="305860"/>
          </a:xfrm>
        </xdr:grpSpPr>
        <xdr:sp macro="" textlink="">
          <xdr:nvSpPr>
            <xdr:cNvPr id="46" name="Rectangle 45">
              <a:extLst>
                <a:ext uri="{FF2B5EF4-FFF2-40B4-BE49-F238E27FC236}">
                  <a16:creationId xmlns:a16="http://schemas.microsoft.com/office/drawing/2014/main" id="{00000000-0008-0000-0500-00002E000000}"/>
                </a:ext>
              </a:extLst>
            </xdr:cNvPr>
            <xdr:cNvSpPr/>
          </xdr:nvSpPr>
          <xdr:spPr>
            <a:xfrm rot="2700000">
              <a:off x="2578686" y="1737230"/>
              <a:ext cx="108000" cy="108000"/>
            </a:xfrm>
            <a:prstGeom prst="rect">
              <a:avLst/>
            </a:prstGeom>
            <a:solidFill>
              <a:schemeClr val="accent1">
                <a:lumMod val="60000"/>
                <a:lumOff val="40000"/>
              </a:schemeClr>
            </a:solidFill>
            <a:ln w="19050">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chemeClr val="accent1">
                    <a:lumMod val="60000"/>
                    <a:lumOff val="40000"/>
                  </a:schemeClr>
                </a:solidFill>
                <a:latin typeface="Calibri"/>
                <a:cs typeface="Calibri"/>
              </a:endParaRPr>
            </a:p>
          </xdr:txBody>
        </xdr:sp>
        <xdr:sp macro="" textlink="">
          <xdr:nvSpPr>
            <xdr:cNvPr id="47" name="TextBox 46">
              <a:extLst>
                <a:ext uri="{FF2B5EF4-FFF2-40B4-BE49-F238E27FC236}">
                  <a16:creationId xmlns:a16="http://schemas.microsoft.com/office/drawing/2014/main" id="{00000000-0008-0000-0500-00002F000000}"/>
                </a:ext>
              </a:extLst>
            </xdr:cNvPr>
            <xdr:cNvSpPr txBox="1">
              <a:spLocks noChangeArrowheads="1"/>
            </xdr:cNvSpPr>
          </xdr:nvSpPr>
          <xdr:spPr bwMode="auto">
            <a:xfrm>
              <a:off x="2675683" y="1638300"/>
              <a:ext cx="2096429" cy="305860"/>
            </a:xfrm>
            <a:prstGeom prst="rect">
              <a:avLst/>
            </a:prstGeom>
            <a:noFill/>
            <a:ln w="9525">
              <a:noFill/>
              <a:miter lim="800000"/>
              <a:headEnd/>
              <a:tailEnd/>
            </a:ln>
          </xdr:spPr>
          <xdr:txBody>
            <a:bodyPr vertOverflow="clip" wrap="square" lIns="72000" tIns="72000" rIns="72000" bIns="72000" anchor="ctr" upright="1"/>
            <a:lstStyle/>
            <a:p>
              <a:pPr marL="0" algn="l"/>
              <a:r>
                <a:rPr lang="en-US" sz="1000" b="0" i="0" u="none" strike="noStrike">
                  <a:solidFill>
                    <a:sysClr val="windowText" lastClr="000000"/>
                  </a:solidFill>
                  <a:effectLst/>
                  <a:latin typeface="+mn-lt"/>
                  <a:ea typeface="+mn-ea"/>
                  <a:cs typeface="Calibri"/>
                </a:rPr>
                <a:t>Individual</a:t>
              </a:r>
              <a:r>
                <a:rPr lang="en-US" sz="1000" b="0" i="0" u="none" strike="noStrike" baseline="0">
                  <a:solidFill>
                    <a:sysClr val="windowText" lastClr="000000"/>
                  </a:solidFill>
                  <a:effectLst/>
                  <a:latin typeface="+mn-lt"/>
                  <a:ea typeface="+mn-ea"/>
                  <a:cs typeface="Calibri"/>
                </a:rPr>
                <a:t> city results</a:t>
              </a:r>
              <a:endParaRPr lang="en-US" sz="1000" b="0" i="0" u="none" strike="noStrike">
                <a:solidFill>
                  <a:sysClr val="windowText" lastClr="000000"/>
                </a:solidFill>
                <a:effectLst/>
                <a:latin typeface="+mn-lt"/>
                <a:ea typeface="+mn-ea"/>
                <a:cs typeface="Calibri"/>
              </a:endParaRPr>
            </a:p>
          </xdr:txBody>
        </xdr:sp>
      </xdr:grpSp>
      <xdr:grpSp>
        <xdr:nvGrpSpPr>
          <xdr:cNvPr id="130" name="Group 129">
            <a:extLst>
              <a:ext uri="{FF2B5EF4-FFF2-40B4-BE49-F238E27FC236}">
                <a16:creationId xmlns:a16="http://schemas.microsoft.com/office/drawing/2014/main" id="{00000000-0008-0000-0500-000082000000}"/>
              </a:ext>
            </a:extLst>
          </xdr:cNvPr>
          <xdr:cNvGrpSpPr/>
        </xdr:nvGrpSpPr>
        <xdr:grpSpPr>
          <a:xfrm>
            <a:off x="123790" y="597748"/>
            <a:ext cx="1553472" cy="395108"/>
            <a:chOff x="4705593" y="638178"/>
            <a:chExt cx="1553385" cy="400385"/>
          </a:xfrm>
        </xdr:grpSpPr>
        <xdr:grpSp>
          <xdr:nvGrpSpPr>
            <xdr:cNvPr id="131" name="Group 130">
              <a:extLst>
                <a:ext uri="{FF2B5EF4-FFF2-40B4-BE49-F238E27FC236}">
                  <a16:creationId xmlns:a16="http://schemas.microsoft.com/office/drawing/2014/main" id="{00000000-0008-0000-0500-000083000000}"/>
                </a:ext>
              </a:extLst>
            </xdr:cNvPr>
            <xdr:cNvGrpSpPr/>
          </xdr:nvGrpSpPr>
          <xdr:grpSpPr>
            <a:xfrm>
              <a:off x="4705593" y="819234"/>
              <a:ext cx="1553385" cy="219329"/>
              <a:chOff x="114188" y="818963"/>
              <a:chExt cx="1544917" cy="219601"/>
            </a:xfrm>
          </xdr:grpSpPr>
          <xdr:pic macro="[0]!UniversalChanger">
            <xdr:nvPicPr>
              <xdr:cNvPr id="137" name="Cnt_Select_up" descr="scroll_up_small.png">
                <a:extLst>
                  <a:ext uri="{FF2B5EF4-FFF2-40B4-BE49-F238E27FC236}">
                    <a16:creationId xmlns:a16="http://schemas.microsoft.com/office/drawing/2014/main" id="{00000000-0008-0000-0500-000089000000}"/>
                  </a:ext>
                </a:extLst>
              </xdr:cNvPr>
              <xdr:cNvPicPr preferRelativeResize="0">
                <a:picLocks/>
              </xdr:cNvPicPr>
            </xdr:nvPicPr>
            <xdr:blipFill>
              <a:blip xmlns:r="http://schemas.openxmlformats.org/officeDocument/2006/relationships" r:embed="rId23" cstate="print"/>
              <a:stretch>
                <a:fillRect/>
              </a:stretch>
            </xdr:blipFill>
            <xdr:spPr>
              <a:xfrm>
                <a:off x="1370311" y="834664"/>
                <a:ext cx="288794" cy="107897"/>
              </a:xfrm>
              <a:prstGeom prst="rect">
                <a:avLst/>
              </a:prstGeom>
            </xdr:spPr>
          </xdr:pic>
          <xdr:pic macro="[0]!UniversalChanger">
            <xdr:nvPicPr>
              <xdr:cNvPr id="138" name="Cnt_Select_down" descr="scroll_down_small.png">
                <a:extLst>
                  <a:ext uri="{FF2B5EF4-FFF2-40B4-BE49-F238E27FC236}">
                    <a16:creationId xmlns:a16="http://schemas.microsoft.com/office/drawing/2014/main" id="{00000000-0008-0000-0500-00008A000000}"/>
                  </a:ext>
                </a:extLst>
              </xdr:cNvPr>
              <xdr:cNvPicPr preferRelativeResize="0">
                <a:picLocks/>
              </xdr:cNvPicPr>
            </xdr:nvPicPr>
            <xdr:blipFill>
              <a:blip xmlns:r="http://schemas.openxmlformats.org/officeDocument/2006/relationships" r:embed="rId24" cstate="print"/>
              <a:stretch>
                <a:fillRect/>
              </a:stretch>
            </xdr:blipFill>
            <xdr:spPr>
              <a:xfrm>
                <a:off x="1370311" y="934757"/>
                <a:ext cx="288794" cy="98699"/>
              </a:xfrm>
              <a:prstGeom prst="rect">
                <a:avLst/>
              </a:prstGeom>
            </xdr:spPr>
          </xdr:pic>
          <mc:AlternateContent xmlns:mc="http://schemas.openxmlformats.org/markup-compatibility/2006">
            <mc:Choice xmlns:a14="http://schemas.microsoft.com/office/drawing/2010/main" Requires="a14">
              <xdr:sp macro="" textlink="">
                <xdr:nvSpPr>
                  <xdr:cNvPr id="14576651" name="Cnt_Select" hidden="1">
                    <a:extLst>
                      <a:ext uri="{63B3BB69-23CF-44E3-9099-C40C66FF867C}">
                        <a14:compatExt spid="_x0000_s14576651"/>
                      </a:ext>
                      <a:ext uri="{FF2B5EF4-FFF2-40B4-BE49-F238E27FC236}">
                        <a16:creationId xmlns:a16="http://schemas.microsoft.com/office/drawing/2014/main" id="{00000000-0008-0000-0500-00000B6CDE00}"/>
                      </a:ext>
                    </a:extLst>
                  </xdr:cNvPr>
                  <xdr:cNvSpPr/>
                </xdr:nvSpPr>
                <xdr:spPr bwMode="auto">
                  <a:xfrm>
                    <a:off x="114188" y="818963"/>
                    <a:ext cx="1256885" cy="219601"/>
                  </a:xfrm>
                  <a:prstGeom prst="rect">
                    <a:avLst/>
                  </a:prstGeom>
                  <a:noFill/>
                  <a:ln>
                    <a:noFill/>
                  </a:ln>
                  <a:extLst>
                    <a:ext uri="{91240B29-F687-4F45-9708-019B960494DF}">
                      <a14:hiddenLine w="9525">
                        <a:noFill/>
                        <a:miter lim="800000"/>
                        <a:headEnd/>
                        <a:tailEnd/>
                      </a14:hiddenLine>
                    </a:ext>
                  </a:extLst>
                </xdr:spPr>
              </xdr:sp>
            </mc:Choice>
            <mc:Fallback/>
          </mc:AlternateContent>
        </xdr:grpSp>
        <xdr:grpSp>
          <xdr:nvGrpSpPr>
            <xdr:cNvPr id="132" name="Group 131">
              <a:extLst>
                <a:ext uri="{FF2B5EF4-FFF2-40B4-BE49-F238E27FC236}">
                  <a16:creationId xmlns:a16="http://schemas.microsoft.com/office/drawing/2014/main" id="{00000000-0008-0000-0500-000084000000}"/>
                </a:ext>
              </a:extLst>
            </xdr:cNvPr>
            <xdr:cNvGrpSpPr/>
          </xdr:nvGrpSpPr>
          <xdr:grpSpPr>
            <a:xfrm>
              <a:off x="4705674" y="638178"/>
              <a:ext cx="1547920" cy="400045"/>
              <a:chOff x="4705350" y="638178"/>
              <a:chExt cx="1547813" cy="400045"/>
            </a:xfrm>
          </xdr:grpSpPr>
          <xdr:grpSp>
            <xdr:nvGrpSpPr>
              <xdr:cNvPr id="133" name="Group 132">
                <a:extLst>
                  <a:ext uri="{FF2B5EF4-FFF2-40B4-BE49-F238E27FC236}">
                    <a16:creationId xmlns:a16="http://schemas.microsoft.com/office/drawing/2014/main" id="{00000000-0008-0000-0500-000085000000}"/>
                  </a:ext>
                </a:extLst>
              </xdr:cNvPr>
              <xdr:cNvGrpSpPr/>
            </xdr:nvGrpSpPr>
            <xdr:grpSpPr>
              <a:xfrm>
                <a:off x="4705350" y="638178"/>
                <a:ext cx="1547813" cy="180004"/>
                <a:chOff x="4705350" y="609600"/>
                <a:chExt cx="1547813" cy="180004"/>
              </a:xfrm>
            </xdr:grpSpPr>
            <xdr:sp macro="[0]!UniversalChanger" textlink="uxb_works!E101">
              <xdr:nvSpPr>
                <xdr:cNvPr id="135" name="CNT_HL">
                  <a:extLst>
                    <a:ext uri="{FF2B5EF4-FFF2-40B4-BE49-F238E27FC236}">
                      <a16:creationId xmlns:a16="http://schemas.microsoft.com/office/drawing/2014/main" id="{00000000-0008-0000-0500-000087000000}"/>
                    </a:ext>
                  </a:extLst>
                </xdr:cNvPr>
                <xdr:cNvSpPr>
                  <a:spLocks/>
                </xdr:cNvSpPr>
              </xdr:nvSpPr>
              <xdr:spPr>
                <a:xfrm>
                  <a:off x="5147568" y="609600"/>
                  <a:ext cx="1105595" cy="180000"/>
                </a:xfrm>
                <a:prstGeom prst="rect">
                  <a:avLst/>
                </a:prstGeom>
                <a:solidFill>
                  <a:schemeClr val="bg1">
                    <a:lumMod val="95000"/>
                  </a:schemeClr>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E72B4391-6C48-478F-9041-78395BD7406E}" type="TxLink">
                    <a:rPr lang="en-US" sz="800" b="0" i="0" u="none" strike="noStrike">
                      <a:solidFill>
                        <a:sysClr val="windowText" lastClr="000000"/>
                      </a:solidFill>
                      <a:latin typeface="Calibri"/>
                      <a:ea typeface="Karla" pitchFamily="2" charset="0"/>
                      <a:cs typeface="Calibri"/>
                    </a:rPr>
                    <a:pPr algn="ctr"/>
                    <a:t>CITY</a:t>
                  </a:fld>
                  <a:endParaRPr lang="en-GB" sz="600" b="0">
                    <a:solidFill>
                      <a:sysClr val="windowText" lastClr="000000"/>
                    </a:solidFill>
                    <a:latin typeface="+mn-lt"/>
                    <a:ea typeface="Karla" pitchFamily="2" charset="0"/>
                  </a:endParaRPr>
                </a:p>
              </xdr:txBody>
            </xdr:sp>
            <xdr:sp macro="" textlink="">
              <xdr:nvSpPr>
                <xdr:cNvPr id="136" name="lbl_cnt_City_1">
                  <a:extLst>
                    <a:ext uri="{FF2B5EF4-FFF2-40B4-BE49-F238E27FC236}">
                      <a16:creationId xmlns:a16="http://schemas.microsoft.com/office/drawing/2014/main" id="{00000000-0008-0000-0500-000088000000}"/>
                    </a:ext>
                  </a:extLst>
                </xdr:cNvPr>
                <xdr:cNvSpPr txBox="1"/>
              </xdr:nvSpPr>
              <xdr:spPr>
                <a:xfrm>
                  <a:off x="4705350" y="609604"/>
                  <a:ext cx="440651" cy="180000"/>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ctr"/>
                  <a:r>
                    <a:rPr lang="en-GB" sz="1000" b="1">
                      <a:solidFill>
                        <a:sysClr val="windowText" lastClr="000000"/>
                      </a:solidFill>
                      <a:latin typeface="+mn-lt"/>
                      <a:ea typeface="Karla" pitchFamily="2" charset="0"/>
                    </a:rPr>
                    <a:t>SELECT </a:t>
                  </a:r>
                </a:p>
              </xdr:txBody>
            </xdr:sp>
          </xdr:grpSp>
          <xdr:sp macro="" textlink="">
            <xdr:nvSpPr>
              <xdr:cNvPr id="134" name="Rectangle 133">
                <a:extLst>
                  <a:ext uri="{FF2B5EF4-FFF2-40B4-BE49-F238E27FC236}">
                    <a16:creationId xmlns:a16="http://schemas.microsoft.com/office/drawing/2014/main" id="{00000000-0008-0000-0500-000086000000}"/>
                  </a:ext>
                </a:extLst>
              </xdr:cNvPr>
              <xdr:cNvSpPr/>
            </xdr:nvSpPr>
            <xdr:spPr>
              <a:xfrm>
                <a:off x="5967413" y="819149"/>
                <a:ext cx="285750" cy="219074"/>
              </a:xfrm>
              <a:prstGeom prst="rect">
                <a:avLst/>
              </a:prstGeom>
              <a:noFill/>
              <a:ln w="63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chemeClr val="accent1">
                      <a:lumMod val="60000"/>
                      <a:lumOff val="40000"/>
                    </a:schemeClr>
                  </a:solidFill>
                  <a:latin typeface="Calibri"/>
                  <a:cs typeface="Calibri"/>
                </a:endParaRPr>
              </a:p>
            </xdr:txBody>
          </xdr:sp>
        </xdr:grpSp>
      </xdr:grpSp>
      <xdr:grpSp>
        <xdr:nvGrpSpPr>
          <xdr:cNvPr id="7" name="Group 6">
            <a:extLst>
              <a:ext uri="{FF2B5EF4-FFF2-40B4-BE49-F238E27FC236}">
                <a16:creationId xmlns:a16="http://schemas.microsoft.com/office/drawing/2014/main" id="{00000000-0008-0000-0500-000007000000}"/>
              </a:ext>
            </a:extLst>
          </xdr:cNvPr>
          <xdr:cNvGrpSpPr/>
        </xdr:nvGrpSpPr>
        <xdr:grpSpPr>
          <a:xfrm>
            <a:off x="4937651" y="740390"/>
            <a:ext cx="5048617" cy="302552"/>
            <a:chOff x="4931918" y="743276"/>
            <a:chExt cx="5050283" cy="303731"/>
          </a:xfrm>
        </xdr:grpSpPr>
        <xdr:grpSp>
          <xdr:nvGrpSpPr>
            <xdr:cNvPr id="43" name="Group 42">
              <a:extLst>
                <a:ext uri="{FF2B5EF4-FFF2-40B4-BE49-F238E27FC236}">
                  <a16:creationId xmlns:a16="http://schemas.microsoft.com/office/drawing/2014/main" id="{00000000-0008-0000-0500-00002B000000}"/>
                </a:ext>
              </a:extLst>
            </xdr:cNvPr>
            <xdr:cNvGrpSpPr/>
          </xdr:nvGrpSpPr>
          <xdr:grpSpPr>
            <a:xfrm>
              <a:off x="4931918" y="743276"/>
              <a:ext cx="5050283" cy="303731"/>
              <a:chOff x="2533650" y="1276350"/>
              <a:chExt cx="2643764" cy="305860"/>
            </a:xfrm>
          </xdr:grpSpPr>
          <xdr:sp macro="" textlink="">
            <xdr:nvSpPr>
              <xdr:cNvPr id="44" name="Rectangle 43">
                <a:extLst>
                  <a:ext uri="{FF2B5EF4-FFF2-40B4-BE49-F238E27FC236}">
                    <a16:creationId xmlns:a16="http://schemas.microsoft.com/office/drawing/2014/main" id="{00000000-0008-0000-0500-00002C000000}"/>
                  </a:ext>
                </a:extLst>
              </xdr:cNvPr>
              <xdr:cNvSpPr/>
            </xdr:nvSpPr>
            <xdr:spPr>
              <a:xfrm>
                <a:off x="2533650" y="1357280"/>
                <a:ext cx="75420" cy="144000"/>
              </a:xfrm>
              <a:prstGeom prst="rect">
                <a:avLst/>
              </a:prstGeom>
              <a:solidFill>
                <a:schemeClr val="accent1">
                  <a:lumMod val="75000"/>
                </a:schemeClr>
              </a:solidFill>
              <a:ln w="1905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chemeClr val="accent1">
                      <a:lumMod val="60000"/>
                      <a:lumOff val="40000"/>
                    </a:schemeClr>
                  </a:solidFill>
                  <a:latin typeface="Calibri"/>
                  <a:cs typeface="Calibri"/>
                </a:endParaRPr>
              </a:p>
            </xdr:txBody>
          </xdr:sp>
          <xdr:sp macro="" textlink="uxb_works!AR71">
            <xdr:nvSpPr>
              <xdr:cNvPr id="45" name="TextBox 44">
                <a:extLst>
                  <a:ext uri="{FF2B5EF4-FFF2-40B4-BE49-F238E27FC236}">
                    <a16:creationId xmlns:a16="http://schemas.microsoft.com/office/drawing/2014/main" id="{00000000-0008-0000-0500-00002D000000}"/>
                  </a:ext>
                </a:extLst>
              </xdr:cNvPr>
              <xdr:cNvSpPr txBox="1">
                <a:spLocks noChangeArrowheads="1"/>
              </xdr:cNvSpPr>
            </xdr:nvSpPr>
            <xdr:spPr bwMode="auto">
              <a:xfrm>
                <a:off x="2599834" y="1276350"/>
                <a:ext cx="2577580" cy="305860"/>
              </a:xfrm>
              <a:prstGeom prst="rect">
                <a:avLst/>
              </a:prstGeom>
              <a:noFill/>
              <a:ln w="9525">
                <a:noFill/>
                <a:miter lim="800000"/>
                <a:headEnd/>
                <a:tailEnd/>
              </a:ln>
            </xdr:spPr>
            <xdr:txBody>
              <a:bodyPr vertOverflow="clip" wrap="square" lIns="72000" tIns="72000" rIns="72000" bIns="72000" anchor="ctr" upright="1"/>
              <a:lstStyle/>
              <a:p>
                <a:pPr marL="0" algn="l"/>
                <a:fld id="{6DA1FB43-1331-4EFA-8A2F-46976278343B}" type="TxLink">
                  <a:rPr lang="en-US" sz="1000" b="0" i="0" u="none" strike="noStrike">
                    <a:solidFill>
                      <a:sysClr val="windowText" lastClr="000000"/>
                    </a:solidFill>
                    <a:effectLst/>
                    <a:latin typeface="Calibri"/>
                    <a:ea typeface="+mn-ea"/>
                    <a:cs typeface="Calibri"/>
                  </a:rPr>
                  <a:pPr marL="0" algn="l"/>
                  <a:t> </a:t>
                </a:fld>
                <a:endParaRPr lang="en-US" sz="800" b="0" i="0" u="none" strike="noStrike">
                  <a:solidFill>
                    <a:sysClr val="windowText" lastClr="000000"/>
                  </a:solidFill>
                  <a:effectLst/>
                  <a:latin typeface="+mn-lt"/>
                  <a:ea typeface="+mn-ea"/>
                  <a:cs typeface="Calibri"/>
                </a:endParaRPr>
              </a:p>
            </xdr:txBody>
          </xdr:sp>
        </xdr:grpSp>
        <xdr:sp macro="" textlink="">
          <xdr:nvSpPr>
            <xdr:cNvPr id="171" name="TextBox 170">
              <a:extLst>
                <a:ext uri="{FF2B5EF4-FFF2-40B4-BE49-F238E27FC236}">
                  <a16:creationId xmlns:a16="http://schemas.microsoft.com/office/drawing/2014/main" id="{00000000-0008-0000-0500-0000AB000000}"/>
                </a:ext>
              </a:extLst>
            </xdr:cNvPr>
            <xdr:cNvSpPr txBox="1">
              <a:spLocks noChangeArrowheads="1"/>
            </xdr:cNvSpPr>
          </xdr:nvSpPr>
          <xdr:spPr bwMode="auto">
            <a:xfrm>
              <a:off x="5124450" y="743276"/>
              <a:ext cx="2095500" cy="303731"/>
            </a:xfrm>
            <a:prstGeom prst="rect">
              <a:avLst/>
            </a:prstGeom>
            <a:noFill/>
            <a:ln w="9525">
              <a:noFill/>
              <a:miter lim="800000"/>
              <a:headEnd/>
              <a:tailEnd/>
            </a:ln>
          </xdr:spPr>
          <xdr:txBody>
            <a:bodyPr vertOverflow="clip" wrap="square" lIns="72000" tIns="72000" rIns="72000" bIns="72000" anchor="ctr" upright="1"/>
            <a:lstStyle/>
            <a:p>
              <a:pPr marL="0" algn="l"/>
              <a:r>
                <a:rPr lang="en-US" sz="1000" b="0" i="0" u="none" strike="noStrike">
                  <a:solidFill>
                    <a:sysClr val="windowText" lastClr="000000"/>
                  </a:solidFill>
                  <a:effectLst/>
                  <a:latin typeface="+mn-lt"/>
                  <a:ea typeface="+mn-ea"/>
                  <a:cs typeface="Calibri"/>
                </a:rPr>
                <a:t>Average</a:t>
              </a:r>
              <a:r>
                <a:rPr lang="en-US" sz="1000" b="0" i="0" u="none" strike="noStrike" baseline="0">
                  <a:solidFill>
                    <a:sysClr val="windowText" lastClr="000000"/>
                  </a:solidFill>
                  <a:effectLst/>
                  <a:latin typeface="+mn-lt"/>
                  <a:ea typeface="+mn-ea"/>
                  <a:cs typeface="Calibri"/>
                </a:rPr>
                <a:t> of selected filter group</a:t>
              </a:r>
              <a:endParaRPr lang="en-US" sz="1000" b="0" i="0" u="none" strike="noStrike">
                <a:solidFill>
                  <a:sysClr val="windowText" lastClr="000000"/>
                </a:solidFill>
                <a:effectLst/>
                <a:latin typeface="+mn-lt"/>
                <a:ea typeface="+mn-ea"/>
                <a:cs typeface="Calibri"/>
              </a:endParaRPr>
            </a:p>
          </xdr:txBody>
        </xdr:sp>
      </xdr:grpSp>
    </xdr:grpSp>
    <xdr:clientData/>
  </xdr:twoCellAnchor>
  <xdr:twoCellAnchor editAs="oneCell">
    <xdr:from>
      <xdr:col>3</xdr:col>
      <xdr:colOff>533400</xdr:colOff>
      <xdr:row>13</xdr:row>
      <xdr:rowOff>0</xdr:rowOff>
    </xdr:from>
    <xdr:to>
      <xdr:col>6</xdr:col>
      <xdr:colOff>4000500</xdr:colOff>
      <xdr:row>14</xdr:row>
      <xdr:rowOff>29634</xdr:rowOff>
    </xdr:to>
    <xdr:graphicFrame macro="">
      <xdr:nvGraphicFramePr>
        <xdr:cNvPr id="172" name="Chart_A1.0">
          <a:extLst>
            <a:ext uri="{FF2B5EF4-FFF2-40B4-BE49-F238E27FC236}">
              <a16:creationId xmlns:a16="http://schemas.microsoft.com/office/drawing/2014/main" id="{00000000-0008-0000-05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0</xdr:colOff>
      <xdr:row>10</xdr:row>
      <xdr:rowOff>133350</xdr:rowOff>
    </xdr:from>
    <xdr:to>
      <xdr:col>29</xdr:col>
      <xdr:colOff>0</xdr:colOff>
      <xdr:row>12</xdr:row>
      <xdr:rowOff>1390650</xdr:rowOff>
    </xdr:to>
    <xdr:graphicFrame macro="">
      <xdr:nvGraphicFramePr>
        <xdr:cNvPr id="46" name="Chart 45">
          <a:extLst>
            <a:ext uri="{FF2B5EF4-FFF2-40B4-BE49-F238E27FC236}">
              <a16:creationId xmlns:a16="http://schemas.microsoft.com/office/drawing/2014/main" id="{00000000-0008-0000-06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12</xdr:row>
      <xdr:rowOff>9527</xdr:rowOff>
    </xdr:from>
    <xdr:to>
      <xdr:col>17</xdr:col>
      <xdr:colOff>76200</xdr:colOff>
      <xdr:row>32</xdr:row>
      <xdr:rowOff>1</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95251</xdr:colOff>
      <xdr:row>10</xdr:row>
      <xdr:rowOff>47613</xdr:rowOff>
    </xdr:from>
    <xdr:to>
      <xdr:col>36</xdr:col>
      <xdr:colOff>0</xdr:colOff>
      <xdr:row>37</xdr:row>
      <xdr:rowOff>177788</xdr:rowOff>
    </xdr:to>
    <xdr:grpSp>
      <xdr:nvGrpSpPr>
        <xdr:cNvPr id="3" name="LeftBox1">
          <a:extLst>
            <a:ext uri="{FF2B5EF4-FFF2-40B4-BE49-F238E27FC236}">
              <a16:creationId xmlns:a16="http://schemas.microsoft.com/office/drawing/2014/main" id="{00000000-0008-0000-0600-000003000000}"/>
            </a:ext>
          </a:extLst>
        </xdr:cNvPr>
        <xdr:cNvGrpSpPr/>
      </xdr:nvGrpSpPr>
      <xdr:grpSpPr>
        <a:xfrm>
          <a:off x="95251" y="2200263"/>
          <a:ext cx="11734799" cy="7112000"/>
          <a:chOff x="76107" y="1514465"/>
          <a:chExt cx="11811932" cy="4648200"/>
        </a:xfrm>
      </xdr:grpSpPr>
      <xdr:sp macro="" textlink="">
        <xdr:nvSpPr>
          <xdr:cNvPr id="4" name="RightBox1">
            <a:extLst>
              <a:ext uri="{FF2B5EF4-FFF2-40B4-BE49-F238E27FC236}">
                <a16:creationId xmlns:a16="http://schemas.microsoft.com/office/drawing/2014/main" id="{00000000-0008-0000-0600-000004000000}"/>
              </a:ext>
            </a:extLst>
          </xdr:cNvPr>
          <xdr:cNvSpPr>
            <a:spLocks/>
          </xdr:cNvSpPr>
        </xdr:nvSpPr>
        <xdr:spPr>
          <a:xfrm>
            <a:off x="5044010" y="1514465"/>
            <a:ext cx="6844029" cy="4648200"/>
          </a:xfrm>
          <a:prstGeom prst="rect">
            <a:avLst/>
          </a:prstGeom>
          <a:noFill/>
          <a:ln w="6350">
            <a:solidFill>
              <a:srgbClr val="005E9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400" b="1" i="0" u="none" strike="noStrike">
              <a:solidFill>
                <a:schemeClr val="accent1">
                  <a:lumMod val="60000"/>
                  <a:lumOff val="40000"/>
                </a:schemeClr>
              </a:solidFill>
              <a:latin typeface="Calibri"/>
              <a:cs typeface="Calibri"/>
            </a:endParaRPr>
          </a:p>
        </xdr:txBody>
      </xdr:sp>
      <xdr:sp macro="" textlink="">
        <xdr:nvSpPr>
          <xdr:cNvPr id="5" name="LeftBox">
            <a:extLst>
              <a:ext uri="{FF2B5EF4-FFF2-40B4-BE49-F238E27FC236}">
                <a16:creationId xmlns:a16="http://schemas.microsoft.com/office/drawing/2014/main" id="{00000000-0008-0000-0600-000005000000}"/>
              </a:ext>
            </a:extLst>
          </xdr:cNvPr>
          <xdr:cNvSpPr>
            <a:spLocks/>
          </xdr:cNvSpPr>
        </xdr:nvSpPr>
        <xdr:spPr>
          <a:xfrm>
            <a:off x="76107" y="1514465"/>
            <a:ext cx="4900899" cy="4648200"/>
          </a:xfrm>
          <a:prstGeom prst="rect">
            <a:avLst/>
          </a:prstGeom>
          <a:noFill/>
          <a:ln w="6350">
            <a:solidFill>
              <a:srgbClr val="005E9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400" b="1" i="0" u="none" strike="noStrike">
              <a:solidFill>
                <a:schemeClr val="accent1">
                  <a:lumMod val="60000"/>
                  <a:lumOff val="40000"/>
                </a:schemeClr>
              </a:solidFill>
              <a:latin typeface="Calibri"/>
              <a:cs typeface="Calibri"/>
            </a:endParaRPr>
          </a:p>
        </xdr:txBody>
      </xdr:sp>
    </xdr:grpSp>
    <xdr:clientData/>
  </xdr:twoCellAnchor>
  <xdr:twoCellAnchor editAs="oneCell">
    <xdr:from>
      <xdr:col>0</xdr:col>
      <xdr:colOff>142875</xdr:colOff>
      <xdr:row>4</xdr:row>
      <xdr:rowOff>47625</xdr:rowOff>
    </xdr:from>
    <xdr:to>
      <xdr:col>27</xdr:col>
      <xdr:colOff>605790</xdr:colOff>
      <xdr:row>10</xdr:row>
      <xdr:rowOff>76199</xdr:rowOff>
    </xdr:to>
    <xdr:sp macro="" textlink="uxb_works!$B$170">
      <xdr:nvSpPr>
        <xdr:cNvPr id="6" name="HELP_B" hidden="1">
          <a:extLst>
            <a:ext uri="{FF2B5EF4-FFF2-40B4-BE49-F238E27FC236}">
              <a16:creationId xmlns:a16="http://schemas.microsoft.com/office/drawing/2014/main" id="{00000000-0008-0000-0600-000006000000}"/>
            </a:ext>
          </a:extLst>
        </xdr:cNvPr>
        <xdr:cNvSpPr/>
      </xdr:nvSpPr>
      <xdr:spPr>
        <a:xfrm>
          <a:off x="142875" y="1085850"/>
          <a:ext cx="11572875" cy="438149"/>
        </a:xfrm>
        <a:prstGeom prst="rect">
          <a:avLst/>
        </a:prstGeom>
        <a:no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fld id="{10B8E754-0D38-425B-B34D-EA0419233D54}" type="TxLink">
            <a:rPr lang="en-US" sz="1100" b="0" i="0" u="none" strike="noStrike">
              <a:solidFill>
                <a:srgbClr val="000000"/>
              </a:solidFill>
              <a:latin typeface="Calibri"/>
              <a:cs typeface="Calibri"/>
            </a:rPr>
            <a:pPr algn="l"/>
            <a:t>3</a:t>
          </a:fld>
          <a:endParaRPr lang="en-GB" sz="1400" b="1" i="0" u="none" strike="noStrike">
            <a:solidFill>
              <a:schemeClr val="tx1">
                <a:lumMod val="75000"/>
                <a:lumOff val="25000"/>
              </a:schemeClr>
            </a:solidFill>
            <a:latin typeface="Calibri"/>
            <a:cs typeface="Calibri"/>
          </a:endParaRPr>
        </a:p>
      </xdr:txBody>
    </xdr:sp>
    <xdr:clientData/>
  </xdr:twoCellAnchor>
  <xdr:twoCellAnchor editAs="oneCell">
    <xdr:from>
      <xdr:col>0</xdr:col>
      <xdr:colOff>104648</xdr:colOff>
      <xdr:row>39</xdr:row>
      <xdr:rowOff>9525</xdr:rowOff>
    </xdr:from>
    <xdr:to>
      <xdr:col>2</xdr:col>
      <xdr:colOff>731064</xdr:colOff>
      <xdr:row>40</xdr:row>
      <xdr:rowOff>131445</xdr:rowOff>
    </xdr:to>
    <xdr:sp macro="[0]!UniversalChanger" textlink="">
      <xdr:nvSpPr>
        <xdr:cNvPr id="59" name="go_top_B">
          <a:extLst>
            <a:ext uri="{FF2B5EF4-FFF2-40B4-BE49-F238E27FC236}">
              <a16:creationId xmlns:a16="http://schemas.microsoft.com/office/drawing/2014/main" id="{00000000-0008-0000-0600-00003B000000}"/>
            </a:ext>
          </a:extLst>
        </xdr:cNvPr>
        <xdr:cNvSpPr txBox="1"/>
      </xdr:nvSpPr>
      <xdr:spPr>
        <a:xfrm>
          <a:off x="104648" y="9525000"/>
          <a:ext cx="788341"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l" rtl="0">
            <a:defRPr sz="1000"/>
          </a:pPr>
          <a:r>
            <a:rPr lang="en-GB" sz="1100" b="1" i="0" u="sng" strike="noStrike" baseline="0">
              <a:solidFill>
                <a:srgbClr val="0070C0"/>
              </a:solidFill>
              <a:latin typeface="+mn-lt"/>
              <a:ea typeface="Karla" pitchFamily="2" charset="0"/>
            </a:rPr>
            <a:t>Back to top</a:t>
          </a:r>
        </a:p>
      </xdr:txBody>
    </xdr:sp>
    <xdr:clientData fPrintsWithSheet="0"/>
  </xdr:twoCellAnchor>
  <xdr:twoCellAnchor editAs="oneCell">
    <xdr:from>
      <xdr:col>20</xdr:col>
      <xdr:colOff>82781</xdr:colOff>
      <xdr:row>11</xdr:row>
      <xdr:rowOff>230790</xdr:rowOff>
    </xdr:from>
    <xdr:to>
      <xdr:col>21</xdr:col>
      <xdr:colOff>2767747</xdr:colOff>
      <xdr:row>12</xdr:row>
      <xdr:rowOff>661403</xdr:rowOff>
    </xdr:to>
    <xdr:sp macro="[0]!PageSwitch" textlink="iCountryComp_Scatter!$AC$17">
      <xdr:nvSpPr>
        <xdr:cNvPr id="57" name="Indi_Name">
          <a:extLst>
            <a:ext uri="{FF2B5EF4-FFF2-40B4-BE49-F238E27FC236}">
              <a16:creationId xmlns:a16="http://schemas.microsoft.com/office/drawing/2014/main" id="{00000000-0008-0000-0600-000039000000}"/>
            </a:ext>
          </a:extLst>
        </xdr:cNvPr>
        <xdr:cNvSpPr/>
      </xdr:nvSpPr>
      <xdr:spPr>
        <a:xfrm>
          <a:off x="5178656" y="1821465"/>
          <a:ext cx="2837366" cy="792563"/>
        </a:xfrm>
        <a:prstGeom prst="rect">
          <a:avLst/>
        </a:prstGeom>
        <a:solidFill>
          <a:schemeClr val="bg2">
            <a:lumMod val="90000"/>
          </a:schemeClr>
        </a:solidFill>
        <a:ln w="6350">
          <a:solidFill>
            <a:schemeClr val="bg2">
              <a:lumMod val="50000"/>
              <a:alpha val="3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37F1FE9-5383-4E1D-B403-787E9DF10FFA}" type="TxLink">
            <a:rPr lang="en-US" sz="1100" b="0" i="0" u="none" strike="noStrike">
              <a:solidFill>
                <a:srgbClr val="000000"/>
              </a:solidFill>
              <a:latin typeface="Calibri"/>
              <a:cs typeface="Calibri"/>
            </a:rPr>
            <a:pPr algn="ctr"/>
            <a:t>OVERALL SCORE</a:t>
          </a:fld>
          <a:endParaRPr lang="en-GB" sz="1400" b="1" i="0" u="none" strike="noStrike">
            <a:solidFill>
              <a:schemeClr val="accent1">
                <a:lumMod val="60000"/>
                <a:lumOff val="40000"/>
              </a:schemeClr>
            </a:solidFill>
            <a:latin typeface="Calibri"/>
            <a:cs typeface="Calibri"/>
          </a:endParaRPr>
        </a:p>
      </xdr:txBody>
    </xdr:sp>
    <xdr:clientData/>
  </xdr:twoCellAnchor>
  <xdr:twoCellAnchor editAs="oneCell">
    <xdr:from>
      <xdr:col>21</xdr:col>
      <xdr:colOff>593722</xdr:colOff>
      <xdr:row>12</xdr:row>
      <xdr:rowOff>994510</xdr:rowOff>
    </xdr:from>
    <xdr:to>
      <xdr:col>21</xdr:col>
      <xdr:colOff>2800538</xdr:colOff>
      <xdr:row>12</xdr:row>
      <xdr:rowOff>1362075</xdr:rowOff>
    </xdr:to>
    <xdr:sp macro="" textlink="">
      <xdr:nvSpPr>
        <xdr:cNvPr id="58" name="Del_Message">
          <a:extLst>
            <a:ext uri="{FF2B5EF4-FFF2-40B4-BE49-F238E27FC236}">
              <a16:creationId xmlns:a16="http://schemas.microsoft.com/office/drawing/2014/main" id="{00000000-0008-0000-0600-00003A000000}"/>
            </a:ext>
          </a:extLst>
        </xdr:cNvPr>
        <xdr:cNvSpPr txBox="1">
          <a:spLocks noChangeArrowheads="1"/>
        </xdr:cNvSpPr>
      </xdr:nvSpPr>
      <xdr:spPr bwMode="auto">
        <a:xfrm>
          <a:off x="5841997" y="2947135"/>
          <a:ext cx="2206816" cy="367565"/>
        </a:xfrm>
        <a:prstGeom prst="rect">
          <a:avLst/>
        </a:prstGeom>
        <a:noFill/>
        <a:ln w="9525">
          <a:noFill/>
          <a:miter lim="800000"/>
          <a:headEnd/>
          <a:tailEnd/>
        </a:ln>
      </xdr:spPr>
      <xdr:txBody>
        <a:bodyPr vertOverflow="clip" wrap="square" lIns="72000" tIns="72000" rIns="72000" bIns="72000" anchor="ctr" upright="1"/>
        <a:lstStyle/>
        <a:p>
          <a:pPr marL="0" algn="r"/>
          <a:r>
            <a:rPr lang="en-US" sz="900" b="0" i="1" u="none" strike="noStrike">
              <a:solidFill>
                <a:sysClr val="windowText" lastClr="000000"/>
              </a:solidFill>
              <a:effectLst/>
              <a:latin typeface="+mn-lt"/>
              <a:ea typeface="+mn-ea"/>
              <a:cs typeface="Calibri"/>
            </a:rPr>
            <a:t>Click indicator below to view in chart</a:t>
          </a:r>
        </a:p>
      </xdr:txBody>
    </xdr:sp>
    <xdr:clientData/>
  </xdr:twoCellAnchor>
  <xdr:twoCellAnchor>
    <xdr:from>
      <xdr:col>20</xdr:col>
      <xdr:colOff>19050</xdr:colOff>
      <xdr:row>11</xdr:row>
      <xdr:rowOff>9525</xdr:rowOff>
    </xdr:from>
    <xdr:to>
      <xdr:col>21</xdr:col>
      <xdr:colOff>2073466</xdr:colOff>
      <xdr:row>11</xdr:row>
      <xdr:rowOff>219075</xdr:rowOff>
    </xdr:to>
    <xdr:sp macro="[0]!PageSwitch" textlink="">
      <xdr:nvSpPr>
        <xdr:cNvPr id="80" name="Del_Message">
          <a:extLst>
            <a:ext uri="{FF2B5EF4-FFF2-40B4-BE49-F238E27FC236}">
              <a16:creationId xmlns:a16="http://schemas.microsoft.com/office/drawing/2014/main" id="{00000000-0008-0000-0600-000050000000}"/>
            </a:ext>
          </a:extLst>
        </xdr:cNvPr>
        <xdr:cNvSpPr txBox="1">
          <a:spLocks noChangeArrowheads="1"/>
        </xdr:cNvSpPr>
      </xdr:nvSpPr>
      <xdr:spPr bwMode="auto">
        <a:xfrm>
          <a:off x="5114925" y="1600200"/>
          <a:ext cx="2206816" cy="209550"/>
        </a:xfrm>
        <a:prstGeom prst="rect">
          <a:avLst/>
        </a:prstGeom>
        <a:noFill/>
        <a:ln w="9525">
          <a:noFill/>
          <a:miter lim="800000"/>
          <a:headEnd/>
          <a:tailEnd/>
        </a:ln>
      </xdr:spPr>
      <xdr:txBody>
        <a:bodyPr vertOverflow="clip" wrap="square" lIns="72000" tIns="72000" rIns="72000" bIns="72000" anchor="ctr" upright="1"/>
        <a:lstStyle/>
        <a:p>
          <a:pPr marL="0" algn="l"/>
          <a:r>
            <a:rPr lang="en-US" sz="900" b="0" i="1" u="none" strike="noStrike">
              <a:solidFill>
                <a:sysClr val="windowText" lastClr="000000"/>
              </a:solidFill>
              <a:effectLst/>
              <a:latin typeface="+mn-lt"/>
              <a:ea typeface="+mn-ea"/>
              <a:cs typeface="Calibri"/>
            </a:rPr>
            <a:t>Click indicator here to view more detail</a:t>
          </a:r>
        </a:p>
      </xdr:txBody>
    </xdr:sp>
    <xdr:clientData/>
  </xdr:twoCellAnchor>
  <xdr:twoCellAnchor>
    <xdr:from>
      <xdr:col>0</xdr:col>
      <xdr:colOff>0</xdr:colOff>
      <xdr:row>0</xdr:row>
      <xdr:rowOff>0</xdr:rowOff>
    </xdr:from>
    <xdr:to>
      <xdr:col>27</xdr:col>
      <xdr:colOff>311150</xdr:colOff>
      <xdr:row>2</xdr:row>
      <xdr:rowOff>0</xdr:rowOff>
    </xdr:to>
    <xdr:grpSp>
      <xdr:nvGrpSpPr>
        <xdr:cNvPr id="7" name="MENU">
          <a:extLst>
            <a:ext uri="{FF2B5EF4-FFF2-40B4-BE49-F238E27FC236}">
              <a16:creationId xmlns:a16="http://schemas.microsoft.com/office/drawing/2014/main" id="{00000000-0008-0000-0600-000007000000}"/>
            </a:ext>
          </a:extLst>
        </xdr:cNvPr>
        <xdr:cNvGrpSpPr/>
      </xdr:nvGrpSpPr>
      <xdr:grpSpPr>
        <a:xfrm>
          <a:off x="0" y="0"/>
          <a:ext cx="11830050" cy="1085850"/>
          <a:chOff x="0" y="0"/>
          <a:chExt cx="11830050" cy="1085850"/>
        </a:xfrm>
      </xdr:grpSpPr>
      <xdr:grpSp>
        <xdr:nvGrpSpPr>
          <xdr:cNvPr id="92" name="Group 91">
            <a:extLst>
              <a:ext uri="{FF2B5EF4-FFF2-40B4-BE49-F238E27FC236}">
                <a16:creationId xmlns:a16="http://schemas.microsoft.com/office/drawing/2014/main" id="{00000000-0008-0000-0600-00005C000000}"/>
              </a:ext>
            </a:extLst>
          </xdr:cNvPr>
          <xdr:cNvGrpSpPr/>
        </xdr:nvGrpSpPr>
        <xdr:grpSpPr>
          <a:xfrm>
            <a:off x="0" y="0"/>
            <a:ext cx="11830050" cy="1085850"/>
            <a:chOff x="0" y="0"/>
            <a:chExt cx="11836400" cy="1085850"/>
          </a:xfrm>
        </xdr:grpSpPr>
        <xdr:grpSp>
          <xdr:nvGrpSpPr>
            <xdr:cNvPr id="93" name="Group 92">
              <a:extLst>
                <a:ext uri="{FF2B5EF4-FFF2-40B4-BE49-F238E27FC236}">
                  <a16:creationId xmlns:a16="http://schemas.microsoft.com/office/drawing/2014/main" id="{00000000-0008-0000-0600-00005D000000}"/>
                </a:ext>
              </a:extLst>
            </xdr:cNvPr>
            <xdr:cNvGrpSpPr/>
          </xdr:nvGrpSpPr>
          <xdr:grpSpPr>
            <a:xfrm>
              <a:off x="0" y="0"/>
              <a:ext cx="11836400" cy="1085850"/>
              <a:chOff x="0" y="0"/>
              <a:chExt cx="11836400" cy="1085850"/>
            </a:xfrm>
          </xdr:grpSpPr>
          <xdr:sp macro="" textlink="">
            <xdr:nvSpPr>
              <xdr:cNvPr id="98" name="nav_controls">
                <a:extLst>
                  <a:ext uri="{FF2B5EF4-FFF2-40B4-BE49-F238E27FC236}">
                    <a16:creationId xmlns:a16="http://schemas.microsoft.com/office/drawing/2014/main" id="{00000000-0008-0000-0600-000062000000}"/>
                  </a:ext>
                </a:extLst>
              </xdr:cNvPr>
              <xdr:cNvSpPr>
                <a:spLocks/>
              </xdr:cNvSpPr>
            </xdr:nvSpPr>
            <xdr:spPr>
              <a:xfrm>
                <a:off x="4263" y="219075"/>
                <a:ext cx="11832137" cy="866775"/>
              </a:xfrm>
              <a:prstGeom prst="rect">
                <a:avLst/>
              </a:prstGeom>
              <a:solidFill>
                <a:schemeClr val="bg2">
                  <a:alpha val="49804"/>
                </a:schemeClr>
              </a:solidFill>
              <a:ln w="6350">
                <a:solidFill>
                  <a:schemeClr val="bg2">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solidFill>
                    <a:srgbClr val="808080"/>
                  </a:solidFill>
                  <a:latin typeface="+mn-lt"/>
                  <a:ea typeface="Karla" pitchFamily="2" charset="0"/>
                </a:endParaRPr>
              </a:p>
            </xdr:txBody>
          </xdr:sp>
          <xdr:sp macro="" textlink="">
            <xdr:nvSpPr>
              <xdr:cNvPr id="99" name="Home1">
                <a:extLst>
                  <a:ext uri="{FF2B5EF4-FFF2-40B4-BE49-F238E27FC236}">
                    <a16:creationId xmlns:a16="http://schemas.microsoft.com/office/drawing/2014/main" id="{00000000-0008-0000-0600-000063000000}"/>
                  </a:ext>
                </a:extLst>
              </xdr:cNvPr>
              <xdr:cNvSpPr>
                <a:spLocks/>
              </xdr:cNvSpPr>
            </xdr:nvSpPr>
            <xdr:spPr>
              <a:xfrm>
                <a:off x="0" y="0"/>
                <a:ext cx="937384" cy="290513"/>
              </a:xfrm>
              <a:prstGeom prst="rect">
                <a:avLst/>
              </a:prstGeom>
              <a:solidFill>
                <a:schemeClr val="bg1"/>
              </a:solidFill>
              <a:ln w="952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a:solidFill>
                    <a:srgbClr val="808080"/>
                  </a:solidFill>
                  <a:latin typeface="+mn-lt"/>
                  <a:ea typeface="Karla" pitchFamily="2" charset="0"/>
                  <a:cs typeface="DilleniaUPC" pitchFamily="18" charset="-34"/>
                </a:endParaRPr>
              </a:p>
            </xdr:txBody>
          </xdr:sp>
          <xdr:sp macro="" textlink="">
            <xdr:nvSpPr>
              <xdr:cNvPr id="100" name="Oval 99">
                <a:extLst>
                  <a:ext uri="{FF2B5EF4-FFF2-40B4-BE49-F238E27FC236}">
                    <a16:creationId xmlns:a16="http://schemas.microsoft.com/office/drawing/2014/main" id="{00000000-0008-0000-0600-000064000000}"/>
                  </a:ext>
                </a:extLst>
              </xdr:cNvPr>
              <xdr:cNvSpPr>
                <a:spLocks/>
              </xdr:cNvSpPr>
            </xdr:nvSpPr>
            <xdr:spPr>
              <a:xfrm>
                <a:off x="347060" y="29969"/>
                <a:ext cx="236673" cy="230074"/>
              </a:xfrm>
              <a:prstGeom prst="ellipse">
                <a:avLst/>
              </a:prstGeom>
              <a:solidFill>
                <a:schemeClr val="accent5">
                  <a:lumMod val="50000"/>
                </a:schemeClr>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rgbClr val="808080"/>
                  </a:solidFill>
                  <a:latin typeface="Calibri"/>
                  <a:cs typeface="Calibri"/>
                </a:endParaRPr>
              </a:p>
            </xdr:txBody>
          </xdr:sp>
          <xdr:pic macro="[0]!LBChanger">
            <xdr:nvPicPr>
              <xdr:cNvPr id="101" name="Home" descr="Home.png">
                <a:extLst>
                  <a:ext uri="{FF2B5EF4-FFF2-40B4-BE49-F238E27FC236}">
                    <a16:creationId xmlns:a16="http://schemas.microsoft.com/office/drawing/2014/main" id="{00000000-0008-0000-0600-000065000000}"/>
                  </a:ext>
                </a:extLst>
              </xdr:cNvPr>
              <xdr:cNvPicPr>
                <a:picLocks/>
              </xdr:cNvPicPr>
            </xdr:nvPicPr>
            <xdr:blipFill>
              <a:blip xmlns:r="http://schemas.openxmlformats.org/officeDocument/2006/relationships" r:embed="rId3" cstate="print"/>
              <a:stretch>
                <a:fillRect/>
              </a:stretch>
            </xdr:blipFill>
            <xdr:spPr>
              <a:xfrm>
                <a:off x="53200" y="20741"/>
                <a:ext cx="254878" cy="247773"/>
              </a:xfrm>
              <a:prstGeom prst="rect">
                <a:avLst/>
              </a:prstGeom>
              <a:noFill/>
              <a:ln>
                <a:noFill/>
              </a:ln>
            </xdr:spPr>
          </xdr:pic>
          <xdr:pic macro="[0]!UniversalChanger">
            <xdr:nvPicPr>
              <xdr:cNvPr id="102" name="NavBack" descr="Silver-Back-Button.png">
                <a:extLst>
                  <a:ext uri="{FF2B5EF4-FFF2-40B4-BE49-F238E27FC236}">
                    <a16:creationId xmlns:a16="http://schemas.microsoft.com/office/drawing/2014/main" id="{00000000-0008-0000-0600-000066000000}"/>
                  </a:ext>
                </a:extLst>
              </xdr:cNvPr>
              <xdr:cNvPicPr>
                <a:picLocks/>
              </xdr:cNvPicPr>
            </xdr:nvPicPr>
            <xdr:blipFill>
              <a:blip xmlns:r="http://schemas.openxmlformats.org/officeDocument/2006/relationships" r:embed="rId4" cstate="print"/>
              <a:stretch>
                <a:fillRect/>
              </a:stretch>
            </xdr:blipFill>
            <xdr:spPr>
              <a:xfrm>
                <a:off x="621903" y="20741"/>
                <a:ext cx="254878" cy="247773"/>
              </a:xfrm>
              <a:prstGeom prst="rect">
                <a:avLst/>
              </a:prstGeom>
              <a:noFill/>
              <a:ln>
                <a:noFill/>
              </a:ln>
            </xdr:spPr>
          </xdr:pic>
          <xdr:sp macro="" textlink="uxb_works!B92">
            <xdr:nvSpPr>
              <xdr:cNvPr id="103" name="Home1">
                <a:extLst>
                  <a:ext uri="{FF2B5EF4-FFF2-40B4-BE49-F238E27FC236}">
                    <a16:creationId xmlns:a16="http://schemas.microsoft.com/office/drawing/2014/main" id="{00000000-0008-0000-0600-000067000000}"/>
                  </a:ext>
                </a:extLst>
              </xdr:cNvPr>
              <xdr:cNvSpPr>
                <a:spLocks/>
              </xdr:cNvSpPr>
            </xdr:nvSpPr>
            <xdr:spPr>
              <a:xfrm>
                <a:off x="936568" y="0"/>
                <a:ext cx="10895773" cy="288000"/>
              </a:xfrm>
              <a:prstGeom prst="rect">
                <a:avLst/>
              </a:prstGeom>
              <a:solidFill>
                <a:srgbClr val="FFFFFF"/>
              </a:solidFill>
              <a:ln w="317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DF606BA0-6E14-4859-A5ED-3649E8B86AAC}" type="TxLink">
                  <a:rPr lang="en-US" sz="1600" b="1" i="0" u="none" strike="noStrike">
                    <a:solidFill>
                      <a:schemeClr val="accent5">
                        <a:lumMod val="50000"/>
                      </a:schemeClr>
                    </a:solidFill>
                    <a:latin typeface="Calibri"/>
                    <a:ea typeface="Karla" pitchFamily="2" charset="0"/>
                    <a:cs typeface="Calibri"/>
                  </a:rPr>
                  <a:pPr algn="l"/>
                  <a:t>Digital Cities Index</a:t>
                </a:fld>
                <a:endParaRPr lang="en-GB" sz="1200" b="1">
                  <a:solidFill>
                    <a:schemeClr val="accent5">
                      <a:lumMod val="50000"/>
                    </a:schemeClr>
                  </a:solidFill>
                  <a:latin typeface="+mn-lt"/>
                  <a:ea typeface="Karla" pitchFamily="2" charset="0"/>
                  <a:cs typeface="DilleniaUPC" pitchFamily="18" charset="-34"/>
                </a:endParaRPr>
              </a:p>
            </xdr:txBody>
          </xdr:sp>
          <xdr:pic macro="[0]!LBChanger">
            <xdr:nvPicPr>
              <xdr:cNvPr id="104" name="Contents" descr="ii_jgc3wl5q0_162f2138d6ded0cc">
                <a:extLst>
                  <a:ext uri="{FF2B5EF4-FFF2-40B4-BE49-F238E27FC236}">
                    <a16:creationId xmlns:a16="http://schemas.microsoft.com/office/drawing/2014/main" id="{00000000-0008-0000-0600-000068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7618" y="20741"/>
                <a:ext cx="260608" cy="248400"/>
              </a:xfrm>
              <a:prstGeom prst="rect">
                <a:avLst/>
              </a:prstGeom>
              <a:solidFill>
                <a:sysClr val="window" lastClr="FFFFFF"/>
              </a:solidFill>
              <a:ln>
                <a:noFill/>
              </a:ln>
            </xdr:spPr>
          </xdr:pic>
          <xdr:sp macro="" textlink="">
            <xdr:nvSpPr>
              <xdr:cNvPr id="105" name="nav_controls">
                <a:extLst>
                  <a:ext uri="{FF2B5EF4-FFF2-40B4-BE49-F238E27FC236}">
                    <a16:creationId xmlns:a16="http://schemas.microsoft.com/office/drawing/2014/main" id="{00000000-0008-0000-0600-000069000000}"/>
                  </a:ext>
                </a:extLst>
              </xdr:cNvPr>
              <xdr:cNvSpPr>
                <a:spLocks/>
              </xdr:cNvSpPr>
            </xdr:nvSpPr>
            <xdr:spPr>
              <a:xfrm>
                <a:off x="7091375" y="461958"/>
                <a:ext cx="2647950" cy="54000"/>
              </a:xfrm>
              <a:prstGeom prst="rect">
                <a:avLst/>
              </a:prstGeom>
              <a:solidFill>
                <a:srgbClr val="9EB3BE"/>
              </a:solidFill>
              <a:ln w="6350">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000" b="1" i="0" u="none" strike="noStrike">
                  <a:solidFill>
                    <a:sysClr val="windowText" lastClr="000000"/>
                  </a:solidFill>
                  <a:latin typeface="Calibri"/>
                  <a:cs typeface="Calibri"/>
                </a:endParaRPr>
              </a:p>
            </xdr:txBody>
          </xdr:sp>
          <xdr:sp macro="" textlink="">
            <xdr:nvSpPr>
              <xdr:cNvPr id="106" name="nav_controls">
                <a:extLst>
                  <a:ext uri="{FF2B5EF4-FFF2-40B4-BE49-F238E27FC236}">
                    <a16:creationId xmlns:a16="http://schemas.microsoft.com/office/drawing/2014/main" id="{00000000-0008-0000-0600-00006A000000}"/>
                  </a:ext>
                </a:extLst>
              </xdr:cNvPr>
              <xdr:cNvSpPr>
                <a:spLocks/>
              </xdr:cNvSpPr>
            </xdr:nvSpPr>
            <xdr:spPr>
              <a:xfrm>
                <a:off x="9215438" y="461958"/>
                <a:ext cx="2614081" cy="54000"/>
              </a:xfrm>
              <a:prstGeom prst="rect">
                <a:avLst/>
              </a:prstGeom>
              <a:solidFill>
                <a:srgbClr val="B5D5E5"/>
              </a:solidFill>
              <a:ln w="6350">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000" b="1" i="0" u="none" strike="noStrike">
                  <a:solidFill>
                    <a:sysClr val="windowText" lastClr="000000"/>
                  </a:solidFill>
                  <a:latin typeface="Calibri"/>
                  <a:cs typeface="Calibri"/>
                </a:endParaRPr>
              </a:p>
            </xdr:txBody>
          </xdr:sp>
          <xdr:sp macro="" textlink="">
            <xdr:nvSpPr>
              <xdr:cNvPr id="107" name="nav_controls">
                <a:extLst>
                  <a:ext uri="{FF2B5EF4-FFF2-40B4-BE49-F238E27FC236}">
                    <a16:creationId xmlns:a16="http://schemas.microsoft.com/office/drawing/2014/main" id="{00000000-0008-0000-0600-00006B000000}"/>
                  </a:ext>
                </a:extLst>
              </xdr:cNvPr>
              <xdr:cNvSpPr>
                <a:spLocks/>
              </xdr:cNvSpPr>
            </xdr:nvSpPr>
            <xdr:spPr>
              <a:xfrm>
                <a:off x="0" y="466725"/>
                <a:ext cx="7081838" cy="52408"/>
              </a:xfrm>
              <a:prstGeom prst="rect">
                <a:avLst/>
              </a:prstGeom>
              <a:solidFill>
                <a:srgbClr val="2B5464"/>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b="1" i="0" u="none" strike="noStrike">
                  <a:solidFill>
                    <a:schemeClr val="bg1"/>
                  </a:solidFill>
                  <a:latin typeface="Calibri"/>
                  <a:cs typeface="Calibri"/>
                </a:endParaRPr>
              </a:p>
            </xdr:txBody>
          </xdr:sp>
          <xdr:grpSp>
            <xdr:nvGrpSpPr>
              <xdr:cNvPr id="108" name="Group 107">
                <a:extLst>
                  <a:ext uri="{FF2B5EF4-FFF2-40B4-BE49-F238E27FC236}">
                    <a16:creationId xmlns:a16="http://schemas.microsoft.com/office/drawing/2014/main" id="{00000000-0008-0000-0600-00006C000000}"/>
                  </a:ext>
                </a:extLst>
              </xdr:cNvPr>
              <xdr:cNvGrpSpPr/>
            </xdr:nvGrpSpPr>
            <xdr:grpSpPr>
              <a:xfrm>
                <a:off x="0" y="285750"/>
                <a:ext cx="11814575" cy="180261"/>
                <a:chOff x="0" y="285489"/>
                <a:chExt cx="13173477" cy="180261"/>
              </a:xfrm>
            </xdr:grpSpPr>
            <xdr:sp macro="[0]!LBChanger" textlink="uxb_works!B100">
              <xdr:nvSpPr>
                <xdr:cNvPr id="109" name="Correlations">
                  <a:extLst>
                    <a:ext uri="{FF2B5EF4-FFF2-40B4-BE49-F238E27FC236}">
                      <a16:creationId xmlns:a16="http://schemas.microsoft.com/office/drawing/2014/main" id="{00000000-0008-0000-0600-00006D000000}"/>
                    </a:ext>
                  </a:extLst>
                </xdr:cNvPr>
                <xdr:cNvSpPr>
                  <a:spLocks/>
                </xdr:cNvSpPr>
              </xdr:nvSpPr>
              <xdr:spPr>
                <a:xfrm>
                  <a:off x="9225833"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0D08B5CF-F601-4334-9688-6B186F573CBA}" type="TxLink">
                    <a:rPr lang="en-US" sz="900" b="1" i="0" u="none" strike="noStrike">
                      <a:solidFill>
                        <a:schemeClr val="accent5">
                          <a:lumMod val="50000"/>
                        </a:schemeClr>
                      </a:solidFill>
                      <a:latin typeface="Calibri"/>
                      <a:ea typeface="Karla" pitchFamily="2" charset="0"/>
                      <a:cs typeface="Calibri"/>
                    </a:rPr>
                    <a:pPr algn="ctr"/>
                    <a:t>CORRELATIONS</a:t>
                  </a:fld>
                  <a:endParaRPr lang="en-GB" sz="900" b="1">
                    <a:solidFill>
                      <a:schemeClr val="accent5">
                        <a:lumMod val="50000"/>
                      </a:schemeClr>
                    </a:solidFill>
                    <a:latin typeface="+mn-lt"/>
                    <a:ea typeface="Karla" pitchFamily="2" charset="0"/>
                  </a:endParaRPr>
                </a:p>
              </xdr:txBody>
            </xdr:sp>
            <xdr:sp macro="[0]!LBChanger" textlink="uxb_works!B99">
              <xdr:nvSpPr>
                <xdr:cNvPr id="110" name="Scatter">
                  <a:extLst>
                    <a:ext uri="{FF2B5EF4-FFF2-40B4-BE49-F238E27FC236}">
                      <a16:creationId xmlns:a16="http://schemas.microsoft.com/office/drawing/2014/main" id="{00000000-0008-0000-0600-00006E000000}"/>
                    </a:ext>
                  </a:extLst>
                </xdr:cNvPr>
                <xdr:cNvSpPr>
                  <a:spLocks/>
                </xdr:cNvSpPr>
              </xdr:nvSpPr>
              <xdr:spPr>
                <a:xfrm>
                  <a:off x="7903939" y="285940"/>
                  <a:ext cx="1320074"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8DE1D7F-61C0-4422-A1B6-E89A6501ED1F}" type="TxLink">
                    <a:rPr lang="en-US" sz="900" b="1" i="0" u="none" strike="noStrike">
                      <a:solidFill>
                        <a:schemeClr val="accent5">
                          <a:lumMod val="50000"/>
                        </a:schemeClr>
                      </a:solidFill>
                      <a:latin typeface="Calibri"/>
                      <a:ea typeface="Karla" pitchFamily="2" charset="0"/>
                      <a:cs typeface="Calibri"/>
                    </a:rPr>
                    <a:pPr algn="ctr"/>
                    <a:t>SCATTER</a:t>
                  </a:fld>
                  <a:endParaRPr lang="en-GB" sz="900" b="1">
                    <a:solidFill>
                      <a:schemeClr val="accent5">
                        <a:lumMod val="50000"/>
                      </a:schemeClr>
                    </a:solidFill>
                    <a:latin typeface="+mn-lt"/>
                    <a:ea typeface="Karla" pitchFamily="2" charset="0"/>
                  </a:endParaRPr>
                </a:p>
              </xdr:txBody>
            </xdr:sp>
            <xdr:sp macro="[0]!LBChanger" textlink="uxb_works!B101">
              <xdr:nvSpPr>
                <xdr:cNvPr id="154" name="Scores">
                  <a:extLst>
                    <a:ext uri="{FF2B5EF4-FFF2-40B4-BE49-F238E27FC236}">
                      <a16:creationId xmlns:a16="http://schemas.microsoft.com/office/drawing/2014/main" id="{00000000-0008-0000-0600-00009A000000}"/>
                    </a:ext>
                  </a:extLst>
                </xdr:cNvPr>
                <xdr:cNvSpPr>
                  <a:spLocks/>
                </xdr:cNvSpPr>
              </xdr:nvSpPr>
              <xdr:spPr>
                <a:xfrm>
                  <a:off x="10540783"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5165ACF-6EE1-4F74-8FDB-F21F37E9E6FB}" type="TxLink">
                    <a:rPr lang="en-US" sz="900" b="1" i="0" u="none" strike="noStrike">
                      <a:solidFill>
                        <a:schemeClr val="accent5">
                          <a:lumMod val="50000"/>
                        </a:schemeClr>
                      </a:solidFill>
                      <a:latin typeface="Calibri"/>
                      <a:ea typeface="Karla" pitchFamily="2" charset="0"/>
                      <a:cs typeface="Calibri"/>
                    </a:rPr>
                    <a:pPr algn="ctr"/>
                    <a:t>DATA / SCORES</a:t>
                  </a:fld>
                  <a:endParaRPr lang="en-GB" sz="900" b="1">
                    <a:solidFill>
                      <a:schemeClr val="accent5">
                        <a:lumMod val="50000"/>
                      </a:schemeClr>
                    </a:solidFill>
                    <a:latin typeface="+mn-lt"/>
                    <a:ea typeface="Karla" pitchFamily="2" charset="0"/>
                  </a:endParaRPr>
                </a:p>
              </xdr:txBody>
            </xdr:sp>
            <xdr:sp macro="[0]!LBChanger" textlink="uxb_works!B102">
              <xdr:nvSpPr>
                <xdr:cNvPr id="155" name="Weights">
                  <a:extLst>
                    <a:ext uri="{FF2B5EF4-FFF2-40B4-BE49-F238E27FC236}">
                      <a16:creationId xmlns:a16="http://schemas.microsoft.com/office/drawing/2014/main" id="{00000000-0008-0000-0600-00009B000000}"/>
                    </a:ext>
                  </a:extLst>
                </xdr:cNvPr>
                <xdr:cNvSpPr>
                  <a:spLocks/>
                </xdr:cNvSpPr>
              </xdr:nvSpPr>
              <xdr:spPr>
                <a:xfrm>
                  <a:off x="11855698"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43627509-C0BB-4D16-AADD-A85AC599D44F}" type="TxLink">
                    <a:rPr lang="en-US" sz="900" b="1" i="0" u="none" strike="noStrike">
                      <a:solidFill>
                        <a:schemeClr val="accent5">
                          <a:lumMod val="50000"/>
                        </a:schemeClr>
                      </a:solidFill>
                      <a:latin typeface="Calibri"/>
                      <a:ea typeface="Karla" pitchFamily="2" charset="0"/>
                      <a:cs typeface="Calibri"/>
                    </a:rPr>
                    <a:pPr algn="ctr"/>
                    <a:t>WEIGHTS</a:t>
                  </a:fld>
                  <a:endParaRPr lang="en-GB" sz="900" b="1">
                    <a:solidFill>
                      <a:schemeClr val="accent5">
                        <a:lumMod val="50000"/>
                      </a:schemeClr>
                    </a:solidFill>
                    <a:latin typeface="+mn-lt"/>
                    <a:ea typeface="Karla" pitchFamily="2" charset="0"/>
                  </a:endParaRPr>
                </a:p>
              </xdr:txBody>
            </xdr:sp>
            <xdr:sp macro="[0]!LBChanger" textlink="uxb_works!B95">
              <xdr:nvSpPr>
                <xdr:cNvPr id="156" name="Summary1">
                  <a:extLst>
                    <a:ext uri="{FF2B5EF4-FFF2-40B4-BE49-F238E27FC236}">
                      <a16:creationId xmlns:a16="http://schemas.microsoft.com/office/drawing/2014/main" id="{00000000-0008-0000-0600-00009C000000}"/>
                    </a:ext>
                  </a:extLst>
                </xdr:cNvPr>
                <xdr:cNvSpPr>
                  <a:spLocks/>
                </xdr:cNvSpPr>
              </xdr:nvSpPr>
              <xdr:spPr>
                <a:xfrm>
                  <a:off x="0"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A5241822-14D3-4854-9411-CFDDA1D4CE0A}" type="TxLink">
                    <a:rPr lang="en-US" sz="900" b="1" i="0" u="none" strike="noStrike">
                      <a:solidFill>
                        <a:schemeClr val="accent5">
                          <a:lumMod val="50000"/>
                        </a:schemeClr>
                      </a:solidFill>
                      <a:latin typeface="Calibri"/>
                      <a:ea typeface="Karla" pitchFamily="2" charset="0"/>
                      <a:cs typeface="Calibri"/>
                    </a:rPr>
                    <a:pPr algn="ctr"/>
                    <a:t>SUMMARY</a:t>
                  </a:fld>
                  <a:endParaRPr lang="en-GB" sz="900" b="1">
                    <a:solidFill>
                      <a:schemeClr val="accent5">
                        <a:lumMod val="50000"/>
                      </a:schemeClr>
                    </a:solidFill>
                    <a:latin typeface="+mn-lt"/>
                    <a:ea typeface="Karla" pitchFamily="2" charset="0"/>
                  </a:endParaRPr>
                </a:p>
              </xdr:txBody>
            </xdr:sp>
            <xdr:sp macro="[0]!LBChanger" textlink="uxb_works!B96">
              <xdr:nvSpPr>
                <xdr:cNvPr id="157" name="Indicator_Ranking">
                  <a:extLst>
                    <a:ext uri="{FF2B5EF4-FFF2-40B4-BE49-F238E27FC236}">
                      <a16:creationId xmlns:a16="http://schemas.microsoft.com/office/drawing/2014/main" id="{00000000-0008-0000-0600-00009D000000}"/>
                    </a:ext>
                  </a:extLst>
                </xdr:cNvPr>
                <xdr:cNvSpPr>
                  <a:spLocks/>
                </xdr:cNvSpPr>
              </xdr:nvSpPr>
              <xdr:spPr>
                <a:xfrm>
                  <a:off x="1319392"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1D205C57-4D69-4B9A-8D11-5E0B7527B9E2}" type="TxLink">
                    <a:rPr lang="en-US" sz="900" b="1" i="0" u="none" strike="noStrike">
                      <a:solidFill>
                        <a:schemeClr val="accent5">
                          <a:lumMod val="50000"/>
                        </a:schemeClr>
                      </a:solidFill>
                      <a:latin typeface="Calibri"/>
                      <a:ea typeface="Karla" pitchFamily="2" charset="0"/>
                      <a:cs typeface="Calibri"/>
                    </a:rPr>
                    <a:pPr algn="ctr"/>
                    <a:t>INDICATOR RANKING</a:t>
                  </a:fld>
                  <a:endParaRPr lang="en-GB" sz="900" b="1">
                    <a:solidFill>
                      <a:schemeClr val="accent5">
                        <a:lumMod val="50000"/>
                      </a:schemeClr>
                    </a:solidFill>
                    <a:latin typeface="+mn-lt"/>
                    <a:ea typeface="Karla" pitchFamily="2" charset="0"/>
                  </a:endParaRPr>
                </a:p>
              </xdr:txBody>
            </xdr:sp>
            <xdr:sp macro="[0]!LBChanger" textlink="uxb_works!B98">
              <xdr:nvSpPr>
                <xdr:cNvPr id="158" name="CCompare">
                  <a:extLst>
                    <a:ext uri="{FF2B5EF4-FFF2-40B4-BE49-F238E27FC236}">
                      <a16:creationId xmlns:a16="http://schemas.microsoft.com/office/drawing/2014/main" id="{00000000-0008-0000-0600-00009E000000}"/>
                    </a:ext>
                  </a:extLst>
                </xdr:cNvPr>
                <xdr:cNvSpPr>
                  <a:spLocks/>
                </xdr:cNvSpPr>
              </xdr:nvSpPr>
              <xdr:spPr>
                <a:xfrm>
                  <a:off x="5256659" y="285940"/>
                  <a:ext cx="1324869" cy="179810"/>
                </a:xfrm>
                <a:prstGeom prst="rect">
                  <a:avLst/>
                </a:prstGeom>
                <a:solidFill>
                  <a:schemeClr val="accent5">
                    <a:lumMod val="50000"/>
                  </a:schemeClr>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829603AF-0DD8-4C72-8452-B09DB6262544}" type="TxLink">
                    <a:rPr lang="en-US" sz="900" b="1" i="0" u="none" strike="noStrike">
                      <a:solidFill>
                        <a:schemeClr val="bg1"/>
                      </a:solidFill>
                      <a:latin typeface="Calibri"/>
                      <a:ea typeface="Karla" pitchFamily="2" charset="0"/>
                      <a:cs typeface="Calibri"/>
                    </a:rPr>
                    <a:pPr algn="ctr"/>
                    <a:t>CITY COMPARE</a:t>
                  </a:fld>
                  <a:endParaRPr lang="en-GB" sz="900" b="1">
                    <a:solidFill>
                      <a:schemeClr val="bg1"/>
                    </a:solidFill>
                    <a:latin typeface="+mn-lt"/>
                    <a:ea typeface="Karla" pitchFamily="2" charset="0"/>
                  </a:endParaRPr>
                </a:p>
              </xdr:txBody>
            </xdr:sp>
            <xdr:sp macro="[0]!LBChanger" textlink="uxb_works!B97">
              <xdr:nvSpPr>
                <xdr:cNvPr id="159" name="CtyScoreCard">
                  <a:extLst>
                    <a:ext uri="{FF2B5EF4-FFF2-40B4-BE49-F238E27FC236}">
                      <a16:creationId xmlns:a16="http://schemas.microsoft.com/office/drawing/2014/main" id="{00000000-0008-0000-0600-00009F000000}"/>
                    </a:ext>
                  </a:extLst>
                </xdr:cNvPr>
                <xdr:cNvSpPr>
                  <a:spLocks/>
                </xdr:cNvSpPr>
              </xdr:nvSpPr>
              <xdr:spPr>
                <a:xfrm>
                  <a:off x="3943666" y="285489"/>
                  <a:ext cx="1317779" cy="180261"/>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fld id="{5B2B5046-96B7-4EDE-9DD8-D97FF7695B86}" type="TxLink">
                    <a:rPr lang="en-US" sz="900" b="1" i="0" u="none" strike="noStrike">
                      <a:solidFill>
                        <a:schemeClr val="accent5">
                          <a:lumMod val="50000"/>
                        </a:schemeClr>
                      </a:solidFill>
                      <a:latin typeface="Calibri"/>
                      <a:ea typeface="Karla" pitchFamily="2" charset="0"/>
                      <a:cs typeface="Calibri"/>
                    </a:rPr>
                    <a:pPr algn="ctr"/>
                    <a:t>CITY SCORECARD</a:t>
                  </a:fld>
                  <a:endParaRPr lang="en-GB" sz="900" b="1">
                    <a:solidFill>
                      <a:schemeClr val="accent5">
                        <a:lumMod val="50000"/>
                      </a:schemeClr>
                    </a:solidFill>
                    <a:latin typeface="+mn-lt"/>
                    <a:ea typeface="Karla" pitchFamily="2" charset="0"/>
                  </a:endParaRPr>
                </a:p>
              </xdr:txBody>
            </xdr:sp>
            <xdr:sp macro="[0]!LBChanger" textlink="uxb_works!B103">
              <xdr:nvSpPr>
                <xdr:cNvPr id="160" name="RegionCompare">
                  <a:extLst>
                    <a:ext uri="{FF2B5EF4-FFF2-40B4-BE49-F238E27FC236}">
                      <a16:creationId xmlns:a16="http://schemas.microsoft.com/office/drawing/2014/main" id="{00000000-0008-0000-0600-0000A0000000}"/>
                    </a:ext>
                  </a:extLst>
                </xdr:cNvPr>
                <xdr:cNvSpPr>
                  <a:spLocks/>
                </xdr:cNvSpPr>
              </xdr:nvSpPr>
              <xdr:spPr>
                <a:xfrm>
                  <a:off x="6578664" y="285940"/>
                  <a:ext cx="132486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51E55FBF-FB84-41A1-976B-235AB148A85F}" type="TxLink">
                    <a:rPr lang="en-US" sz="900" b="1" i="0" u="none" strike="noStrike">
                      <a:solidFill>
                        <a:schemeClr val="accent5">
                          <a:lumMod val="50000"/>
                        </a:schemeClr>
                      </a:solidFill>
                      <a:latin typeface="Calibri"/>
                      <a:ea typeface="Karla" pitchFamily="2" charset="0"/>
                      <a:cs typeface="Calibri"/>
                    </a:rPr>
                    <a:pPr algn="ctr"/>
                    <a:t>REGION COMPARE</a:t>
                  </a:fld>
                  <a:endParaRPr lang="en-GB" sz="900" b="1">
                    <a:solidFill>
                      <a:schemeClr val="accent5">
                        <a:lumMod val="50000"/>
                      </a:schemeClr>
                    </a:solidFill>
                    <a:latin typeface="+mn-lt"/>
                    <a:ea typeface="Karla" pitchFamily="2" charset="0"/>
                  </a:endParaRPr>
                </a:p>
              </xdr:txBody>
            </xdr:sp>
            <xdr:sp macro="[0]!LBChanger" textlink="uxb_works!B104">
              <xdr:nvSpPr>
                <xdr:cNvPr id="161" name="CProfile">
                  <a:extLst>
                    <a:ext uri="{FF2B5EF4-FFF2-40B4-BE49-F238E27FC236}">
                      <a16:creationId xmlns:a16="http://schemas.microsoft.com/office/drawing/2014/main" id="{00000000-0008-0000-0600-0000A1000000}"/>
                    </a:ext>
                  </a:extLst>
                </xdr:cNvPr>
                <xdr:cNvSpPr>
                  <a:spLocks/>
                </xdr:cNvSpPr>
              </xdr:nvSpPr>
              <xdr:spPr>
                <a:xfrm>
                  <a:off x="2635250" y="285489"/>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62C1403F-D06F-4F81-B666-49A22A849932}" type="TxLink">
                    <a:rPr lang="en-US" sz="900" b="1" i="0" u="none" strike="noStrike">
                      <a:solidFill>
                        <a:srgbClr val="366092"/>
                      </a:solidFill>
                      <a:latin typeface="Calibri"/>
                      <a:ea typeface="Karla" pitchFamily="2" charset="0"/>
                      <a:cs typeface="Calibri"/>
                    </a:rPr>
                    <a:pPr algn="ctr"/>
                    <a:t>CITY PROFILE</a:t>
                  </a:fld>
                  <a:endParaRPr lang="en-GB" sz="900" b="1">
                    <a:solidFill>
                      <a:schemeClr val="accent5">
                        <a:lumMod val="50000"/>
                      </a:schemeClr>
                    </a:solidFill>
                    <a:latin typeface="+mn-lt"/>
                    <a:ea typeface="Karla" pitchFamily="2" charset="0"/>
                  </a:endParaRPr>
                </a:p>
              </xdr:txBody>
            </xdr:sp>
          </xdr:grpSp>
        </xdr:grpSp>
        <xdr:sp macro="[0]!UniversalChanger" textlink="uxb_works!$C$111">
          <xdr:nvSpPr>
            <xdr:cNvPr id="94" name="FilterToggle">
              <a:extLst>
                <a:ext uri="{FF2B5EF4-FFF2-40B4-BE49-F238E27FC236}">
                  <a16:creationId xmlns:a16="http://schemas.microsoft.com/office/drawing/2014/main" id="{00000000-0008-0000-0600-00005E000000}"/>
                </a:ext>
              </a:extLst>
            </xdr:cNvPr>
            <xdr:cNvSpPr>
              <a:spLocks/>
            </xdr:cNvSpPr>
          </xdr:nvSpPr>
          <xdr:spPr>
            <a:xfrm>
              <a:off x="10744308" y="852242"/>
              <a:ext cx="1082221" cy="212967"/>
            </a:xfrm>
            <a:prstGeom prst="rect">
              <a:avLst/>
            </a:prstGeom>
            <a:solidFill>
              <a:srgbClr val="D9D9D9"/>
            </a:solidFill>
            <a:ln w="2857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D5B5E-6696-41FF-B581-44AEC0F219A7}" type="TxLink">
                <a:rPr lang="en-US" sz="800" b="0" i="0" u="none" strike="noStrike">
                  <a:solidFill>
                    <a:srgbClr val="000000"/>
                  </a:solidFill>
                  <a:latin typeface="Calibri"/>
                  <a:ea typeface="Karla" pitchFamily="2" charset="0"/>
                  <a:cs typeface="Calibri"/>
                </a:rPr>
                <a:pPr algn="ctr"/>
                <a:t>Hide these options</a:t>
              </a:fld>
              <a:endParaRPr lang="en-GB" sz="4000" b="1">
                <a:solidFill>
                  <a:srgbClr val="000000"/>
                </a:solidFill>
                <a:latin typeface="+mn-lt"/>
                <a:ea typeface="Karla" pitchFamily="2" charset="0"/>
              </a:endParaRPr>
            </a:p>
          </xdr:txBody>
        </xdr:sp>
        <xdr:grpSp>
          <xdr:nvGrpSpPr>
            <xdr:cNvPr id="95" name="Group 94">
              <a:extLst>
                <a:ext uri="{FF2B5EF4-FFF2-40B4-BE49-F238E27FC236}">
                  <a16:creationId xmlns:a16="http://schemas.microsoft.com/office/drawing/2014/main" id="{00000000-0008-0000-0600-00005F000000}"/>
                </a:ext>
              </a:extLst>
            </xdr:cNvPr>
            <xdr:cNvGrpSpPr/>
          </xdr:nvGrpSpPr>
          <xdr:grpSpPr>
            <a:xfrm>
              <a:off x="10753783" y="37494"/>
              <a:ext cx="999275" cy="240746"/>
              <a:chOff x="10782556" y="28575"/>
              <a:chExt cx="999806" cy="252000"/>
            </a:xfrm>
          </xdr:grpSpPr>
          <xdr:sp macro="[0]!UniversalChanger" textlink="">
            <xdr:nvSpPr>
              <xdr:cNvPr id="96" name="ctr_Reset">
                <a:extLst>
                  <a:ext uri="{FF2B5EF4-FFF2-40B4-BE49-F238E27FC236}">
                    <a16:creationId xmlns:a16="http://schemas.microsoft.com/office/drawing/2014/main" id="{00000000-0008-0000-0600-000060000000}"/>
                  </a:ext>
                </a:extLst>
              </xdr:cNvPr>
              <xdr:cNvSpPr/>
            </xdr:nvSpPr>
            <xdr:spPr>
              <a:xfrm>
                <a:off x="10782556" y="38100"/>
                <a:ext cx="666749" cy="209550"/>
              </a:xfrm>
              <a:prstGeom prst="rect">
                <a:avLst/>
              </a:prstGeom>
              <a:solidFill>
                <a:srgbClr val="F47940">
                  <a:alpha val="20000"/>
                </a:srgbClr>
              </a:solidFill>
              <a:ln w="3175">
                <a:solidFill>
                  <a:srgbClr val="005BAD"/>
                </a:solid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r>
                  <a:rPr lang="en-GB" sz="1000" b="0">
                    <a:solidFill>
                      <a:srgbClr val="143050"/>
                    </a:solidFill>
                    <a:latin typeface="+mn-lt"/>
                    <a:ea typeface="Karla" pitchFamily="2" charset="0"/>
                  </a:rPr>
                  <a:t>RESET</a:t>
                </a:r>
              </a:p>
            </xdr:txBody>
          </xdr:sp>
          <xdr:pic macro="[0]!UniversalChanger">
            <xdr:nvPicPr>
              <xdr:cNvPr id="97" name="Excel_Out">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525506" y="28575"/>
                <a:ext cx="256856" cy="252000"/>
              </a:xfrm>
              <a:prstGeom prst="rect">
                <a:avLst/>
              </a:prstGeom>
            </xdr:spPr>
          </xdr:pic>
        </xdr:grpSp>
      </xdr:grpSp>
      <xdr:grpSp>
        <xdr:nvGrpSpPr>
          <xdr:cNvPr id="12" name="Group 11">
            <a:extLst>
              <a:ext uri="{FF2B5EF4-FFF2-40B4-BE49-F238E27FC236}">
                <a16:creationId xmlns:a16="http://schemas.microsoft.com/office/drawing/2014/main" id="{00000000-0008-0000-0600-00000C000000}"/>
              </a:ext>
            </a:extLst>
          </xdr:cNvPr>
          <xdr:cNvGrpSpPr/>
        </xdr:nvGrpSpPr>
        <xdr:grpSpPr>
          <a:xfrm>
            <a:off x="5010323" y="650845"/>
            <a:ext cx="3278869" cy="396165"/>
            <a:chOff x="6648451" y="657225"/>
            <a:chExt cx="3271838" cy="400048"/>
          </a:xfrm>
        </xdr:grpSpPr>
        <xdr:grpSp>
          <xdr:nvGrpSpPr>
            <xdr:cNvPr id="22" name="Group 21">
              <a:extLst>
                <a:ext uri="{FF2B5EF4-FFF2-40B4-BE49-F238E27FC236}">
                  <a16:creationId xmlns:a16="http://schemas.microsoft.com/office/drawing/2014/main" id="{00000000-0008-0000-0600-000016000000}"/>
                </a:ext>
              </a:extLst>
            </xdr:cNvPr>
            <xdr:cNvGrpSpPr/>
          </xdr:nvGrpSpPr>
          <xdr:grpSpPr>
            <a:xfrm>
              <a:off x="6648509" y="838200"/>
              <a:ext cx="3266616" cy="219042"/>
              <a:chOff x="6651780" y="838200"/>
              <a:chExt cx="3266616" cy="219042"/>
            </a:xfrm>
          </xdr:grpSpPr>
          <xdr:pic macro="[0]!UniversalChanger">
            <xdr:nvPicPr>
              <xdr:cNvPr id="40" name="CC_Cat_Select_Up" descr="scroll_up_small.png">
                <a:extLst>
                  <a:ext uri="{FF2B5EF4-FFF2-40B4-BE49-F238E27FC236}">
                    <a16:creationId xmlns:a16="http://schemas.microsoft.com/office/drawing/2014/main" id="{00000000-0008-0000-0600-000028000000}"/>
                  </a:ext>
                </a:extLst>
              </xdr:cNvPr>
              <xdr:cNvPicPr preferRelativeResize="0">
                <a:picLocks/>
              </xdr:cNvPicPr>
            </xdr:nvPicPr>
            <xdr:blipFill>
              <a:blip xmlns:r="http://schemas.openxmlformats.org/officeDocument/2006/relationships" r:embed="rId7" cstate="print"/>
              <a:stretch>
                <a:fillRect/>
              </a:stretch>
            </xdr:blipFill>
            <xdr:spPr>
              <a:xfrm>
                <a:off x="9632509" y="843787"/>
                <a:ext cx="285887" cy="103062"/>
              </a:xfrm>
              <a:prstGeom prst="rect">
                <a:avLst/>
              </a:prstGeom>
            </xdr:spPr>
          </xdr:pic>
          <xdr:pic macro="[0]!UniversalChanger">
            <xdr:nvPicPr>
              <xdr:cNvPr id="41" name="CC_Cat_Select_Down" descr="scroll_down_small.png">
                <a:extLst>
                  <a:ext uri="{FF2B5EF4-FFF2-40B4-BE49-F238E27FC236}">
                    <a16:creationId xmlns:a16="http://schemas.microsoft.com/office/drawing/2014/main" id="{00000000-0008-0000-0600-000029000000}"/>
                  </a:ext>
                </a:extLst>
              </xdr:cNvPr>
              <xdr:cNvPicPr preferRelativeResize="0">
                <a:picLocks/>
              </xdr:cNvPicPr>
            </xdr:nvPicPr>
            <xdr:blipFill>
              <a:blip xmlns:r="http://schemas.openxmlformats.org/officeDocument/2006/relationships" r:embed="rId8" cstate="print"/>
              <a:stretch>
                <a:fillRect/>
              </a:stretch>
            </xdr:blipFill>
            <xdr:spPr>
              <a:xfrm>
                <a:off x="9632508" y="946849"/>
                <a:ext cx="285887" cy="105663"/>
              </a:xfrm>
              <a:prstGeom prst="rect">
                <a:avLst/>
              </a:prstGeom>
            </xdr:spPr>
          </xdr:pic>
          <mc:AlternateContent xmlns:mc="http://schemas.openxmlformats.org/markup-compatibility/2006">
            <mc:Choice xmlns:a14="http://schemas.microsoft.com/office/drawing/2010/main" Requires="a14">
              <xdr:sp macro="" textlink="">
                <xdr:nvSpPr>
                  <xdr:cNvPr id="14464006" name="CC_Cat_Select" hidden="1">
                    <a:extLst>
                      <a:ext uri="{63B3BB69-23CF-44E3-9099-C40C66FF867C}">
                        <a14:compatExt spid="_x0000_s14464006"/>
                      </a:ext>
                      <a:ext uri="{FF2B5EF4-FFF2-40B4-BE49-F238E27FC236}">
                        <a16:creationId xmlns:a16="http://schemas.microsoft.com/office/drawing/2014/main" id="{00000000-0008-0000-0600-000006B4DC00}"/>
                      </a:ext>
                    </a:extLst>
                  </xdr:cNvPr>
                  <xdr:cNvSpPr/>
                </xdr:nvSpPr>
                <xdr:spPr bwMode="auto">
                  <a:xfrm>
                    <a:off x="6651780" y="838200"/>
                    <a:ext cx="2992360" cy="219042"/>
                  </a:xfrm>
                  <a:prstGeom prst="rect">
                    <a:avLst/>
                  </a:prstGeom>
                  <a:noFill/>
                  <a:ln>
                    <a:noFill/>
                  </a:ln>
                  <a:extLst>
                    <a:ext uri="{91240B29-F687-4F45-9708-019B960494DF}">
                      <a14:hiddenLine w="9525">
                        <a:noFill/>
                        <a:miter lim="800000"/>
                        <a:headEnd/>
                        <a:tailEnd/>
                      </a14:hiddenLine>
                    </a:ext>
                  </a:extLst>
                </xdr:spPr>
              </xdr:sp>
            </mc:Choice>
            <mc:Fallback/>
          </mc:AlternateContent>
        </xdr:grpSp>
        <xdr:grpSp>
          <xdr:nvGrpSpPr>
            <xdr:cNvPr id="11" name="Group 10">
              <a:extLst>
                <a:ext uri="{FF2B5EF4-FFF2-40B4-BE49-F238E27FC236}">
                  <a16:creationId xmlns:a16="http://schemas.microsoft.com/office/drawing/2014/main" id="{00000000-0008-0000-0600-00000B000000}"/>
                </a:ext>
              </a:extLst>
            </xdr:cNvPr>
            <xdr:cNvGrpSpPr/>
          </xdr:nvGrpSpPr>
          <xdr:grpSpPr>
            <a:xfrm>
              <a:off x="6648451" y="657225"/>
              <a:ext cx="3271838" cy="180000"/>
              <a:chOff x="12687300" y="1590675"/>
              <a:chExt cx="4500563" cy="180000"/>
            </a:xfrm>
          </xdr:grpSpPr>
          <xdr:sp macro="[0]!UniversalChanger" textlink="uxb_works!E107">
            <xdr:nvSpPr>
              <xdr:cNvPr id="83" name="Cat_Reset">
                <a:extLst>
                  <a:ext uri="{FF2B5EF4-FFF2-40B4-BE49-F238E27FC236}">
                    <a16:creationId xmlns:a16="http://schemas.microsoft.com/office/drawing/2014/main" id="{00000000-0008-0000-0600-000053000000}"/>
                  </a:ext>
                </a:extLst>
              </xdr:cNvPr>
              <xdr:cNvSpPr>
                <a:spLocks/>
              </xdr:cNvSpPr>
            </xdr:nvSpPr>
            <xdr:spPr>
              <a:xfrm>
                <a:off x="13260591" y="1590675"/>
                <a:ext cx="3927272"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88477DC5-27B5-4C3F-AE6D-5380B0E4299D}" type="TxLink">
                  <a:rPr lang="en-US" sz="800" b="0" i="0" u="none" strike="noStrike">
                    <a:solidFill>
                      <a:sysClr val="windowText" lastClr="000000"/>
                    </a:solidFill>
                    <a:latin typeface="Calibri"/>
                    <a:ea typeface="Karla" pitchFamily="2" charset="0"/>
                    <a:cs typeface="Calibri"/>
                  </a:rPr>
                  <a:pPr algn="ctr"/>
                  <a:t> </a:t>
                </a:fld>
                <a:endParaRPr lang="en-GB" sz="800" b="1">
                  <a:solidFill>
                    <a:sysClr val="windowText" lastClr="000000"/>
                  </a:solidFill>
                  <a:latin typeface="+mn-lt"/>
                  <a:ea typeface="Karla" pitchFamily="2" charset="0"/>
                </a:endParaRPr>
              </a:p>
            </xdr:txBody>
          </xdr:sp>
          <xdr:sp macro="" textlink="">
            <xdr:nvSpPr>
              <xdr:cNvPr id="84" name="lbl_cnt_City_1">
                <a:extLst>
                  <a:ext uri="{FF2B5EF4-FFF2-40B4-BE49-F238E27FC236}">
                    <a16:creationId xmlns:a16="http://schemas.microsoft.com/office/drawing/2014/main" id="{00000000-0008-0000-0600-000054000000}"/>
                  </a:ext>
                </a:extLst>
              </xdr:cNvPr>
              <xdr:cNvSpPr txBox="1"/>
            </xdr:nvSpPr>
            <xdr:spPr>
              <a:xfrm>
                <a:off x="12687300" y="1590675"/>
                <a:ext cx="573291" cy="180000"/>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ctr"/>
                <a:r>
                  <a:rPr lang="en-GB" sz="1000" b="1">
                    <a:solidFill>
                      <a:sysClr val="windowText" lastClr="000000"/>
                    </a:solidFill>
                    <a:latin typeface="+mn-lt"/>
                    <a:ea typeface="Karla" pitchFamily="2" charset="0"/>
                  </a:rPr>
                  <a:t>SELECT</a:t>
                </a:r>
              </a:p>
            </xdr:txBody>
          </xdr:sp>
        </xdr:grpSp>
        <xdr:sp macro="" textlink="">
          <xdr:nvSpPr>
            <xdr:cNvPr id="85" name="Rectangle 84">
              <a:extLst>
                <a:ext uri="{FF2B5EF4-FFF2-40B4-BE49-F238E27FC236}">
                  <a16:creationId xmlns:a16="http://schemas.microsoft.com/office/drawing/2014/main" id="{00000000-0008-0000-0600-000055000000}"/>
                </a:ext>
              </a:extLst>
            </xdr:cNvPr>
            <xdr:cNvSpPr/>
          </xdr:nvSpPr>
          <xdr:spPr>
            <a:xfrm>
              <a:off x="9634538" y="838199"/>
              <a:ext cx="285750" cy="219074"/>
            </a:xfrm>
            <a:prstGeom prst="rect">
              <a:avLst/>
            </a:prstGeom>
            <a:noFill/>
            <a:ln w="63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chemeClr val="accent1">
                    <a:lumMod val="60000"/>
                    <a:lumOff val="40000"/>
                  </a:schemeClr>
                </a:solidFill>
                <a:latin typeface="Calibri"/>
                <a:cs typeface="Calibri"/>
              </a:endParaRPr>
            </a:p>
          </xdr:txBody>
        </xdr:sp>
      </xdr:grpSp>
      <xdr:grpSp>
        <xdr:nvGrpSpPr>
          <xdr:cNvPr id="13" name="Group 12">
            <a:extLst>
              <a:ext uri="{FF2B5EF4-FFF2-40B4-BE49-F238E27FC236}">
                <a16:creationId xmlns:a16="http://schemas.microsoft.com/office/drawing/2014/main" id="{00000000-0008-0000-0600-00000D000000}"/>
              </a:ext>
            </a:extLst>
          </xdr:cNvPr>
          <xdr:cNvGrpSpPr/>
        </xdr:nvGrpSpPr>
        <xdr:grpSpPr>
          <a:xfrm>
            <a:off x="76352" y="650845"/>
            <a:ext cx="1551035" cy="400583"/>
            <a:chOff x="76200" y="657225"/>
            <a:chExt cx="1547925" cy="404511"/>
          </a:xfrm>
        </xdr:grpSpPr>
        <xdr:grpSp>
          <xdr:nvGrpSpPr>
            <xdr:cNvPr id="35" name="Group 34">
              <a:extLst>
                <a:ext uri="{FF2B5EF4-FFF2-40B4-BE49-F238E27FC236}">
                  <a16:creationId xmlns:a16="http://schemas.microsoft.com/office/drawing/2014/main" id="{00000000-0008-0000-0600-000023000000}"/>
                </a:ext>
              </a:extLst>
            </xdr:cNvPr>
            <xdr:cNvGrpSpPr/>
          </xdr:nvGrpSpPr>
          <xdr:grpSpPr>
            <a:xfrm>
              <a:off x="76337" y="837566"/>
              <a:ext cx="1547788" cy="224170"/>
              <a:chOff x="76337" y="837566"/>
              <a:chExt cx="1547788" cy="224170"/>
            </a:xfrm>
          </xdr:grpSpPr>
          <xdr:pic macro="[0]!UniversalChanger">
            <xdr:nvPicPr>
              <xdr:cNvPr id="25" name="Cnt_Select_up" descr="scroll_up_small.png">
                <a:extLst>
                  <a:ext uri="{FF2B5EF4-FFF2-40B4-BE49-F238E27FC236}">
                    <a16:creationId xmlns:a16="http://schemas.microsoft.com/office/drawing/2014/main" id="{00000000-0008-0000-0600-000019000000}"/>
                  </a:ext>
                </a:extLst>
              </xdr:cNvPr>
              <xdr:cNvPicPr preferRelativeResize="0">
                <a:picLocks/>
              </xdr:cNvPicPr>
            </xdr:nvPicPr>
            <xdr:blipFill>
              <a:blip xmlns:r="http://schemas.openxmlformats.org/officeDocument/2006/relationships" r:embed="rId7" cstate="print"/>
              <a:stretch>
                <a:fillRect/>
              </a:stretch>
            </xdr:blipFill>
            <xdr:spPr>
              <a:xfrm>
                <a:off x="1334516" y="849521"/>
                <a:ext cx="289609" cy="108000"/>
              </a:xfrm>
              <a:prstGeom prst="rect">
                <a:avLst/>
              </a:prstGeom>
            </xdr:spPr>
          </xdr:pic>
          <xdr:pic macro="[0]!UniversalChanger">
            <xdr:nvPicPr>
              <xdr:cNvPr id="26" name="Cnt_Select_down" descr="scroll_down_small.png">
                <a:extLst>
                  <a:ext uri="{FF2B5EF4-FFF2-40B4-BE49-F238E27FC236}">
                    <a16:creationId xmlns:a16="http://schemas.microsoft.com/office/drawing/2014/main" id="{00000000-0008-0000-0600-00001A000000}"/>
                  </a:ext>
                </a:extLst>
              </xdr:cNvPr>
              <xdr:cNvPicPr preferRelativeResize="0">
                <a:picLocks/>
              </xdr:cNvPicPr>
            </xdr:nvPicPr>
            <xdr:blipFill>
              <a:blip xmlns:r="http://schemas.openxmlformats.org/officeDocument/2006/relationships" r:embed="rId8" cstate="print"/>
              <a:stretch>
                <a:fillRect/>
              </a:stretch>
            </xdr:blipFill>
            <xdr:spPr>
              <a:xfrm>
                <a:off x="1334516" y="953736"/>
                <a:ext cx="289609" cy="108000"/>
              </a:xfrm>
              <a:prstGeom prst="rect">
                <a:avLst/>
              </a:prstGeom>
            </xdr:spPr>
          </xdr:pic>
          <mc:AlternateContent xmlns:mc="http://schemas.openxmlformats.org/markup-compatibility/2006">
            <mc:Choice xmlns:a14="http://schemas.microsoft.com/office/drawing/2010/main" Requires="a14">
              <xdr:sp macro="" textlink="">
                <xdr:nvSpPr>
                  <xdr:cNvPr id="14464002" name="Cnt_Select" hidden="1">
                    <a:extLst>
                      <a:ext uri="{63B3BB69-23CF-44E3-9099-C40C66FF867C}">
                        <a14:compatExt spid="_x0000_s14464002"/>
                      </a:ext>
                      <a:ext uri="{FF2B5EF4-FFF2-40B4-BE49-F238E27FC236}">
                        <a16:creationId xmlns:a16="http://schemas.microsoft.com/office/drawing/2014/main" id="{00000000-0008-0000-0600-000002B4DC00}"/>
                      </a:ext>
                    </a:extLst>
                  </xdr:cNvPr>
                  <xdr:cNvSpPr/>
                </xdr:nvSpPr>
                <xdr:spPr bwMode="auto">
                  <a:xfrm>
                    <a:off x="76337" y="837566"/>
                    <a:ext cx="1263625" cy="219075"/>
                  </a:xfrm>
                  <a:prstGeom prst="rect">
                    <a:avLst/>
                  </a:prstGeom>
                  <a:noFill/>
                  <a:ln>
                    <a:noFill/>
                  </a:ln>
                  <a:extLst>
                    <a:ext uri="{91240B29-F687-4F45-9708-019B960494DF}">
                      <a14:hiddenLine w="9525">
                        <a:noFill/>
                        <a:miter lim="800000"/>
                        <a:headEnd/>
                        <a:tailEnd/>
                      </a14:hiddenLine>
                    </a:ext>
                  </a:extLst>
                </xdr:spPr>
              </xdr:sp>
            </mc:Choice>
            <mc:Fallback/>
          </mc:AlternateContent>
        </xdr:grpSp>
        <xdr:sp macro="[0]!UniversalChanger" textlink="uxb_works!E109">
          <xdr:nvSpPr>
            <xdr:cNvPr id="86" name="CC_C1_RESET">
              <a:extLst>
                <a:ext uri="{FF2B5EF4-FFF2-40B4-BE49-F238E27FC236}">
                  <a16:creationId xmlns:a16="http://schemas.microsoft.com/office/drawing/2014/main" id="{00000000-0008-0000-0600-000056000000}"/>
                </a:ext>
              </a:extLst>
            </xdr:cNvPr>
            <xdr:cNvSpPr>
              <a:spLocks/>
            </xdr:cNvSpPr>
          </xdr:nvSpPr>
          <xdr:spPr>
            <a:xfrm>
              <a:off x="518418" y="657225"/>
              <a:ext cx="1105595" cy="180000"/>
            </a:xfrm>
            <a:prstGeom prst="rect">
              <a:avLst/>
            </a:prstGeom>
            <a:solidFill>
              <a:schemeClr val="bg1">
                <a:lumMod val="95000"/>
              </a:schemeClr>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4CEC1D83-1F2B-48CC-9B2F-559BFF53734E}" type="TxLink">
                <a:rPr lang="en-US" sz="800" b="0" i="0" u="none" strike="noStrike">
                  <a:solidFill>
                    <a:srgbClr val="000000"/>
                  </a:solidFill>
                  <a:latin typeface="Calibri"/>
                  <a:ea typeface="Karla" pitchFamily="2" charset="0"/>
                  <a:cs typeface="Calibri"/>
                </a:rPr>
                <a:pPr algn="ctr"/>
                <a:t> </a:t>
              </a:fld>
              <a:endParaRPr lang="en-GB" sz="600" b="0">
                <a:solidFill>
                  <a:sysClr val="windowText" lastClr="000000"/>
                </a:solidFill>
                <a:latin typeface="+mn-lt"/>
                <a:ea typeface="Karla" pitchFamily="2" charset="0"/>
              </a:endParaRPr>
            </a:p>
          </xdr:txBody>
        </xdr:sp>
        <xdr:sp macro="" textlink="">
          <xdr:nvSpPr>
            <xdr:cNvPr id="87" name="lbl_cnt_City_1">
              <a:extLst>
                <a:ext uri="{FF2B5EF4-FFF2-40B4-BE49-F238E27FC236}">
                  <a16:creationId xmlns:a16="http://schemas.microsoft.com/office/drawing/2014/main" id="{00000000-0008-0000-0600-000057000000}"/>
                </a:ext>
              </a:extLst>
            </xdr:cNvPr>
            <xdr:cNvSpPr txBox="1"/>
          </xdr:nvSpPr>
          <xdr:spPr>
            <a:xfrm>
              <a:off x="76200" y="657225"/>
              <a:ext cx="440651" cy="180004"/>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ctr"/>
              <a:r>
                <a:rPr lang="en-GB" sz="1000" b="1">
                  <a:solidFill>
                    <a:sysClr val="windowText" lastClr="000000"/>
                  </a:solidFill>
                  <a:latin typeface="+mn-lt"/>
                  <a:ea typeface="Karla" pitchFamily="2" charset="0"/>
                </a:rPr>
                <a:t>SELECT </a:t>
              </a:r>
            </a:p>
          </xdr:txBody>
        </xdr:sp>
        <xdr:sp macro="" textlink="">
          <xdr:nvSpPr>
            <xdr:cNvPr id="88" name="Rectangle 87">
              <a:extLst>
                <a:ext uri="{FF2B5EF4-FFF2-40B4-BE49-F238E27FC236}">
                  <a16:creationId xmlns:a16="http://schemas.microsoft.com/office/drawing/2014/main" id="{00000000-0008-0000-0600-000058000000}"/>
                </a:ext>
              </a:extLst>
            </xdr:cNvPr>
            <xdr:cNvSpPr/>
          </xdr:nvSpPr>
          <xdr:spPr>
            <a:xfrm>
              <a:off x="1338263" y="838196"/>
              <a:ext cx="285750" cy="219600"/>
            </a:xfrm>
            <a:prstGeom prst="rect">
              <a:avLst/>
            </a:prstGeom>
            <a:noFill/>
            <a:ln w="63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chemeClr val="accent1">
                    <a:lumMod val="60000"/>
                    <a:lumOff val="40000"/>
                  </a:schemeClr>
                </a:solidFill>
                <a:latin typeface="Calibri"/>
                <a:cs typeface="Calibri"/>
              </a:endParaRPr>
            </a:p>
          </xdr:txBody>
        </xdr:sp>
      </xdr:grpSp>
      <xdr:grpSp>
        <xdr:nvGrpSpPr>
          <xdr:cNvPr id="14" name="Group 13">
            <a:extLst>
              <a:ext uri="{FF2B5EF4-FFF2-40B4-BE49-F238E27FC236}">
                <a16:creationId xmlns:a16="http://schemas.microsoft.com/office/drawing/2014/main" id="{00000000-0008-0000-0600-00000E000000}"/>
              </a:ext>
            </a:extLst>
          </xdr:cNvPr>
          <xdr:cNvGrpSpPr/>
        </xdr:nvGrpSpPr>
        <xdr:grpSpPr>
          <a:xfrm>
            <a:off x="1703644" y="650836"/>
            <a:ext cx="1555349" cy="399360"/>
            <a:chOff x="1700229" y="657216"/>
            <a:chExt cx="1552231" cy="403275"/>
          </a:xfrm>
        </xdr:grpSpPr>
        <xdr:grpSp>
          <xdr:nvGrpSpPr>
            <xdr:cNvPr id="33" name="Group 32">
              <a:extLst>
                <a:ext uri="{FF2B5EF4-FFF2-40B4-BE49-F238E27FC236}">
                  <a16:creationId xmlns:a16="http://schemas.microsoft.com/office/drawing/2014/main" id="{00000000-0008-0000-0600-000021000000}"/>
                </a:ext>
              </a:extLst>
            </xdr:cNvPr>
            <xdr:cNvGrpSpPr/>
          </xdr:nvGrpSpPr>
          <xdr:grpSpPr>
            <a:xfrm>
              <a:off x="1701165" y="837566"/>
              <a:ext cx="1551295" cy="222925"/>
              <a:chOff x="1701165" y="837566"/>
              <a:chExt cx="1551295" cy="222925"/>
            </a:xfrm>
          </xdr:grpSpPr>
          <xdr:pic macro="[0]!UniversalChanger">
            <xdr:nvPicPr>
              <xdr:cNvPr id="29" name="Cnt_Select_Up_2" descr="scroll_up_small.png">
                <a:extLst>
                  <a:ext uri="{FF2B5EF4-FFF2-40B4-BE49-F238E27FC236}">
                    <a16:creationId xmlns:a16="http://schemas.microsoft.com/office/drawing/2014/main" id="{00000000-0008-0000-0600-00001D000000}"/>
                  </a:ext>
                </a:extLst>
              </xdr:cNvPr>
              <xdr:cNvPicPr preferRelativeResize="0">
                <a:picLocks/>
              </xdr:cNvPicPr>
            </xdr:nvPicPr>
            <xdr:blipFill>
              <a:blip xmlns:r="http://schemas.openxmlformats.org/officeDocument/2006/relationships" r:embed="rId7" cstate="print"/>
              <a:stretch>
                <a:fillRect/>
              </a:stretch>
            </xdr:blipFill>
            <xdr:spPr>
              <a:xfrm>
                <a:off x="2965978" y="844088"/>
                <a:ext cx="286482" cy="108000"/>
              </a:xfrm>
              <a:prstGeom prst="rect">
                <a:avLst/>
              </a:prstGeom>
            </xdr:spPr>
          </xdr:pic>
          <xdr:pic macro="[0]!UniversalChanger">
            <xdr:nvPicPr>
              <xdr:cNvPr id="30" name="Cnt_Select_Down_2" descr="scroll_down_small.png">
                <a:extLst>
                  <a:ext uri="{FF2B5EF4-FFF2-40B4-BE49-F238E27FC236}">
                    <a16:creationId xmlns:a16="http://schemas.microsoft.com/office/drawing/2014/main" id="{00000000-0008-0000-0600-00001E000000}"/>
                  </a:ext>
                </a:extLst>
              </xdr:cNvPr>
              <xdr:cNvPicPr preferRelativeResize="0">
                <a:picLocks/>
              </xdr:cNvPicPr>
            </xdr:nvPicPr>
            <xdr:blipFill>
              <a:blip xmlns:r="http://schemas.openxmlformats.org/officeDocument/2006/relationships" r:embed="rId8" cstate="print"/>
              <a:stretch>
                <a:fillRect/>
              </a:stretch>
            </xdr:blipFill>
            <xdr:spPr>
              <a:xfrm>
                <a:off x="2965978" y="952491"/>
                <a:ext cx="286482" cy="108000"/>
              </a:xfrm>
              <a:prstGeom prst="rect">
                <a:avLst/>
              </a:prstGeom>
            </xdr:spPr>
          </xdr:pic>
          <mc:AlternateContent xmlns:mc="http://schemas.openxmlformats.org/markup-compatibility/2006">
            <mc:Choice xmlns:a14="http://schemas.microsoft.com/office/drawing/2010/main" Requires="a14">
              <xdr:sp macro="" textlink="">
                <xdr:nvSpPr>
                  <xdr:cNvPr id="14464003" name="Cnt_Select_2" hidden="1">
                    <a:extLst>
                      <a:ext uri="{63B3BB69-23CF-44E3-9099-C40C66FF867C}">
                        <a14:compatExt spid="_x0000_s14464003"/>
                      </a:ext>
                      <a:ext uri="{FF2B5EF4-FFF2-40B4-BE49-F238E27FC236}">
                        <a16:creationId xmlns:a16="http://schemas.microsoft.com/office/drawing/2014/main" id="{00000000-0008-0000-0600-000003B4DC00}"/>
                      </a:ext>
                    </a:extLst>
                  </xdr:cNvPr>
                  <xdr:cNvSpPr/>
                </xdr:nvSpPr>
                <xdr:spPr bwMode="auto">
                  <a:xfrm>
                    <a:off x="1701165" y="837566"/>
                    <a:ext cx="1263665" cy="219076"/>
                  </a:xfrm>
                  <a:prstGeom prst="rect">
                    <a:avLst/>
                  </a:prstGeom>
                  <a:noFill/>
                  <a:ln>
                    <a:noFill/>
                  </a:ln>
                  <a:extLst>
                    <a:ext uri="{91240B29-F687-4F45-9708-019B960494DF}">
                      <a14:hiddenLine w="9525">
                        <a:noFill/>
                        <a:miter lim="800000"/>
                        <a:headEnd/>
                        <a:tailEnd/>
                      </a14:hiddenLine>
                    </a:ext>
                  </a:extLst>
                </xdr:spPr>
              </xdr:sp>
            </mc:Choice>
            <mc:Fallback/>
          </mc:AlternateContent>
        </xdr:grpSp>
        <xdr:sp macro="[0]!UniversalChanger" textlink="uxb_works!E110">
          <xdr:nvSpPr>
            <xdr:cNvPr id="89" name="CC_C2_RESET">
              <a:extLst>
                <a:ext uri="{FF2B5EF4-FFF2-40B4-BE49-F238E27FC236}">
                  <a16:creationId xmlns:a16="http://schemas.microsoft.com/office/drawing/2014/main" id="{00000000-0008-0000-0600-000059000000}"/>
                </a:ext>
              </a:extLst>
            </xdr:cNvPr>
            <xdr:cNvSpPr>
              <a:spLocks/>
            </xdr:cNvSpPr>
          </xdr:nvSpPr>
          <xdr:spPr>
            <a:xfrm>
              <a:off x="2142447" y="657216"/>
              <a:ext cx="1105595" cy="180000"/>
            </a:xfrm>
            <a:prstGeom prst="rect">
              <a:avLst/>
            </a:prstGeom>
            <a:solidFill>
              <a:schemeClr val="bg1">
                <a:lumMod val="95000"/>
              </a:schemeClr>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DECAEC71-679B-46F6-888F-661604BA3E8E}" type="TxLink">
                <a:rPr lang="en-US" sz="800" b="0" i="0" u="none" strike="noStrike">
                  <a:solidFill>
                    <a:srgbClr val="000000"/>
                  </a:solidFill>
                  <a:latin typeface="Calibri"/>
                  <a:ea typeface="Karla" pitchFamily="2" charset="0"/>
                  <a:cs typeface="Calibri"/>
                </a:rPr>
                <a:pPr algn="ctr"/>
                <a:t> </a:t>
              </a:fld>
              <a:endParaRPr lang="en-GB" sz="600" b="0">
                <a:solidFill>
                  <a:sysClr val="windowText" lastClr="000000"/>
                </a:solidFill>
                <a:latin typeface="+mn-lt"/>
                <a:ea typeface="Karla" pitchFamily="2" charset="0"/>
              </a:endParaRPr>
            </a:p>
          </xdr:txBody>
        </xdr:sp>
        <xdr:sp macro="" textlink="">
          <xdr:nvSpPr>
            <xdr:cNvPr id="90" name="lbl_cnt_City_1">
              <a:extLst>
                <a:ext uri="{FF2B5EF4-FFF2-40B4-BE49-F238E27FC236}">
                  <a16:creationId xmlns:a16="http://schemas.microsoft.com/office/drawing/2014/main" id="{00000000-0008-0000-0600-00005A000000}"/>
                </a:ext>
              </a:extLst>
            </xdr:cNvPr>
            <xdr:cNvSpPr txBox="1"/>
          </xdr:nvSpPr>
          <xdr:spPr>
            <a:xfrm>
              <a:off x="1700229" y="657216"/>
              <a:ext cx="440651" cy="180004"/>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ctr"/>
              <a:r>
                <a:rPr lang="en-GB" sz="1000" b="1">
                  <a:solidFill>
                    <a:sysClr val="windowText" lastClr="000000"/>
                  </a:solidFill>
                  <a:latin typeface="+mn-lt"/>
                  <a:ea typeface="Karla" pitchFamily="2" charset="0"/>
                </a:rPr>
                <a:t>SELECT </a:t>
              </a:r>
            </a:p>
          </xdr:txBody>
        </xdr:sp>
        <xdr:sp macro="" textlink="">
          <xdr:nvSpPr>
            <xdr:cNvPr id="91" name="Rectangle 90">
              <a:extLst>
                <a:ext uri="{FF2B5EF4-FFF2-40B4-BE49-F238E27FC236}">
                  <a16:creationId xmlns:a16="http://schemas.microsoft.com/office/drawing/2014/main" id="{00000000-0008-0000-0600-00005B000000}"/>
                </a:ext>
              </a:extLst>
            </xdr:cNvPr>
            <xdr:cNvSpPr/>
          </xdr:nvSpPr>
          <xdr:spPr>
            <a:xfrm>
              <a:off x="2962292" y="838187"/>
              <a:ext cx="285750" cy="219600"/>
            </a:xfrm>
            <a:prstGeom prst="rect">
              <a:avLst/>
            </a:prstGeom>
            <a:noFill/>
            <a:ln w="63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chemeClr val="accent1">
                    <a:lumMod val="60000"/>
                    <a:lumOff val="40000"/>
                  </a:schemeClr>
                </a:solidFill>
                <a:latin typeface="Calibri"/>
                <a:cs typeface="Calibri"/>
              </a:endParaRPr>
            </a:p>
          </xdr:txBody>
        </xdr:sp>
      </xdr:grpSp>
    </xdr:grpSp>
    <xdr:clientData/>
  </xdr:twoCellAnchor>
  <xdr:twoCellAnchor editAs="oneCell">
    <xdr:from>
      <xdr:col>23</xdr:col>
      <xdr:colOff>640556</xdr:colOff>
      <xdr:row>9</xdr:row>
      <xdr:rowOff>171450</xdr:rowOff>
    </xdr:from>
    <xdr:to>
      <xdr:col>35</xdr:col>
      <xdr:colOff>22860</xdr:colOff>
      <xdr:row>10</xdr:row>
      <xdr:rowOff>17612</xdr:rowOff>
    </xdr:to>
    <xdr:sp macro="" textlink="uxb_works!C87">
      <xdr:nvSpPr>
        <xdr:cNvPr id="60" name="CountryNotes">
          <a:extLst>
            <a:ext uri="{FF2B5EF4-FFF2-40B4-BE49-F238E27FC236}">
              <a16:creationId xmlns:a16="http://schemas.microsoft.com/office/drawing/2014/main" id="{00000000-0008-0000-0600-00003C000000}"/>
            </a:ext>
          </a:extLst>
        </xdr:cNvPr>
        <xdr:cNvSpPr txBox="1">
          <a:spLocks noChangeArrowheads="1"/>
        </xdr:cNvSpPr>
      </xdr:nvSpPr>
      <xdr:spPr bwMode="auto">
        <a:xfrm flipV="1">
          <a:off x="9013031" y="1257300"/>
          <a:ext cx="2778919" cy="208112"/>
        </a:xfrm>
        <a:prstGeom prst="rect">
          <a:avLst/>
        </a:prstGeom>
        <a:noFill/>
        <a:ln w="9525">
          <a:noFill/>
          <a:miter lim="800000"/>
          <a:headEnd/>
          <a:tailEnd/>
        </a:ln>
      </xdr:spPr>
      <xdr:txBody>
        <a:bodyPr vertOverflow="clip" wrap="square" lIns="72000" tIns="72000" rIns="72000" bIns="72000" anchor="ctr" upright="1">
          <a:noAutofit/>
        </a:bodyPr>
        <a:lstStyle/>
        <a:p>
          <a:pPr marL="0" algn="r"/>
          <a:fld id="{5E5A380A-F76B-4791-A1A1-B1EA0B065E66}" type="TxLink">
            <a:rPr lang="en-US" sz="800" b="0" i="0" u="none" strike="noStrike">
              <a:solidFill>
                <a:srgbClr val="3B6E8F"/>
              </a:solidFill>
              <a:effectLst/>
              <a:latin typeface="Calibri"/>
              <a:ea typeface="+mn-ea"/>
              <a:cs typeface="Calibri"/>
            </a:rPr>
            <a:pPr marL="0" algn="r"/>
            <a:t>Scored 0-100, where 100 = most optimized</a:t>
          </a:fld>
          <a:endParaRPr lang="en-US" sz="1000" b="1" i="1" u="none" strike="noStrike">
            <a:solidFill>
              <a:sysClr val="windowText" lastClr="000000"/>
            </a:solidFill>
            <a:effectLst/>
            <a:latin typeface="+mn-lt"/>
            <a:ea typeface="+mn-ea"/>
            <a:cs typeface="Calibri"/>
          </a:endParaRPr>
        </a:p>
      </xdr:txBody>
    </xdr:sp>
    <xdr:clientData/>
  </xdr:twoCellAnchor>
  <xdr:twoCellAnchor editAs="absolute">
    <xdr:from>
      <xdr:col>0</xdr:col>
      <xdr:colOff>76200</xdr:colOff>
      <xdr:row>3</xdr:row>
      <xdr:rowOff>66675</xdr:rowOff>
    </xdr:from>
    <xdr:to>
      <xdr:col>27</xdr:col>
      <xdr:colOff>141817</xdr:colOff>
      <xdr:row>3</xdr:row>
      <xdr:rowOff>609600</xdr:rowOff>
    </xdr:to>
    <xdr:grpSp>
      <xdr:nvGrpSpPr>
        <xdr:cNvPr id="126" name="Del_FILTER_OPTIONS">
          <a:extLst>
            <a:ext uri="{FF2B5EF4-FFF2-40B4-BE49-F238E27FC236}">
              <a16:creationId xmlns:a16="http://schemas.microsoft.com/office/drawing/2014/main" id="{00000000-0008-0000-0600-00007E000000}"/>
            </a:ext>
          </a:extLst>
        </xdr:cNvPr>
        <xdr:cNvGrpSpPr/>
      </xdr:nvGrpSpPr>
      <xdr:grpSpPr>
        <a:xfrm>
          <a:off x="76200" y="1190625"/>
          <a:ext cx="11584517" cy="542925"/>
          <a:chOff x="123825" y="1181100"/>
          <a:chExt cx="11562858" cy="542925"/>
        </a:xfrm>
      </xdr:grpSpPr>
      <xdr:sp macro="" textlink="">
        <xdr:nvSpPr>
          <xdr:cNvPr id="127" name="lbl_cnt_City_1">
            <a:extLst>
              <a:ext uri="{FF2B5EF4-FFF2-40B4-BE49-F238E27FC236}">
                <a16:creationId xmlns:a16="http://schemas.microsoft.com/office/drawing/2014/main" id="{00000000-0008-0000-0600-00007F000000}"/>
              </a:ext>
            </a:extLst>
          </xdr:cNvPr>
          <xdr:cNvSpPr txBox="1"/>
        </xdr:nvSpPr>
        <xdr:spPr>
          <a:xfrm>
            <a:off x="123825" y="1181100"/>
            <a:ext cx="7315200" cy="54292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endParaRPr lang="en-US" sz="1000" b="1" i="0" u="none" strike="noStrike">
              <a:solidFill>
                <a:srgbClr val="143050"/>
              </a:solidFill>
              <a:latin typeface="Calibri"/>
              <a:cs typeface="Calibri"/>
            </a:endParaRPr>
          </a:p>
        </xdr:txBody>
      </xdr:sp>
      <xdr:sp macro="" textlink="uxb_works!D96">
        <xdr:nvSpPr>
          <xdr:cNvPr id="128" name="lbl_cnt_City_1">
            <a:extLst>
              <a:ext uri="{FF2B5EF4-FFF2-40B4-BE49-F238E27FC236}">
                <a16:creationId xmlns:a16="http://schemas.microsoft.com/office/drawing/2014/main" id="{00000000-0008-0000-0600-000080000000}"/>
              </a:ext>
            </a:extLst>
          </xdr:cNvPr>
          <xdr:cNvSpPr txBox="1"/>
        </xdr:nvSpPr>
        <xdr:spPr>
          <a:xfrm>
            <a:off x="228492" y="1247773"/>
            <a:ext cx="524674"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fld id="{EC6270EF-FB14-4F40-A375-01271F5F9F23}" type="TxLink">
              <a:rPr lang="en-US" sz="1000" b="1" i="0" u="none" strike="noStrike" baseline="0">
                <a:solidFill>
                  <a:sysClr val="windowText" lastClr="000000"/>
                </a:solidFill>
                <a:effectLst/>
                <a:latin typeface="Calibri"/>
                <a:ea typeface="+mn-ea"/>
                <a:cs typeface="Calibri"/>
              </a:rPr>
              <a:pPr algn="r"/>
              <a:t>CITY FILTERS</a:t>
            </a:fld>
            <a:endParaRPr lang="en-GB" sz="1000" b="1">
              <a:solidFill>
                <a:sysClr val="windowText" lastClr="000000"/>
              </a:solidFill>
              <a:latin typeface="+mn-lt"/>
            </a:endParaRPr>
          </a:p>
        </xdr:txBody>
      </xdr:sp>
      <xdr:grpSp>
        <xdr:nvGrpSpPr>
          <xdr:cNvPr id="129" name="Group 128">
            <a:extLst>
              <a:ext uri="{FF2B5EF4-FFF2-40B4-BE49-F238E27FC236}">
                <a16:creationId xmlns:a16="http://schemas.microsoft.com/office/drawing/2014/main" id="{00000000-0008-0000-0600-000081000000}"/>
              </a:ext>
            </a:extLst>
          </xdr:cNvPr>
          <xdr:cNvGrpSpPr/>
        </xdr:nvGrpSpPr>
        <xdr:grpSpPr>
          <a:xfrm>
            <a:off x="3067895" y="1266824"/>
            <a:ext cx="2085130" cy="402834"/>
            <a:chOff x="887117" y="1257299"/>
            <a:chExt cx="2094310" cy="402834"/>
          </a:xfrm>
        </xdr:grpSpPr>
        <xdr:pic macro="[0]!UniversalChanger">
          <xdr:nvPicPr>
            <xdr:cNvPr id="140" name="INCOME_FL_UP" descr="scroll_up_small.png">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7" cstate="print"/>
            <a:stretch>
              <a:fillRect/>
            </a:stretch>
          </xdr:blipFill>
          <xdr:spPr>
            <a:xfrm>
              <a:off x="2694979" y="1447799"/>
              <a:ext cx="285679" cy="119545"/>
            </a:xfrm>
            <a:prstGeom prst="rect">
              <a:avLst/>
            </a:prstGeom>
          </xdr:spPr>
        </xdr:pic>
        <xdr:pic macro="[0]!UniversalChanger">
          <xdr:nvPicPr>
            <xdr:cNvPr id="141" name="INCOME_FL_DOWN" descr="scroll_down_small.png">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8" cstate="print"/>
            <a:stretch>
              <a:fillRect/>
            </a:stretch>
          </xdr:blipFill>
          <xdr:spPr>
            <a:xfrm>
              <a:off x="2694972" y="1565459"/>
              <a:ext cx="285599" cy="94674"/>
            </a:xfrm>
            <a:prstGeom prst="rect">
              <a:avLst/>
            </a:prstGeom>
          </xdr:spPr>
        </xdr:pic>
        <mc:AlternateContent xmlns:mc="http://schemas.openxmlformats.org/markup-compatibility/2006">
          <mc:Choice xmlns:a14="http://schemas.microsoft.com/office/drawing/2010/main" Requires="a14">
            <xdr:sp macro="" textlink="">
              <xdr:nvSpPr>
                <xdr:cNvPr id="14464013" name="INCOME_FILTER" hidden="1">
                  <a:extLst>
                    <a:ext uri="{63B3BB69-23CF-44E3-9099-C40C66FF867C}">
                      <a14:compatExt spid="_x0000_s14464013"/>
                    </a:ext>
                    <a:ext uri="{FF2B5EF4-FFF2-40B4-BE49-F238E27FC236}">
                      <a16:creationId xmlns:a16="http://schemas.microsoft.com/office/drawing/2014/main" id="{00000000-0008-0000-0600-00000DB4DC00}"/>
                    </a:ext>
                  </a:extLst>
                </xdr:cNvPr>
                <xdr:cNvSpPr/>
              </xdr:nvSpPr>
              <xdr:spPr bwMode="auto">
                <a:xfrm>
                  <a:off x="887123" y="1438274"/>
                  <a:ext cx="1805947" cy="219075"/>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0">
          <xdr:nvSpPr>
            <xdr:cNvPr id="142" name="FILTER_GA_1">
              <a:extLst>
                <a:ext uri="{FF2B5EF4-FFF2-40B4-BE49-F238E27FC236}">
                  <a16:creationId xmlns:a16="http://schemas.microsoft.com/office/drawing/2014/main" id="{00000000-0008-0000-0600-00008E000000}"/>
                </a:ext>
              </a:extLst>
            </xdr:cNvPr>
            <xdr:cNvSpPr>
              <a:spLocks/>
            </xdr:cNvSpPr>
          </xdr:nvSpPr>
          <xdr:spPr>
            <a:xfrm>
              <a:off x="887117" y="1257299"/>
              <a:ext cx="2094310"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5B3884B5-1625-476A-A697-2341FA45AADB}" type="TxLink">
                <a:rPr lang="en-US" sz="800" b="0" i="0" u="none" strike="noStrike">
                  <a:solidFill>
                    <a:srgbClr val="000000"/>
                  </a:solidFill>
                  <a:latin typeface="Calibri"/>
                  <a:cs typeface="Calibri"/>
                </a:rPr>
                <a:pPr algn="ctr"/>
                <a:t>BY INCOME (reset)</a:t>
              </a:fld>
              <a:endParaRPr lang="en-US" sz="800" b="0" i="0" u="none" strike="noStrike">
                <a:solidFill>
                  <a:srgbClr val="000000"/>
                </a:solidFill>
                <a:latin typeface="Calibri"/>
                <a:cs typeface="Calibri"/>
              </a:endParaRPr>
            </a:p>
          </xdr:txBody>
        </xdr:sp>
      </xdr:grpSp>
      <xdr:grpSp>
        <xdr:nvGrpSpPr>
          <xdr:cNvPr id="130" name="Group 129">
            <a:extLst>
              <a:ext uri="{FF2B5EF4-FFF2-40B4-BE49-F238E27FC236}">
                <a16:creationId xmlns:a16="http://schemas.microsoft.com/office/drawing/2014/main" id="{00000000-0008-0000-0600-000082000000}"/>
              </a:ext>
            </a:extLst>
          </xdr:cNvPr>
          <xdr:cNvGrpSpPr/>
        </xdr:nvGrpSpPr>
        <xdr:grpSpPr>
          <a:xfrm>
            <a:off x="893621" y="1266824"/>
            <a:ext cx="2094230" cy="389525"/>
            <a:chOff x="3238171" y="1266824"/>
            <a:chExt cx="2095068" cy="389525"/>
          </a:xfrm>
        </xdr:grpSpPr>
        <xdr:pic macro="[0]!UniversalChanger">
          <xdr:nvPicPr>
            <xdr:cNvPr id="137" name="R_FL_UP" descr="scroll_up_small.png">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7" cstate="print"/>
            <a:stretch>
              <a:fillRect/>
            </a:stretch>
          </xdr:blipFill>
          <xdr:spPr>
            <a:xfrm>
              <a:off x="5045868" y="1447655"/>
              <a:ext cx="285679" cy="117499"/>
            </a:xfrm>
            <a:prstGeom prst="rect">
              <a:avLst/>
            </a:prstGeom>
          </xdr:spPr>
        </xdr:pic>
        <xdr:pic macro="[0]!UniversalChanger">
          <xdr:nvPicPr>
            <xdr:cNvPr id="138" name="R_FL_DOWN" descr="scroll_down_small.png">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8" cstate="print"/>
            <a:stretch>
              <a:fillRect/>
            </a:stretch>
          </xdr:blipFill>
          <xdr:spPr>
            <a:xfrm>
              <a:off x="5045861" y="1563295"/>
              <a:ext cx="285599" cy="93054"/>
            </a:xfrm>
            <a:prstGeom prst="rect">
              <a:avLst/>
            </a:prstGeom>
          </xdr:spPr>
        </xdr:pic>
        <mc:AlternateContent xmlns:mc="http://schemas.openxmlformats.org/markup-compatibility/2006">
          <mc:Choice xmlns:a14="http://schemas.microsoft.com/office/drawing/2010/main" Requires="a14">
            <xdr:sp macro="" textlink="">
              <xdr:nvSpPr>
                <xdr:cNvPr id="14464014" name="R_FILTER" hidden="1">
                  <a:extLst>
                    <a:ext uri="{63B3BB69-23CF-44E3-9099-C40C66FF867C}">
                      <a14:compatExt spid="_x0000_s14464014"/>
                    </a:ext>
                    <a:ext uri="{FF2B5EF4-FFF2-40B4-BE49-F238E27FC236}">
                      <a16:creationId xmlns:a16="http://schemas.microsoft.com/office/drawing/2014/main" id="{00000000-0008-0000-0600-00000EB4DC00}"/>
                    </a:ext>
                  </a:extLst>
                </xdr:cNvPr>
                <xdr:cNvSpPr/>
              </xdr:nvSpPr>
              <xdr:spPr bwMode="auto">
                <a:xfrm>
                  <a:off x="3238171" y="1438295"/>
                  <a:ext cx="1805985" cy="215327"/>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2">
          <xdr:nvSpPr>
            <xdr:cNvPr id="139" name="FILTER_GB_1">
              <a:extLst>
                <a:ext uri="{FF2B5EF4-FFF2-40B4-BE49-F238E27FC236}">
                  <a16:creationId xmlns:a16="http://schemas.microsoft.com/office/drawing/2014/main" id="{00000000-0008-0000-0600-00008B000000}"/>
                </a:ext>
              </a:extLst>
            </xdr:cNvPr>
            <xdr:cNvSpPr>
              <a:spLocks/>
            </xdr:cNvSpPr>
          </xdr:nvSpPr>
          <xdr:spPr>
            <a:xfrm>
              <a:off x="3238943" y="1266824"/>
              <a:ext cx="2094296"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683254F2-E44C-4100-8BB8-067CC0F20B8C}" type="TxLink">
                <a:rPr lang="en-US" sz="800" b="0" i="0" u="none" strike="noStrike">
                  <a:solidFill>
                    <a:srgbClr val="000000"/>
                  </a:solidFill>
                  <a:latin typeface="Calibri"/>
                  <a:cs typeface="Calibri"/>
                </a:rPr>
                <a:pPr algn="ctr"/>
                <a:t>BY REGION (reset)</a:t>
              </a:fld>
              <a:endParaRPr lang="en-US" sz="800" b="0" i="0" u="none" strike="noStrike">
                <a:solidFill>
                  <a:srgbClr val="000000"/>
                </a:solidFill>
                <a:latin typeface="Calibri"/>
                <a:cs typeface="Calibri"/>
              </a:endParaRPr>
            </a:p>
          </xdr:txBody>
        </xdr:sp>
      </xdr:grpSp>
      <xdr:grpSp>
        <xdr:nvGrpSpPr>
          <xdr:cNvPr id="131" name="Group 130">
            <a:extLst>
              <a:ext uri="{FF2B5EF4-FFF2-40B4-BE49-F238E27FC236}">
                <a16:creationId xmlns:a16="http://schemas.microsoft.com/office/drawing/2014/main" id="{00000000-0008-0000-0600-000083000000}"/>
              </a:ext>
            </a:extLst>
          </xdr:cNvPr>
          <xdr:cNvGrpSpPr/>
        </xdr:nvGrpSpPr>
        <xdr:grpSpPr>
          <a:xfrm>
            <a:off x="9883351" y="1263650"/>
            <a:ext cx="1803332" cy="393700"/>
            <a:chOff x="9936742" y="1257300"/>
            <a:chExt cx="1807200" cy="393700"/>
          </a:xfrm>
        </xdr:grpSpPr>
        <mc:AlternateContent xmlns:mc="http://schemas.openxmlformats.org/markup-compatibility/2006">
          <mc:Choice xmlns:a14="http://schemas.microsoft.com/office/drawing/2010/main" Requires="a14">
            <xdr:sp macro="" textlink="">
              <xdr:nvSpPr>
                <xdr:cNvPr id="14464015" name="L_Weights" hidden="1">
                  <a:extLst>
                    <a:ext uri="{63B3BB69-23CF-44E3-9099-C40C66FF867C}">
                      <a14:compatExt spid="_x0000_s14464015"/>
                    </a:ext>
                    <a:ext uri="{FF2B5EF4-FFF2-40B4-BE49-F238E27FC236}">
                      <a16:creationId xmlns:a16="http://schemas.microsoft.com/office/drawing/2014/main" id="{00000000-0008-0000-0600-00000FB4DC00}"/>
                    </a:ext>
                  </a:extLst>
                </xdr:cNvPr>
                <xdr:cNvSpPr/>
              </xdr:nvSpPr>
              <xdr:spPr bwMode="auto">
                <a:xfrm>
                  <a:off x="9936742" y="1431925"/>
                  <a:ext cx="1807125" cy="219075"/>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4">
          <xdr:nvSpPr>
            <xdr:cNvPr id="136" name="Weight_Reset">
              <a:extLst>
                <a:ext uri="{FF2B5EF4-FFF2-40B4-BE49-F238E27FC236}">
                  <a16:creationId xmlns:a16="http://schemas.microsoft.com/office/drawing/2014/main" id="{00000000-0008-0000-0600-000088000000}"/>
                </a:ext>
              </a:extLst>
            </xdr:cNvPr>
            <xdr:cNvSpPr>
              <a:spLocks/>
            </xdr:cNvSpPr>
          </xdr:nvSpPr>
          <xdr:spPr>
            <a:xfrm>
              <a:off x="9936742" y="1257300"/>
              <a:ext cx="1807200"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856B8423-91E9-41D2-BBE7-4949AD6F09C2}" type="TxLink">
                <a:rPr lang="en-US" sz="800" b="0" i="0" u="none" strike="noStrike">
                  <a:solidFill>
                    <a:sysClr val="windowText" lastClr="000000"/>
                  </a:solidFill>
                  <a:latin typeface="Calibri"/>
                  <a:cs typeface="Calibri"/>
                </a:rPr>
                <a:pPr algn="ctr"/>
                <a:t>WEIGHTS (reset)</a:t>
              </a:fld>
              <a:endParaRPr lang="en-US" sz="800" b="0" i="0" u="none" strike="noStrike">
                <a:solidFill>
                  <a:sysClr val="windowText" lastClr="000000"/>
                </a:solidFill>
                <a:latin typeface="Calibri"/>
                <a:cs typeface="Calibri"/>
              </a:endParaRPr>
            </a:p>
          </xdr:txBody>
        </xdr:sp>
      </xdr:grpSp>
      <xdr:grpSp>
        <xdr:nvGrpSpPr>
          <xdr:cNvPr id="132" name="Group 131">
            <a:extLst>
              <a:ext uri="{FF2B5EF4-FFF2-40B4-BE49-F238E27FC236}">
                <a16:creationId xmlns:a16="http://schemas.microsoft.com/office/drawing/2014/main" id="{00000000-0008-0000-0600-000084000000}"/>
              </a:ext>
            </a:extLst>
          </xdr:cNvPr>
          <xdr:cNvGrpSpPr/>
        </xdr:nvGrpSpPr>
        <xdr:grpSpPr>
          <a:xfrm>
            <a:off x="5238717" y="1266824"/>
            <a:ext cx="2094238" cy="389525"/>
            <a:chOff x="3238163" y="1266824"/>
            <a:chExt cx="2095076" cy="389525"/>
          </a:xfrm>
        </xdr:grpSpPr>
        <xdr:pic macro="[0]!UniversalChanger">
          <xdr:nvPicPr>
            <xdr:cNvPr id="133" name="POP_UP" descr="scroll_up_small.png">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7" cstate="print"/>
            <a:stretch>
              <a:fillRect/>
            </a:stretch>
          </xdr:blipFill>
          <xdr:spPr>
            <a:xfrm>
              <a:off x="5045868" y="1447655"/>
              <a:ext cx="285679" cy="117499"/>
            </a:xfrm>
            <a:prstGeom prst="rect">
              <a:avLst/>
            </a:prstGeom>
          </xdr:spPr>
        </xdr:pic>
        <xdr:pic macro="[0]!UniversalChanger">
          <xdr:nvPicPr>
            <xdr:cNvPr id="134" name="POP_DOWN" descr="scroll_down_small.png">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8" cstate="print"/>
            <a:stretch>
              <a:fillRect/>
            </a:stretch>
          </xdr:blipFill>
          <xdr:spPr>
            <a:xfrm>
              <a:off x="5045861" y="1563295"/>
              <a:ext cx="285599" cy="93054"/>
            </a:xfrm>
            <a:prstGeom prst="rect">
              <a:avLst/>
            </a:prstGeom>
          </xdr:spPr>
        </xdr:pic>
        <mc:AlternateContent xmlns:mc="http://schemas.openxmlformats.org/markup-compatibility/2006">
          <mc:Choice xmlns:a14="http://schemas.microsoft.com/office/drawing/2010/main" Requires="a14">
            <xdr:sp macro="" textlink="">
              <xdr:nvSpPr>
                <xdr:cNvPr id="14464016" name="POP_DD" hidden="1">
                  <a:extLst>
                    <a:ext uri="{63B3BB69-23CF-44E3-9099-C40C66FF867C}">
                      <a14:compatExt spid="_x0000_s14464016"/>
                    </a:ext>
                    <a:ext uri="{FF2B5EF4-FFF2-40B4-BE49-F238E27FC236}">
                      <a16:creationId xmlns:a16="http://schemas.microsoft.com/office/drawing/2014/main" id="{00000000-0008-0000-0600-000010B4DC00}"/>
                    </a:ext>
                  </a:extLst>
                </xdr:cNvPr>
                <xdr:cNvSpPr/>
              </xdr:nvSpPr>
              <xdr:spPr bwMode="auto">
                <a:xfrm>
                  <a:off x="3238163" y="1438295"/>
                  <a:ext cx="1805985" cy="215327"/>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G100">
          <xdr:nvSpPr>
            <xdr:cNvPr id="135" name="FILTER_POP_RESET">
              <a:extLst>
                <a:ext uri="{FF2B5EF4-FFF2-40B4-BE49-F238E27FC236}">
                  <a16:creationId xmlns:a16="http://schemas.microsoft.com/office/drawing/2014/main" id="{00000000-0008-0000-0600-000087000000}"/>
                </a:ext>
              </a:extLst>
            </xdr:cNvPr>
            <xdr:cNvSpPr>
              <a:spLocks/>
            </xdr:cNvSpPr>
          </xdr:nvSpPr>
          <xdr:spPr>
            <a:xfrm>
              <a:off x="3238943" y="1266824"/>
              <a:ext cx="2094296"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040051F4-705A-4460-AB4E-E01CB46B3889}" type="TxLink">
                <a:rPr lang="en-US" sz="800" b="0" i="0" u="none" strike="noStrike">
                  <a:solidFill>
                    <a:sysClr val="windowText" lastClr="000000"/>
                  </a:solidFill>
                  <a:latin typeface="Calibri"/>
                  <a:cs typeface="Calibri"/>
                </a:rPr>
                <a:pPr algn="ctr"/>
                <a:t>BY POPULATION (reset)</a:t>
              </a:fld>
              <a:endParaRPr lang="en-US" sz="800" b="0" i="0" u="none" strike="noStrike">
                <a:solidFill>
                  <a:sysClr val="windowText" lastClr="000000"/>
                </a:solidFill>
                <a:latin typeface="Calibri"/>
                <a:cs typeface="Calibri"/>
              </a:endParaRPr>
            </a:p>
          </xdr:txBody>
        </xdr:sp>
      </xdr:grpSp>
    </xdr:grp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24</xdr:row>
      <xdr:rowOff>57149</xdr:rowOff>
    </xdr:from>
    <xdr:to>
      <xdr:col>18</xdr:col>
      <xdr:colOff>0</xdr:colOff>
      <xdr:row>26</xdr:row>
      <xdr:rowOff>493499</xdr:rowOff>
    </xdr:to>
    <xdr:sp macro="[0]!RegionSortOrder" textlink="">
      <xdr:nvSpPr>
        <xdr:cNvPr id="2" name="2">
          <a:extLst>
            <a:ext uri="{FF2B5EF4-FFF2-40B4-BE49-F238E27FC236}">
              <a16:creationId xmlns:a16="http://schemas.microsoft.com/office/drawing/2014/main" id="{00000000-0008-0000-0700-000002000000}"/>
            </a:ext>
          </a:extLst>
        </xdr:cNvPr>
        <xdr:cNvSpPr/>
      </xdr:nvSpPr>
      <xdr:spPr>
        <a:xfrm>
          <a:off x="3781425" y="6029324"/>
          <a:ext cx="561975" cy="6840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19</xdr:col>
      <xdr:colOff>0</xdr:colOff>
      <xdr:row>24</xdr:row>
      <xdr:rowOff>57149</xdr:rowOff>
    </xdr:from>
    <xdr:to>
      <xdr:col>21</xdr:col>
      <xdr:colOff>0</xdr:colOff>
      <xdr:row>26</xdr:row>
      <xdr:rowOff>493499</xdr:rowOff>
    </xdr:to>
    <xdr:sp macro="[0]!RegionSortOrder" textlink="">
      <xdr:nvSpPr>
        <xdr:cNvPr id="3" name="3">
          <a:extLst>
            <a:ext uri="{FF2B5EF4-FFF2-40B4-BE49-F238E27FC236}">
              <a16:creationId xmlns:a16="http://schemas.microsoft.com/office/drawing/2014/main" id="{00000000-0008-0000-0700-000003000000}"/>
            </a:ext>
          </a:extLst>
        </xdr:cNvPr>
        <xdr:cNvSpPr/>
      </xdr:nvSpPr>
      <xdr:spPr>
        <a:xfrm>
          <a:off x="4381500" y="6029324"/>
          <a:ext cx="600075" cy="6840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21</xdr:col>
      <xdr:colOff>19050</xdr:colOff>
      <xdr:row>24</xdr:row>
      <xdr:rowOff>57149</xdr:rowOff>
    </xdr:from>
    <xdr:to>
      <xdr:col>22</xdr:col>
      <xdr:colOff>19050</xdr:colOff>
      <xdr:row>26</xdr:row>
      <xdr:rowOff>493499</xdr:rowOff>
    </xdr:to>
    <xdr:sp macro="[0]!RegionSortOrder" textlink="">
      <xdr:nvSpPr>
        <xdr:cNvPr id="4" name="4">
          <a:extLst>
            <a:ext uri="{FF2B5EF4-FFF2-40B4-BE49-F238E27FC236}">
              <a16:creationId xmlns:a16="http://schemas.microsoft.com/office/drawing/2014/main" id="{00000000-0008-0000-0700-000004000000}"/>
            </a:ext>
          </a:extLst>
        </xdr:cNvPr>
        <xdr:cNvSpPr/>
      </xdr:nvSpPr>
      <xdr:spPr>
        <a:xfrm>
          <a:off x="5000625" y="6029324"/>
          <a:ext cx="561975" cy="6840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22</xdr:col>
      <xdr:colOff>0</xdr:colOff>
      <xdr:row>24</xdr:row>
      <xdr:rowOff>57149</xdr:rowOff>
    </xdr:from>
    <xdr:to>
      <xdr:col>23</xdr:col>
      <xdr:colOff>47625</xdr:colOff>
      <xdr:row>26</xdr:row>
      <xdr:rowOff>493499</xdr:rowOff>
    </xdr:to>
    <xdr:sp macro="[0]!RegionSortOrder" textlink="">
      <xdr:nvSpPr>
        <xdr:cNvPr id="5" name="5">
          <a:extLst>
            <a:ext uri="{FF2B5EF4-FFF2-40B4-BE49-F238E27FC236}">
              <a16:creationId xmlns:a16="http://schemas.microsoft.com/office/drawing/2014/main" id="{00000000-0008-0000-0700-000005000000}"/>
            </a:ext>
          </a:extLst>
        </xdr:cNvPr>
        <xdr:cNvSpPr/>
      </xdr:nvSpPr>
      <xdr:spPr>
        <a:xfrm>
          <a:off x="5543550" y="6029324"/>
          <a:ext cx="609600" cy="6840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23</xdr:col>
      <xdr:colOff>0</xdr:colOff>
      <xdr:row>24</xdr:row>
      <xdr:rowOff>57149</xdr:rowOff>
    </xdr:from>
    <xdr:to>
      <xdr:col>24</xdr:col>
      <xdr:colOff>85725</xdr:colOff>
      <xdr:row>26</xdr:row>
      <xdr:rowOff>493499</xdr:rowOff>
    </xdr:to>
    <xdr:sp macro="[0]!RegionSortOrder" textlink="">
      <xdr:nvSpPr>
        <xdr:cNvPr id="6" name="6">
          <a:extLst>
            <a:ext uri="{FF2B5EF4-FFF2-40B4-BE49-F238E27FC236}">
              <a16:creationId xmlns:a16="http://schemas.microsoft.com/office/drawing/2014/main" id="{00000000-0008-0000-0700-000006000000}"/>
            </a:ext>
          </a:extLst>
        </xdr:cNvPr>
        <xdr:cNvSpPr/>
      </xdr:nvSpPr>
      <xdr:spPr>
        <a:xfrm>
          <a:off x="6105525" y="6029324"/>
          <a:ext cx="647700" cy="6840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24</xdr:col>
      <xdr:colOff>0</xdr:colOff>
      <xdr:row>24</xdr:row>
      <xdr:rowOff>57149</xdr:rowOff>
    </xdr:from>
    <xdr:to>
      <xdr:col>25</xdr:col>
      <xdr:colOff>0</xdr:colOff>
      <xdr:row>26</xdr:row>
      <xdr:rowOff>493499</xdr:rowOff>
    </xdr:to>
    <xdr:sp macro="[0]!RegionSortOrder" textlink="">
      <xdr:nvSpPr>
        <xdr:cNvPr id="7" name="7">
          <a:extLst>
            <a:ext uri="{FF2B5EF4-FFF2-40B4-BE49-F238E27FC236}">
              <a16:creationId xmlns:a16="http://schemas.microsoft.com/office/drawing/2014/main" id="{00000000-0008-0000-0700-000007000000}"/>
            </a:ext>
          </a:extLst>
        </xdr:cNvPr>
        <xdr:cNvSpPr/>
      </xdr:nvSpPr>
      <xdr:spPr>
        <a:xfrm>
          <a:off x="6667500" y="6029324"/>
          <a:ext cx="561975" cy="6840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25</xdr:col>
      <xdr:colOff>9525</xdr:colOff>
      <xdr:row>24</xdr:row>
      <xdr:rowOff>57149</xdr:rowOff>
    </xdr:from>
    <xdr:to>
      <xdr:col>27</xdr:col>
      <xdr:colOff>9525</xdr:colOff>
      <xdr:row>26</xdr:row>
      <xdr:rowOff>493499</xdr:rowOff>
    </xdr:to>
    <xdr:sp macro="[0]!RegionSortOrder" textlink="">
      <xdr:nvSpPr>
        <xdr:cNvPr id="8" name="8">
          <a:extLst>
            <a:ext uri="{FF2B5EF4-FFF2-40B4-BE49-F238E27FC236}">
              <a16:creationId xmlns:a16="http://schemas.microsoft.com/office/drawing/2014/main" id="{00000000-0008-0000-0700-000008000000}"/>
            </a:ext>
          </a:extLst>
        </xdr:cNvPr>
        <xdr:cNvSpPr/>
      </xdr:nvSpPr>
      <xdr:spPr>
        <a:xfrm>
          <a:off x="7239000" y="6029324"/>
          <a:ext cx="600075" cy="6840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27</xdr:col>
      <xdr:colOff>19050</xdr:colOff>
      <xdr:row>24</xdr:row>
      <xdr:rowOff>57149</xdr:rowOff>
    </xdr:from>
    <xdr:to>
      <xdr:col>28</xdr:col>
      <xdr:colOff>0</xdr:colOff>
      <xdr:row>26</xdr:row>
      <xdr:rowOff>493499</xdr:rowOff>
    </xdr:to>
    <xdr:sp macro="[0]!RegionSortOrder" textlink="">
      <xdr:nvSpPr>
        <xdr:cNvPr id="9" name="9">
          <a:extLst>
            <a:ext uri="{FF2B5EF4-FFF2-40B4-BE49-F238E27FC236}">
              <a16:creationId xmlns:a16="http://schemas.microsoft.com/office/drawing/2014/main" id="{00000000-0008-0000-0700-000009000000}"/>
            </a:ext>
          </a:extLst>
        </xdr:cNvPr>
        <xdr:cNvSpPr/>
      </xdr:nvSpPr>
      <xdr:spPr>
        <a:xfrm>
          <a:off x="7848600" y="6029324"/>
          <a:ext cx="542925" cy="6840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editAs="oneCell">
    <xdr:from>
      <xdr:col>3</xdr:col>
      <xdr:colOff>114300</xdr:colOff>
      <xdr:row>11</xdr:row>
      <xdr:rowOff>272310</xdr:rowOff>
    </xdr:from>
    <xdr:to>
      <xdr:col>4</xdr:col>
      <xdr:colOff>2600325</xdr:colOff>
      <xdr:row>11</xdr:row>
      <xdr:rowOff>485775</xdr:rowOff>
    </xdr:to>
    <xdr:sp macro="" textlink="">
      <xdr:nvSpPr>
        <xdr:cNvPr id="10" name="TextBox 9">
          <a:extLst>
            <a:ext uri="{FF2B5EF4-FFF2-40B4-BE49-F238E27FC236}">
              <a16:creationId xmlns:a16="http://schemas.microsoft.com/office/drawing/2014/main" id="{00000000-0008-0000-0700-00000A000000}"/>
            </a:ext>
          </a:extLst>
        </xdr:cNvPr>
        <xdr:cNvSpPr txBox="1">
          <a:spLocks noChangeArrowheads="1"/>
        </xdr:cNvSpPr>
      </xdr:nvSpPr>
      <xdr:spPr bwMode="auto">
        <a:xfrm>
          <a:off x="285750" y="3872760"/>
          <a:ext cx="2619375" cy="213465"/>
        </a:xfrm>
        <a:prstGeom prst="rect">
          <a:avLst/>
        </a:prstGeom>
        <a:noFill/>
        <a:ln w="9525">
          <a:noFill/>
          <a:miter lim="800000"/>
          <a:headEnd/>
          <a:tailEnd/>
        </a:ln>
      </xdr:spPr>
      <xdr:txBody>
        <a:bodyPr vertOverflow="clip" wrap="square" lIns="72000" tIns="72000" rIns="72000" bIns="72000" anchor="ctr" upright="1"/>
        <a:lstStyle/>
        <a:p>
          <a:pPr marL="0" algn="l"/>
          <a:r>
            <a:rPr lang="en-US" sz="900" b="0" i="1" u="none" strike="noStrike">
              <a:solidFill>
                <a:schemeClr val="bg1">
                  <a:lumMod val="95000"/>
                </a:schemeClr>
              </a:solidFill>
              <a:effectLst/>
              <a:latin typeface="+mn-lt"/>
              <a:ea typeface="+mn-ea"/>
              <a:cs typeface="Calibri"/>
            </a:rPr>
            <a:t>Click</a:t>
          </a:r>
          <a:r>
            <a:rPr lang="en-US" sz="900" b="0" i="1" u="none" strike="noStrike" baseline="0">
              <a:solidFill>
                <a:schemeClr val="bg1">
                  <a:lumMod val="95000"/>
                </a:schemeClr>
              </a:solidFill>
              <a:effectLst/>
              <a:latin typeface="+mn-lt"/>
              <a:ea typeface="+mn-ea"/>
              <a:cs typeface="Calibri"/>
            </a:rPr>
            <a:t> on any category name below to highlight</a:t>
          </a:r>
          <a:endParaRPr lang="en-US" sz="900" b="0" i="1" u="none" strike="noStrike">
            <a:solidFill>
              <a:schemeClr val="bg1">
                <a:lumMod val="95000"/>
              </a:schemeClr>
            </a:solidFill>
            <a:effectLst/>
            <a:latin typeface="+mn-lt"/>
            <a:ea typeface="+mn-ea"/>
            <a:cs typeface="Calibri"/>
          </a:endParaRPr>
        </a:p>
      </xdr:txBody>
    </xdr:sp>
    <xdr:clientData/>
  </xdr:twoCellAnchor>
  <xdr:twoCellAnchor>
    <xdr:from>
      <xdr:col>29</xdr:col>
      <xdr:colOff>9525</xdr:colOff>
      <xdr:row>24</xdr:row>
      <xdr:rowOff>57149</xdr:rowOff>
    </xdr:from>
    <xdr:to>
      <xdr:col>31</xdr:col>
      <xdr:colOff>9525</xdr:colOff>
      <xdr:row>26</xdr:row>
      <xdr:rowOff>493499</xdr:rowOff>
    </xdr:to>
    <xdr:sp macro="[0]!RegionSortOrder" textlink="">
      <xdr:nvSpPr>
        <xdr:cNvPr id="11" name="11">
          <a:extLst>
            <a:ext uri="{FF2B5EF4-FFF2-40B4-BE49-F238E27FC236}">
              <a16:creationId xmlns:a16="http://schemas.microsoft.com/office/drawing/2014/main" id="{00000000-0008-0000-0700-00000B000000}"/>
            </a:ext>
          </a:extLst>
        </xdr:cNvPr>
        <xdr:cNvSpPr/>
      </xdr:nvSpPr>
      <xdr:spPr>
        <a:xfrm>
          <a:off x="8963025" y="6029324"/>
          <a:ext cx="600075" cy="6840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35</xdr:col>
      <xdr:colOff>1</xdr:colOff>
      <xdr:row>10</xdr:row>
      <xdr:rowOff>0</xdr:rowOff>
    </xdr:from>
    <xdr:to>
      <xdr:col>35</xdr:col>
      <xdr:colOff>522515</xdr:colOff>
      <xdr:row>11</xdr:row>
      <xdr:rowOff>265713</xdr:rowOff>
    </xdr:to>
    <xdr:sp macro="[0]!AverageList" textlink="">
      <xdr:nvSpPr>
        <xdr:cNvPr id="12" name="3">
          <a:extLst>
            <a:ext uri="{FF2B5EF4-FFF2-40B4-BE49-F238E27FC236}">
              <a16:creationId xmlns:a16="http://schemas.microsoft.com/office/drawing/2014/main" id="{00000000-0008-0000-0700-00000C000000}"/>
            </a:ext>
          </a:extLst>
        </xdr:cNvPr>
        <xdr:cNvSpPr/>
      </xdr:nvSpPr>
      <xdr:spPr>
        <a:xfrm>
          <a:off x="11801475" y="3419475"/>
          <a:ext cx="0" cy="446688"/>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0</xdr:col>
      <xdr:colOff>64555</xdr:colOff>
      <xdr:row>9</xdr:row>
      <xdr:rowOff>76195</xdr:rowOff>
    </xdr:from>
    <xdr:to>
      <xdr:col>36</xdr:col>
      <xdr:colOff>117580</xdr:colOff>
      <xdr:row>92</xdr:row>
      <xdr:rowOff>133350</xdr:rowOff>
    </xdr:to>
    <xdr:sp macro="" textlink="">
      <xdr:nvSpPr>
        <xdr:cNvPr id="13" name="LeftBox1">
          <a:extLst>
            <a:ext uri="{FF2B5EF4-FFF2-40B4-BE49-F238E27FC236}">
              <a16:creationId xmlns:a16="http://schemas.microsoft.com/office/drawing/2014/main" id="{00000000-0008-0000-0700-00000D000000}"/>
            </a:ext>
          </a:extLst>
        </xdr:cNvPr>
        <xdr:cNvSpPr>
          <a:spLocks/>
        </xdr:cNvSpPr>
      </xdr:nvSpPr>
      <xdr:spPr>
        <a:xfrm>
          <a:off x="64555" y="1162045"/>
          <a:ext cx="11730675" cy="25250780"/>
        </a:xfrm>
        <a:prstGeom prst="rect">
          <a:avLst/>
        </a:prstGeom>
        <a:noFill/>
        <a:ln w="6350">
          <a:solidFill>
            <a:srgbClr val="005E9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400" b="1" i="0" u="none" strike="noStrike">
            <a:solidFill>
              <a:schemeClr val="accent1">
                <a:lumMod val="60000"/>
                <a:lumOff val="40000"/>
              </a:schemeClr>
            </a:solidFill>
            <a:latin typeface="Calibri"/>
            <a:cs typeface="Calibri"/>
          </a:endParaRPr>
        </a:p>
      </xdr:txBody>
    </xdr:sp>
    <xdr:clientData/>
  </xdr:twoCellAnchor>
  <xdr:oneCellAnchor>
    <xdr:from>
      <xdr:col>0</xdr:col>
      <xdr:colOff>104648</xdr:colOff>
      <xdr:row>92</xdr:row>
      <xdr:rowOff>264160</xdr:rowOff>
    </xdr:from>
    <xdr:ext cx="820643" cy="313394"/>
    <xdr:sp macro="[0]!UniversalChanger" textlink="">
      <xdr:nvSpPr>
        <xdr:cNvPr id="14" name="go_top_B">
          <a:extLst>
            <a:ext uri="{FF2B5EF4-FFF2-40B4-BE49-F238E27FC236}">
              <a16:creationId xmlns:a16="http://schemas.microsoft.com/office/drawing/2014/main" id="{00000000-0008-0000-0700-00000E000000}"/>
            </a:ext>
          </a:extLst>
        </xdr:cNvPr>
        <xdr:cNvSpPr txBox="1"/>
      </xdr:nvSpPr>
      <xdr:spPr>
        <a:xfrm>
          <a:off x="104648" y="26543635"/>
          <a:ext cx="820643" cy="313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sng" strike="noStrike" baseline="0">
              <a:solidFill>
                <a:srgbClr val="0070C0"/>
              </a:solidFill>
              <a:latin typeface="+mn-lt"/>
              <a:ea typeface="Karla" pitchFamily="2" charset="0"/>
            </a:rPr>
            <a:t>Back to top</a:t>
          </a:r>
        </a:p>
      </xdr:txBody>
    </xdr:sp>
    <xdr:clientData fPrintsWithSheet="0"/>
  </xdr:oneCellAnchor>
  <xdr:twoCellAnchor>
    <xdr:from>
      <xdr:col>31</xdr:col>
      <xdr:colOff>9525</xdr:colOff>
      <xdr:row>24</xdr:row>
      <xdr:rowOff>57149</xdr:rowOff>
    </xdr:from>
    <xdr:to>
      <xdr:col>32</xdr:col>
      <xdr:colOff>9525</xdr:colOff>
      <xdr:row>26</xdr:row>
      <xdr:rowOff>493499</xdr:rowOff>
    </xdr:to>
    <xdr:sp macro="[0]!RegionSortOrder" textlink="">
      <xdr:nvSpPr>
        <xdr:cNvPr id="15" name="9">
          <a:extLst>
            <a:ext uri="{FF2B5EF4-FFF2-40B4-BE49-F238E27FC236}">
              <a16:creationId xmlns:a16="http://schemas.microsoft.com/office/drawing/2014/main" id="{00000000-0008-0000-0700-00000F000000}"/>
            </a:ext>
          </a:extLst>
        </xdr:cNvPr>
        <xdr:cNvSpPr/>
      </xdr:nvSpPr>
      <xdr:spPr>
        <a:xfrm>
          <a:off x="9563100" y="6029324"/>
          <a:ext cx="561975" cy="6840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28</xdr:col>
      <xdr:colOff>9525</xdr:colOff>
      <xdr:row>24</xdr:row>
      <xdr:rowOff>57149</xdr:rowOff>
    </xdr:from>
    <xdr:to>
      <xdr:col>29</xdr:col>
      <xdr:colOff>9525</xdr:colOff>
      <xdr:row>26</xdr:row>
      <xdr:rowOff>493499</xdr:rowOff>
    </xdr:to>
    <xdr:sp macro="[0]!RegionSortOrder" textlink="">
      <xdr:nvSpPr>
        <xdr:cNvPr id="16" name="10">
          <a:extLst>
            <a:ext uri="{FF2B5EF4-FFF2-40B4-BE49-F238E27FC236}">
              <a16:creationId xmlns:a16="http://schemas.microsoft.com/office/drawing/2014/main" id="{00000000-0008-0000-0700-000010000000}"/>
            </a:ext>
          </a:extLst>
        </xdr:cNvPr>
        <xdr:cNvSpPr/>
      </xdr:nvSpPr>
      <xdr:spPr>
        <a:xfrm>
          <a:off x="8401050" y="6029324"/>
          <a:ext cx="561975" cy="6840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31</xdr:col>
      <xdr:colOff>9525</xdr:colOff>
      <xdr:row>24</xdr:row>
      <xdr:rowOff>57149</xdr:rowOff>
    </xdr:from>
    <xdr:to>
      <xdr:col>32</xdr:col>
      <xdr:colOff>9525</xdr:colOff>
      <xdr:row>26</xdr:row>
      <xdr:rowOff>493499</xdr:rowOff>
    </xdr:to>
    <xdr:sp macro="[0]!RegionSortOrder" textlink="">
      <xdr:nvSpPr>
        <xdr:cNvPr id="17" name="12">
          <a:extLst>
            <a:ext uri="{FF2B5EF4-FFF2-40B4-BE49-F238E27FC236}">
              <a16:creationId xmlns:a16="http://schemas.microsoft.com/office/drawing/2014/main" id="{00000000-0008-0000-0700-000011000000}"/>
            </a:ext>
          </a:extLst>
        </xdr:cNvPr>
        <xdr:cNvSpPr/>
      </xdr:nvSpPr>
      <xdr:spPr>
        <a:xfrm>
          <a:off x="9563100" y="6029324"/>
          <a:ext cx="561975" cy="6840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32</xdr:col>
      <xdr:colOff>9525</xdr:colOff>
      <xdr:row>24</xdr:row>
      <xdr:rowOff>57149</xdr:rowOff>
    </xdr:from>
    <xdr:to>
      <xdr:col>33</xdr:col>
      <xdr:colOff>9525</xdr:colOff>
      <xdr:row>26</xdr:row>
      <xdr:rowOff>493499</xdr:rowOff>
    </xdr:to>
    <xdr:sp macro="[0]!RegionSortOrder" textlink="">
      <xdr:nvSpPr>
        <xdr:cNvPr id="18" name="13">
          <a:extLst>
            <a:ext uri="{FF2B5EF4-FFF2-40B4-BE49-F238E27FC236}">
              <a16:creationId xmlns:a16="http://schemas.microsoft.com/office/drawing/2014/main" id="{00000000-0008-0000-0700-000012000000}"/>
            </a:ext>
          </a:extLst>
        </xdr:cNvPr>
        <xdr:cNvSpPr/>
      </xdr:nvSpPr>
      <xdr:spPr>
        <a:xfrm>
          <a:off x="10125075" y="6029324"/>
          <a:ext cx="561975" cy="6840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33</xdr:col>
      <xdr:colOff>9525</xdr:colOff>
      <xdr:row>24</xdr:row>
      <xdr:rowOff>57149</xdr:rowOff>
    </xdr:from>
    <xdr:to>
      <xdr:col>34</xdr:col>
      <xdr:colOff>9525</xdr:colOff>
      <xdr:row>26</xdr:row>
      <xdr:rowOff>493499</xdr:rowOff>
    </xdr:to>
    <xdr:sp macro="[0]!RegionSortOrder" textlink="">
      <xdr:nvSpPr>
        <xdr:cNvPr id="19" name="14">
          <a:extLst>
            <a:ext uri="{FF2B5EF4-FFF2-40B4-BE49-F238E27FC236}">
              <a16:creationId xmlns:a16="http://schemas.microsoft.com/office/drawing/2014/main" id="{00000000-0008-0000-0700-000013000000}"/>
            </a:ext>
          </a:extLst>
        </xdr:cNvPr>
        <xdr:cNvSpPr/>
      </xdr:nvSpPr>
      <xdr:spPr>
        <a:xfrm>
          <a:off x="10687050" y="6029324"/>
          <a:ext cx="561975" cy="6840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4</xdr:col>
      <xdr:colOff>3253250</xdr:colOff>
      <xdr:row>9</xdr:row>
      <xdr:rowOff>60331</xdr:rowOff>
    </xdr:from>
    <xdr:to>
      <xdr:col>28</xdr:col>
      <xdr:colOff>518260</xdr:colOff>
      <xdr:row>9</xdr:row>
      <xdr:rowOff>365830</xdr:rowOff>
    </xdr:to>
    <xdr:sp macro="" textlink="">
      <xdr:nvSpPr>
        <xdr:cNvPr id="20" name="TextBox 19">
          <a:extLst>
            <a:ext uri="{FF2B5EF4-FFF2-40B4-BE49-F238E27FC236}">
              <a16:creationId xmlns:a16="http://schemas.microsoft.com/office/drawing/2014/main" id="{00000000-0008-0000-0700-000014000000}"/>
            </a:ext>
          </a:extLst>
        </xdr:cNvPr>
        <xdr:cNvSpPr txBox="1">
          <a:spLocks noChangeArrowheads="1"/>
        </xdr:cNvSpPr>
      </xdr:nvSpPr>
      <xdr:spPr bwMode="auto">
        <a:xfrm>
          <a:off x="3558050" y="1146181"/>
          <a:ext cx="5351735" cy="305499"/>
        </a:xfrm>
        <a:prstGeom prst="rect">
          <a:avLst/>
        </a:prstGeom>
        <a:noFill/>
        <a:ln w="9525">
          <a:noFill/>
          <a:miter lim="800000"/>
          <a:headEnd/>
          <a:tailEnd/>
        </a:ln>
      </xdr:spPr>
      <xdr:txBody>
        <a:bodyPr vertOverflow="clip" wrap="square" lIns="72000" tIns="72000" rIns="72000" bIns="72000" anchor="ctr" upright="1"/>
        <a:lstStyle/>
        <a:p>
          <a:pPr marL="0" algn="l"/>
          <a:r>
            <a:rPr lang="en-US" sz="1000" b="0" i="1" u="none" strike="noStrike">
              <a:solidFill>
                <a:srgbClr val="3B6E8F"/>
              </a:solidFill>
              <a:effectLst/>
              <a:latin typeface="+mn-lt"/>
              <a:ea typeface="+mn-ea"/>
              <a:cs typeface="Calibri"/>
            </a:rPr>
            <a:t>Chart displays</a:t>
          </a:r>
          <a:r>
            <a:rPr lang="en-US" sz="1000" b="0" i="1" u="none" strike="noStrike" baseline="0">
              <a:solidFill>
                <a:srgbClr val="3B6E8F"/>
              </a:solidFill>
              <a:effectLst/>
              <a:latin typeface="+mn-lt"/>
              <a:ea typeface="+mn-ea"/>
              <a:cs typeface="Calibri"/>
            </a:rPr>
            <a:t> selected indicator</a:t>
          </a:r>
          <a:endParaRPr lang="en-US" sz="1000" b="0" i="1" u="none" strike="noStrike">
            <a:solidFill>
              <a:srgbClr val="3B6E8F"/>
            </a:solidFill>
            <a:effectLst/>
            <a:latin typeface="+mn-lt"/>
            <a:ea typeface="+mn-ea"/>
            <a:cs typeface="Calibri"/>
          </a:endParaRPr>
        </a:p>
      </xdr:txBody>
    </xdr:sp>
    <xdr:clientData/>
  </xdr:twoCellAnchor>
  <xdr:twoCellAnchor>
    <xdr:from>
      <xdr:col>0</xdr:col>
      <xdr:colOff>0</xdr:colOff>
      <xdr:row>0</xdr:row>
      <xdr:rowOff>0</xdr:rowOff>
    </xdr:from>
    <xdr:to>
      <xdr:col>34</xdr:col>
      <xdr:colOff>177800</xdr:colOff>
      <xdr:row>2</xdr:row>
      <xdr:rowOff>0</xdr:rowOff>
    </xdr:to>
    <xdr:grpSp>
      <xdr:nvGrpSpPr>
        <xdr:cNvPr id="22" name="MENU">
          <a:extLst>
            <a:ext uri="{FF2B5EF4-FFF2-40B4-BE49-F238E27FC236}">
              <a16:creationId xmlns:a16="http://schemas.microsoft.com/office/drawing/2014/main" id="{00000000-0008-0000-0700-000016000000}"/>
            </a:ext>
          </a:extLst>
        </xdr:cNvPr>
        <xdr:cNvGrpSpPr/>
      </xdr:nvGrpSpPr>
      <xdr:grpSpPr>
        <a:xfrm>
          <a:off x="0" y="0"/>
          <a:ext cx="11836400" cy="1085850"/>
          <a:chOff x="0" y="0"/>
          <a:chExt cx="11836400" cy="1085850"/>
        </a:xfrm>
      </xdr:grpSpPr>
      <xdr:grpSp>
        <xdr:nvGrpSpPr>
          <xdr:cNvPr id="115" name="Group 114">
            <a:extLst>
              <a:ext uri="{FF2B5EF4-FFF2-40B4-BE49-F238E27FC236}">
                <a16:creationId xmlns:a16="http://schemas.microsoft.com/office/drawing/2014/main" id="{00000000-0008-0000-0700-000073000000}"/>
              </a:ext>
            </a:extLst>
          </xdr:cNvPr>
          <xdr:cNvGrpSpPr/>
        </xdr:nvGrpSpPr>
        <xdr:grpSpPr>
          <a:xfrm>
            <a:off x="0" y="0"/>
            <a:ext cx="11836400" cy="1085850"/>
            <a:chOff x="0" y="0"/>
            <a:chExt cx="11836400" cy="1085850"/>
          </a:xfrm>
        </xdr:grpSpPr>
        <xdr:grpSp>
          <xdr:nvGrpSpPr>
            <xdr:cNvPr id="116" name="Group 115">
              <a:extLst>
                <a:ext uri="{FF2B5EF4-FFF2-40B4-BE49-F238E27FC236}">
                  <a16:creationId xmlns:a16="http://schemas.microsoft.com/office/drawing/2014/main" id="{00000000-0008-0000-0700-000074000000}"/>
                </a:ext>
              </a:extLst>
            </xdr:cNvPr>
            <xdr:cNvGrpSpPr/>
          </xdr:nvGrpSpPr>
          <xdr:grpSpPr>
            <a:xfrm>
              <a:off x="0" y="0"/>
              <a:ext cx="11836400" cy="1085850"/>
              <a:chOff x="0" y="0"/>
              <a:chExt cx="11836400" cy="1085850"/>
            </a:xfrm>
          </xdr:grpSpPr>
          <xdr:sp macro="" textlink="">
            <xdr:nvSpPr>
              <xdr:cNvPr id="121" name="nav_controls">
                <a:extLst>
                  <a:ext uri="{FF2B5EF4-FFF2-40B4-BE49-F238E27FC236}">
                    <a16:creationId xmlns:a16="http://schemas.microsoft.com/office/drawing/2014/main" id="{00000000-0008-0000-0700-000079000000}"/>
                  </a:ext>
                </a:extLst>
              </xdr:cNvPr>
              <xdr:cNvSpPr>
                <a:spLocks/>
              </xdr:cNvSpPr>
            </xdr:nvSpPr>
            <xdr:spPr>
              <a:xfrm>
                <a:off x="4263" y="219075"/>
                <a:ext cx="11832137" cy="866775"/>
              </a:xfrm>
              <a:prstGeom prst="rect">
                <a:avLst/>
              </a:prstGeom>
              <a:solidFill>
                <a:schemeClr val="bg2">
                  <a:alpha val="49804"/>
                </a:schemeClr>
              </a:solidFill>
              <a:ln w="6350">
                <a:solidFill>
                  <a:schemeClr val="bg2">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solidFill>
                    <a:srgbClr val="808080"/>
                  </a:solidFill>
                  <a:latin typeface="+mn-lt"/>
                  <a:ea typeface="Karla" pitchFamily="2" charset="0"/>
                </a:endParaRPr>
              </a:p>
            </xdr:txBody>
          </xdr:sp>
          <xdr:sp macro="" textlink="">
            <xdr:nvSpPr>
              <xdr:cNvPr id="122" name="Home1">
                <a:extLst>
                  <a:ext uri="{FF2B5EF4-FFF2-40B4-BE49-F238E27FC236}">
                    <a16:creationId xmlns:a16="http://schemas.microsoft.com/office/drawing/2014/main" id="{00000000-0008-0000-0700-00007A000000}"/>
                  </a:ext>
                </a:extLst>
              </xdr:cNvPr>
              <xdr:cNvSpPr>
                <a:spLocks/>
              </xdr:cNvSpPr>
            </xdr:nvSpPr>
            <xdr:spPr>
              <a:xfrm>
                <a:off x="0" y="0"/>
                <a:ext cx="937384" cy="290513"/>
              </a:xfrm>
              <a:prstGeom prst="rect">
                <a:avLst/>
              </a:prstGeom>
              <a:solidFill>
                <a:schemeClr val="bg1"/>
              </a:solidFill>
              <a:ln w="952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a:solidFill>
                    <a:srgbClr val="808080"/>
                  </a:solidFill>
                  <a:latin typeface="+mn-lt"/>
                  <a:ea typeface="Karla" pitchFamily="2" charset="0"/>
                  <a:cs typeface="DilleniaUPC" pitchFamily="18" charset="-34"/>
                </a:endParaRPr>
              </a:p>
            </xdr:txBody>
          </xdr:sp>
          <xdr:sp macro="" textlink="">
            <xdr:nvSpPr>
              <xdr:cNvPr id="123" name="Oval 122">
                <a:extLst>
                  <a:ext uri="{FF2B5EF4-FFF2-40B4-BE49-F238E27FC236}">
                    <a16:creationId xmlns:a16="http://schemas.microsoft.com/office/drawing/2014/main" id="{00000000-0008-0000-0700-00007B000000}"/>
                  </a:ext>
                </a:extLst>
              </xdr:cNvPr>
              <xdr:cNvSpPr>
                <a:spLocks/>
              </xdr:cNvSpPr>
            </xdr:nvSpPr>
            <xdr:spPr>
              <a:xfrm>
                <a:off x="347060" y="29969"/>
                <a:ext cx="236673" cy="230074"/>
              </a:xfrm>
              <a:prstGeom prst="ellipse">
                <a:avLst/>
              </a:prstGeom>
              <a:solidFill>
                <a:schemeClr val="accent5">
                  <a:lumMod val="50000"/>
                </a:schemeClr>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rgbClr val="808080"/>
                  </a:solidFill>
                  <a:latin typeface="Calibri"/>
                  <a:cs typeface="Calibri"/>
                </a:endParaRPr>
              </a:p>
            </xdr:txBody>
          </xdr:sp>
          <xdr:pic macro="[0]!LBChanger">
            <xdr:nvPicPr>
              <xdr:cNvPr id="124" name="Home" descr="Home.png">
                <a:extLst>
                  <a:ext uri="{FF2B5EF4-FFF2-40B4-BE49-F238E27FC236}">
                    <a16:creationId xmlns:a16="http://schemas.microsoft.com/office/drawing/2014/main" id="{00000000-0008-0000-0700-00007C000000}"/>
                  </a:ext>
                </a:extLst>
              </xdr:cNvPr>
              <xdr:cNvPicPr>
                <a:picLocks/>
              </xdr:cNvPicPr>
            </xdr:nvPicPr>
            <xdr:blipFill>
              <a:blip xmlns:r="http://schemas.openxmlformats.org/officeDocument/2006/relationships" r:embed="rId1" cstate="print"/>
              <a:stretch>
                <a:fillRect/>
              </a:stretch>
            </xdr:blipFill>
            <xdr:spPr>
              <a:xfrm>
                <a:off x="53200" y="20741"/>
                <a:ext cx="254878" cy="247773"/>
              </a:xfrm>
              <a:prstGeom prst="rect">
                <a:avLst/>
              </a:prstGeom>
              <a:noFill/>
              <a:ln>
                <a:noFill/>
              </a:ln>
            </xdr:spPr>
          </xdr:pic>
          <xdr:pic macro="[0]!UniversalChanger">
            <xdr:nvPicPr>
              <xdr:cNvPr id="125" name="NavBack" descr="Silver-Back-Button.png">
                <a:extLst>
                  <a:ext uri="{FF2B5EF4-FFF2-40B4-BE49-F238E27FC236}">
                    <a16:creationId xmlns:a16="http://schemas.microsoft.com/office/drawing/2014/main" id="{00000000-0008-0000-0700-00007D000000}"/>
                  </a:ext>
                </a:extLst>
              </xdr:cNvPr>
              <xdr:cNvPicPr>
                <a:picLocks/>
              </xdr:cNvPicPr>
            </xdr:nvPicPr>
            <xdr:blipFill>
              <a:blip xmlns:r="http://schemas.openxmlformats.org/officeDocument/2006/relationships" r:embed="rId2" cstate="print"/>
              <a:stretch>
                <a:fillRect/>
              </a:stretch>
            </xdr:blipFill>
            <xdr:spPr>
              <a:xfrm>
                <a:off x="621903" y="20741"/>
                <a:ext cx="254878" cy="247773"/>
              </a:xfrm>
              <a:prstGeom prst="rect">
                <a:avLst/>
              </a:prstGeom>
              <a:noFill/>
              <a:ln>
                <a:noFill/>
              </a:ln>
            </xdr:spPr>
          </xdr:pic>
          <xdr:sp macro="" textlink="uxb_works!B92">
            <xdr:nvSpPr>
              <xdr:cNvPr id="126" name="Home1">
                <a:extLst>
                  <a:ext uri="{FF2B5EF4-FFF2-40B4-BE49-F238E27FC236}">
                    <a16:creationId xmlns:a16="http://schemas.microsoft.com/office/drawing/2014/main" id="{00000000-0008-0000-0700-00007E000000}"/>
                  </a:ext>
                </a:extLst>
              </xdr:cNvPr>
              <xdr:cNvSpPr>
                <a:spLocks/>
              </xdr:cNvSpPr>
            </xdr:nvSpPr>
            <xdr:spPr>
              <a:xfrm>
                <a:off x="936568" y="0"/>
                <a:ext cx="10895773" cy="288000"/>
              </a:xfrm>
              <a:prstGeom prst="rect">
                <a:avLst/>
              </a:prstGeom>
              <a:solidFill>
                <a:srgbClr val="FFFFFF"/>
              </a:solidFill>
              <a:ln w="317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DF606BA0-6E14-4859-A5ED-3649E8B86AAC}" type="TxLink">
                  <a:rPr lang="en-US" sz="1600" b="1" i="0" u="none" strike="noStrike">
                    <a:solidFill>
                      <a:schemeClr val="accent5">
                        <a:lumMod val="50000"/>
                      </a:schemeClr>
                    </a:solidFill>
                    <a:latin typeface="Calibri"/>
                    <a:ea typeface="Karla" pitchFamily="2" charset="0"/>
                    <a:cs typeface="Calibri"/>
                  </a:rPr>
                  <a:pPr algn="l"/>
                  <a:t>Digital Cities Index</a:t>
                </a:fld>
                <a:endParaRPr lang="en-GB" sz="1200" b="1">
                  <a:solidFill>
                    <a:schemeClr val="accent5">
                      <a:lumMod val="50000"/>
                    </a:schemeClr>
                  </a:solidFill>
                  <a:latin typeface="+mn-lt"/>
                  <a:ea typeface="Karla" pitchFamily="2" charset="0"/>
                  <a:cs typeface="DilleniaUPC" pitchFamily="18" charset="-34"/>
                </a:endParaRPr>
              </a:p>
            </xdr:txBody>
          </xdr:sp>
          <xdr:pic macro="[0]!LBChanger">
            <xdr:nvPicPr>
              <xdr:cNvPr id="127" name="Contents" descr="ii_jgc3wl5q0_162f2138d6ded0cc">
                <a:extLst>
                  <a:ext uri="{FF2B5EF4-FFF2-40B4-BE49-F238E27FC236}">
                    <a16:creationId xmlns:a16="http://schemas.microsoft.com/office/drawing/2014/main" id="{00000000-0008-0000-0700-00007F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7618" y="20741"/>
                <a:ext cx="260608" cy="248400"/>
              </a:xfrm>
              <a:prstGeom prst="rect">
                <a:avLst/>
              </a:prstGeom>
              <a:solidFill>
                <a:sysClr val="window" lastClr="FFFFFF"/>
              </a:solidFill>
              <a:ln>
                <a:noFill/>
              </a:ln>
            </xdr:spPr>
          </xdr:pic>
          <xdr:sp macro="" textlink="">
            <xdr:nvSpPr>
              <xdr:cNvPr id="128" name="nav_controls">
                <a:extLst>
                  <a:ext uri="{FF2B5EF4-FFF2-40B4-BE49-F238E27FC236}">
                    <a16:creationId xmlns:a16="http://schemas.microsoft.com/office/drawing/2014/main" id="{00000000-0008-0000-0700-000080000000}"/>
                  </a:ext>
                </a:extLst>
              </xdr:cNvPr>
              <xdr:cNvSpPr>
                <a:spLocks/>
              </xdr:cNvSpPr>
            </xdr:nvSpPr>
            <xdr:spPr>
              <a:xfrm>
                <a:off x="7091375" y="461958"/>
                <a:ext cx="2647950" cy="54000"/>
              </a:xfrm>
              <a:prstGeom prst="rect">
                <a:avLst/>
              </a:prstGeom>
              <a:solidFill>
                <a:srgbClr val="9EB3BE"/>
              </a:solidFill>
              <a:ln w="6350">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000" b="1" i="0" u="none" strike="noStrike">
                  <a:solidFill>
                    <a:sysClr val="windowText" lastClr="000000"/>
                  </a:solidFill>
                  <a:latin typeface="Calibri"/>
                  <a:cs typeface="Calibri"/>
                </a:endParaRPr>
              </a:p>
            </xdr:txBody>
          </xdr:sp>
          <xdr:sp macro="" textlink="">
            <xdr:nvSpPr>
              <xdr:cNvPr id="129" name="nav_controls">
                <a:extLst>
                  <a:ext uri="{FF2B5EF4-FFF2-40B4-BE49-F238E27FC236}">
                    <a16:creationId xmlns:a16="http://schemas.microsoft.com/office/drawing/2014/main" id="{00000000-0008-0000-0700-000081000000}"/>
                  </a:ext>
                </a:extLst>
              </xdr:cNvPr>
              <xdr:cNvSpPr>
                <a:spLocks/>
              </xdr:cNvSpPr>
            </xdr:nvSpPr>
            <xdr:spPr>
              <a:xfrm>
                <a:off x="9215438" y="461958"/>
                <a:ext cx="2614081" cy="54000"/>
              </a:xfrm>
              <a:prstGeom prst="rect">
                <a:avLst/>
              </a:prstGeom>
              <a:solidFill>
                <a:srgbClr val="B5D5E5"/>
              </a:solidFill>
              <a:ln w="6350">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000" b="1" i="0" u="none" strike="noStrike">
                  <a:solidFill>
                    <a:sysClr val="windowText" lastClr="000000"/>
                  </a:solidFill>
                  <a:latin typeface="Calibri"/>
                  <a:cs typeface="Calibri"/>
                </a:endParaRPr>
              </a:p>
            </xdr:txBody>
          </xdr:sp>
          <xdr:sp macro="" textlink="">
            <xdr:nvSpPr>
              <xdr:cNvPr id="130" name="nav_controls">
                <a:extLst>
                  <a:ext uri="{FF2B5EF4-FFF2-40B4-BE49-F238E27FC236}">
                    <a16:creationId xmlns:a16="http://schemas.microsoft.com/office/drawing/2014/main" id="{00000000-0008-0000-0700-000082000000}"/>
                  </a:ext>
                </a:extLst>
              </xdr:cNvPr>
              <xdr:cNvSpPr>
                <a:spLocks/>
              </xdr:cNvSpPr>
            </xdr:nvSpPr>
            <xdr:spPr>
              <a:xfrm>
                <a:off x="0" y="466725"/>
                <a:ext cx="7081838" cy="52408"/>
              </a:xfrm>
              <a:prstGeom prst="rect">
                <a:avLst/>
              </a:prstGeom>
              <a:solidFill>
                <a:srgbClr val="2B5464"/>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b="1" i="0" u="none" strike="noStrike">
                  <a:solidFill>
                    <a:schemeClr val="bg1"/>
                  </a:solidFill>
                  <a:latin typeface="Calibri"/>
                  <a:cs typeface="Calibri"/>
                </a:endParaRPr>
              </a:p>
            </xdr:txBody>
          </xdr:sp>
          <xdr:grpSp>
            <xdr:nvGrpSpPr>
              <xdr:cNvPr id="131" name="Group 130">
                <a:extLst>
                  <a:ext uri="{FF2B5EF4-FFF2-40B4-BE49-F238E27FC236}">
                    <a16:creationId xmlns:a16="http://schemas.microsoft.com/office/drawing/2014/main" id="{00000000-0008-0000-0700-000083000000}"/>
                  </a:ext>
                </a:extLst>
              </xdr:cNvPr>
              <xdr:cNvGrpSpPr/>
            </xdr:nvGrpSpPr>
            <xdr:grpSpPr>
              <a:xfrm>
                <a:off x="0" y="285750"/>
                <a:ext cx="11814575" cy="180261"/>
                <a:chOff x="0" y="285489"/>
                <a:chExt cx="13173477" cy="180261"/>
              </a:xfrm>
            </xdr:grpSpPr>
            <xdr:sp macro="[0]!LBChanger" textlink="uxb_works!B100">
              <xdr:nvSpPr>
                <xdr:cNvPr id="132" name="Correlations">
                  <a:extLst>
                    <a:ext uri="{FF2B5EF4-FFF2-40B4-BE49-F238E27FC236}">
                      <a16:creationId xmlns:a16="http://schemas.microsoft.com/office/drawing/2014/main" id="{00000000-0008-0000-0700-000084000000}"/>
                    </a:ext>
                  </a:extLst>
                </xdr:cNvPr>
                <xdr:cNvSpPr>
                  <a:spLocks/>
                </xdr:cNvSpPr>
              </xdr:nvSpPr>
              <xdr:spPr>
                <a:xfrm>
                  <a:off x="9225833"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0D08B5CF-F601-4334-9688-6B186F573CBA}" type="TxLink">
                    <a:rPr lang="en-US" sz="900" b="1" i="0" u="none" strike="noStrike">
                      <a:solidFill>
                        <a:schemeClr val="accent5">
                          <a:lumMod val="50000"/>
                        </a:schemeClr>
                      </a:solidFill>
                      <a:latin typeface="Calibri"/>
                      <a:ea typeface="Karla" pitchFamily="2" charset="0"/>
                      <a:cs typeface="Calibri"/>
                    </a:rPr>
                    <a:pPr algn="ctr"/>
                    <a:t>CORRELATIONS</a:t>
                  </a:fld>
                  <a:endParaRPr lang="en-GB" sz="900" b="1">
                    <a:solidFill>
                      <a:schemeClr val="accent5">
                        <a:lumMod val="50000"/>
                      </a:schemeClr>
                    </a:solidFill>
                    <a:latin typeface="+mn-lt"/>
                    <a:ea typeface="Karla" pitchFamily="2" charset="0"/>
                  </a:endParaRPr>
                </a:p>
              </xdr:txBody>
            </xdr:sp>
            <xdr:sp macro="[0]!LBChanger" textlink="uxb_works!B99">
              <xdr:nvSpPr>
                <xdr:cNvPr id="133" name="Scatter">
                  <a:extLst>
                    <a:ext uri="{FF2B5EF4-FFF2-40B4-BE49-F238E27FC236}">
                      <a16:creationId xmlns:a16="http://schemas.microsoft.com/office/drawing/2014/main" id="{00000000-0008-0000-0700-000085000000}"/>
                    </a:ext>
                  </a:extLst>
                </xdr:cNvPr>
                <xdr:cNvSpPr>
                  <a:spLocks/>
                </xdr:cNvSpPr>
              </xdr:nvSpPr>
              <xdr:spPr>
                <a:xfrm>
                  <a:off x="7903939" y="285940"/>
                  <a:ext cx="1320074"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8DE1D7F-61C0-4422-A1B6-E89A6501ED1F}" type="TxLink">
                    <a:rPr lang="en-US" sz="900" b="1" i="0" u="none" strike="noStrike">
                      <a:solidFill>
                        <a:schemeClr val="accent5">
                          <a:lumMod val="50000"/>
                        </a:schemeClr>
                      </a:solidFill>
                      <a:latin typeface="Calibri"/>
                      <a:ea typeface="Karla" pitchFamily="2" charset="0"/>
                      <a:cs typeface="Calibri"/>
                    </a:rPr>
                    <a:pPr algn="ctr"/>
                    <a:t>SCATTER</a:t>
                  </a:fld>
                  <a:endParaRPr lang="en-GB" sz="900" b="1">
                    <a:solidFill>
                      <a:schemeClr val="accent5">
                        <a:lumMod val="50000"/>
                      </a:schemeClr>
                    </a:solidFill>
                    <a:latin typeface="+mn-lt"/>
                    <a:ea typeface="Karla" pitchFamily="2" charset="0"/>
                  </a:endParaRPr>
                </a:p>
              </xdr:txBody>
            </xdr:sp>
            <xdr:sp macro="[0]!LBChanger" textlink="uxb_works!B101">
              <xdr:nvSpPr>
                <xdr:cNvPr id="134" name="Scores">
                  <a:extLst>
                    <a:ext uri="{FF2B5EF4-FFF2-40B4-BE49-F238E27FC236}">
                      <a16:creationId xmlns:a16="http://schemas.microsoft.com/office/drawing/2014/main" id="{00000000-0008-0000-0700-000086000000}"/>
                    </a:ext>
                  </a:extLst>
                </xdr:cNvPr>
                <xdr:cNvSpPr>
                  <a:spLocks/>
                </xdr:cNvSpPr>
              </xdr:nvSpPr>
              <xdr:spPr>
                <a:xfrm>
                  <a:off x="10540783"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5165ACF-6EE1-4F74-8FDB-F21F37E9E6FB}" type="TxLink">
                    <a:rPr lang="en-US" sz="900" b="1" i="0" u="none" strike="noStrike">
                      <a:solidFill>
                        <a:schemeClr val="accent5">
                          <a:lumMod val="50000"/>
                        </a:schemeClr>
                      </a:solidFill>
                      <a:latin typeface="Calibri"/>
                      <a:ea typeface="Karla" pitchFamily="2" charset="0"/>
                      <a:cs typeface="Calibri"/>
                    </a:rPr>
                    <a:pPr algn="ctr"/>
                    <a:t>DATA / SCORES</a:t>
                  </a:fld>
                  <a:endParaRPr lang="en-GB" sz="900" b="1">
                    <a:solidFill>
                      <a:schemeClr val="accent5">
                        <a:lumMod val="50000"/>
                      </a:schemeClr>
                    </a:solidFill>
                    <a:latin typeface="+mn-lt"/>
                    <a:ea typeface="Karla" pitchFamily="2" charset="0"/>
                  </a:endParaRPr>
                </a:p>
              </xdr:txBody>
            </xdr:sp>
            <xdr:sp macro="[0]!LBChanger" textlink="uxb_works!B102">
              <xdr:nvSpPr>
                <xdr:cNvPr id="135" name="Weights">
                  <a:extLst>
                    <a:ext uri="{FF2B5EF4-FFF2-40B4-BE49-F238E27FC236}">
                      <a16:creationId xmlns:a16="http://schemas.microsoft.com/office/drawing/2014/main" id="{00000000-0008-0000-0700-000087000000}"/>
                    </a:ext>
                  </a:extLst>
                </xdr:cNvPr>
                <xdr:cNvSpPr>
                  <a:spLocks/>
                </xdr:cNvSpPr>
              </xdr:nvSpPr>
              <xdr:spPr>
                <a:xfrm>
                  <a:off x="11855698"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43627509-C0BB-4D16-AADD-A85AC599D44F}" type="TxLink">
                    <a:rPr lang="en-US" sz="900" b="1" i="0" u="none" strike="noStrike">
                      <a:solidFill>
                        <a:schemeClr val="accent5">
                          <a:lumMod val="50000"/>
                        </a:schemeClr>
                      </a:solidFill>
                      <a:latin typeface="Calibri"/>
                      <a:ea typeface="Karla" pitchFamily="2" charset="0"/>
                      <a:cs typeface="Calibri"/>
                    </a:rPr>
                    <a:pPr algn="ctr"/>
                    <a:t>WEIGHTS</a:t>
                  </a:fld>
                  <a:endParaRPr lang="en-GB" sz="900" b="1">
                    <a:solidFill>
                      <a:schemeClr val="accent5">
                        <a:lumMod val="50000"/>
                      </a:schemeClr>
                    </a:solidFill>
                    <a:latin typeface="+mn-lt"/>
                    <a:ea typeface="Karla" pitchFamily="2" charset="0"/>
                  </a:endParaRPr>
                </a:p>
              </xdr:txBody>
            </xdr:sp>
            <xdr:sp macro="[0]!LBChanger" textlink="uxb_works!B95">
              <xdr:nvSpPr>
                <xdr:cNvPr id="136" name="Summary1">
                  <a:extLst>
                    <a:ext uri="{FF2B5EF4-FFF2-40B4-BE49-F238E27FC236}">
                      <a16:creationId xmlns:a16="http://schemas.microsoft.com/office/drawing/2014/main" id="{00000000-0008-0000-0700-000088000000}"/>
                    </a:ext>
                  </a:extLst>
                </xdr:cNvPr>
                <xdr:cNvSpPr>
                  <a:spLocks/>
                </xdr:cNvSpPr>
              </xdr:nvSpPr>
              <xdr:spPr>
                <a:xfrm>
                  <a:off x="0"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A5241822-14D3-4854-9411-CFDDA1D4CE0A}" type="TxLink">
                    <a:rPr lang="en-US" sz="900" b="1" i="0" u="none" strike="noStrike">
                      <a:solidFill>
                        <a:schemeClr val="accent5">
                          <a:lumMod val="50000"/>
                        </a:schemeClr>
                      </a:solidFill>
                      <a:latin typeface="Calibri"/>
                      <a:ea typeface="Karla" pitchFamily="2" charset="0"/>
                      <a:cs typeface="Calibri"/>
                    </a:rPr>
                    <a:pPr algn="ctr"/>
                    <a:t>SUMMARY</a:t>
                  </a:fld>
                  <a:endParaRPr lang="en-GB" sz="900" b="1">
                    <a:solidFill>
                      <a:schemeClr val="accent5">
                        <a:lumMod val="50000"/>
                      </a:schemeClr>
                    </a:solidFill>
                    <a:latin typeface="+mn-lt"/>
                    <a:ea typeface="Karla" pitchFamily="2" charset="0"/>
                  </a:endParaRPr>
                </a:p>
              </xdr:txBody>
            </xdr:sp>
            <xdr:sp macro="[0]!LBChanger" textlink="uxb_works!B96">
              <xdr:nvSpPr>
                <xdr:cNvPr id="137" name="Indicator_Ranking">
                  <a:extLst>
                    <a:ext uri="{FF2B5EF4-FFF2-40B4-BE49-F238E27FC236}">
                      <a16:creationId xmlns:a16="http://schemas.microsoft.com/office/drawing/2014/main" id="{00000000-0008-0000-0700-000089000000}"/>
                    </a:ext>
                  </a:extLst>
                </xdr:cNvPr>
                <xdr:cNvSpPr>
                  <a:spLocks/>
                </xdr:cNvSpPr>
              </xdr:nvSpPr>
              <xdr:spPr>
                <a:xfrm>
                  <a:off x="1319392"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1D205C57-4D69-4B9A-8D11-5E0B7527B9E2}" type="TxLink">
                    <a:rPr lang="en-US" sz="900" b="1" i="0" u="none" strike="noStrike">
                      <a:solidFill>
                        <a:schemeClr val="accent5">
                          <a:lumMod val="50000"/>
                        </a:schemeClr>
                      </a:solidFill>
                      <a:latin typeface="Calibri"/>
                      <a:ea typeface="Karla" pitchFamily="2" charset="0"/>
                      <a:cs typeface="Calibri"/>
                    </a:rPr>
                    <a:pPr algn="ctr"/>
                    <a:t>INDICATOR RANKING</a:t>
                  </a:fld>
                  <a:endParaRPr lang="en-GB" sz="900" b="1">
                    <a:solidFill>
                      <a:schemeClr val="accent5">
                        <a:lumMod val="50000"/>
                      </a:schemeClr>
                    </a:solidFill>
                    <a:latin typeface="+mn-lt"/>
                    <a:ea typeface="Karla" pitchFamily="2" charset="0"/>
                  </a:endParaRPr>
                </a:p>
              </xdr:txBody>
            </xdr:sp>
            <xdr:sp macro="[0]!LBChanger" textlink="uxb_works!B98">
              <xdr:nvSpPr>
                <xdr:cNvPr id="138" name="CCompare">
                  <a:extLst>
                    <a:ext uri="{FF2B5EF4-FFF2-40B4-BE49-F238E27FC236}">
                      <a16:creationId xmlns:a16="http://schemas.microsoft.com/office/drawing/2014/main" id="{00000000-0008-0000-0700-00008A000000}"/>
                    </a:ext>
                  </a:extLst>
                </xdr:cNvPr>
                <xdr:cNvSpPr>
                  <a:spLocks/>
                </xdr:cNvSpPr>
              </xdr:nvSpPr>
              <xdr:spPr>
                <a:xfrm>
                  <a:off x="5256659" y="285940"/>
                  <a:ext cx="132486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829603AF-0DD8-4C72-8452-B09DB6262544}" type="TxLink">
                    <a:rPr lang="en-US" sz="900" b="1" i="0" u="none" strike="noStrike">
                      <a:solidFill>
                        <a:schemeClr val="accent5">
                          <a:lumMod val="50000"/>
                        </a:schemeClr>
                      </a:solidFill>
                      <a:latin typeface="Calibri"/>
                      <a:ea typeface="Karla" pitchFamily="2" charset="0"/>
                      <a:cs typeface="Calibri"/>
                    </a:rPr>
                    <a:pPr algn="ctr"/>
                    <a:t>CITY COMPARE</a:t>
                  </a:fld>
                  <a:endParaRPr lang="en-GB" sz="900" b="1">
                    <a:solidFill>
                      <a:schemeClr val="accent5">
                        <a:lumMod val="50000"/>
                      </a:schemeClr>
                    </a:solidFill>
                    <a:latin typeface="+mn-lt"/>
                    <a:ea typeface="Karla" pitchFamily="2" charset="0"/>
                  </a:endParaRPr>
                </a:p>
              </xdr:txBody>
            </xdr:sp>
            <xdr:sp macro="[0]!LBChanger" textlink="uxb_works!B97">
              <xdr:nvSpPr>
                <xdr:cNvPr id="139" name="CtyScoreCard">
                  <a:extLst>
                    <a:ext uri="{FF2B5EF4-FFF2-40B4-BE49-F238E27FC236}">
                      <a16:creationId xmlns:a16="http://schemas.microsoft.com/office/drawing/2014/main" id="{00000000-0008-0000-0700-00008B000000}"/>
                    </a:ext>
                  </a:extLst>
                </xdr:cNvPr>
                <xdr:cNvSpPr>
                  <a:spLocks/>
                </xdr:cNvSpPr>
              </xdr:nvSpPr>
              <xdr:spPr>
                <a:xfrm>
                  <a:off x="3943666" y="285489"/>
                  <a:ext cx="1317779" cy="180261"/>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fld id="{5B2B5046-96B7-4EDE-9DD8-D97FF7695B86}" type="TxLink">
                    <a:rPr lang="en-US" sz="900" b="1" i="0" u="none" strike="noStrike">
                      <a:solidFill>
                        <a:schemeClr val="accent5">
                          <a:lumMod val="50000"/>
                        </a:schemeClr>
                      </a:solidFill>
                      <a:latin typeface="Calibri"/>
                      <a:ea typeface="Karla" pitchFamily="2" charset="0"/>
                      <a:cs typeface="Calibri"/>
                    </a:rPr>
                    <a:pPr algn="ctr"/>
                    <a:t>CITY SCORECARD</a:t>
                  </a:fld>
                  <a:endParaRPr lang="en-GB" sz="900" b="1">
                    <a:solidFill>
                      <a:schemeClr val="accent5">
                        <a:lumMod val="50000"/>
                      </a:schemeClr>
                    </a:solidFill>
                    <a:latin typeface="+mn-lt"/>
                    <a:ea typeface="Karla" pitchFamily="2" charset="0"/>
                  </a:endParaRPr>
                </a:p>
              </xdr:txBody>
            </xdr:sp>
            <xdr:sp macro="[0]!LBChanger" textlink="uxb_works!B103">
              <xdr:nvSpPr>
                <xdr:cNvPr id="140" name="RegionCompare">
                  <a:extLst>
                    <a:ext uri="{FF2B5EF4-FFF2-40B4-BE49-F238E27FC236}">
                      <a16:creationId xmlns:a16="http://schemas.microsoft.com/office/drawing/2014/main" id="{00000000-0008-0000-0700-00008C000000}"/>
                    </a:ext>
                  </a:extLst>
                </xdr:cNvPr>
                <xdr:cNvSpPr>
                  <a:spLocks/>
                </xdr:cNvSpPr>
              </xdr:nvSpPr>
              <xdr:spPr>
                <a:xfrm>
                  <a:off x="6578664" y="285940"/>
                  <a:ext cx="1324869" cy="179810"/>
                </a:xfrm>
                <a:prstGeom prst="rect">
                  <a:avLst/>
                </a:prstGeom>
                <a:solidFill>
                  <a:schemeClr val="accent5">
                    <a:lumMod val="50000"/>
                  </a:schemeClr>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51E55FBF-FB84-41A1-976B-235AB148A85F}" type="TxLink">
                    <a:rPr lang="en-US" sz="900" b="1" i="0" u="none" strike="noStrike">
                      <a:solidFill>
                        <a:schemeClr val="bg1"/>
                      </a:solidFill>
                      <a:latin typeface="Calibri"/>
                      <a:ea typeface="Karla" pitchFamily="2" charset="0"/>
                      <a:cs typeface="Calibri"/>
                    </a:rPr>
                    <a:pPr algn="ctr"/>
                    <a:t>REGION COMPARE</a:t>
                  </a:fld>
                  <a:endParaRPr lang="en-GB" sz="900" b="1">
                    <a:solidFill>
                      <a:schemeClr val="bg1"/>
                    </a:solidFill>
                    <a:latin typeface="+mn-lt"/>
                    <a:ea typeface="Karla" pitchFamily="2" charset="0"/>
                  </a:endParaRPr>
                </a:p>
              </xdr:txBody>
            </xdr:sp>
            <xdr:sp macro="[0]!LBChanger" textlink="uxb_works!B104">
              <xdr:nvSpPr>
                <xdr:cNvPr id="141" name="CProfile">
                  <a:extLst>
                    <a:ext uri="{FF2B5EF4-FFF2-40B4-BE49-F238E27FC236}">
                      <a16:creationId xmlns:a16="http://schemas.microsoft.com/office/drawing/2014/main" id="{00000000-0008-0000-0700-00008D000000}"/>
                    </a:ext>
                  </a:extLst>
                </xdr:cNvPr>
                <xdr:cNvSpPr>
                  <a:spLocks/>
                </xdr:cNvSpPr>
              </xdr:nvSpPr>
              <xdr:spPr>
                <a:xfrm>
                  <a:off x="2635250" y="285489"/>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62C1403F-D06F-4F81-B666-49A22A849932}" type="TxLink">
                    <a:rPr lang="en-US" sz="900" b="1" i="0" u="none" strike="noStrike">
                      <a:solidFill>
                        <a:srgbClr val="366092"/>
                      </a:solidFill>
                      <a:latin typeface="Calibri"/>
                      <a:ea typeface="Karla" pitchFamily="2" charset="0"/>
                      <a:cs typeface="Calibri"/>
                    </a:rPr>
                    <a:pPr algn="ctr"/>
                    <a:t>CITY PROFILE</a:t>
                  </a:fld>
                  <a:endParaRPr lang="en-GB" sz="900" b="1">
                    <a:solidFill>
                      <a:schemeClr val="accent5">
                        <a:lumMod val="50000"/>
                      </a:schemeClr>
                    </a:solidFill>
                    <a:latin typeface="+mn-lt"/>
                    <a:ea typeface="Karla" pitchFamily="2" charset="0"/>
                  </a:endParaRPr>
                </a:p>
              </xdr:txBody>
            </xdr:sp>
          </xdr:grpSp>
        </xdr:grpSp>
        <xdr:sp macro="[0]!UniversalChanger" textlink="uxb_works!$C$111">
          <xdr:nvSpPr>
            <xdr:cNvPr id="117" name="FilterToggle">
              <a:extLst>
                <a:ext uri="{FF2B5EF4-FFF2-40B4-BE49-F238E27FC236}">
                  <a16:creationId xmlns:a16="http://schemas.microsoft.com/office/drawing/2014/main" id="{00000000-0008-0000-0700-000075000000}"/>
                </a:ext>
              </a:extLst>
            </xdr:cNvPr>
            <xdr:cNvSpPr>
              <a:spLocks/>
            </xdr:cNvSpPr>
          </xdr:nvSpPr>
          <xdr:spPr>
            <a:xfrm>
              <a:off x="10744308" y="852242"/>
              <a:ext cx="1082221" cy="212967"/>
            </a:xfrm>
            <a:prstGeom prst="rect">
              <a:avLst/>
            </a:prstGeom>
            <a:solidFill>
              <a:srgbClr val="D9D9D9"/>
            </a:solidFill>
            <a:ln w="2857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D5B5E-6696-41FF-B581-44AEC0F219A7}" type="TxLink">
                <a:rPr lang="en-US" sz="800" b="0" i="0" u="none" strike="noStrike">
                  <a:solidFill>
                    <a:srgbClr val="000000"/>
                  </a:solidFill>
                  <a:latin typeface="Calibri"/>
                  <a:ea typeface="Karla" pitchFamily="2" charset="0"/>
                  <a:cs typeface="Calibri"/>
                </a:rPr>
                <a:pPr algn="ctr"/>
                <a:t>Hide these options</a:t>
              </a:fld>
              <a:endParaRPr lang="en-GB" sz="4000" b="1">
                <a:solidFill>
                  <a:srgbClr val="000000"/>
                </a:solidFill>
                <a:latin typeface="+mn-lt"/>
                <a:ea typeface="Karla" pitchFamily="2" charset="0"/>
              </a:endParaRPr>
            </a:p>
          </xdr:txBody>
        </xdr:sp>
        <xdr:grpSp>
          <xdr:nvGrpSpPr>
            <xdr:cNvPr id="118" name="Group 117">
              <a:extLst>
                <a:ext uri="{FF2B5EF4-FFF2-40B4-BE49-F238E27FC236}">
                  <a16:creationId xmlns:a16="http://schemas.microsoft.com/office/drawing/2014/main" id="{00000000-0008-0000-0700-000076000000}"/>
                </a:ext>
              </a:extLst>
            </xdr:cNvPr>
            <xdr:cNvGrpSpPr/>
          </xdr:nvGrpSpPr>
          <xdr:grpSpPr>
            <a:xfrm>
              <a:off x="10753783" y="37494"/>
              <a:ext cx="999275" cy="240746"/>
              <a:chOff x="10782556" y="28575"/>
              <a:chExt cx="999806" cy="252000"/>
            </a:xfrm>
          </xdr:grpSpPr>
          <xdr:sp macro="[0]!UniversalChanger" textlink="">
            <xdr:nvSpPr>
              <xdr:cNvPr id="119" name="ctr_Reset">
                <a:extLst>
                  <a:ext uri="{FF2B5EF4-FFF2-40B4-BE49-F238E27FC236}">
                    <a16:creationId xmlns:a16="http://schemas.microsoft.com/office/drawing/2014/main" id="{00000000-0008-0000-0700-000077000000}"/>
                  </a:ext>
                </a:extLst>
              </xdr:cNvPr>
              <xdr:cNvSpPr/>
            </xdr:nvSpPr>
            <xdr:spPr>
              <a:xfrm>
                <a:off x="10782556" y="38100"/>
                <a:ext cx="666749" cy="209550"/>
              </a:xfrm>
              <a:prstGeom prst="rect">
                <a:avLst/>
              </a:prstGeom>
              <a:solidFill>
                <a:srgbClr val="F47940">
                  <a:alpha val="20000"/>
                </a:srgbClr>
              </a:solidFill>
              <a:ln w="3175">
                <a:solidFill>
                  <a:srgbClr val="005BAD"/>
                </a:solid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r>
                  <a:rPr lang="en-GB" sz="1000" b="0">
                    <a:solidFill>
                      <a:srgbClr val="143050"/>
                    </a:solidFill>
                    <a:latin typeface="+mn-lt"/>
                    <a:ea typeface="Karla" pitchFamily="2" charset="0"/>
                  </a:rPr>
                  <a:t>RESET</a:t>
                </a:r>
              </a:p>
            </xdr:txBody>
          </xdr:sp>
          <xdr:pic macro="[0]!UniversalChanger">
            <xdr:nvPicPr>
              <xdr:cNvPr id="120" name="Excel_Out">
                <a:extLst>
                  <a:ext uri="{FF2B5EF4-FFF2-40B4-BE49-F238E27FC236}">
                    <a16:creationId xmlns:a16="http://schemas.microsoft.com/office/drawing/2014/main" id="{00000000-0008-0000-0700-00007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525506" y="28575"/>
                <a:ext cx="256856" cy="252000"/>
              </a:xfrm>
              <a:prstGeom prst="rect">
                <a:avLst/>
              </a:prstGeom>
            </xdr:spPr>
          </xdr:pic>
        </xdr:grpSp>
      </xdr:grpSp>
      <xdr:grpSp>
        <xdr:nvGrpSpPr>
          <xdr:cNvPr id="23" name="Group 22">
            <a:extLst>
              <a:ext uri="{FF2B5EF4-FFF2-40B4-BE49-F238E27FC236}">
                <a16:creationId xmlns:a16="http://schemas.microsoft.com/office/drawing/2014/main" id="{00000000-0008-0000-0700-000017000000}"/>
              </a:ext>
            </a:extLst>
          </xdr:cNvPr>
          <xdr:cNvGrpSpPr/>
        </xdr:nvGrpSpPr>
        <xdr:grpSpPr>
          <a:xfrm>
            <a:off x="76491" y="614891"/>
            <a:ext cx="4784000" cy="438150"/>
            <a:chOff x="95311" y="609600"/>
            <a:chExt cx="4782726" cy="439392"/>
          </a:xfrm>
        </xdr:grpSpPr>
        <xdr:pic macro="[0]!UniversalChanger">
          <xdr:nvPicPr>
            <xdr:cNvPr id="29" name="RC_Indi_Select_Up" descr="scroll_down_small.png">
              <a:extLst>
                <a:ext uri="{FF2B5EF4-FFF2-40B4-BE49-F238E27FC236}">
                  <a16:creationId xmlns:a16="http://schemas.microsoft.com/office/drawing/2014/main" id="{00000000-0008-0000-0700-00001D000000}"/>
                </a:ext>
              </a:extLst>
            </xdr:cNvPr>
            <xdr:cNvPicPr preferRelativeResize="0">
              <a:picLocks/>
            </xdr:cNvPicPr>
          </xdr:nvPicPr>
          <xdr:blipFill>
            <a:blip xmlns:r="http://schemas.openxmlformats.org/officeDocument/2006/relationships" r:embed="rId5" cstate="print"/>
            <a:stretch>
              <a:fillRect/>
            </a:stretch>
          </xdr:blipFill>
          <xdr:spPr>
            <a:xfrm rot="10800000">
              <a:off x="4589797" y="839406"/>
              <a:ext cx="288240" cy="104811"/>
            </a:xfrm>
            <a:prstGeom prst="rect">
              <a:avLst/>
            </a:prstGeom>
          </xdr:spPr>
        </xdr:pic>
        <xdr:sp macro="[0]!UniversalChanger" textlink="">
          <xdr:nvSpPr>
            <xdr:cNvPr id="30" name="lbl_cnt_City_1">
              <a:extLst>
                <a:ext uri="{FF2B5EF4-FFF2-40B4-BE49-F238E27FC236}">
                  <a16:creationId xmlns:a16="http://schemas.microsoft.com/office/drawing/2014/main" id="{00000000-0008-0000-0700-00001E000000}"/>
                </a:ext>
              </a:extLst>
            </xdr:cNvPr>
            <xdr:cNvSpPr txBox="1"/>
          </xdr:nvSpPr>
          <xdr:spPr>
            <a:xfrm>
              <a:off x="97387" y="609600"/>
              <a:ext cx="1511823"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r>
                <a:rPr lang="en-GB" sz="1000" b="1">
                  <a:solidFill>
                    <a:sysClr val="windowText" lastClr="000000"/>
                  </a:solidFill>
                </a:rPr>
                <a:t>SELECT INDICATOR</a:t>
              </a:r>
            </a:p>
            <a:p>
              <a:endParaRPr lang="en-GB" sz="1000" b="1">
                <a:solidFill>
                  <a:sysClr val="windowText" lastClr="000000"/>
                </a:solidFill>
              </a:endParaRPr>
            </a:p>
          </xdr:txBody>
        </xdr:sp>
        <xdr:pic macro="[0]!UniversalChanger">
          <xdr:nvPicPr>
            <xdr:cNvPr id="31" name="RC_Indi_Select_Down" descr="scroll_down_small.png">
              <a:extLst>
                <a:ext uri="{FF2B5EF4-FFF2-40B4-BE49-F238E27FC236}">
                  <a16:creationId xmlns:a16="http://schemas.microsoft.com/office/drawing/2014/main" id="{00000000-0008-0000-0700-00001F000000}"/>
                </a:ext>
              </a:extLst>
            </xdr:cNvPr>
            <xdr:cNvPicPr preferRelativeResize="0">
              <a:picLocks/>
            </xdr:cNvPicPr>
          </xdr:nvPicPr>
          <xdr:blipFill>
            <a:blip xmlns:r="http://schemas.openxmlformats.org/officeDocument/2006/relationships" r:embed="rId5" cstate="print"/>
            <a:stretch>
              <a:fillRect/>
            </a:stretch>
          </xdr:blipFill>
          <xdr:spPr>
            <a:xfrm rot="10800000" flipV="1">
              <a:off x="4589797" y="944181"/>
              <a:ext cx="288240" cy="104811"/>
            </a:xfrm>
            <a:prstGeom prst="rect">
              <a:avLst/>
            </a:prstGeom>
          </xdr:spPr>
        </xdr:pic>
        <mc:AlternateContent xmlns:mc="http://schemas.openxmlformats.org/markup-compatibility/2006">
          <mc:Choice xmlns:a14="http://schemas.microsoft.com/office/drawing/2010/main" Requires="a14">
            <xdr:sp macro="" textlink="">
              <xdr:nvSpPr>
                <xdr:cNvPr id="14551041" name="RC_Indi_Select" hidden="1">
                  <a:extLst>
                    <a:ext uri="{63B3BB69-23CF-44E3-9099-C40C66FF867C}">
                      <a14:compatExt spid="_x0000_s14551041"/>
                    </a:ext>
                    <a:ext uri="{FF2B5EF4-FFF2-40B4-BE49-F238E27FC236}">
                      <a16:creationId xmlns:a16="http://schemas.microsoft.com/office/drawing/2014/main" id="{00000000-0008-0000-0700-00000108DE00}"/>
                    </a:ext>
                  </a:extLst>
                </xdr:cNvPr>
                <xdr:cNvSpPr/>
              </xdr:nvSpPr>
              <xdr:spPr bwMode="auto">
                <a:xfrm>
                  <a:off x="95311" y="828675"/>
                  <a:ext cx="4505357" cy="219075"/>
                </a:xfrm>
                <a:prstGeom prst="rect">
                  <a:avLst/>
                </a:prstGeom>
                <a:noFill/>
                <a:ln>
                  <a:noFill/>
                </a:ln>
                <a:extLst>
                  <a:ext uri="{91240B29-F687-4F45-9708-019B960494DF}">
                    <a14:hiddenLine w="9525">
                      <a:noFill/>
                      <a:miter lim="800000"/>
                      <a:headEnd/>
                      <a:tailEnd/>
                    </a14:hiddenLine>
                  </a:ext>
                </a:extLst>
              </xdr:spPr>
            </xdr:sp>
          </mc:Choice>
          <mc:Fallback/>
        </mc:AlternateContent>
      </xdr:grpSp>
    </xdr:grpSp>
    <xdr:clientData/>
  </xdr:twoCellAnchor>
  <xdr:twoCellAnchor editAs="oneCell">
    <xdr:from>
      <xdr:col>0</xdr:col>
      <xdr:colOff>171449</xdr:colOff>
      <xdr:row>23</xdr:row>
      <xdr:rowOff>38100</xdr:rowOff>
    </xdr:from>
    <xdr:to>
      <xdr:col>4</xdr:col>
      <xdr:colOff>2409825</xdr:colOff>
      <xdr:row>24</xdr:row>
      <xdr:rowOff>38100</xdr:rowOff>
    </xdr:to>
    <xdr:sp macro="" textlink="">
      <xdr:nvSpPr>
        <xdr:cNvPr id="52" name="TextBox 51">
          <a:extLst>
            <a:ext uri="{FF2B5EF4-FFF2-40B4-BE49-F238E27FC236}">
              <a16:creationId xmlns:a16="http://schemas.microsoft.com/office/drawing/2014/main" id="{00000000-0008-0000-0700-000034000000}"/>
            </a:ext>
          </a:extLst>
        </xdr:cNvPr>
        <xdr:cNvSpPr txBox="1">
          <a:spLocks noChangeArrowheads="1"/>
        </xdr:cNvSpPr>
      </xdr:nvSpPr>
      <xdr:spPr bwMode="auto">
        <a:xfrm>
          <a:off x="171449" y="5648325"/>
          <a:ext cx="2543176" cy="361950"/>
        </a:xfrm>
        <a:prstGeom prst="rect">
          <a:avLst/>
        </a:prstGeom>
        <a:noFill/>
        <a:ln w="9525">
          <a:noFill/>
          <a:miter lim="800000"/>
          <a:headEnd/>
          <a:tailEnd/>
        </a:ln>
      </xdr:spPr>
      <xdr:txBody>
        <a:bodyPr vertOverflow="clip" wrap="square" lIns="0" tIns="0" rIns="0" bIns="0" anchor="ctr" upright="1"/>
        <a:lstStyle/>
        <a:p>
          <a:pPr marL="0" algn="l"/>
          <a:r>
            <a:rPr lang="en-US" sz="900" b="0" i="1" u="none" strike="noStrike">
              <a:solidFill>
                <a:srgbClr val="3B6E8F"/>
              </a:solidFill>
              <a:effectLst/>
              <a:latin typeface="+mn-lt"/>
              <a:ea typeface="+mn-ea"/>
              <a:cs typeface="Calibri"/>
            </a:rPr>
            <a:t>Click on a header below to rank results by region (green bar denotes active column)</a:t>
          </a:r>
        </a:p>
      </xdr:txBody>
    </xdr:sp>
    <xdr:clientData/>
  </xdr:twoCellAnchor>
  <xdr:twoCellAnchor>
    <xdr:from>
      <xdr:col>34</xdr:col>
      <xdr:colOff>0</xdr:colOff>
      <xdr:row>25</xdr:row>
      <xdr:rowOff>0</xdr:rowOff>
    </xdr:from>
    <xdr:to>
      <xdr:col>35</xdr:col>
      <xdr:colOff>0</xdr:colOff>
      <xdr:row>26</xdr:row>
      <xdr:rowOff>493500</xdr:rowOff>
    </xdr:to>
    <xdr:sp macro="[0]!RegionSortOrder" textlink="">
      <xdr:nvSpPr>
        <xdr:cNvPr id="53" name="15">
          <a:extLst>
            <a:ext uri="{FF2B5EF4-FFF2-40B4-BE49-F238E27FC236}">
              <a16:creationId xmlns:a16="http://schemas.microsoft.com/office/drawing/2014/main" id="{00000000-0008-0000-0700-000035000000}"/>
            </a:ext>
          </a:extLst>
        </xdr:cNvPr>
        <xdr:cNvSpPr/>
      </xdr:nvSpPr>
      <xdr:spPr>
        <a:xfrm>
          <a:off x="11239500" y="6029325"/>
          <a:ext cx="561975" cy="6840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35</xdr:col>
      <xdr:colOff>0</xdr:colOff>
      <xdr:row>25</xdr:row>
      <xdr:rowOff>9525</xdr:rowOff>
    </xdr:from>
    <xdr:to>
      <xdr:col>36</xdr:col>
      <xdr:colOff>9525</xdr:colOff>
      <xdr:row>26</xdr:row>
      <xdr:rowOff>503025</xdr:rowOff>
    </xdr:to>
    <xdr:sp macro="[0]!RegionSortOrder" textlink="">
      <xdr:nvSpPr>
        <xdr:cNvPr id="54" name="16">
          <a:extLst>
            <a:ext uri="{FF2B5EF4-FFF2-40B4-BE49-F238E27FC236}">
              <a16:creationId xmlns:a16="http://schemas.microsoft.com/office/drawing/2014/main" id="{00000000-0008-0000-0700-000036000000}"/>
            </a:ext>
          </a:extLst>
        </xdr:cNvPr>
        <xdr:cNvSpPr/>
      </xdr:nvSpPr>
      <xdr:spPr>
        <a:xfrm>
          <a:off x="11801475" y="6038850"/>
          <a:ext cx="9525" cy="6840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editAs="oneCell">
    <xdr:from>
      <xdr:col>4</xdr:col>
      <xdr:colOff>47625</xdr:colOff>
      <xdr:row>26</xdr:row>
      <xdr:rowOff>285750</xdr:rowOff>
    </xdr:from>
    <xdr:to>
      <xdr:col>4</xdr:col>
      <xdr:colOff>2667000</xdr:colOff>
      <xdr:row>27</xdr:row>
      <xdr:rowOff>0</xdr:rowOff>
    </xdr:to>
    <xdr:sp macro="" textlink="">
      <xdr:nvSpPr>
        <xdr:cNvPr id="55" name="TextBox 54">
          <a:extLst>
            <a:ext uri="{FF2B5EF4-FFF2-40B4-BE49-F238E27FC236}">
              <a16:creationId xmlns:a16="http://schemas.microsoft.com/office/drawing/2014/main" id="{00000000-0008-0000-0700-000037000000}"/>
            </a:ext>
          </a:extLst>
        </xdr:cNvPr>
        <xdr:cNvSpPr txBox="1">
          <a:spLocks noChangeArrowheads="1"/>
        </xdr:cNvSpPr>
      </xdr:nvSpPr>
      <xdr:spPr bwMode="auto">
        <a:xfrm>
          <a:off x="352425" y="6505575"/>
          <a:ext cx="2619375" cy="219075"/>
        </a:xfrm>
        <a:prstGeom prst="rect">
          <a:avLst/>
        </a:prstGeom>
        <a:noFill/>
        <a:ln w="9525">
          <a:noFill/>
          <a:miter lim="800000"/>
          <a:headEnd/>
          <a:tailEnd/>
        </a:ln>
      </xdr:spPr>
      <xdr:txBody>
        <a:bodyPr vertOverflow="clip" wrap="square" lIns="72000" tIns="72000" rIns="72000" bIns="72000" anchor="ctr" upright="1"/>
        <a:lstStyle/>
        <a:p>
          <a:pPr marL="0" algn="l"/>
          <a:r>
            <a:rPr lang="en-US" sz="900" b="0" i="1" u="none" strike="noStrike">
              <a:solidFill>
                <a:schemeClr val="tx1">
                  <a:lumMod val="65000"/>
                  <a:lumOff val="35000"/>
                </a:schemeClr>
              </a:solidFill>
              <a:effectLst/>
              <a:latin typeface="+mn-lt"/>
              <a:ea typeface="+mn-ea"/>
              <a:cs typeface="Calibri"/>
            </a:rPr>
            <a:t>Click</a:t>
          </a:r>
          <a:r>
            <a:rPr lang="en-US" sz="900" b="0" i="1" u="none" strike="noStrike" baseline="0">
              <a:solidFill>
                <a:schemeClr val="tx1">
                  <a:lumMod val="65000"/>
                  <a:lumOff val="35000"/>
                </a:schemeClr>
              </a:solidFill>
              <a:effectLst/>
              <a:latin typeface="+mn-lt"/>
              <a:ea typeface="+mn-ea"/>
              <a:cs typeface="Calibri"/>
            </a:rPr>
            <a:t> on any indicator name below to highlight</a:t>
          </a:r>
          <a:endParaRPr lang="en-US" sz="900" b="0" i="1" u="none" strike="noStrike">
            <a:solidFill>
              <a:schemeClr val="tx1">
                <a:lumMod val="65000"/>
                <a:lumOff val="35000"/>
              </a:schemeClr>
            </a:solidFill>
            <a:effectLst/>
            <a:latin typeface="+mn-lt"/>
            <a:ea typeface="+mn-ea"/>
            <a:cs typeface="Calibri"/>
          </a:endParaRPr>
        </a:p>
      </xdr:txBody>
    </xdr:sp>
    <xdr:clientData/>
  </xdr:twoCellAnchor>
  <xdr:twoCellAnchor editAs="oneCell">
    <xdr:from>
      <xdr:col>1</xdr:col>
      <xdr:colOff>0</xdr:colOff>
      <xdr:row>9</xdr:row>
      <xdr:rowOff>1543050</xdr:rowOff>
    </xdr:from>
    <xdr:to>
      <xdr:col>4</xdr:col>
      <xdr:colOff>2519363</xdr:colOff>
      <xdr:row>10</xdr:row>
      <xdr:rowOff>9525</xdr:rowOff>
    </xdr:to>
    <xdr:grpSp>
      <xdr:nvGrpSpPr>
        <xdr:cNvPr id="56" name="Group 55">
          <a:extLst>
            <a:ext uri="{FF2B5EF4-FFF2-40B4-BE49-F238E27FC236}">
              <a16:creationId xmlns:a16="http://schemas.microsoft.com/office/drawing/2014/main" id="{00000000-0008-0000-0700-000038000000}"/>
            </a:ext>
          </a:extLst>
        </xdr:cNvPr>
        <xdr:cNvGrpSpPr/>
      </xdr:nvGrpSpPr>
      <xdr:grpSpPr>
        <a:xfrm>
          <a:off x="171450" y="3352800"/>
          <a:ext cx="2652713" cy="800100"/>
          <a:chOff x="12149137" y="1419225"/>
          <a:chExt cx="2652713" cy="800100"/>
        </a:xfrm>
      </xdr:grpSpPr>
      <xdr:sp macro="" textlink="">
        <xdr:nvSpPr>
          <xdr:cNvPr id="57" name="TextBox 56">
            <a:extLst>
              <a:ext uri="{FF2B5EF4-FFF2-40B4-BE49-F238E27FC236}">
                <a16:creationId xmlns:a16="http://schemas.microsoft.com/office/drawing/2014/main" id="{00000000-0008-0000-0700-000039000000}"/>
              </a:ext>
            </a:extLst>
          </xdr:cNvPr>
          <xdr:cNvSpPr txBox="1">
            <a:spLocks noChangeArrowheads="1"/>
          </xdr:cNvSpPr>
        </xdr:nvSpPr>
        <xdr:spPr bwMode="auto">
          <a:xfrm>
            <a:off x="12682534" y="1419225"/>
            <a:ext cx="2119316" cy="304800"/>
          </a:xfrm>
          <a:prstGeom prst="rect">
            <a:avLst/>
          </a:prstGeom>
          <a:noFill/>
          <a:ln w="9525">
            <a:noFill/>
            <a:miter lim="800000"/>
            <a:headEnd/>
            <a:tailEnd/>
          </a:ln>
        </xdr:spPr>
        <xdr:txBody>
          <a:bodyPr vertOverflow="clip" wrap="square" lIns="72000" tIns="72000" rIns="72000" bIns="72000" anchor="ctr" upright="1"/>
          <a:lstStyle/>
          <a:p>
            <a:pPr marL="0" algn="l"/>
            <a:r>
              <a:rPr lang="en-US" sz="800" b="0" i="0" u="none" strike="noStrike">
                <a:solidFill>
                  <a:sysClr val="windowText" lastClr="000000"/>
                </a:solidFill>
                <a:effectLst/>
                <a:latin typeface="+mn-lt"/>
                <a:ea typeface="+mn-ea"/>
                <a:cs typeface="Calibri"/>
              </a:rPr>
              <a:t>Maximum</a:t>
            </a:r>
            <a:r>
              <a:rPr lang="en-US" sz="800" b="0" i="0" u="none" strike="noStrike" baseline="0">
                <a:solidFill>
                  <a:sysClr val="windowText" lastClr="000000"/>
                </a:solidFill>
                <a:effectLst/>
                <a:latin typeface="+mn-lt"/>
                <a:ea typeface="+mn-ea"/>
                <a:cs typeface="Calibri"/>
              </a:rPr>
              <a:t> group value for indicator</a:t>
            </a:r>
            <a:endParaRPr lang="en-US" sz="800" b="0" i="0" u="none" strike="noStrike">
              <a:solidFill>
                <a:sysClr val="windowText" lastClr="000000"/>
              </a:solidFill>
              <a:effectLst/>
              <a:latin typeface="+mn-lt"/>
              <a:ea typeface="+mn-ea"/>
              <a:cs typeface="Calibri"/>
            </a:endParaRPr>
          </a:p>
        </xdr:txBody>
      </xdr:sp>
      <xdr:sp macro="" textlink="">
        <xdr:nvSpPr>
          <xdr:cNvPr id="58" name="Rectangle 57">
            <a:extLst>
              <a:ext uri="{FF2B5EF4-FFF2-40B4-BE49-F238E27FC236}">
                <a16:creationId xmlns:a16="http://schemas.microsoft.com/office/drawing/2014/main" id="{00000000-0008-0000-0700-00003A000000}"/>
              </a:ext>
            </a:extLst>
          </xdr:cNvPr>
          <xdr:cNvSpPr/>
        </xdr:nvSpPr>
        <xdr:spPr>
          <a:xfrm>
            <a:off x="12149137" y="1463625"/>
            <a:ext cx="504000" cy="216000"/>
          </a:xfrm>
          <a:prstGeom prst="rect">
            <a:avLst/>
          </a:prstGeom>
          <a:solidFill>
            <a:schemeClr val="accent3">
              <a:lumMod val="20000"/>
              <a:lumOff val="8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GB" sz="1000" b="1" i="0" u="none" strike="noStrike">
                <a:solidFill>
                  <a:srgbClr val="00B050"/>
                </a:solidFill>
                <a:latin typeface="Calibri"/>
                <a:cs typeface="Calibri"/>
              </a:rPr>
              <a:t>XX.X</a:t>
            </a:r>
          </a:p>
        </xdr:txBody>
      </xdr:sp>
      <xdr:sp macro="" textlink="">
        <xdr:nvSpPr>
          <xdr:cNvPr id="59" name="Rectangle 58">
            <a:extLst>
              <a:ext uri="{FF2B5EF4-FFF2-40B4-BE49-F238E27FC236}">
                <a16:creationId xmlns:a16="http://schemas.microsoft.com/office/drawing/2014/main" id="{00000000-0008-0000-0700-00003B000000}"/>
              </a:ext>
            </a:extLst>
          </xdr:cNvPr>
          <xdr:cNvSpPr/>
        </xdr:nvSpPr>
        <xdr:spPr>
          <a:xfrm>
            <a:off x="12149137" y="1711275"/>
            <a:ext cx="504000" cy="216000"/>
          </a:xfrm>
          <a:prstGeom prst="rect">
            <a:avLst/>
          </a:prstGeom>
          <a:solidFill>
            <a:schemeClr val="accent2">
              <a:lumMod val="20000"/>
              <a:lumOff val="8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GB" sz="1000" b="1" i="0" u="none" strike="noStrike">
                <a:solidFill>
                  <a:srgbClr val="FF0000"/>
                </a:solidFill>
                <a:latin typeface="Calibri"/>
                <a:cs typeface="Calibri"/>
              </a:rPr>
              <a:t>YY.Y</a:t>
            </a:r>
          </a:p>
        </xdr:txBody>
      </xdr:sp>
      <xdr:sp macro="" textlink="">
        <xdr:nvSpPr>
          <xdr:cNvPr id="60" name="Rectangle 59">
            <a:extLst>
              <a:ext uri="{FF2B5EF4-FFF2-40B4-BE49-F238E27FC236}">
                <a16:creationId xmlns:a16="http://schemas.microsoft.com/office/drawing/2014/main" id="{00000000-0008-0000-0700-00003C000000}"/>
              </a:ext>
            </a:extLst>
          </xdr:cNvPr>
          <xdr:cNvSpPr/>
        </xdr:nvSpPr>
        <xdr:spPr>
          <a:xfrm>
            <a:off x="12149137" y="1958925"/>
            <a:ext cx="504000" cy="216000"/>
          </a:xfrm>
          <a:prstGeom prst="rect">
            <a:avLst/>
          </a:prstGeom>
          <a:solidFill>
            <a:srgbClr val="FDE1B9"/>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GB" sz="1000" b="1" i="0" u="none" strike="noStrike">
                <a:solidFill>
                  <a:sysClr val="windowText" lastClr="000000"/>
                </a:solidFill>
                <a:latin typeface="Calibri"/>
                <a:cs typeface="Calibri"/>
              </a:rPr>
              <a:t>NN.N</a:t>
            </a:r>
          </a:p>
        </xdr:txBody>
      </xdr:sp>
      <xdr:sp macro="" textlink="">
        <xdr:nvSpPr>
          <xdr:cNvPr id="61" name="TextBox 60">
            <a:extLst>
              <a:ext uri="{FF2B5EF4-FFF2-40B4-BE49-F238E27FC236}">
                <a16:creationId xmlns:a16="http://schemas.microsoft.com/office/drawing/2014/main" id="{00000000-0008-0000-0700-00003D000000}"/>
              </a:ext>
            </a:extLst>
          </xdr:cNvPr>
          <xdr:cNvSpPr txBox="1">
            <a:spLocks noChangeArrowheads="1"/>
          </xdr:cNvSpPr>
        </xdr:nvSpPr>
        <xdr:spPr bwMode="auto">
          <a:xfrm>
            <a:off x="12682534" y="1666875"/>
            <a:ext cx="2119316" cy="304800"/>
          </a:xfrm>
          <a:prstGeom prst="rect">
            <a:avLst/>
          </a:prstGeom>
          <a:noFill/>
          <a:ln w="9525">
            <a:noFill/>
            <a:miter lim="800000"/>
            <a:headEnd/>
            <a:tailEnd/>
          </a:ln>
        </xdr:spPr>
        <xdr:txBody>
          <a:bodyPr vertOverflow="clip" wrap="square" lIns="72000" tIns="72000" rIns="72000" bIns="72000" anchor="ctr" upright="1"/>
          <a:lstStyle/>
          <a:p>
            <a:pPr marL="0" algn="l"/>
            <a:r>
              <a:rPr lang="en-US" sz="800" b="0" i="0" u="none" strike="noStrike">
                <a:solidFill>
                  <a:sysClr val="windowText" lastClr="000000"/>
                </a:solidFill>
                <a:effectLst/>
                <a:latin typeface="+mn-lt"/>
                <a:ea typeface="+mn-ea"/>
                <a:cs typeface="Calibri"/>
              </a:rPr>
              <a:t>Minimum</a:t>
            </a:r>
            <a:r>
              <a:rPr lang="en-US" sz="800" b="0" i="0" u="none" strike="noStrike" baseline="0">
                <a:solidFill>
                  <a:sysClr val="windowText" lastClr="000000"/>
                </a:solidFill>
                <a:effectLst/>
                <a:latin typeface="+mn-lt"/>
                <a:ea typeface="+mn-ea"/>
                <a:cs typeface="Calibri"/>
              </a:rPr>
              <a:t> group value for indicator</a:t>
            </a:r>
            <a:endParaRPr lang="en-US" sz="800" b="0" i="0" u="none" strike="noStrike">
              <a:solidFill>
                <a:sysClr val="windowText" lastClr="000000"/>
              </a:solidFill>
              <a:effectLst/>
              <a:latin typeface="+mn-lt"/>
              <a:ea typeface="+mn-ea"/>
              <a:cs typeface="Calibri"/>
            </a:endParaRPr>
          </a:p>
        </xdr:txBody>
      </xdr:sp>
      <xdr:sp macro="" textlink="">
        <xdr:nvSpPr>
          <xdr:cNvPr id="62" name="TextBox 61">
            <a:extLst>
              <a:ext uri="{FF2B5EF4-FFF2-40B4-BE49-F238E27FC236}">
                <a16:creationId xmlns:a16="http://schemas.microsoft.com/office/drawing/2014/main" id="{00000000-0008-0000-0700-00003E000000}"/>
              </a:ext>
            </a:extLst>
          </xdr:cNvPr>
          <xdr:cNvSpPr txBox="1">
            <a:spLocks noChangeArrowheads="1"/>
          </xdr:cNvSpPr>
        </xdr:nvSpPr>
        <xdr:spPr bwMode="auto">
          <a:xfrm>
            <a:off x="12682534" y="1914525"/>
            <a:ext cx="2119316" cy="304800"/>
          </a:xfrm>
          <a:prstGeom prst="rect">
            <a:avLst/>
          </a:prstGeom>
          <a:noFill/>
          <a:ln w="9525">
            <a:noFill/>
            <a:miter lim="800000"/>
            <a:headEnd/>
            <a:tailEnd/>
          </a:ln>
        </xdr:spPr>
        <xdr:txBody>
          <a:bodyPr vertOverflow="clip" wrap="square" lIns="72000" tIns="72000" rIns="72000" bIns="72000" anchor="ctr" upright="1"/>
          <a:lstStyle/>
          <a:p>
            <a:pPr marL="0" algn="l"/>
            <a:r>
              <a:rPr lang="en-US" sz="800" b="0" i="0" u="none" strike="noStrike">
                <a:solidFill>
                  <a:sysClr val="windowText" lastClr="000000"/>
                </a:solidFill>
                <a:effectLst/>
                <a:latin typeface="+mn-lt"/>
                <a:ea typeface="+mn-ea"/>
                <a:cs typeface="Calibri"/>
              </a:rPr>
              <a:t>Indicator displayed in chart</a:t>
            </a:r>
          </a:p>
        </xdr:txBody>
      </xdr:sp>
    </xdr:grpSp>
    <xdr:clientData/>
  </xdr:twoCellAnchor>
  <mc:AlternateContent xmlns:mc="http://schemas.openxmlformats.org/markup-compatibility/2006">
    <mc:Choice xmlns:a14="http://schemas.microsoft.com/office/drawing/2010/main" Requires="a14">
      <xdr:twoCellAnchor editAs="oneCell">
        <xdr:from>
          <xdr:col>32</xdr:col>
          <xdr:colOff>266700</xdr:colOff>
          <xdr:row>9</xdr:row>
          <xdr:rowOff>152400</xdr:rowOff>
        </xdr:from>
        <xdr:to>
          <xdr:col>36</xdr:col>
          <xdr:colOff>76200</xdr:colOff>
          <xdr:row>9</xdr:row>
          <xdr:rowOff>374650</xdr:rowOff>
        </xdr:to>
        <xdr:sp macro="" textlink="">
          <xdr:nvSpPr>
            <xdr:cNvPr id="14551043" name="FreezeSwitch" hidden="1">
              <a:extLst>
                <a:ext uri="{63B3BB69-23CF-44E3-9099-C40C66FF867C}">
                  <a14:compatExt spid="_x0000_s14551043"/>
                </a:ext>
                <a:ext uri="{FF2B5EF4-FFF2-40B4-BE49-F238E27FC236}">
                  <a16:creationId xmlns:a16="http://schemas.microsoft.com/office/drawing/2014/main" id="{00000000-0008-0000-0700-00000308D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SG" sz="800" b="0" i="0" u="none" strike="noStrike" baseline="0">
                  <a:solidFill>
                    <a:srgbClr val="000000"/>
                  </a:solidFill>
                  <a:latin typeface="Segoe UI"/>
                  <a:cs typeface="Segoe UI"/>
                </a:rPr>
                <a:t>Freeze frame below graph</a:t>
              </a:r>
            </a:p>
          </xdr:txBody>
        </xdr:sp>
        <xdr:clientData fPrintsWithSheet="0"/>
      </xdr:twoCellAnchor>
    </mc:Choice>
    <mc:Fallback/>
  </mc:AlternateContent>
  <xdr:twoCellAnchor>
    <xdr:from>
      <xdr:col>4</xdr:col>
      <xdr:colOff>2828925</xdr:colOff>
      <xdr:row>9</xdr:row>
      <xdr:rowOff>136453</xdr:rowOff>
    </xdr:from>
    <xdr:to>
      <xdr:col>37</xdr:col>
      <xdr:colOff>19050</xdr:colOff>
      <xdr:row>9</xdr:row>
      <xdr:rowOff>2276475</xdr:rowOff>
    </xdr:to>
    <xdr:grpSp>
      <xdr:nvGrpSpPr>
        <xdr:cNvPr id="64" name="Group 63">
          <a:extLst>
            <a:ext uri="{FF2B5EF4-FFF2-40B4-BE49-F238E27FC236}">
              <a16:creationId xmlns:a16="http://schemas.microsoft.com/office/drawing/2014/main" id="{00000000-0008-0000-0700-000040000000}"/>
            </a:ext>
          </a:extLst>
        </xdr:cNvPr>
        <xdr:cNvGrpSpPr/>
      </xdr:nvGrpSpPr>
      <xdr:grpSpPr>
        <a:xfrm>
          <a:off x="3133725" y="1946203"/>
          <a:ext cx="8724900" cy="2140022"/>
          <a:chOff x="3400425" y="1222303"/>
          <a:chExt cx="8429625" cy="2140022"/>
        </a:xfrm>
      </xdr:grpSpPr>
      <xdr:graphicFrame macro="">
        <xdr:nvGraphicFramePr>
          <xdr:cNvPr id="65" name="HeaderChart">
            <a:extLst>
              <a:ext uri="{FF2B5EF4-FFF2-40B4-BE49-F238E27FC236}">
                <a16:creationId xmlns:a16="http://schemas.microsoft.com/office/drawing/2014/main" id="{00000000-0008-0000-0700-000041000000}"/>
              </a:ext>
            </a:extLst>
          </xdr:cNvPr>
          <xdr:cNvGraphicFramePr>
            <a:graphicFrameLocks/>
          </xdr:cNvGraphicFramePr>
        </xdr:nvGraphicFramePr>
        <xdr:xfrm>
          <a:off x="3400425" y="1222303"/>
          <a:ext cx="8429625" cy="2140022"/>
        </xdr:xfrm>
        <a:graphic>
          <a:graphicData uri="http://schemas.openxmlformats.org/drawingml/2006/chart">
            <c:chart xmlns:c="http://schemas.openxmlformats.org/drawingml/2006/chart" xmlns:r="http://schemas.openxmlformats.org/officeDocument/2006/relationships" r:id="rId6"/>
          </a:graphicData>
        </a:graphic>
      </xdr:graphicFrame>
      <xdr:cxnSp macro="">
        <xdr:nvCxnSpPr>
          <xdr:cNvPr id="66" name="Straight Connector 65">
            <a:extLst>
              <a:ext uri="{FF2B5EF4-FFF2-40B4-BE49-F238E27FC236}">
                <a16:creationId xmlns:a16="http://schemas.microsoft.com/office/drawing/2014/main" id="{00000000-0008-0000-0700-000042000000}"/>
              </a:ext>
            </a:extLst>
          </xdr:cNvPr>
          <xdr:cNvCxnSpPr/>
        </xdr:nvCxnSpPr>
        <xdr:spPr>
          <a:xfrm flipV="1">
            <a:off x="4459983" y="2049498"/>
            <a:ext cx="0" cy="1246304"/>
          </a:xfrm>
          <a:prstGeom prst="line">
            <a:avLst/>
          </a:prstGeom>
          <a:ln w="9525">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67" name="Straight Connector 66">
            <a:extLst>
              <a:ext uri="{FF2B5EF4-FFF2-40B4-BE49-F238E27FC236}">
                <a16:creationId xmlns:a16="http://schemas.microsoft.com/office/drawing/2014/main" id="{00000000-0008-0000-0700-000043000000}"/>
              </a:ext>
            </a:extLst>
          </xdr:cNvPr>
          <xdr:cNvCxnSpPr/>
        </xdr:nvCxnSpPr>
        <xdr:spPr>
          <a:xfrm flipV="1">
            <a:off x="7791450" y="2049498"/>
            <a:ext cx="0" cy="1246304"/>
          </a:xfrm>
          <a:prstGeom prst="line">
            <a:avLst/>
          </a:prstGeom>
          <a:ln w="9525">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68" name="Straight Connector 67">
            <a:extLst>
              <a:ext uri="{FF2B5EF4-FFF2-40B4-BE49-F238E27FC236}">
                <a16:creationId xmlns:a16="http://schemas.microsoft.com/office/drawing/2014/main" id="{00000000-0008-0000-0700-000044000000}"/>
              </a:ext>
            </a:extLst>
          </xdr:cNvPr>
          <xdr:cNvCxnSpPr/>
        </xdr:nvCxnSpPr>
        <xdr:spPr>
          <a:xfrm flipV="1">
            <a:off x="5025001" y="2051056"/>
            <a:ext cx="0" cy="1247775"/>
          </a:xfrm>
          <a:prstGeom prst="line">
            <a:avLst/>
          </a:prstGeom>
          <a:ln w="9525">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69" name="Straight Connector 68">
            <a:extLst>
              <a:ext uri="{FF2B5EF4-FFF2-40B4-BE49-F238E27FC236}">
                <a16:creationId xmlns:a16="http://schemas.microsoft.com/office/drawing/2014/main" id="{00000000-0008-0000-0700-000045000000}"/>
              </a:ext>
            </a:extLst>
          </xdr:cNvPr>
          <xdr:cNvCxnSpPr/>
        </xdr:nvCxnSpPr>
        <xdr:spPr>
          <a:xfrm flipV="1">
            <a:off x="9458325" y="2039973"/>
            <a:ext cx="0" cy="1246304"/>
          </a:xfrm>
          <a:prstGeom prst="line">
            <a:avLst/>
          </a:prstGeom>
          <a:ln w="9525">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3</xdr:col>
      <xdr:colOff>9525</xdr:colOff>
      <xdr:row>25</xdr:row>
      <xdr:rowOff>9522</xdr:rowOff>
    </xdr:from>
    <xdr:to>
      <xdr:col>6</xdr:col>
      <xdr:colOff>0</xdr:colOff>
      <xdr:row>27</xdr:row>
      <xdr:rowOff>28574</xdr:rowOff>
    </xdr:to>
    <xdr:sp macro="[0]!RegionSortOrder" textlink="">
      <xdr:nvSpPr>
        <xdr:cNvPr id="70" name="1">
          <a:extLst>
            <a:ext uri="{FF2B5EF4-FFF2-40B4-BE49-F238E27FC236}">
              <a16:creationId xmlns:a16="http://schemas.microsoft.com/office/drawing/2014/main" id="{00000000-0008-0000-0700-000046000000}"/>
            </a:ext>
          </a:extLst>
        </xdr:cNvPr>
        <xdr:cNvSpPr/>
      </xdr:nvSpPr>
      <xdr:spPr>
        <a:xfrm>
          <a:off x="180975" y="5791197"/>
          <a:ext cx="3476625" cy="714377"/>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editAs="absolute">
    <xdr:from>
      <xdr:col>0</xdr:col>
      <xdr:colOff>76200</xdr:colOff>
      <xdr:row>2</xdr:row>
      <xdr:rowOff>33867</xdr:rowOff>
    </xdr:from>
    <xdr:to>
      <xdr:col>33</xdr:col>
      <xdr:colOff>554567</xdr:colOff>
      <xdr:row>3</xdr:row>
      <xdr:rowOff>596900</xdr:rowOff>
    </xdr:to>
    <xdr:grpSp>
      <xdr:nvGrpSpPr>
        <xdr:cNvPr id="21" name="Del_FILTER_OPTIONS">
          <a:extLst>
            <a:ext uri="{FF2B5EF4-FFF2-40B4-BE49-F238E27FC236}">
              <a16:creationId xmlns:a16="http://schemas.microsoft.com/office/drawing/2014/main" id="{00000000-0008-0000-0700-000015000000}"/>
            </a:ext>
          </a:extLst>
        </xdr:cNvPr>
        <xdr:cNvGrpSpPr/>
      </xdr:nvGrpSpPr>
      <xdr:grpSpPr>
        <a:xfrm>
          <a:off x="76200" y="1119717"/>
          <a:ext cx="11546417" cy="613833"/>
          <a:chOff x="76200" y="1123950"/>
          <a:chExt cx="11553825" cy="619125"/>
        </a:xfrm>
      </xdr:grpSpPr>
      <xdr:sp macro="" textlink="">
        <xdr:nvSpPr>
          <xdr:cNvPr id="72" name="TextBox 71">
            <a:extLst>
              <a:ext uri="{FF2B5EF4-FFF2-40B4-BE49-F238E27FC236}">
                <a16:creationId xmlns:a16="http://schemas.microsoft.com/office/drawing/2014/main" id="{00000000-0008-0000-0700-000048000000}"/>
              </a:ext>
            </a:extLst>
          </xdr:cNvPr>
          <xdr:cNvSpPr txBox="1">
            <a:spLocks noChangeArrowheads="1"/>
          </xdr:cNvSpPr>
        </xdr:nvSpPr>
        <xdr:spPr bwMode="auto">
          <a:xfrm>
            <a:off x="7410450" y="1123950"/>
            <a:ext cx="1981200" cy="619125"/>
          </a:xfrm>
          <a:prstGeom prst="rect">
            <a:avLst/>
          </a:prstGeom>
          <a:noFill/>
          <a:ln w="9525">
            <a:noFill/>
            <a:miter lim="800000"/>
            <a:headEnd/>
            <a:tailEnd/>
          </a:ln>
        </xdr:spPr>
        <xdr:txBody>
          <a:bodyPr vertOverflow="clip" wrap="square" lIns="72000" tIns="72000" rIns="72000" bIns="72000" anchor="ctr" upright="1"/>
          <a:lstStyle/>
          <a:p>
            <a:pPr marL="0" algn="l"/>
            <a:r>
              <a:rPr lang="en-US" sz="1000" b="0" i="1" u="none" strike="noStrike">
                <a:solidFill>
                  <a:srgbClr val="3B6E8F"/>
                </a:solidFill>
                <a:effectLst/>
                <a:latin typeface="+mn-lt"/>
                <a:ea typeface="+mn-ea"/>
                <a:cs typeface="Calibri"/>
              </a:rPr>
              <a:t>The filtered region score is given in the 2nd column from the left</a:t>
            </a:r>
          </a:p>
        </xdr:txBody>
      </xdr:sp>
      <xdr:sp macro="" textlink="">
        <xdr:nvSpPr>
          <xdr:cNvPr id="78" name="lbl_cnt_City_1">
            <a:extLst>
              <a:ext uri="{FF2B5EF4-FFF2-40B4-BE49-F238E27FC236}">
                <a16:creationId xmlns:a16="http://schemas.microsoft.com/office/drawing/2014/main" id="{00000000-0008-0000-0700-00004E000000}"/>
              </a:ext>
            </a:extLst>
          </xdr:cNvPr>
          <xdr:cNvSpPr txBox="1"/>
        </xdr:nvSpPr>
        <xdr:spPr>
          <a:xfrm>
            <a:off x="76200" y="1181100"/>
            <a:ext cx="7309485" cy="54292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endParaRPr lang="en-US" sz="1000" b="1" i="0" u="none" strike="noStrike">
              <a:solidFill>
                <a:srgbClr val="143050"/>
              </a:solidFill>
              <a:latin typeface="Calibri"/>
              <a:cs typeface="Calibri"/>
            </a:endParaRPr>
          </a:p>
        </xdr:txBody>
      </xdr:sp>
      <xdr:sp macro="" textlink="uxb_works!D96">
        <xdr:nvSpPr>
          <xdr:cNvPr id="82" name="lbl_cnt_City_1">
            <a:extLst>
              <a:ext uri="{FF2B5EF4-FFF2-40B4-BE49-F238E27FC236}">
                <a16:creationId xmlns:a16="http://schemas.microsoft.com/office/drawing/2014/main" id="{00000000-0008-0000-0700-000052000000}"/>
              </a:ext>
            </a:extLst>
          </xdr:cNvPr>
          <xdr:cNvSpPr txBox="1"/>
        </xdr:nvSpPr>
        <xdr:spPr>
          <a:xfrm>
            <a:off x="171450" y="1247773"/>
            <a:ext cx="53359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fld id="{EC6270EF-FB14-4F40-A375-01271F5F9F23}" type="TxLink">
              <a:rPr lang="en-US" sz="1000" b="1" i="0" u="none" strike="noStrike" baseline="0">
                <a:solidFill>
                  <a:sysClr val="windowText" lastClr="000000"/>
                </a:solidFill>
                <a:effectLst/>
                <a:latin typeface="Calibri"/>
                <a:ea typeface="+mn-ea"/>
                <a:cs typeface="Calibri"/>
              </a:rPr>
              <a:pPr algn="r"/>
              <a:t>CITY FILTERS</a:t>
            </a:fld>
            <a:endParaRPr lang="en-GB" sz="1000" b="1">
              <a:solidFill>
                <a:sysClr val="windowText" lastClr="000000"/>
              </a:solidFill>
              <a:latin typeface="+mn-lt"/>
            </a:endParaRPr>
          </a:p>
        </xdr:txBody>
      </xdr:sp>
      <xdr:grpSp>
        <xdr:nvGrpSpPr>
          <xdr:cNvPr id="87" name="Group 86">
            <a:extLst>
              <a:ext uri="{FF2B5EF4-FFF2-40B4-BE49-F238E27FC236}">
                <a16:creationId xmlns:a16="http://schemas.microsoft.com/office/drawing/2014/main" id="{00000000-0008-0000-0700-000057000000}"/>
              </a:ext>
            </a:extLst>
          </xdr:cNvPr>
          <xdr:cNvGrpSpPr/>
        </xdr:nvGrpSpPr>
        <xdr:grpSpPr>
          <a:xfrm>
            <a:off x="3017970" y="1266824"/>
            <a:ext cx="2083501" cy="402834"/>
            <a:chOff x="887117" y="1257299"/>
            <a:chExt cx="2094310" cy="402834"/>
          </a:xfrm>
        </xdr:grpSpPr>
        <xdr:pic macro="[0]!UniversalChanger">
          <xdr:nvPicPr>
            <xdr:cNvPr id="99" name="INCOME_FL_UP" descr="scroll_up_small.png">
              <a:extLst>
                <a:ext uri="{FF2B5EF4-FFF2-40B4-BE49-F238E27FC236}">
                  <a16:creationId xmlns:a16="http://schemas.microsoft.com/office/drawing/2014/main" id="{00000000-0008-0000-0700-000063000000}"/>
                </a:ext>
              </a:extLst>
            </xdr:cNvPr>
            <xdr:cNvPicPr>
              <a:picLocks noChangeAspect="1"/>
            </xdr:cNvPicPr>
          </xdr:nvPicPr>
          <xdr:blipFill>
            <a:blip xmlns:r="http://schemas.openxmlformats.org/officeDocument/2006/relationships" r:embed="rId7" cstate="print"/>
            <a:stretch>
              <a:fillRect/>
            </a:stretch>
          </xdr:blipFill>
          <xdr:spPr>
            <a:xfrm>
              <a:off x="2694979" y="1447799"/>
              <a:ext cx="285679" cy="119545"/>
            </a:xfrm>
            <a:prstGeom prst="rect">
              <a:avLst/>
            </a:prstGeom>
          </xdr:spPr>
        </xdr:pic>
        <xdr:pic macro="[0]!UniversalChanger">
          <xdr:nvPicPr>
            <xdr:cNvPr id="100" name="INCOME_FL_DOWN" descr="scroll_down_small.png">
              <a:extLst>
                <a:ext uri="{FF2B5EF4-FFF2-40B4-BE49-F238E27FC236}">
                  <a16:creationId xmlns:a16="http://schemas.microsoft.com/office/drawing/2014/main" id="{00000000-0008-0000-0700-000064000000}"/>
                </a:ext>
              </a:extLst>
            </xdr:cNvPr>
            <xdr:cNvPicPr>
              <a:picLocks noChangeAspect="1"/>
            </xdr:cNvPicPr>
          </xdr:nvPicPr>
          <xdr:blipFill>
            <a:blip xmlns:r="http://schemas.openxmlformats.org/officeDocument/2006/relationships" r:embed="rId5" cstate="print"/>
            <a:stretch>
              <a:fillRect/>
            </a:stretch>
          </xdr:blipFill>
          <xdr:spPr>
            <a:xfrm>
              <a:off x="2694972" y="1565459"/>
              <a:ext cx="285599" cy="94674"/>
            </a:xfrm>
            <a:prstGeom prst="rect">
              <a:avLst/>
            </a:prstGeom>
          </xdr:spPr>
        </xdr:pic>
        <mc:AlternateContent xmlns:mc="http://schemas.openxmlformats.org/markup-compatibility/2006">
          <mc:Choice xmlns:a14="http://schemas.microsoft.com/office/drawing/2010/main" Requires="a14">
            <xdr:sp macro="" textlink="">
              <xdr:nvSpPr>
                <xdr:cNvPr id="14551048" name="INCOME_FILTER" hidden="1">
                  <a:extLst>
                    <a:ext uri="{63B3BB69-23CF-44E3-9099-C40C66FF867C}">
                      <a14:compatExt spid="_x0000_s14551048"/>
                    </a:ext>
                    <a:ext uri="{FF2B5EF4-FFF2-40B4-BE49-F238E27FC236}">
                      <a16:creationId xmlns:a16="http://schemas.microsoft.com/office/drawing/2014/main" id="{00000000-0008-0000-0700-00000808DE00}"/>
                    </a:ext>
                  </a:extLst>
                </xdr:cNvPr>
                <xdr:cNvSpPr/>
              </xdr:nvSpPr>
              <xdr:spPr bwMode="auto">
                <a:xfrm>
                  <a:off x="887123" y="1438274"/>
                  <a:ext cx="1805947" cy="219075"/>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0">
          <xdr:nvSpPr>
            <xdr:cNvPr id="101" name="FILTER_GA_1">
              <a:extLst>
                <a:ext uri="{FF2B5EF4-FFF2-40B4-BE49-F238E27FC236}">
                  <a16:creationId xmlns:a16="http://schemas.microsoft.com/office/drawing/2014/main" id="{00000000-0008-0000-0700-000065000000}"/>
                </a:ext>
              </a:extLst>
            </xdr:cNvPr>
            <xdr:cNvSpPr>
              <a:spLocks/>
            </xdr:cNvSpPr>
          </xdr:nvSpPr>
          <xdr:spPr>
            <a:xfrm>
              <a:off x="887117" y="1257299"/>
              <a:ext cx="2094310"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5B3884B5-1625-476A-A697-2341FA45AADB}" type="TxLink">
                <a:rPr lang="en-US" sz="800" b="0" i="0" u="none" strike="noStrike">
                  <a:solidFill>
                    <a:srgbClr val="000000"/>
                  </a:solidFill>
                  <a:latin typeface="Calibri"/>
                  <a:cs typeface="Calibri"/>
                </a:rPr>
                <a:pPr algn="ctr"/>
                <a:t>BY INCOME (reset)</a:t>
              </a:fld>
              <a:endParaRPr lang="en-US" sz="800" b="0" i="0" u="none" strike="noStrike">
                <a:solidFill>
                  <a:srgbClr val="000000"/>
                </a:solidFill>
                <a:latin typeface="Calibri"/>
                <a:cs typeface="Calibri"/>
              </a:endParaRPr>
            </a:p>
          </xdr:txBody>
        </xdr:sp>
      </xdr:grpSp>
      <xdr:grpSp>
        <xdr:nvGrpSpPr>
          <xdr:cNvPr id="89" name="Group 88">
            <a:extLst>
              <a:ext uri="{FF2B5EF4-FFF2-40B4-BE49-F238E27FC236}">
                <a16:creationId xmlns:a16="http://schemas.microsoft.com/office/drawing/2014/main" id="{00000000-0008-0000-0700-000059000000}"/>
              </a:ext>
            </a:extLst>
          </xdr:cNvPr>
          <xdr:cNvGrpSpPr/>
        </xdr:nvGrpSpPr>
        <xdr:grpSpPr>
          <a:xfrm>
            <a:off x="845387" y="1266824"/>
            <a:ext cx="2092602" cy="389525"/>
            <a:chOff x="3238163" y="1266824"/>
            <a:chExt cx="2095076" cy="389525"/>
          </a:xfrm>
        </xdr:grpSpPr>
        <xdr:pic macro="[0]!UniversalChanger">
          <xdr:nvPicPr>
            <xdr:cNvPr id="96" name="R_FL_UP" descr="scroll_up_small.png">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7" cstate="print"/>
            <a:stretch>
              <a:fillRect/>
            </a:stretch>
          </xdr:blipFill>
          <xdr:spPr>
            <a:xfrm>
              <a:off x="5045868" y="1447655"/>
              <a:ext cx="285679" cy="117499"/>
            </a:xfrm>
            <a:prstGeom prst="rect">
              <a:avLst/>
            </a:prstGeom>
          </xdr:spPr>
        </xdr:pic>
        <xdr:pic macro="[0]!UniversalChanger">
          <xdr:nvPicPr>
            <xdr:cNvPr id="97" name="R_FL_DOWN" descr="scroll_down_small.png">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5" cstate="print"/>
            <a:stretch>
              <a:fillRect/>
            </a:stretch>
          </xdr:blipFill>
          <xdr:spPr>
            <a:xfrm>
              <a:off x="5045861" y="1563295"/>
              <a:ext cx="285599" cy="93054"/>
            </a:xfrm>
            <a:prstGeom prst="rect">
              <a:avLst/>
            </a:prstGeom>
          </xdr:spPr>
        </xdr:pic>
        <mc:AlternateContent xmlns:mc="http://schemas.openxmlformats.org/markup-compatibility/2006">
          <mc:Choice xmlns:a14="http://schemas.microsoft.com/office/drawing/2010/main" Requires="a14">
            <xdr:sp macro="" textlink="">
              <xdr:nvSpPr>
                <xdr:cNvPr id="14551049" name="R_FILTER" hidden="1">
                  <a:extLst>
                    <a:ext uri="{63B3BB69-23CF-44E3-9099-C40C66FF867C}">
                      <a14:compatExt spid="_x0000_s14551049"/>
                    </a:ext>
                    <a:ext uri="{FF2B5EF4-FFF2-40B4-BE49-F238E27FC236}">
                      <a16:creationId xmlns:a16="http://schemas.microsoft.com/office/drawing/2014/main" id="{00000000-0008-0000-0700-00000908DE00}"/>
                    </a:ext>
                  </a:extLst>
                </xdr:cNvPr>
                <xdr:cNvSpPr/>
              </xdr:nvSpPr>
              <xdr:spPr bwMode="auto">
                <a:xfrm>
                  <a:off x="3238163" y="1438295"/>
                  <a:ext cx="1805985" cy="215327"/>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2">
          <xdr:nvSpPr>
            <xdr:cNvPr id="98" name="FILTER_GB_1">
              <a:extLst>
                <a:ext uri="{FF2B5EF4-FFF2-40B4-BE49-F238E27FC236}">
                  <a16:creationId xmlns:a16="http://schemas.microsoft.com/office/drawing/2014/main" id="{00000000-0008-0000-0700-000062000000}"/>
                </a:ext>
              </a:extLst>
            </xdr:cNvPr>
            <xdr:cNvSpPr>
              <a:spLocks/>
            </xdr:cNvSpPr>
          </xdr:nvSpPr>
          <xdr:spPr>
            <a:xfrm>
              <a:off x="3238943" y="1266824"/>
              <a:ext cx="2094296"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683254F2-E44C-4100-8BB8-067CC0F20B8C}" type="TxLink">
                <a:rPr lang="en-US" sz="800" b="0" i="0" u="none" strike="noStrike">
                  <a:solidFill>
                    <a:srgbClr val="000000"/>
                  </a:solidFill>
                  <a:latin typeface="Calibri"/>
                  <a:cs typeface="Calibri"/>
                </a:rPr>
                <a:pPr algn="ctr"/>
                <a:t>BY REGION (reset)</a:t>
              </a:fld>
              <a:endParaRPr lang="en-US" sz="800" b="0" i="0" u="none" strike="noStrike">
                <a:solidFill>
                  <a:srgbClr val="000000"/>
                </a:solidFill>
                <a:latin typeface="Calibri"/>
                <a:cs typeface="Calibri"/>
              </a:endParaRPr>
            </a:p>
          </xdr:txBody>
        </xdr:sp>
      </xdr:grpSp>
      <xdr:grpSp>
        <xdr:nvGrpSpPr>
          <xdr:cNvPr id="90" name="Group 89">
            <a:extLst>
              <a:ext uri="{FF2B5EF4-FFF2-40B4-BE49-F238E27FC236}">
                <a16:creationId xmlns:a16="http://schemas.microsoft.com/office/drawing/2014/main" id="{00000000-0008-0000-0700-00005A000000}"/>
              </a:ext>
            </a:extLst>
          </xdr:cNvPr>
          <xdr:cNvGrpSpPr/>
        </xdr:nvGrpSpPr>
        <xdr:grpSpPr>
          <a:xfrm>
            <a:off x="9828102" y="1263650"/>
            <a:ext cx="1801923" cy="393739"/>
            <a:chOff x="9936742" y="1257300"/>
            <a:chExt cx="1807200" cy="393739"/>
          </a:xfrm>
        </xdr:grpSpPr>
        <mc:AlternateContent xmlns:mc="http://schemas.openxmlformats.org/markup-compatibility/2006">
          <mc:Choice xmlns:a14="http://schemas.microsoft.com/office/drawing/2010/main" Requires="a14">
            <xdr:sp macro="" textlink="">
              <xdr:nvSpPr>
                <xdr:cNvPr id="14551050" name="L_Weights" hidden="1">
                  <a:extLst>
                    <a:ext uri="{63B3BB69-23CF-44E3-9099-C40C66FF867C}">
                      <a14:compatExt spid="_x0000_s14551050"/>
                    </a:ext>
                    <a:ext uri="{FF2B5EF4-FFF2-40B4-BE49-F238E27FC236}">
                      <a16:creationId xmlns:a16="http://schemas.microsoft.com/office/drawing/2014/main" id="{00000000-0008-0000-0700-00000A08DE00}"/>
                    </a:ext>
                  </a:extLst>
                </xdr:cNvPr>
                <xdr:cNvSpPr/>
              </xdr:nvSpPr>
              <xdr:spPr bwMode="auto">
                <a:xfrm>
                  <a:off x="9936742" y="1431938"/>
                  <a:ext cx="1807125" cy="219101"/>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4">
          <xdr:nvSpPr>
            <xdr:cNvPr id="95" name="Weight_Reset">
              <a:extLst>
                <a:ext uri="{FF2B5EF4-FFF2-40B4-BE49-F238E27FC236}">
                  <a16:creationId xmlns:a16="http://schemas.microsoft.com/office/drawing/2014/main" id="{00000000-0008-0000-0700-00005F000000}"/>
                </a:ext>
              </a:extLst>
            </xdr:cNvPr>
            <xdr:cNvSpPr>
              <a:spLocks/>
            </xdr:cNvSpPr>
          </xdr:nvSpPr>
          <xdr:spPr>
            <a:xfrm>
              <a:off x="9936742" y="1257300"/>
              <a:ext cx="1807200"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856B8423-91E9-41D2-BBE7-4949AD6F09C2}" type="TxLink">
                <a:rPr lang="en-US" sz="800" b="0" i="0" u="none" strike="noStrike">
                  <a:solidFill>
                    <a:sysClr val="windowText" lastClr="000000"/>
                  </a:solidFill>
                  <a:latin typeface="Calibri"/>
                  <a:cs typeface="Calibri"/>
                </a:rPr>
                <a:pPr algn="ctr"/>
                <a:t>WEIGHTS (reset)</a:t>
              </a:fld>
              <a:endParaRPr lang="en-US" sz="800" b="0" i="0" u="none" strike="noStrike">
                <a:solidFill>
                  <a:sysClr val="windowText" lastClr="000000"/>
                </a:solidFill>
                <a:latin typeface="Calibri"/>
                <a:cs typeface="Calibri"/>
              </a:endParaRPr>
            </a:p>
          </xdr:txBody>
        </xdr:sp>
      </xdr:grpSp>
      <xdr:grpSp>
        <xdr:nvGrpSpPr>
          <xdr:cNvPr id="91" name="Group 90">
            <a:extLst>
              <a:ext uri="{FF2B5EF4-FFF2-40B4-BE49-F238E27FC236}">
                <a16:creationId xmlns:a16="http://schemas.microsoft.com/office/drawing/2014/main" id="{00000000-0008-0000-0700-00005B000000}"/>
              </a:ext>
            </a:extLst>
          </xdr:cNvPr>
          <xdr:cNvGrpSpPr/>
        </xdr:nvGrpSpPr>
        <xdr:grpSpPr>
          <a:xfrm>
            <a:off x="5187056" y="1266824"/>
            <a:ext cx="2092642" cy="389525"/>
            <a:chOff x="3238123" y="1266824"/>
            <a:chExt cx="2095116" cy="389525"/>
          </a:xfrm>
        </xdr:grpSpPr>
        <xdr:pic macro="[0]!UniversalChanger">
          <xdr:nvPicPr>
            <xdr:cNvPr id="92" name="POP_UP" descr="scroll_up_small.png">
              <a:extLst>
                <a:ext uri="{FF2B5EF4-FFF2-40B4-BE49-F238E27FC236}">
                  <a16:creationId xmlns:a16="http://schemas.microsoft.com/office/drawing/2014/main" id="{00000000-0008-0000-0700-00005C000000}"/>
                </a:ext>
              </a:extLst>
            </xdr:cNvPr>
            <xdr:cNvPicPr>
              <a:picLocks noChangeAspect="1"/>
            </xdr:cNvPicPr>
          </xdr:nvPicPr>
          <xdr:blipFill>
            <a:blip xmlns:r="http://schemas.openxmlformats.org/officeDocument/2006/relationships" r:embed="rId7" cstate="print"/>
            <a:stretch>
              <a:fillRect/>
            </a:stretch>
          </xdr:blipFill>
          <xdr:spPr>
            <a:xfrm>
              <a:off x="5045868" y="1447655"/>
              <a:ext cx="285679" cy="117499"/>
            </a:xfrm>
            <a:prstGeom prst="rect">
              <a:avLst/>
            </a:prstGeom>
          </xdr:spPr>
        </xdr:pic>
        <xdr:pic macro="[0]!UniversalChanger">
          <xdr:nvPicPr>
            <xdr:cNvPr id="93" name="POP_DOWN" descr="scroll_down_small.png">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5" cstate="print"/>
            <a:stretch>
              <a:fillRect/>
            </a:stretch>
          </xdr:blipFill>
          <xdr:spPr>
            <a:xfrm>
              <a:off x="5045861" y="1563295"/>
              <a:ext cx="285599" cy="93054"/>
            </a:xfrm>
            <a:prstGeom prst="rect">
              <a:avLst/>
            </a:prstGeom>
          </xdr:spPr>
        </xdr:pic>
        <mc:AlternateContent xmlns:mc="http://schemas.openxmlformats.org/markup-compatibility/2006">
          <mc:Choice xmlns:a14="http://schemas.microsoft.com/office/drawing/2010/main" Requires="a14">
            <xdr:sp macro="" textlink="">
              <xdr:nvSpPr>
                <xdr:cNvPr id="14551051" name="POP_DD" hidden="1">
                  <a:extLst>
                    <a:ext uri="{63B3BB69-23CF-44E3-9099-C40C66FF867C}">
                      <a14:compatExt spid="_x0000_s14551051"/>
                    </a:ext>
                    <a:ext uri="{FF2B5EF4-FFF2-40B4-BE49-F238E27FC236}">
                      <a16:creationId xmlns:a16="http://schemas.microsoft.com/office/drawing/2014/main" id="{00000000-0008-0000-0700-00000B08DE00}"/>
                    </a:ext>
                  </a:extLst>
                </xdr:cNvPr>
                <xdr:cNvSpPr/>
              </xdr:nvSpPr>
              <xdr:spPr bwMode="auto">
                <a:xfrm>
                  <a:off x="3238123" y="1438295"/>
                  <a:ext cx="1805985" cy="215327"/>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G100">
          <xdr:nvSpPr>
            <xdr:cNvPr id="94" name="FILTER_POP_RESET">
              <a:extLst>
                <a:ext uri="{FF2B5EF4-FFF2-40B4-BE49-F238E27FC236}">
                  <a16:creationId xmlns:a16="http://schemas.microsoft.com/office/drawing/2014/main" id="{00000000-0008-0000-0700-00005E000000}"/>
                </a:ext>
              </a:extLst>
            </xdr:cNvPr>
            <xdr:cNvSpPr>
              <a:spLocks/>
            </xdr:cNvSpPr>
          </xdr:nvSpPr>
          <xdr:spPr>
            <a:xfrm>
              <a:off x="3238943" y="1266824"/>
              <a:ext cx="2094296"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040051F4-705A-4460-AB4E-E01CB46B3889}" type="TxLink">
                <a:rPr lang="en-US" sz="800" b="0" i="0" u="none" strike="noStrike">
                  <a:solidFill>
                    <a:sysClr val="windowText" lastClr="000000"/>
                  </a:solidFill>
                  <a:latin typeface="Calibri"/>
                  <a:cs typeface="Calibri"/>
                </a:rPr>
                <a:pPr algn="ctr"/>
                <a:t>BY POPULATION (reset)</a:t>
              </a:fld>
              <a:endParaRPr lang="en-US" sz="800" b="0" i="0" u="none" strike="noStrike">
                <a:solidFill>
                  <a:sysClr val="windowText" lastClr="000000"/>
                </a:solidFill>
                <a:latin typeface="Calibri"/>
                <a:cs typeface="Calibri"/>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49695</xdr:colOff>
      <xdr:row>12</xdr:row>
      <xdr:rowOff>47624</xdr:rowOff>
    </xdr:from>
    <xdr:to>
      <xdr:col>14</xdr:col>
      <xdr:colOff>600075</xdr:colOff>
      <xdr:row>37</xdr:row>
      <xdr:rowOff>57825</xdr:rowOff>
    </xdr:to>
    <xdr:graphicFrame macro="">
      <xdr:nvGraphicFramePr>
        <xdr:cNvPr id="2" name="Chart_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876300</xdr:colOff>
      <xdr:row>13</xdr:row>
      <xdr:rowOff>200027</xdr:rowOff>
    </xdr:from>
    <xdr:to>
      <xdr:col>14</xdr:col>
      <xdr:colOff>209550</xdr:colOff>
      <xdr:row>34</xdr:row>
      <xdr:rowOff>82736</xdr:rowOff>
    </xdr:to>
    <xdr:grpSp>
      <xdr:nvGrpSpPr>
        <xdr:cNvPr id="3" name="Zoom_Box1">
          <a:extLst>
            <a:ext uri="{FF2B5EF4-FFF2-40B4-BE49-F238E27FC236}">
              <a16:creationId xmlns:a16="http://schemas.microsoft.com/office/drawing/2014/main" id="{00000000-0008-0000-0800-000003000000}"/>
            </a:ext>
          </a:extLst>
        </xdr:cNvPr>
        <xdr:cNvGrpSpPr/>
      </xdr:nvGrpSpPr>
      <xdr:grpSpPr>
        <a:xfrm>
          <a:off x="990600" y="3019427"/>
          <a:ext cx="8448675" cy="4264209"/>
          <a:chOff x="12392025" y="3095627"/>
          <a:chExt cx="8573155" cy="4264209"/>
        </a:xfrm>
      </xdr:grpSpPr>
      <xdr:sp macro="[0]!UniversalChanger" textlink="">
        <xdr:nvSpPr>
          <xdr:cNvPr id="4" name="Zoom_1">
            <a:extLst>
              <a:ext uri="{FF2B5EF4-FFF2-40B4-BE49-F238E27FC236}">
                <a16:creationId xmlns:a16="http://schemas.microsoft.com/office/drawing/2014/main" id="{00000000-0008-0000-0800-000004000000}"/>
              </a:ext>
            </a:extLst>
          </xdr:cNvPr>
          <xdr:cNvSpPr>
            <a:spLocks/>
          </xdr:cNvSpPr>
        </xdr:nvSpPr>
        <xdr:spPr>
          <a:xfrm>
            <a:off x="12392025" y="6294237"/>
            <a:ext cx="2139588" cy="1065599"/>
          </a:xfrm>
          <a:prstGeom prst="rect">
            <a:avLst/>
          </a:prstGeom>
          <a:noFill/>
          <a:ln w="3175">
            <a:solidFill>
              <a:schemeClr val="accent1">
                <a:lumMod val="60000"/>
                <a:lumOff val="40000"/>
                <a:alpha val="92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100" b="1" i="0" u="none" strike="noStrike">
              <a:solidFill>
                <a:srgbClr val="0070B8"/>
              </a:solidFill>
              <a:latin typeface="Calibri"/>
              <a:cs typeface="Calibri"/>
            </a:endParaRPr>
          </a:p>
        </xdr:txBody>
      </xdr:sp>
      <xdr:sp macro="[0]!UniversalChanger" textlink="">
        <xdr:nvSpPr>
          <xdr:cNvPr id="5" name="Zoom_2">
            <a:extLst>
              <a:ext uri="{FF2B5EF4-FFF2-40B4-BE49-F238E27FC236}">
                <a16:creationId xmlns:a16="http://schemas.microsoft.com/office/drawing/2014/main" id="{00000000-0008-0000-0800-000005000000}"/>
              </a:ext>
            </a:extLst>
          </xdr:cNvPr>
          <xdr:cNvSpPr>
            <a:spLocks/>
          </xdr:cNvSpPr>
        </xdr:nvSpPr>
        <xdr:spPr>
          <a:xfrm>
            <a:off x="14537739" y="6294237"/>
            <a:ext cx="2139588" cy="1065599"/>
          </a:xfrm>
          <a:prstGeom prst="rect">
            <a:avLst/>
          </a:prstGeom>
          <a:noFill/>
          <a:ln w="3175">
            <a:solidFill>
              <a:schemeClr val="accent1">
                <a:lumMod val="60000"/>
                <a:lumOff val="40000"/>
                <a:alpha val="92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100" b="1" i="0" u="none" strike="noStrike">
              <a:solidFill>
                <a:srgbClr val="0070B8"/>
              </a:solidFill>
              <a:latin typeface="Calibri"/>
              <a:cs typeface="Calibri"/>
            </a:endParaRPr>
          </a:p>
        </xdr:txBody>
      </xdr:sp>
      <xdr:sp macro="[0]!UniversalChanger" textlink="">
        <xdr:nvSpPr>
          <xdr:cNvPr id="6" name="Zoom_3">
            <a:extLst>
              <a:ext uri="{FF2B5EF4-FFF2-40B4-BE49-F238E27FC236}">
                <a16:creationId xmlns:a16="http://schemas.microsoft.com/office/drawing/2014/main" id="{00000000-0008-0000-0800-000006000000}"/>
              </a:ext>
            </a:extLst>
          </xdr:cNvPr>
          <xdr:cNvSpPr>
            <a:spLocks/>
          </xdr:cNvSpPr>
        </xdr:nvSpPr>
        <xdr:spPr>
          <a:xfrm>
            <a:off x="16681937" y="6294237"/>
            <a:ext cx="2139588" cy="1065599"/>
          </a:xfrm>
          <a:prstGeom prst="rect">
            <a:avLst/>
          </a:prstGeom>
          <a:noFill/>
          <a:ln w="3175">
            <a:solidFill>
              <a:schemeClr val="accent1">
                <a:lumMod val="60000"/>
                <a:lumOff val="40000"/>
                <a:alpha val="92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100" b="1" i="0" u="none" strike="noStrike">
              <a:solidFill>
                <a:srgbClr val="0070B8"/>
              </a:solidFill>
              <a:latin typeface="Calibri"/>
              <a:cs typeface="Calibri"/>
            </a:endParaRPr>
          </a:p>
        </xdr:txBody>
      </xdr:sp>
      <xdr:sp macro="[0]!UniversalChanger" textlink="">
        <xdr:nvSpPr>
          <xdr:cNvPr id="7" name="Zoom_4">
            <a:extLst>
              <a:ext uri="{FF2B5EF4-FFF2-40B4-BE49-F238E27FC236}">
                <a16:creationId xmlns:a16="http://schemas.microsoft.com/office/drawing/2014/main" id="{00000000-0008-0000-0800-000007000000}"/>
              </a:ext>
            </a:extLst>
          </xdr:cNvPr>
          <xdr:cNvSpPr>
            <a:spLocks/>
          </xdr:cNvSpPr>
        </xdr:nvSpPr>
        <xdr:spPr>
          <a:xfrm>
            <a:off x="18825592" y="6294237"/>
            <a:ext cx="2139588" cy="1065599"/>
          </a:xfrm>
          <a:prstGeom prst="rect">
            <a:avLst/>
          </a:prstGeom>
          <a:noFill/>
          <a:ln w="3175">
            <a:solidFill>
              <a:schemeClr val="accent1">
                <a:lumMod val="60000"/>
                <a:lumOff val="40000"/>
                <a:alpha val="92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100" b="1" i="0" u="none" strike="noStrike">
              <a:solidFill>
                <a:srgbClr val="0070B8"/>
              </a:solidFill>
              <a:latin typeface="Calibri"/>
              <a:cs typeface="Calibri"/>
            </a:endParaRPr>
          </a:p>
        </xdr:txBody>
      </xdr:sp>
      <xdr:sp macro="[0]!UniversalChanger" textlink="">
        <xdr:nvSpPr>
          <xdr:cNvPr id="8" name="Zoom_5">
            <a:extLst>
              <a:ext uri="{FF2B5EF4-FFF2-40B4-BE49-F238E27FC236}">
                <a16:creationId xmlns:a16="http://schemas.microsoft.com/office/drawing/2014/main" id="{00000000-0008-0000-0800-000008000000}"/>
              </a:ext>
            </a:extLst>
          </xdr:cNvPr>
          <xdr:cNvSpPr>
            <a:spLocks/>
          </xdr:cNvSpPr>
        </xdr:nvSpPr>
        <xdr:spPr>
          <a:xfrm>
            <a:off x="12392025" y="5226189"/>
            <a:ext cx="2139588" cy="1065599"/>
          </a:xfrm>
          <a:prstGeom prst="rect">
            <a:avLst/>
          </a:prstGeom>
          <a:noFill/>
          <a:ln w="3175">
            <a:solidFill>
              <a:schemeClr val="accent1">
                <a:lumMod val="60000"/>
                <a:lumOff val="40000"/>
                <a:alpha val="92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100" b="1" i="0" u="none" strike="noStrike">
              <a:solidFill>
                <a:srgbClr val="0070B8"/>
              </a:solidFill>
              <a:latin typeface="Calibri"/>
              <a:cs typeface="Calibri"/>
            </a:endParaRPr>
          </a:p>
        </xdr:txBody>
      </xdr:sp>
      <xdr:sp macro="[0]!UniversalChanger" textlink="">
        <xdr:nvSpPr>
          <xdr:cNvPr id="9" name="Zoom_6">
            <a:extLst>
              <a:ext uri="{FF2B5EF4-FFF2-40B4-BE49-F238E27FC236}">
                <a16:creationId xmlns:a16="http://schemas.microsoft.com/office/drawing/2014/main" id="{00000000-0008-0000-0800-000009000000}"/>
              </a:ext>
            </a:extLst>
          </xdr:cNvPr>
          <xdr:cNvSpPr>
            <a:spLocks/>
          </xdr:cNvSpPr>
        </xdr:nvSpPr>
        <xdr:spPr>
          <a:xfrm>
            <a:off x="14537739" y="5226189"/>
            <a:ext cx="2139588" cy="1065599"/>
          </a:xfrm>
          <a:prstGeom prst="rect">
            <a:avLst/>
          </a:prstGeom>
          <a:noFill/>
          <a:ln w="3175">
            <a:solidFill>
              <a:schemeClr val="accent1">
                <a:lumMod val="60000"/>
                <a:lumOff val="40000"/>
                <a:alpha val="92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100" b="1" i="0" u="none" strike="noStrike">
              <a:solidFill>
                <a:srgbClr val="0070B8"/>
              </a:solidFill>
              <a:latin typeface="Calibri"/>
              <a:cs typeface="Calibri"/>
            </a:endParaRPr>
          </a:p>
        </xdr:txBody>
      </xdr:sp>
      <xdr:sp macro="[0]!UniversalChanger" textlink="">
        <xdr:nvSpPr>
          <xdr:cNvPr id="10" name="Zoom_7">
            <a:extLst>
              <a:ext uri="{FF2B5EF4-FFF2-40B4-BE49-F238E27FC236}">
                <a16:creationId xmlns:a16="http://schemas.microsoft.com/office/drawing/2014/main" id="{00000000-0008-0000-0800-00000A000000}"/>
              </a:ext>
            </a:extLst>
          </xdr:cNvPr>
          <xdr:cNvSpPr>
            <a:spLocks/>
          </xdr:cNvSpPr>
        </xdr:nvSpPr>
        <xdr:spPr>
          <a:xfrm>
            <a:off x="16681937" y="5226189"/>
            <a:ext cx="2139588" cy="1065599"/>
          </a:xfrm>
          <a:prstGeom prst="rect">
            <a:avLst/>
          </a:prstGeom>
          <a:noFill/>
          <a:ln w="3175">
            <a:solidFill>
              <a:schemeClr val="accent1">
                <a:lumMod val="60000"/>
                <a:lumOff val="40000"/>
                <a:alpha val="92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100" b="1" i="0" u="none" strike="noStrike">
              <a:solidFill>
                <a:srgbClr val="0070B8"/>
              </a:solidFill>
              <a:latin typeface="Calibri"/>
              <a:cs typeface="Calibri"/>
            </a:endParaRPr>
          </a:p>
        </xdr:txBody>
      </xdr:sp>
      <xdr:sp macro="[0]!UniversalChanger" textlink="">
        <xdr:nvSpPr>
          <xdr:cNvPr id="11" name="Zoom_8">
            <a:extLst>
              <a:ext uri="{FF2B5EF4-FFF2-40B4-BE49-F238E27FC236}">
                <a16:creationId xmlns:a16="http://schemas.microsoft.com/office/drawing/2014/main" id="{00000000-0008-0000-0800-00000B000000}"/>
              </a:ext>
            </a:extLst>
          </xdr:cNvPr>
          <xdr:cNvSpPr>
            <a:spLocks/>
          </xdr:cNvSpPr>
        </xdr:nvSpPr>
        <xdr:spPr>
          <a:xfrm>
            <a:off x="18825592" y="5226189"/>
            <a:ext cx="2139588" cy="1065599"/>
          </a:xfrm>
          <a:prstGeom prst="rect">
            <a:avLst/>
          </a:prstGeom>
          <a:noFill/>
          <a:ln w="3175">
            <a:solidFill>
              <a:schemeClr val="accent1">
                <a:lumMod val="60000"/>
                <a:lumOff val="40000"/>
                <a:alpha val="92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100" b="1" i="0" u="none" strike="noStrike">
              <a:solidFill>
                <a:srgbClr val="0070B8"/>
              </a:solidFill>
              <a:latin typeface="Calibri"/>
              <a:cs typeface="Calibri"/>
            </a:endParaRPr>
          </a:p>
        </xdr:txBody>
      </xdr:sp>
      <xdr:sp macro="[0]!UniversalChanger" textlink="">
        <xdr:nvSpPr>
          <xdr:cNvPr id="12" name="Zoom_9">
            <a:extLst>
              <a:ext uri="{FF2B5EF4-FFF2-40B4-BE49-F238E27FC236}">
                <a16:creationId xmlns:a16="http://schemas.microsoft.com/office/drawing/2014/main" id="{00000000-0008-0000-0800-00000C000000}"/>
              </a:ext>
            </a:extLst>
          </xdr:cNvPr>
          <xdr:cNvSpPr>
            <a:spLocks/>
          </xdr:cNvSpPr>
        </xdr:nvSpPr>
        <xdr:spPr>
          <a:xfrm>
            <a:off x="12392025" y="4160465"/>
            <a:ext cx="2139588" cy="1065599"/>
          </a:xfrm>
          <a:prstGeom prst="rect">
            <a:avLst/>
          </a:prstGeom>
          <a:noFill/>
          <a:ln w="3175">
            <a:solidFill>
              <a:schemeClr val="accent1">
                <a:lumMod val="60000"/>
                <a:lumOff val="40000"/>
                <a:alpha val="92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100" b="1" i="0" u="none" strike="noStrike">
              <a:solidFill>
                <a:srgbClr val="0070B8"/>
              </a:solidFill>
              <a:latin typeface="Calibri"/>
              <a:cs typeface="Calibri"/>
            </a:endParaRPr>
          </a:p>
        </xdr:txBody>
      </xdr:sp>
      <xdr:sp macro="[0]!UniversalChanger" textlink="">
        <xdr:nvSpPr>
          <xdr:cNvPr id="13" name="Zoom_10">
            <a:extLst>
              <a:ext uri="{FF2B5EF4-FFF2-40B4-BE49-F238E27FC236}">
                <a16:creationId xmlns:a16="http://schemas.microsoft.com/office/drawing/2014/main" id="{00000000-0008-0000-0800-00000D000000}"/>
              </a:ext>
            </a:extLst>
          </xdr:cNvPr>
          <xdr:cNvSpPr>
            <a:spLocks/>
          </xdr:cNvSpPr>
        </xdr:nvSpPr>
        <xdr:spPr>
          <a:xfrm>
            <a:off x="14537739" y="4160465"/>
            <a:ext cx="2139588" cy="1065599"/>
          </a:xfrm>
          <a:prstGeom prst="rect">
            <a:avLst/>
          </a:prstGeom>
          <a:noFill/>
          <a:ln w="3175">
            <a:solidFill>
              <a:schemeClr val="accent1">
                <a:lumMod val="60000"/>
                <a:lumOff val="40000"/>
                <a:alpha val="92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100" b="1" i="0" u="none" strike="noStrike">
              <a:solidFill>
                <a:srgbClr val="0070B8"/>
              </a:solidFill>
              <a:latin typeface="Calibri"/>
              <a:cs typeface="Calibri"/>
            </a:endParaRPr>
          </a:p>
        </xdr:txBody>
      </xdr:sp>
      <xdr:sp macro="[0]!UniversalChanger" textlink="">
        <xdr:nvSpPr>
          <xdr:cNvPr id="14" name="Zoom_11">
            <a:extLst>
              <a:ext uri="{FF2B5EF4-FFF2-40B4-BE49-F238E27FC236}">
                <a16:creationId xmlns:a16="http://schemas.microsoft.com/office/drawing/2014/main" id="{00000000-0008-0000-0800-00000E000000}"/>
              </a:ext>
            </a:extLst>
          </xdr:cNvPr>
          <xdr:cNvSpPr>
            <a:spLocks/>
          </xdr:cNvSpPr>
        </xdr:nvSpPr>
        <xdr:spPr>
          <a:xfrm>
            <a:off x="16681937" y="4160465"/>
            <a:ext cx="2139588" cy="1065599"/>
          </a:xfrm>
          <a:prstGeom prst="rect">
            <a:avLst/>
          </a:prstGeom>
          <a:noFill/>
          <a:ln w="3175">
            <a:solidFill>
              <a:schemeClr val="accent1">
                <a:lumMod val="60000"/>
                <a:lumOff val="40000"/>
                <a:alpha val="92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100" b="1" i="0" u="none" strike="noStrike">
              <a:solidFill>
                <a:srgbClr val="0070B8"/>
              </a:solidFill>
              <a:latin typeface="Calibri"/>
              <a:cs typeface="Calibri"/>
            </a:endParaRPr>
          </a:p>
        </xdr:txBody>
      </xdr:sp>
      <xdr:sp macro="[0]!UniversalChanger" textlink="">
        <xdr:nvSpPr>
          <xdr:cNvPr id="15" name="Zoom_12">
            <a:extLst>
              <a:ext uri="{FF2B5EF4-FFF2-40B4-BE49-F238E27FC236}">
                <a16:creationId xmlns:a16="http://schemas.microsoft.com/office/drawing/2014/main" id="{00000000-0008-0000-0800-00000F000000}"/>
              </a:ext>
            </a:extLst>
          </xdr:cNvPr>
          <xdr:cNvSpPr>
            <a:spLocks/>
          </xdr:cNvSpPr>
        </xdr:nvSpPr>
        <xdr:spPr>
          <a:xfrm>
            <a:off x="18825592" y="4160465"/>
            <a:ext cx="2139588" cy="1065599"/>
          </a:xfrm>
          <a:prstGeom prst="rect">
            <a:avLst/>
          </a:prstGeom>
          <a:noFill/>
          <a:ln w="3175">
            <a:solidFill>
              <a:schemeClr val="accent1">
                <a:lumMod val="60000"/>
                <a:lumOff val="40000"/>
                <a:alpha val="92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100" b="1" i="0" u="none" strike="noStrike">
              <a:solidFill>
                <a:srgbClr val="0070B8"/>
              </a:solidFill>
              <a:latin typeface="Calibri"/>
              <a:cs typeface="Calibri"/>
            </a:endParaRPr>
          </a:p>
        </xdr:txBody>
      </xdr:sp>
      <xdr:sp macro="[0]!UniversalChanger" textlink="">
        <xdr:nvSpPr>
          <xdr:cNvPr id="16" name="Zoom_13">
            <a:extLst>
              <a:ext uri="{FF2B5EF4-FFF2-40B4-BE49-F238E27FC236}">
                <a16:creationId xmlns:a16="http://schemas.microsoft.com/office/drawing/2014/main" id="{00000000-0008-0000-0800-000010000000}"/>
              </a:ext>
            </a:extLst>
          </xdr:cNvPr>
          <xdr:cNvSpPr>
            <a:spLocks/>
          </xdr:cNvSpPr>
        </xdr:nvSpPr>
        <xdr:spPr>
          <a:xfrm>
            <a:off x="12392025" y="3095627"/>
            <a:ext cx="2139588" cy="1065599"/>
          </a:xfrm>
          <a:prstGeom prst="rect">
            <a:avLst/>
          </a:prstGeom>
          <a:noFill/>
          <a:ln w="3175">
            <a:solidFill>
              <a:schemeClr val="accent1">
                <a:lumMod val="60000"/>
                <a:lumOff val="40000"/>
                <a:alpha val="92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100" b="1" i="0" u="none" strike="noStrike">
              <a:solidFill>
                <a:srgbClr val="0070B8"/>
              </a:solidFill>
              <a:latin typeface="Calibri"/>
              <a:cs typeface="Calibri"/>
            </a:endParaRPr>
          </a:p>
        </xdr:txBody>
      </xdr:sp>
      <xdr:sp macro="[0]!UniversalChanger" textlink="">
        <xdr:nvSpPr>
          <xdr:cNvPr id="17" name="Zoom_14">
            <a:extLst>
              <a:ext uri="{FF2B5EF4-FFF2-40B4-BE49-F238E27FC236}">
                <a16:creationId xmlns:a16="http://schemas.microsoft.com/office/drawing/2014/main" id="{00000000-0008-0000-0800-000011000000}"/>
              </a:ext>
            </a:extLst>
          </xdr:cNvPr>
          <xdr:cNvSpPr>
            <a:spLocks/>
          </xdr:cNvSpPr>
        </xdr:nvSpPr>
        <xdr:spPr>
          <a:xfrm>
            <a:off x="14537739" y="3095627"/>
            <a:ext cx="2139588" cy="1065599"/>
          </a:xfrm>
          <a:prstGeom prst="rect">
            <a:avLst/>
          </a:prstGeom>
          <a:noFill/>
          <a:ln w="3175">
            <a:solidFill>
              <a:schemeClr val="accent1">
                <a:lumMod val="60000"/>
                <a:lumOff val="40000"/>
                <a:alpha val="92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100" b="1" i="0" u="none" strike="noStrike">
              <a:solidFill>
                <a:srgbClr val="0070B8"/>
              </a:solidFill>
              <a:latin typeface="Calibri"/>
              <a:cs typeface="Calibri"/>
            </a:endParaRPr>
          </a:p>
        </xdr:txBody>
      </xdr:sp>
      <xdr:sp macro="[0]!UniversalChanger" textlink="">
        <xdr:nvSpPr>
          <xdr:cNvPr id="18" name="Zoom_15">
            <a:extLst>
              <a:ext uri="{FF2B5EF4-FFF2-40B4-BE49-F238E27FC236}">
                <a16:creationId xmlns:a16="http://schemas.microsoft.com/office/drawing/2014/main" id="{00000000-0008-0000-0800-000012000000}"/>
              </a:ext>
            </a:extLst>
          </xdr:cNvPr>
          <xdr:cNvSpPr>
            <a:spLocks/>
          </xdr:cNvSpPr>
        </xdr:nvSpPr>
        <xdr:spPr>
          <a:xfrm>
            <a:off x="16681778" y="3095627"/>
            <a:ext cx="2139588" cy="1065599"/>
          </a:xfrm>
          <a:prstGeom prst="rect">
            <a:avLst/>
          </a:prstGeom>
          <a:noFill/>
          <a:ln w="3175">
            <a:solidFill>
              <a:schemeClr val="accent1">
                <a:lumMod val="60000"/>
                <a:lumOff val="40000"/>
                <a:alpha val="92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100" b="1" i="0" u="none" strike="noStrike">
              <a:solidFill>
                <a:srgbClr val="0070B8"/>
              </a:solidFill>
              <a:latin typeface="Calibri"/>
              <a:cs typeface="Calibri"/>
            </a:endParaRPr>
          </a:p>
        </xdr:txBody>
      </xdr:sp>
      <xdr:sp macro="[0]!UniversalChanger" textlink="">
        <xdr:nvSpPr>
          <xdr:cNvPr id="19" name="Zoom_16">
            <a:extLst>
              <a:ext uri="{FF2B5EF4-FFF2-40B4-BE49-F238E27FC236}">
                <a16:creationId xmlns:a16="http://schemas.microsoft.com/office/drawing/2014/main" id="{00000000-0008-0000-0800-000013000000}"/>
              </a:ext>
            </a:extLst>
          </xdr:cNvPr>
          <xdr:cNvSpPr>
            <a:spLocks/>
          </xdr:cNvSpPr>
        </xdr:nvSpPr>
        <xdr:spPr>
          <a:xfrm>
            <a:off x="18825592" y="3095627"/>
            <a:ext cx="2139588" cy="1065599"/>
          </a:xfrm>
          <a:prstGeom prst="rect">
            <a:avLst/>
          </a:prstGeom>
          <a:noFill/>
          <a:ln w="3175">
            <a:solidFill>
              <a:schemeClr val="accent1">
                <a:lumMod val="60000"/>
                <a:lumOff val="40000"/>
                <a:alpha val="92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100" b="1" i="0" u="none" strike="noStrike">
              <a:solidFill>
                <a:srgbClr val="0070B8"/>
              </a:solidFill>
              <a:latin typeface="Calibri"/>
              <a:cs typeface="Calibri"/>
            </a:endParaRPr>
          </a:p>
        </xdr:txBody>
      </xdr:sp>
    </xdr:grpSp>
    <xdr:clientData fPrintsWithSheet="0"/>
  </xdr:twoCellAnchor>
  <xdr:twoCellAnchor>
    <xdr:from>
      <xdr:col>0</xdr:col>
      <xdr:colOff>126997</xdr:colOff>
      <xdr:row>10</xdr:row>
      <xdr:rowOff>63500</xdr:rowOff>
    </xdr:from>
    <xdr:to>
      <xdr:col>18</xdr:col>
      <xdr:colOff>84667</xdr:colOff>
      <xdr:row>47</xdr:row>
      <xdr:rowOff>46564</xdr:rowOff>
    </xdr:to>
    <xdr:sp macro="" textlink="">
      <xdr:nvSpPr>
        <xdr:cNvPr id="20" name="BGBLANK" hidden="1">
          <a:extLst>
            <a:ext uri="{FF2B5EF4-FFF2-40B4-BE49-F238E27FC236}">
              <a16:creationId xmlns:a16="http://schemas.microsoft.com/office/drawing/2014/main" id="{00000000-0008-0000-0800-000014000000}"/>
            </a:ext>
          </a:extLst>
        </xdr:cNvPr>
        <xdr:cNvSpPr/>
      </xdr:nvSpPr>
      <xdr:spPr>
        <a:xfrm>
          <a:off x="117472" y="1273175"/>
          <a:ext cx="10920945" cy="78411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endParaRPr lang="en-GB" sz="1800">
            <a:solidFill>
              <a:sysClr val="windowText" lastClr="000000"/>
            </a:solidFill>
          </a:endParaRPr>
        </a:p>
        <a:p>
          <a:pPr fontAlgn="base"/>
          <a:r>
            <a:rPr lang="en-GB" sz="2000">
              <a:solidFill>
                <a:schemeClr val="tx1">
                  <a:lumMod val="50000"/>
                  <a:lumOff val="50000"/>
                </a:schemeClr>
              </a:solidFill>
              <a:latin typeface="+mn-lt"/>
              <a:ea typeface="+mn-ea"/>
              <a:cs typeface="+mn-cs"/>
            </a:rPr>
            <a:t>An overall score for background indicators is not calculated</a:t>
          </a:r>
          <a:endParaRPr lang="en-GB" sz="2000" baseline="0">
            <a:solidFill>
              <a:schemeClr val="tx1">
                <a:lumMod val="50000"/>
                <a:lumOff val="50000"/>
              </a:schemeClr>
            </a:solidFill>
            <a:latin typeface="+mn-lt"/>
            <a:ea typeface="+mn-ea"/>
            <a:cs typeface="+mn-cs"/>
          </a:endParaRPr>
        </a:p>
        <a:p>
          <a:endParaRPr lang="en-GB" sz="1200">
            <a:solidFill>
              <a:schemeClr val="tx1">
                <a:lumMod val="50000"/>
                <a:lumOff val="50000"/>
              </a:schemeClr>
            </a:solidFill>
            <a:latin typeface="+mn-lt"/>
            <a:ea typeface="+mn-ea"/>
            <a:cs typeface="+mn-cs"/>
          </a:endParaRPr>
        </a:p>
        <a:p>
          <a:r>
            <a:rPr lang="en-GB" sz="1200">
              <a:solidFill>
                <a:schemeClr val="tx1">
                  <a:lumMod val="50000"/>
                  <a:lumOff val="50000"/>
                </a:schemeClr>
              </a:solidFill>
              <a:latin typeface="+mn-lt"/>
              <a:ea typeface="+mn-ea"/>
              <a:cs typeface="+mn-cs"/>
            </a:rPr>
            <a:t>Please select a specific background indicator to see country rankings.</a:t>
          </a:r>
          <a:endParaRPr lang="en-GB" sz="2000">
            <a:solidFill>
              <a:schemeClr val="tx1">
                <a:lumMod val="50000"/>
                <a:lumOff val="50000"/>
              </a:schemeClr>
            </a:solidFill>
          </a:endParaRPr>
        </a:p>
        <a:p>
          <a:pPr algn="l"/>
          <a:endParaRPr lang="en-GB" sz="1200">
            <a:solidFill>
              <a:schemeClr val="bg1">
                <a:lumMod val="50000"/>
              </a:schemeClr>
            </a:solidFill>
          </a:endParaRPr>
        </a:p>
      </xdr:txBody>
    </xdr:sp>
    <xdr:clientData/>
  </xdr:twoCellAnchor>
  <xdr:twoCellAnchor editAs="oneCell">
    <xdr:from>
      <xdr:col>1</xdr:col>
      <xdr:colOff>800101</xdr:colOff>
      <xdr:row>37</xdr:row>
      <xdr:rowOff>78765</xdr:rowOff>
    </xdr:from>
    <xdr:to>
      <xdr:col>14</xdr:col>
      <xdr:colOff>180975</xdr:colOff>
      <xdr:row>40</xdr:row>
      <xdr:rowOff>169038</xdr:rowOff>
    </xdr:to>
    <xdr:sp macro="" textlink="">
      <xdr:nvSpPr>
        <xdr:cNvPr id="21" name="Text Box 54">
          <a:extLst>
            <a:ext uri="{FF2B5EF4-FFF2-40B4-BE49-F238E27FC236}">
              <a16:creationId xmlns:a16="http://schemas.microsoft.com/office/drawing/2014/main" id="{00000000-0008-0000-0800-000015000000}"/>
            </a:ext>
          </a:extLst>
        </xdr:cNvPr>
        <xdr:cNvSpPr txBox="1">
          <a:spLocks noChangeArrowheads="1"/>
        </xdr:cNvSpPr>
      </xdr:nvSpPr>
      <xdr:spPr bwMode="auto">
        <a:xfrm>
          <a:off x="914401" y="7203465"/>
          <a:ext cx="8505824" cy="699873"/>
        </a:xfrm>
        <a:prstGeom prst="rect">
          <a:avLst/>
        </a:prstGeom>
        <a:solidFill>
          <a:schemeClr val="bg1">
            <a:lumMod val="85000"/>
          </a:schemeClr>
        </a:solidFill>
        <a:ln w="9525">
          <a:noFill/>
          <a:miter lim="800000"/>
          <a:headEnd/>
          <a:tailEnd/>
        </a:ln>
      </xdr:spPr>
      <xdr:txBody>
        <a:bodyPr vertOverflow="clip" wrap="square" lIns="27432" tIns="22860" rIns="0" bIns="0" anchor="t" upright="1"/>
        <a:lstStyle/>
        <a:p>
          <a:pPr marL="36000" algn="l" rtl="0">
            <a:spcBef>
              <a:spcPts val="0"/>
            </a:spcBef>
            <a:defRPr sz="1000"/>
          </a:pPr>
          <a:r>
            <a:rPr lang="en-GB" sz="1000" i="1">
              <a:effectLst/>
              <a:latin typeface="+mn-lt"/>
              <a:ea typeface="+mn-ea"/>
              <a:cs typeface="+mn-cs"/>
            </a:rPr>
            <a:t>The scatter chart above shows the extent of correlation, if any, between the two indicators selected. Correlation (X,Y) shows the linear correlation coefficient of the two indicators, where -1 = perfect negative correlation, 0 = no correlation and 1 = perfect positive correlation. This is calculated using a correlation equation (see right for the equation). If no correlation exists between the two indicators, data points appear randomly scattered across the chart. If a high correlation exists, data points are concentrated near a straight line. The scatter plot is a useful data visualization tool for illustrating a trend.</a:t>
          </a:r>
          <a:endParaRPr lang="en-US" sz="1050" b="0" i="1" u="none" strike="noStrike" baseline="0">
            <a:solidFill>
              <a:srgbClr val="000000"/>
            </a:solidFill>
            <a:latin typeface="Calibri"/>
          </a:endParaRPr>
        </a:p>
      </xdr:txBody>
    </xdr:sp>
    <xdr:clientData/>
  </xdr:twoCellAnchor>
  <xdr:twoCellAnchor editAs="oneCell">
    <xdr:from>
      <xdr:col>14</xdr:col>
      <xdr:colOff>324918</xdr:colOff>
      <xdr:row>37</xdr:row>
      <xdr:rowOff>187062</xdr:rowOff>
    </xdr:from>
    <xdr:to>
      <xdr:col>18</xdr:col>
      <xdr:colOff>612993</xdr:colOff>
      <xdr:row>40</xdr:row>
      <xdr:rowOff>113574</xdr:rowOff>
    </xdr:to>
    <xdr:pic>
      <xdr:nvPicPr>
        <xdr:cNvPr id="22" name="Picture 55" descr="ZA006051129">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64168" y="7311762"/>
          <a:ext cx="2002575" cy="536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410775</xdr:colOff>
      <xdr:row>27</xdr:row>
      <xdr:rowOff>123825</xdr:rowOff>
    </xdr:from>
    <xdr:to>
      <xdr:col>18</xdr:col>
      <xdr:colOff>676275</xdr:colOff>
      <xdr:row>30</xdr:row>
      <xdr:rowOff>126181</xdr:rowOff>
    </xdr:to>
    <xdr:sp macro="" textlink="">
      <xdr:nvSpPr>
        <xdr:cNvPr id="23" name="TextBox 22">
          <a:extLst>
            <a:ext uri="{FF2B5EF4-FFF2-40B4-BE49-F238E27FC236}">
              <a16:creationId xmlns:a16="http://schemas.microsoft.com/office/drawing/2014/main" id="{00000000-0008-0000-0800-000017000000}"/>
            </a:ext>
          </a:extLst>
        </xdr:cNvPr>
        <xdr:cNvSpPr txBox="1"/>
      </xdr:nvSpPr>
      <xdr:spPr>
        <a:xfrm>
          <a:off x="9650025" y="5153025"/>
          <a:ext cx="1980000" cy="631006"/>
        </a:xfrm>
        <a:prstGeom prst="rect">
          <a:avLst/>
        </a:prstGeom>
        <a:solidFill>
          <a:sysClr val="window" lastClr="FFFFFF"/>
        </a:solidFill>
        <a:ln w="9525" cmpd="sng">
          <a:solidFill>
            <a:srgbClr val="0F8EC7"/>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1100" b="1" i="0" u="none" strike="noStrike">
              <a:solidFill>
                <a:schemeClr val="dk1"/>
              </a:solidFill>
              <a:latin typeface="+mn-lt"/>
              <a:ea typeface="+mn-ea"/>
              <a:cs typeface="+mn-cs"/>
            </a:rPr>
            <a:t>CORRELATION(X,Y)</a:t>
          </a:r>
          <a:r>
            <a:rPr lang="en-GB" sz="1100" b="0" i="0" u="none" strike="noStrike">
              <a:solidFill>
                <a:schemeClr val="dk1"/>
              </a:solidFill>
              <a:latin typeface="+mn-lt"/>
              <a:ea typeface="+mn-ea"/>
              <a:cs typeface="+mn-cs"/>
            </a:rPr>
            <a:t>: </a:t>
          </a:r>
          <a:r>
            <a:rPr lang="en-GB" sz="1100">
              <a:solidFill>
                <a:schemeClr val="dk1"/>
              </a:solidFill>
              <a:latin typeface="+mn-lt"/>
              <a:ea typeface="+mn-ea"/>
              <a:cs typeface="+mn-cs"/>
            </a:rPr>
            <a:t>Note, correlation does not prove causation</a:t>
          </a:r>
          <a:r>
            <a:rPr lang="en-GB" sz="1100"/>
            <a:t>. </a:t>
          </a:r>
        </a:p>
      </xdr:txBody>
    </xdr:sp>
    <xdr:clientData fPrintsWithSheet="0"/>
  </xdr:twoCellAnchor>
  <xdr:twoCellAnchor editAs="oneCell">
    <xdr:from>
      <xdr:col>0</xdr:col>
      <xdr:colOff>112121</xdr:colOff>
      <xdr:row>41</xdr:row>
      <xdr:rowOff>180822</xdr:rowOff>
    </xdr:from>
    <xdr:to>
      <xdr:col>1</xdr:col>
      <xdr:colOff>809612</xdr:colOff>
      <xdr:row>42</xdr:row>
      <xdr:rowOff>159462</xdr:rowOff>
    </xdr:to>
    <xdr:sp macro="[0]!UniversalChanger" textlink="">
      <xdr:nvSpPr>
        <xdr:cNvPr id="24" name="go_top_B">
          <a:extLst>
            <a:ext uri="{FF2B5EF4-FFF2-40B4-BE49-F238E27FC236}">
              <a16:creationId xmlns:a16="http://schemas.microsoft.com/office/drawing/2014/main" id="{00000000-0008-0000-0800-000018000000}"/>
            </a:ext>
          </a:extLst>
        </xdr:cNvPr>
        <xdr:cNvSpPr txBox="1"/>
      </xdr:nvSpPr>
      <xdr:spPr>
        <a:xfrm>
          <a:off x="112121" y="8105622"/>
          <a:ext cx="811791" cy="169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l" rtl="0">
            <a:defRPr sz="1000"/>
          </a:pPr>
          <a:r>
            <a:rPr lang="en-GB" sz="1100" b="1" i="0" u="sng" strike="noStrike" baseline="0">
              <a:solidFill>
                <a:srgbClr val="0070C0"/>
              </a:solidFill>
              <a:latin typeface="Karla" pitchFamily="2" charset="0"/>
              <a:ea typeface="Karla" pitchFamily="2" charset="0"/>
            </a:rPr>
            <a:t>Back to top</a:t>
          </a:r>
        </a:p>
      </xdr:txBody>
    </xdr:sp>
    <xdr:clientData fPrintsWithSheet="0"/>
  </xdr:twoCellAnchor>
  <xdr:twoCellAnchor editAs="oneCell">
    <xdr:from>
      <xdr:col>1</xdr:col>
      <xdr:colOff>1590675</xdr:colOff>
      <xdr:row>12</xdr:row>
      <xdr:rowOff>1</xdr:rowOff>
    </xdr:from>
    <xdr:to>
      <xdr:col>12</xdr:col>
      <xdr:colOff>419100</xdr:colOff>
      <xdr:row>13</xdr:row>
      <xdr:rowOff>152401</xdr:rowOff>
    </xdr:to>
    <xdr:sp macro="" textlink="">
      <xdr:nvSpPr>
        <xdr:cNvPr id="25" name="TextBox 24">
          <a:extLst>
            <a:ext uri="{FF2B5EF4-FFF2-40B4-BE49-F238E27FC236}">
              <a16:creationId xmlns:a16="http://schemas.microsoft.com/office/drawing/2014/main" id="{00000000-0008-0000-0800-000019000000}"/>
            </a:ext>
          </a:extLst>
        </xdr:cNvPr>
        <xdr:cNvSpPr txBox="1">
          <a:spLocks noChangeArrowheads="1"/>
        </xdr:cNvSpPr>
      </xdr:nvSpPr>
      <xdr:spPr bwMode="auto">
        <a:xfrm>
          <a:off x="1704975" y="2019301"/>
          <a:ext cx="6858000" cy="247650"/>
        </a:xfrm>
        <a:prstGeom prst="rect">
          <a:avLst/>
        </a:prstGeom>
        <a:solidFill>
          <a:schemeClr val="bg1">
            <a:lumMod val="50000"/>
          </a:schemeClr>
        </a:solidFill>
        <a:ln w="9525">
          <a:solidFill>
            <a:srgbClr val="BCBCBC"/>
          </a:solidFill>
          <a:miter lim="800000"/>
          <a:headEnd/>
          <a:tailEnd/>
        </a:ln>
      </xdr:spPr>
      <xdr:txBody>
        <a:bodyPr vertOverflow="clip" wrap="square" lIns="144000" tIns="144000" rIns="144000" bIns="144000" anchor="ctr" upright="1"/>
        <a:lstStyle/>
        <a:p>
          <a:pPr marL="0" algn="ctr"/>
          <a:r>
            <a:rPr lang="en-US" sz="900" b="0" i="0" u="none" strike="noStrike">
              <a:solidFill>
                <a:schemeClr val="bg1"/>
              </a:solidFill>
              <a:effectLst/>
              <a:latin typeface="Calibri"/>
              <a:ea typeface="+mn-ea"/>
              <a:cs typeface="Calibri"/>
            </a:rPr>
            <a:t>Click</a:t>
          </a:r>
          <a:r>
            <a:rPr lang="en-US" sz="900" b="0" i="0" u="none" strike="noStrike" baseline="0">
              <a:solidFill>
                <a:schemeClr val="bg1"/>
              </a:solidFill>
              <a:effectLst/>
              <a:latin typeface="Calibri"/>
              <a:ea typeface="+mn-ea"/>
              <a:cs typeface="Calibri"/>
            </a:rPr>
            <a:t> on a rectangle to zoom in, click again to zoom out or use reset button. Works best when sheet is zoomed to 100%.</a:t>
          </a:r>
          <a:endParaRPr lang="en-US" sz="900" b="0" i="0" u="none" strike="noStrike">
            <a:solidFill>
              <a:schemeClr val="bg1"/>
            </a:solidFill>
            <a:effectLst/>
            <a:latin typeface="Calibri"/>
            <a:ea typeface="+mn-ea"/>
            <a:cs typeface="Calibri"/>
          </a:endParaRPr>
        </a:p>
      </xdr:txBody>
    </xdr:sp>
    <xdr:clientData fPrintsWithSheet="0"/>
  </xdr:twoCellAnchor>
  <xdr:twoCellAnchor editAs="oneCell">
    <xdr:from>
      <xdr:col>1</xdr:col>
      <xdr:colOff>774001</xdr:colOff>
      <xdr:row>13</xdr:row>
      <xdr:rowOff>194228</xdr:rowOff>
    </xdr:from>
    <xdr:to>
      <xdr:col>14</xdr:col>
      <xdr:colOff>181051</xdr:colOff>
      <xdr:row>34</xdr:row>
      <xdr:rowOff>86553</xdr:rowOff>
    </xdr:to>
    <xdr:sp macro="[0]!UniversalChanger" textlink="">
      <xdr:nvSpPr>
        <xdr:cNvPr id="26" name="Zoom_Out" hidden="1">
          <a:extLst>
            <a:ext uri="{FF2B5EF4-FFF2-40B4-BE49-F238E27FC236}">
              <a16:creationId xmlns:a16="http://schemas.microsoft.com/office/drawing/2014/main" id="{00000000-0008-0000-0800-00001A000000}"/>
            </a:ext>
          </a:extLst>
        </xdr:cNvPr>
        <xdr:cNvSpPr/>
      </xdr:nvSpPr>
      <xdr:spPr>
        <a:xfrm>
          <a:off x="888301" y="2308778"/>
          <a:ext cx="8532000" cy="4273825"/>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n-GB" sz="1100">
            <a:solidFill>
              <a:sysClr val="windowText" lastClr="000000"/>
            </a:solidFill>
          </a:endParaRPr>
        </a:p>
      </xdr:txBody>
    </xdr:sp>
    <xdr:clientData fPrintsWithSheet="0"/>
  </xdr:twoCellAnchor>
  <xdr:twoCellAnchor editAs="oneCell">
    <xdr:from>
      <xdr:col>0</xdr:col>
      <xdr:colOff>57150</xdr:colOff>
      <xdr:row>9</xdr:row>
      <xdr:rowOff>57150</xdr:rowOff>
    </xdr:from>
    <xdr:to>
      <xdr:col>18</xdr:col>
      <xdr:colOff>790575</xdr:colOff>
      <xdr:row>43</xdr:row>
      <xdr:rowOff>1</xdr:rowOff>
    </xdr:to>
    <xdr:sp macro="" textlink="">
      <xdr:nvSpPr>
        <xdr:cNvPr id="27" name="LeftBox1">
          <a:extLst>
            <a:ext uri="{FF2B5EF4-FFF2-40B4-BE49-F238E27FC236}">
              <a16:creationId xmlns:a16="http://schemas.microsoft.com/office/drawing/2014/main" id="{00000000-0008-0000-0800-00001B000000}"/>
            </a:ext>
          </a:extLst>
        </xdr:cNvPr>
        <xdr:cNvSpPr>
          <a:spLocks/>
        </xdr:cNvSpPr>
      </xdr:nvSpPr>
      <xdr:spPr>
        <a:xfrm>
          <a:off x="57150" y="1143000"/>
          <a:ext cx="11687175" cy="7162801"/>
        </a:xfrm>
        <a:prstGeom prst="rect">
          <a:avLst/>
        </a:prstGeom>
        <a:noFill/>
        <a:ln w="6350">
          <a:solidFill>
            <a:srgbClr val="005E9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400" b="1" i="0" u="none" strike="noStrike">
            <a:solidFill>
              <a:schemeClr val="accent1">
                <a:lumMod val="60000"/>
                <a:lumOff val="40000"/>
              </a:schemeClr>
            </a:solidFill>
            <a:latin typeface="Calibri"/>
            <a:cs typeface="Calibri"/>
          </a:endParaRPr>
        </a:p>
      </xdr:txBody>
    </xdr:sp>
    <xdr:clientData/>
  </xdr:twoCellAnchor>
  <xdr:twoCellAnchor editAs="oneCell">
    <xdr:from>
      <xdr:col>14</xdr:col>
      <xdr:colOff>114300</xdr:colOff>
      <xdr:row>10</xdr:row>
      <xdr:rowOff>57150</xdr:rowOff>
    </xdr:from>
    <xdr:to>
      <xdr:col>51</xdr:col>
      <xdr:colOff>85721</xdr:colOff>
      <xdr:row>24</xdr:row>
      <xdr:rowOff>95250</xdr:rowOff>
    </xdr:to>
    <xdr:grpSp>
      <xdr:nvGrpSpPr>
        <xdr:cNvPr id="28" name="C_SELECTION">
          <a:extLst>
            <a:ext uri="{FF2B5EF4-FFF2-40B4-BE49-F238E27FC236}">
              <a16:creationId xmlns:a16="http://schemas.microsoft.com/office/drawing/2014/main" id="{00000000-0008-0000-0800-00001C000000}"/>
            </a:ext>
          </a:extLst>
        </xdr:cNvPr>
        <xdr:cNvGrpSpPr/>
      </xdr:nvGrpSpPr>
      <xdr:grpSpPr>
        <a:xfrm>
          <a:off x="9344025" y="1971675"/>
          <a:ext cx="2543171" cy="3228975"/>
          <a:chOff x="9344024" y="1476370"/>
          <a:chExt cx="2571767" cy="3228976"/>
        </a:xfrm>
      </xdr:grpSpPr>
      <xdr:sp macro="" textlink="">
        <xdr:nvSpPr>
          <xdr:cNvPr id="29" name="lbl_cnt_City_1">
            <a:extLst>
              <a:ext uri="{FF2B5EF4-FFF2-40B4-BE49-F238E27FC236}">
                <a16:creationId xmlns:a16="http://schemas.microsoft.com/office/drawing/2014/main" id="{00000000-0008-0000-0800-00001D000000}"/>
              </a:ext>
            </a:extLst>
          </xdr:cNvPr>
          <xdr:cNvSpPr txBox="1"/>
        </xdr:nvSpPr>
        <xdr:spPr>
          <a:xfrm>
            <a:off x="9926015" y="2244074"/>
            <a:ext cx="1692014" cy="222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US" sz="1000" b="1"/>
              <a:t>CITY HIGHLIGHT (red dot)</a:t>
            </a:r>
          </a:p>
        </xdr:txBody>
      </xdr:sp>
      <xdr:sp macro="" textlink="">
        <xdr:nvSpPr>
          <xdr:cNvPr id="30" name="lbl_cnt_City_1">
            <a:extLst>
              <a:ext uri="{FF2B5EF4-FFF2-40B4-BE49-F238E27FC236}">
                <a16:creationId xmlns:a16="http://schemas.microsoft.com/office/drawing/2014/main" id="{00000000-0008-0000-0800-00001E000000}"/>
              </a:ext>
            </a:extLst>
          </xdr:cNvPr>
          <xdr:cNvSpPr txBox="1"/>
        </xdr:nvSpPr>
        <xdr:spPr>
          <a:xfrm>
            <a:off x="9344024" y="2795965"/>
            <a:ext cx="2276208" cy="235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US" sz="1000" b="1"/>
              <a:t>GROUP HIGHLIGHT (yellow diamonds)</a:t>
            </a:r>
          </a:p>
        </xdr:txBody>
      </xdr:sp>
      <xdr:sp macro="" textlink="">
        <xdr:nvSpPr>
          <xdr:cNvPr id="31" name="lbl_cnt_City_1">
            <a:extLst>
              <a:ext uri="{FF2B5EF4-FFF2-40B4-BE49-F238E27FC236}">
                <a16:creationId xmlns:a16="http://schemas.microsoft.com/office/drawing/2014/main" id="{00000000-0008-0000-0800-00001F000000}"/>
              </a:ext>
            </a:extLst>
          </xdr:cNvPr>
          <xdr:cNvSpPr txBox="1"/>
        </xdr:nvSpPr>
        <xdr:spPr>
          <a:xfrm>
            <a:off x="9979741" y="3798361"/>
            <a:ext cx="1618302" cy="254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000" b="1">
                <a:solidFill>
                  <a:sysClr val="windowText" lastClr="000000"/>
                </a:solidFill>
              </a:rPr>
              <a:t>CITY LABELS</a:t>
            </a:r>
            <a:endParaRPr lang="en-GB" sz="1100" b="1">
              <a:solidFill>
                <a:sysClr val="windowText" lastClr="000000"/>
              </a:solidFill>
            </a:endParaRPr>
          </a:p>
        </xdr:txBody>
      </xdr:sp>
      <xdr:sp macro="" textlink="">
        <xdr:nvSpPr>
          <xdr:cNvPr id="32" name="lbl_cnt_City_1">
            <a:extLst>
              <a:ext uri="{FF2B5EF4-FFF2-40B4-BE49-F238E27FC236}">
                <a16:creationId xmlns:a16="http://schemas.microsoft.com/office/drawing/2014/main" id="{00000000-0008-0000-0800-000020000000}"/>
              </a:ext>
            </a:extLst>
          </xdr:cNvPr>
          <xdr:cNvSpPr txBox="1"/>
        </xdr:nvSpPr>
        <xdr:spPr>
          <a:xfrm>
            <a:off x="10942843" y="4287179"/>
            <a:ext cx="663686" cy="227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r>
              <a:rPr lang="en-GB" sz="1000" b="1">
                <a:solidFill>
                  <a:sysClr val="windowText" lastClr="000000"/>
                </a:solidFill>
              </a:rPr>
              <a:t>OUTLIERS</a:t>
            </a:r>
            <a:endParaRPr lang="en-GB" sz="1100" b="1">
              <a:solidFill>
                <a:sysClr val="windowText" lastClr="000000"/>
              </a:solidFill>
            </a:endParaRPr>
          </a:p>
        </xdr:txBody>
      </xdr:sp>
      <xdr:pic macro="[0]!UniversalChanger">
        <xdr:nvPicPr>
          <xdr:cNvPr id="33" name="C_HL_UP" descr="scroll_up_small.png">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3" cstate="print"/>
          <a:stretch>
            <a:fillRect/>
          </a:stretch>
        </xdr:blipFill>
        <xdr:spPr>
          <a:xfrm>
            <a:off x="11370781" y="2474985"/>
            <a:ext cx="284159" cy="119545"/>
          </a:xfrm>
          <a:prstGeom prst="rect">
            <a:avLst/>
          </a:prstGeom>
        </xdr:spPr>
      </xdr:pic>
      <xdr:pic macro="[0]!UniversalChanger">
        <xdr:nvPicPr>
          <xdr:cNvPr id="34" name="C_HL_DOWN" descr="scroll_down_small.png">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4" cstate="print"/>
          <a:stretch>
            <a:fillRect/>
          </a:stretch>
        </xdr:blipFill>
        <xdr:spPr>
          <a:xfrm>
            <a:off x="11370781" y="2592645"/>
            <a:ext cx="284079" cy="94674"/>
          </a:xfrm>
          <a:prstGeom prst="rect">
            <a:avLst/>
          </a:prstGeom>
        </xdr:spPr>
      </xdr:pic>
      <mc:AlternateContent xmlns:mc="http://schemas.openxmlformats.org/markup-compatibility/2006">
        <mc:Choice xmlns:a14="http://schemas.microsoft.com/office/drawing/2010/main" Requires="a14">
          <xdr:sp macro="" textlink="">
            <xdr:nvSpPr>
              <xdr:cNvPr id="14501889" name="C_HighLight" hidden="1">
                <a:extLst>
                  <a:ext uri="{63B3BB69-23CF-44E3-9099-C40C66FF867C}">
                    <a14:compatExt spid="_x0000_s14501889"/>
                  </a:ext>
                  <a:ext uri="{FF2B5EF4-FFF2-40B4-BE49-F238E27FC236}">
                    <a16:creationId xmlns:a16="http://schemas.microsoft.com/office/drawing/2014/main" id="{00000000-0008-0000-0800-00000148DD00}"/>
                  </a:ext>
                </a:extLst>
              </xdr:cNvPr>
              <xdr:cNvSpPr/>
            </xdr:nvSpPr>
            <xdr:spPr bwMode="auto">
              <a:xfrm>
                <a:off x="9944100" y="2476500"/>
                <a:ext cx="1438275" cy="209550"/>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4501890" name="Country_Labels" hidden="1">
                <a:extLst>
                  <a:ext uri="{63B3BB69-23CF-44E3-9099-C40C66FF867C}">
                    <a14:compatExt spid="_x0000_s14501890"/>
                  </a:ext>
                  <a:ext uri="{FF2B5EF4-FFF2-40B4-BE49-F238E27FC236}">
                    <a16:creationId xmlns:a16="http://schemas.microsoft.com/office/drawing/2014/main" id="{00000000-0008-0000-0800-00000248DD00}"/>
                  </a:ext>
                </a:extLst>
              </xdr:cNvPr>
              <xdr:cNvSpPr/>
            </xdr:nvSpPr>
            <xdr:spPr bwMode="auto">
              <a:xfrm>
                <a:off x="10487027" y="4010025"/>
                <a:ext cx="1428764" cy="238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Show city labels</a:t>
                </a:r>
              </a:p>
            </xdr:txBody>
          </xdr:sp>
        </mc:Choice>
        <mc:Fallback/>
      </mc:AlternateContent>
      <mc:AlternateContent xmlns:mc="http://schemas.openxmlformats.org/markup-compatibility/2006">
        <mc:Choice xmlns:a14="http://schemas.microsoft.com/office/drawing/2010/main" Requires="a14">
          <xdr:sp macro="" textlink="">
            <xdr:nvSpPr>
              <xdr:cNvPr id="14501891" name="Scatter_Outliers" hidden="1">
                <a:extLst>
                  <a:ext uri="{63B3BB69-23CF-44E3-9099-C40C66FF867C}">
                    <a14:compatExt spid="_x0000_s14501891"/>
                  </a:ext>
                  <a:ext uri="{FF2B5EF4-FFF2-40B4-BE49-F238E27FC236}">
                    <a16:creationId xmlns:a16="http://schemas.microsoft.com/office/drawing/2014/main" id="{00000000-0008-0000-0800-00000348DD00}"/>
                  </a:ext>
                </a:extLst>
              </xdr:cNvPr>
              <xdr:cNvSpPr/>
            </xdr:nvSpPr>
            <xdr:spPr bwMode="auto">
              <a:xfrm>
                <a:off x="10287000" y="4486271"/>
                <a:ext cx="13335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Show outliers (blue dots)</a:t>
                </a:r>
              </a:p>
            </xdr:txBody>
          </xdr:sp>
        </mc:Choice>
        <mc:Fallback/>
      </mc:AlternateContent>
      <mc:AlternateContent xmlns:mc="http://schemas.openxmlformats.org/markup-compatibility/2006">
        <mc:Choice xmlns:a14="http://schemas.microsoft.com/office/drawing/2010/main" Requires="a14">
          <xdr:sp macro="" textlink="">
            <xdr:nvSpPr>
              <xdr:cNvPr id="14501892" name="ResetZoomButton" hidden="1">
                <a:extLst>
                  <a:ext uri="{63B3BB69-23CF-44E3-9099-C40C66FF867C}">
                    <a14:compatExt spid="_x0000_s14501892"/>
                  </a:ext>
                  <a:ext uri="{FF2B5EF4-FFF2-40B4-BE49-F238E27FC236}">
                    <a16:creationId xmlns:a16="http://schemas.microsoft.com/office/drawing/2014/main" id="{00000000-0008-0000-0800-00000448DD00}"/>
                  </a:ext>
                </a:extLst>
              </xdr:cNvPr>
              <xdr:cNvSpPr/>
            </xdr:nvSpPr>
            <xdr:spPr bwMode="auto">
              <a:xfrm>
                <a:off x="10229850" y="1476370"/>
                <a:ext cx="1400175" cy="361950"/>
              </a:xfrm>
              <a:prstGeom prst="rect">
                <a:avLst/>
              </a:prstGeom>
              <a:noFill/>
              <a:ln w="9525">
                <a:miter lim="800000"/>
                <a:headEnd/>
                <a:tailEnd/>
              </a:ln>
            </xdr:spPr>
            <xdr:txBody>
              <a:bodyPr vertOverflow="clip" wrap="square" lIns="36576" tIns="36576" rIns="36576" bIns="36576" anchor="ctr" upright="1"/>
              <a:lstStyle/>
              <a:p>
                <a:pPr algn="ctr" rtl="0">
                  <a:defRPr sz="1000"/>
                </a:pPr>
                <a:r>
                  <a:rPr lang="en-SG" sz="1100" b="0" i="0" u="none" strike="noStrike" baseline="0">
                    <a:solidFill>
                      <a:srgbClr val="000000"/>
                    </a:solidFill>
                    <a:latin typeface="Calibri"/>
                    <a:cs typeface="Calibri"/>
                  </a:rPr>
                  <a:t>Zoom Reset</a:t>
                </a:r>
              </a:p>
            </xdr:txBody>
          </xdr:sp>
        </mc:Choice>
        <mc:Fallback/>
      </mc:AlternateContent>
      <xdr:pic macro="[0]!UniversalChanger">
        <xdr:nvPicPr>
          <xdr:cNvPr id="39" name="R_HL_UP" descr="scroll_up_small.png">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3" cstate="print"/>
          <a:stretch>
            <a:fillRect/>
          </a:stretch>
        </xdr:blipFill>
        <xdr:spPr>
          <a:xfrm>
            <a:off x="11385749" y="3028796"/>
            <a:ext cx="284159" cy="119545"/>
          </a:xfrm>
          <a:prstGeom prst="rect">
            <a:avLst/>
          </a:prstGeom>
        </xdr:spPr>
      </xdr:pic>
      <xdr:pic macro="[0]!UniversalChanger">
        <xdr:nvPicPr>
          <xdr:cNvPr id="40" name="R_HL_DOWN" descr="scroll_down_small.png">
            <a:extLst>
              <a:ext uri="{FF2B5EF4-FFF2-40B4-BE49-F238E27FC236}">
                <a16:creationId xmlns:a16="http://schemas.microsoft.com/office/drawing/2014/main" id="{00000000-0008-0000-0800-000028000000}"/>
              </a:ext>
            </a:extLst>
          </xdr:cNvPr>
          <xdr:cNvPicPr>
            <a:picLocks noChangeAspect="1"/>
          </xdr:cNvPicPr>
        </xdr:nvPicPr>
        <xdr:blipFill>
          <a:blip xmlns:r="http://schemas.openxmlformats.org/officeDocument/2006/relationships" r:embed="rId4" cstate="print"/>
          <a:stretch>
            <a:fillRect/>
          </a:stretch>
        </xdr:blipFill>
        <xdr:spPr>
          <a:xfrm>
            <a:off x="11385749" y="3146456"/>
            <a:ext cx="284079" cy="94674"/>
          </a:xfrm>
          <a:prstGeom prst="rect">
            <a:avLst/>
          </a:prstGeom>
        </xdr:spPr>
      </xdr:pic>
      <mc:AlternateContent xmlns:mc="http://schemas.openxmlformats.org/markup-compatibility/2006">
        <mc:Choice xmlns:a14="http://schemas.microsoft.com/office/drawing/2010/main" Requires="a14">
          <xdr:sp macro="" textlink="">
            <xdr:nvSpPr>
              <xdr:cNvPr id="14501893" name="Drop Down 5" hidden="1">
                <a:extLst>
                  <a:ext uri="{63B3BB69-23CF-44E3-9099-C40C66FF867C}">
                    <a14:compatExt spid="_x0000_s14501893"/>
                  </a:ext>
                  <a:ext uri="{FF2B5EF4-FFF2-40B4-BE49-F238E27FC236}">
                    <a16:creationId xmlns:a16="http://schemas.microsoft.com/office/drawing/2014/main" id="{00000000-0008-0000-0800-00000548DD00}"/>
                  </a:ext>
                </a:extLst>
              </xdr:cNvPr>
              <xdr:cNvSpPr/>
            </xdr:nvSpPr>
            <xdr:spPr bwMode="auto">
              <a:xfrm>
                <a:off x="9944100" y="3038475"/>
                <a:ext cx="1438275" cy="200025"/>
              </a:xfrm>
              <a:prstGeom prst="rect">
                <a:avLst/>
              </a:prstGeom>
              <a:noFill/>
              <a:ln>
                <a:noFill/>
              </a:ln>
              <a:extLst>
                <a:ext uri="{91240B29-F687-4F45-9708-019B960494DF}">
                  <a14:hiddenLine w="9525">
                    <a:noFill/>
                    <a:miter lim="800000"/>
                    <a:headEnd/>
                    <a:tailEnd/>
                  </a14:hiddenLine>
                </a:ext>
              </a:extLst>
            </xdr:spPr>
          </xdr:sp>
        </mc:Choice>
        <mc:Fallback/>
      </mc:AlternateContent>
    </xdr:grpSp>
    <xdr:clientData fPrintsWithSheet="0"/>
  </xdr:twoCellAnchor>
  <xdr:twoCellAnchor editAs="oneCell">
    <xdr:from>
      <xdr:col>0</xdr:col>
      <xdr:colOff>57150</xdr:colOff>
      <xdr:row>2</xdr:row>
      <xdr:rowOff>0</xdr:rowOff>
    </xdr:from>
    <xdr:to>
      <xdr:col>20</xdr:col>
      <xdr:colOff>9525</xdr:colOff>
      <xdr:row>3</xdr:row>
      <xdr:rowOff>499996</xdr:rowOff>
    </xdr:to>
    <xdr:grpSp>
      <xdr:nvGrpSpPr>
        <xdr:cNvPr id="42" name="HelpBox" hidden="1">
          <a:extLst>
            <a:ext uri="{FF2B5EF4-FFF2-40B4-BE49-F238E27FC236}">
              <a16:creationId xmlns:a16="http://schemas.microsoft.com/office/drawing/2014/main" id="{00000000-0008-0000-0800-00002A000000}"/>
            </a:ext>
          </a:extLst>
        </xdr:cNvPr>
        <xdr:cNvGrpSpPr/>
      </xdr:nvGrpSpPr>
      <xdr:grpSpPr>
        <a:xfrm>
          <a:off x="57150" y="1085850"/>
          <a:ext cx="11706225" cy="538096"/>
          <a:chOff x="95250" y="1924049"/>
          <a:chExt cx="11734800" cy="540000"/>
        </a:xfrm>
      </xdr:grpSpPr>
      <xdr:sp macro="" textlink="">
        <xdr:nvSpPr>
          <xdr:cNvPr id="43" name="HelpBoxMain" hidden="1">
            <a:extLst>
              <a:ext uri="{FF2B5EF4-FFF2-40B4-BE49-F238E27FC236}">
                <a16:creationId xmlns:a16="http://schemas.microsoft.com/office/drawing/2014/main" id="{00000000-0008-0000-0800-00002B000000}"/>
              </a:ext>
            </a:extLst>
          </xdr:cNvPr>
          <xdr:cNvSpPr/>
        </xdr:nvSpPr>
        <xdr:spPr>
          <a:xfrm>
            <a:off x="95250" y="1924049"/>
            <a:ext cx="10172700" cy="540000"/>
          </a:xfrm>
          <a:prstGeom prst="rect">
            <a:avLst/>
          </a:prstGeom>
          <a:solidFill>
            <a:schemeClr val="bg1"/>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50" b="0" i="0" u="none" strike="noStrike">
                <a:solidFill>
                  <a:sysClr val="windowText" lastClr="000000"/>
                </a:solidFill>
                <a:latin typeface="Calibri"/>
                <a:cs typeface="Calibri"/>
              </a:rPr>
              <a:t>A description of this</a:t>
            </a:r>
            <a:r>
              <a:rPr lang="en-GB" sz="1050" b="0" i="0" u="none" strike="noStrike" baseline="0">
                <a:solidFill>
                  <a:sysClr val="windowText" lastClr="000000"/>
                </a:solidFill>
                <a:latin typeface="Calibri"/>
                <a:cs typeface="Calibri"/>
              </a:rPr>
              <a:t> page. to be added.</a:t>
            </a:r>
            <a:endParaRPr lang="en-GB" sz="1050" b="0" i="0" u="none" strike="noStrike">
              <a:solidFill>
                <a:sysClr val="windowText" lastClr="000000"/>
              </a:solidFill>
              <a:latin typeface="Calibri"/>
              <a:cs typeface="Calibri"/>
            </a:endParaRPr>
          </a:p>
        </xdr:txBody>
      </xdr:sp>
      <xdr:sp macro="[0]!LBChanger" textlink="uxb_works!B205">
        <xdr:nvSpPr>
          <xdr:cNvPr id="44" name="HelpPage" hidden="1">
            <a:extLst>
              <a:ext uri="{FF2B5EF4-FFF2-40B4-BE49-F238E27FC236}">
                <a16:creationId xmlns:a16="http://schemas.microsoft.com/office/drawing/2014/main" id="{00000000-0008-0000-0800-00002C000000}"/>
              </a:ext>
            </a:extLst>
          </xdr:cNvPr>
          <xdr:cNvSpPr/>
        </xdr:nvSpPr>
        <xdr:spPr>
          <a:xfrm>
            <a:off x="10325100" y="1924049"/>
            <a:ext cx="1504950" cy="540000"/>
          </a:xfrm>
          <a:prstGeom prst="rect">
            <a:avLst/>
          </a:prstGeom>
          <a:solidFill>
            <a:schemeClr val="bg1"/>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9329350-61A1-4C8F-8338-C30D0FD9D0E9}" type="TxLink">
              <a:rPr lang="en-US" sz="900" b="0" i="0" u="none" strike="noStrike">
                <a:solidFill>
                  <a:srgbClr val="3B6E8F"/>
                </a:solidFill>
                <a:latin typeface="Calibri"/>
                <a:cs typeface="Calibri"/>
              </a:rPr>
              <a:pPr algn="ctr"/>
              <a:t>For more general help please click 
HERE</a:t>
            </a:fld>
            <a:endParaRPr lang="en-GB" sz="1100" b="0" i="0" u="none" strike="noStrike">
              <a:solidFill>
                <a:sysClr val="windowText" lastClr="000000"/>
              </a:solidFill>
              <a:latin typeface="Calibri"/>
              <a:cs typeface="Calibri"/>
            </a:endParaRPr>
          </a:p>
        </xdr:txBody>
      </xdr:sp>
    </xdr:grpSp>
    <xdr:clientData/>
  </xdr:twoCellAnchor>
  <xdr:twoCellAnchor editAs="absolute">
    <xdr:from>
      <xdr:col>0</xdr:col>
      <xdr:colOff>0</xdr:colOff>
      <xdr:row>0</xdr:row>
      <xdr:rowOff>0</xdr:rowOff>
    </xdr:from>
    <xdr:to>
      <xdr:col>18</xdr:col>
      <xdr:colOff>361950</xdr:colOff>
      <xdr:row>2</xdr:row>
      <xdr:rowOff>0</xdr:rowOff>
    </xdr:to>
    <xdr:grpSp>
      <xdr:nvGrpSpPr>
        <xdr:cNvPr id="35" name="MENU">
          <a:extLst>
            <a:ext uri="{FF2B5EF4-FFF2-40B4-BE49-F238E27FC236}">
              <a16:creationId xmlns:a16="http://schemas.microsoft.com/office/drawing/2014/main" id="{00000000-0008-0000-0800-000023000000}"/>
            </a:ext>
          </a:extLst>
        </xdr:cNvPr>
        <xdr:cNvGrpSpPr/>
      </xdr:nvGrpSpPr>
      <xdr:grpSpPr>
        <a:xfrm>
          <a:off x="0" y="0"/>
          <a:ext cx="11836400" cy="1085850"/>
          <a:chOff x="0" y="0"/>
          <a:chExt cx="11836400" cy="1085850"/>
        </a:xfrm>
      </xdr:grpSpPr>
      <xdr:grpSp>
        <xdr:nvGrpSpPr>
          <xdr:cNvPr id="112" name="Group 111">
            <a:extLst>
              <a:ext uri="{FF2B5EF4-FFF2-40B4-BE49-F238E27FC236}">
                <a16:creationId xmlns:a16="http://schemas.microsoft.com/office/drawing/2014/main" id="{00000000-0008-0000-0800-000070000000}"/>
              </a:ext>
            </a:extLst>
          </xdr:cNvPr>
          <xdr:cNvGrpSpPr/>
        </xdr:nvGrpSpPr>
        <xdr:grpSpPr>
          <a:xfrm>
            <a:off x="0" y="0"/>
            <a:ext cx="11836400" cy="1085850"/>
            <a:chOff x="0" y="0"/>
            <a:chExt cx="11836400" cy="1085850"/>
          </a:xfrm>
        </xdr:grpSpPr>
        <xdr:grpSp>
          <xdr:nvGrpSpPr>
            <xdr:cNvPr id="113" name="Group 112">
              <a:extLst>
                <a:ext uri="{FF2B5EF4-FFF2-40B4-BE49-F238E27FC236}">
                  <a16:creationId xmlns:a16="http://schemas.microsoft.com/office/drawing/2014/main" id="{00000000-0008-0000-0800-000071000000}"/>
                </a:ext>
              </a:extLst>
            </xdr:cNvPr>
            <xdr:cNvGrpSpPr/>
          </xdr:nvGrpSpPr>
          <xdr:grpSpPr>
            <a:xfrm>
              <a:off x="0" y="0"/>
              <a:ext cx="11836400" cy="1085850"/>
              <a:chOff x="0" y="0"/>
              <a:chExt cx="11836400" cy="1085850"/>
            </a:xfrm>
          </xdr:grpSpPr>
          <xdr:sp macro="" textlink="">
            <xdr:nvSpPr>
              <xdr:cNvPr id="118" name="nav_controls">
                <a:extLst>
                  <a:ext uri="{FF2B5EF4-FFF2-40B4-BE49-F238E27FC236}">
                    <a16:creationId xmlns:a16="http://schemas.microsoft.com/office/drawing/2014/main" id="{00000000-0008-0000-0800-000076000000}"/>
                  </a:ext>
                </a:extLst>
              </xdr:cNvPr>
              <xdr:cNvSpPr>
                <a:spLocks/>
              </xdr:cNvSpPr>
            </xdr:nvSpPr>
            <xdr:spPr>
              <a:xfrm>
                <a:off x="4263" y="219075"/>
                <a:ext cx="11832137" cy="866775"/>
              </a:xfrm>
              <a:prstGeom prst="rect">
                <a:avLst/>
              </a:prstGeom>
              <a:solidFill>
                <a:schemeClr val="bg2">
                  <a:alpha val="49804"/>
                </a:schemeClr>
              </a:solidFill>
              <a:ln w="6350">
                <a:solidFill>
                  <a:schemeClr val="bg2">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solidFill>
                    <a:srgbClr val="808080"/>
                  </a:solidFill>
                  <a:latin typeface="+mn-lt"/>
                  <a:ea typeface="Karla" pitchFamily="2" charset="0"/>
                </a:endParaRPr>
              </a:p>
            </xdr:txBody>
          </xdr:sp>
          <xdr:sp macro="" textlink="">
            <xdr:nvSpPr>
              <xdr:cNvPr id="119" name="Home1">
                <a:extLst>
                  <a:ext uri="{FF2B5EF4-FFF2-40B4-BE49-F238E27FC236}">
                    <a16:creationId xmlns:a16="http://schemas.microsoft.com/office/drawing/2014/main" id="{00000000-0008-0000-0800-000077000000}"/>
                  </a:ext>
                </a:extLst>
              </xdr:cNvPr>
              <xdr:cNvSpPr>
                <a:spLocks/>
              </xdr:cNvSpPr>
            </xdr:nvSpPr>
            <xdr:spPr>
              <a:xfrm>
                <a:off x="0" y="0"/>
                <a:ext cx="937384" cy="290513"/>
              </a:xfrm>
              <a:prstGeom prst="rect">
                <a:avLst/>
              </a:prstGeom>
              <a:solidFill>
                <a:schemeClr val="bg1"/>
              </a:solidFill>
              <a:ln w="952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a:solidFill>
                    <a:srgbClr val="808080"/>
                  </a:solidFill>
                  <a:latin typeface="+mn-lt"/>
                  <a:ea typeface="Karla" pitchFamily="2" charset="0"/>
                  <a:cs typeface="DilleniaUPC" pitchFamily="18" charset="-34"/>
                </a:endParaRPr>
              </a:p>
            </xdr:txBody>
          </xdr:sp>
          <xdr:sp macro="" textlink="">
            <xdr:nvSpPr>
              <xdr:cNvPr id="120" name="Oval 119">
                <a:extLst>
                  <a:ext uri="{FF2B5EF4-FFF2-40B4-BE49-F238E27FC236}">
                    <a16:creationId xmlns:a16="http://schemas.microsoft.com/office/drawing/2014/main" id="{00000000-0008-0000-0800-000078000000}"/>
                  </a:ext>
                </a:extLst>
              </xdr:cNvPr>
              <xdr:cNvSpPr>
                <a:spLocks/>
              </xdr:cNvSpPr>
            </xdr:nvSpPr>
            <xdr:spPr>
              <a:xfrm>
                <a:off x="347060" y="29969"/>
                <a:ext cx="236673" cy="230074"/>
              </a:xfrm>
              <a:prstGeom prst="ellipse">
                <a:avLst/>
              </a:prstGeom>
              <a:solidFill>
                <a:schemeClr val="accent5">
                  <a:lumMod val="50000"/>
                </a:schemeClr>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rgbClr val="808080"/>
                  </a:solidFill>
                  <a:latin typeface="Calibri"/>
                  <a:cs typeface="Calibri"/>
                </a:endParaRPr>
              </a:p>
            </xdr:txBody>
          </xdr:sp>
          <xdr:pic macro="[0]!LBChanger">
            <xdr:nvPicPr>
              <xdr:cNvPr id="121" name="Home" descr="Home.png">
                <a:extLst>
                  <a:ext uri="{FF2B5EF4-FFF2-40B4-BE49-F238E27FC236}">
                    <a16:creationId xmlns:a16="http://schemas.microsoft.com/office/drawing/2014/main" id="{00000000-0008-0000-0800-000079000000}"/>
                  </a:ext>
                </a:extLst>
              </xdr:cNvPr>
              <xdr:cNvPicPr>
                <a:picLocks/>
              </xdr:cNvPicPr>
            </xdr:nvPicPr>
            <xdr:blipFill>
              <a:blip xmlns:r="http://schemas.openxmlformats.org/officeDocument/2006/relationships" r:embed="rId5" cstate="print"/>
              <a:stretch>
                <a:fillRect/>
              </a:stretch>
            </xdr:blipFill>
            <xdr:spPr>
              <a:xfrm>
                <a:off x="53200" y="20741"/>
                <a:ext cx="254878" cy="247773"/>
              </a:xfrm>
              <a:prstGeom prst="rect">
                <a:avLst/>
              </a:prstGeom>
              <a:noFill/>
              <a:ln>
                <a:noFill/>
              </a:ln>
            </xdr:spPr>
          </xdr:pic>
          <xdr:pic macro="[0]!UniversalChanger">
            <xdr:nvPicPr>
              <xdr:cNvPr id="122" name="NavBack" descr="Silver-Back-Button.png">
                <a:extLst>
                  <a:ext uri="{FF2B5EF4-FFF2-40B4-BE49-F238E27FC236}">
                    <a16:creationId xmlns:a16="http://schemas.microsoft.com/office/drawing/2014/main" id="{00000000-0008-0000-0800-00007A000000}"/>
                  </a:ext>
                </a:extLst>
              </xdr:cNvPr>
              <xdr:cNvPicPr>
                <a:picLocks/>
              </xdr:cNvPicPr>
            </xdr:nvPicPr>
            <xdr:blipFill>
              <a:blip xmlns:r="http://schemas.openxmlformats.org/officeDocument/2006/relationships" r:embed="rId6" cstate="print"/>
              <a:stretch>
                <a:fillRect/>
              </a:stretch>
            </xdr:blipFill>
            <xdr:spPr>
              <a:xfrm>
                <a:off x="621903" y="20741"/>
                <a:ext cx="254878" cy="247773"/>
              </a:xfrm>
              <a:prstGeom prst="rect">
                <a:avLst/>
              </a:prstGeom>
              <a:noFill/>
              <a:ln>
                <a:noFill/>
              </a:ln>
            </xdr:spPr>
          </xdr:pic>
          <xdr:sp macro="" textlink="uxb_works!B92">
            <xdr:nvSpPr>
              <xdr:cNvPr id="123" name="Home1">
                <a:extLst>
                  <a:ext uri="{FF2B5EF4-FFF2-40B4-BE49-F238E27FC236}">
                    <a16:creationId xmlns:a16="http://schemas.microsoft.com/office/drawing/2014/main" id="{00000000-0008-0000-0800-00007B000000}"/>
                  </a:ext>
                </a:extLst>
              </xdr:cNvPr>
              <xdr:cNvSpPr>
                <a:spLocks/>
              </xdr:cNvSpPr>
            </xdr:nvSpPr>
            <xdr:spPr>
              <a:xfrm>
                <a:off x="936568" y="0"/>
                <a:ext cx="10895773" cy="288000"/>
              </a:xfrm>
              <a:prstGeom prst="rect">
                <a:avLst/>
              </a:prstGeom>
              <a:solidFill>
                <a:srgbClr val="FFFFFF"/>
              </a:solidFill>
              <a:ln w="3175">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DF606BA0-6E14-4859-A5ED-3649E8B86AAC}" type="TxLink">
                  <a:rPr lang="en-US" sz="1600" b="1" i="0" u="none" strike="noStrike">
                    <a:solidFill>
                      <a:schemeClr val="accent5">
                        <a:lumMod val="50000"/>
                      </a:schemeClr>
                    </a:solidFill>
                    <a:latin typeface="Calibri"/>
                    <a:ea typeface="Karla" pitchFamily="2" charset="0"/>
                    <a:cs typeface="Calibri"/>
                  </a:rPr>
                  <a:pPr algn="l"/>
                  <a:t>Digital Cities Index</a:t>
                </a:fld>
                <a:endParaRPr lang="en-GB" sz="1200" b="1">
                  <a:solidFill>
                    <a:schemeClr val="accent5">
                      <a:lumMod val="50000"/>
                    </a:schemeClr>
                  </a:solidFill>
                  <a:latin typeface="+mn-lt"/>
                  <a:ea typeface="Karla" pitchFamily="2" charset="0"/>
                  <a:cs typeface="DilleniaUPC" pitchFamily="18" charset="-34"/>
                </a:endParaRPr>
              </a:p>
            </xdr:txBody>
          </xdr:sp>
          <xdr:pic macro="[0]!LBChanger">
            <xdr:nvPicPr>
              <xdr:cNvPr id="124" name="Contents" descr="ii_jgc3wl5q0_162f2138d6ded0cc">
                <a:extLst>
                  <a:ext uri="{FF2B5EF4-FFF2-40B4-BE49-F238E27FC236}">
                    <a16:creationId xmlns:a16="http://schemas.microsoft.com/office/drawing/2014/main" id="{00000000-0008-0000-0800-00007C000000}"/>
                  </a:ext>
                </a:extLst>
              </xdr:cNvPr>
              <xdr:cNvPicPr>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37618" y="20741"/>
                <a:ext cx="260608" cy="248400"/>
              </a:xfrm>
              <a:prstGeom prst="rect">
                <a:avLst/>
              </a:prstGeom>
              <a:solidFill>
                <a:sysClr val="window" lastClr="FFFFFF"/>
              </a:solidFill>
              <a:ln>
                <a:noFill/>
              </a:ln>
            </xdr:spPr>
          </xdr:pic>
          <xdr:sp macro="" textlink="">
            <xdr:nvSpPr>
              <xdr:cNvPr id="125" name="nav_controls">
                <a:extLst>
                  <a:ext uri="{FF2B5EF4-FFF2-40B4-BE49-F238E27FC236}">
                    <a16:creationId xmlns:a16="http://schemas.microsoft.com/office/drawing/2014/main" id="{00000000-0008-0000-0800-00007D000000}"/>
                  </a:ext>
                </a:extLst>
              </xdr:cNvPr>
              <xdr:cNvSpPr>
                <a:spLocks/>
              </xdr:cNvSpPr>
            </xdr:nvSpPr>
            <xdr:spPr>
              <a:xfrm>
                <a:off x="7091375" y="461958"/>
                <a:ext cx="2647950" cy="54000"/>
              </a:xfrm>
              <a:prstGeom prst="rect">
                <a:avLst/>
              </a:prstGeom>
              <a:solidFill>
                <a:srgbClr val="9EB3BE"/>
              </a:solidFill>
              <a:ln w="6350">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000" b="1" i="0" u="none" strike="noStrike">
                  <a:solidFill>
                    <a:sysClr val="windowText" lastClr="000000"/>
                  </a:solidFill>
                  <a:latin typeface="Calibri"/>
                  <a:cs typeface="Calibri"/>
                </a:endParaRPr>
              </a:p>
            </xdr:txBody>
          </xdr:sp>
          <xdr:sp macro="" textlink="">
            <xdr:nvSpPr>
              <xdr:cNvPr id="126" name="nav_controls">
                <a:extLst>
                  <a:ext uri="{FF2B5EF4-FFF2-40B4-BE49-F238E27FC236}">
                    <a16:creationId xmlns:a16="http://schemas.microsoft.com/office/drawing/2014/main" id="{00000000-0008-0000-0800-00007E000000}"/>
                  </a:ext>
                </a:extLst>
              </xdr:cNvPr>
              <xdr:cNvSpPr>
                <a:spLocks/>
              </xdr:cNvSpPr>
            </xdr:nvSpPr>
            <xdr:spPr>
              <a:xfrm>
                <a:off x="9215438" y="461958"/>
                <a:ext cx="2614081" cy="54000"/>
              </a:xfrm>
              <a:prstGeom prst="rect">
                <a:avLst/>
              </a:prstGeom>
              <a:solidFill>
                <a:srgbClr val="B5D5E5"/>
              </a:solidFill>
              <a:ln w="6350">
                <a:solidFill>
                  <a:schemeClr val="accent6">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000" b="1" i="0" u="none" strike="noStrike">
                  <a:solidFill>
                    <a:sysClr val="windowText" lastClr="000000"/>
                  </a:solidFill>
                  <a:latin typeface="Calibri"/>
                  <a:cs typeface="Calibri"/>
                </a:endParaRPr>
              </a:p>
            </xdr:txBody>
          </xdr:sp>
          <xdr:sp macro="" textlink="">
            <xdr:nvSpPr>
              <xdr:cNvPr id="127" name="nav_controls">
                <a:extLst>
                  <a:ext uri="{FF2B5EF4-FFF2-40B4-BE49-F238E27FC236}">
                    <a16:creationId xmlns:a16="http://schemas.microsoft.com/office/drawing/2014/main" id="{00000000-0008-0000-0800-00007F000000}"/>
                  </a:ext>
                </a:extLst>
              </xdr:cNvPr>
              <xdr:cNvSpPr>
                <a:spLocks/>
              </xdr:cNvSpPr>
            </xdr:nvSpPr>
            <xdr:spPr>
              <a:xfrm>
                <a:off x="0" y="466725"/>
                <a:ext cx="7081838" cy="52408"/>
              </a:xfrm>
              <a:prstGeom prst="rect">
                <a:avLst/>
              </a:prstGeom>
              <a:solidFill>
                <a:srgbClr val="2B5464"/>
              </a:solidFill>
              <a:ln w="6350">
                <a:solidFill>
                  <a:schemeClr val="accent1">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b="1" i="0" u="none" strike="noStrike">
                  <a:solidFill>
                    <a:schemeClr val="bg1"/>
                  </a:solidFill>
                  <a:latin typeface="Calibri"/>
                  <a:cs typeface="Calibri"/>
                </a:endParaRPr>
              </a:p>
            </xdr:txBody>
          </xdr:sp>
          <xdr:grpSp>
            <xdr:nvGrpSpPr>
              <xdr:cNvPr id="128" name="Group 127">
                <a:extLst>
                  <a:ext uri="{FF2B5EF4-FFF2-40B4-BE49-F238E27FC236}">
                    <a16:creationId xmlns:a16="http://schemas.microsoft.com/office/drawing/2014/main" id="{00000000-0008-0000-0800-000080000000}"/>
                  </a:ext>
                </a:extLst>
              </xdr:cNvPr>
              <xdr:cNvGrpSpPr/>
            </xdr:nvGrpSpPr>
            <xdr:grpSpPr>
              <a:xfrm>
                <a:off x="0" y="285750"/>
                <a:ext cx="11814575" cy="180261"/>
                <a:chOff x="0" y="285489"/>
                <a:chExt cx="13173477" cy="180261"/>
              </a:xfrm>
            </xdr:grpSpPr>
            <xdr:sp macro="[0]!LBChanger" textlink="uxb_works!B100">
              <xdr:nvSpPr>
                <xdr:cNvPr id="129" name="Correlations">
                  <a:extLst>
                    <a:ext uri="{FF2B5EF4-FFF2-40B4-BE49-F238E27FC236}">
                      <a16:creationId xmlns:a16="http://schemas.microsoft.com/office/drawing/2014/main" id="{00000000-0008-0000-0800-000081000000}"/>
                    </a:ext>
                  </a:extLst>
                </xdr:cNvPr>
                <xdr:cNvSpPr>
                  <a:spLocks/>
                </xdr:cNvSpPr>
              </xdr:nvSpPr>
              <xdr:spPr>
                <a:xfrm>
                  <a:off x="9225833"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0D08B5CF-F601-4334-9688-6B186F573CBA}" type="TxLink">
                    <a:rPr lang="en-US" sz="900" b="1" i="0" u="none" strike="noStrike">
                      <a:solidFill>
                        <a:schemeClr val="accent5">
                          <a:lumMod val="50000"/>
                        </a:schemeClr>
                      </a:solidFill>
                      <a:latin typeface="Calibri"/>
                      <a:ea typeface="Karla" pitchFamily="2" charset="0"/>
                      <a:cs typeface="Calibri"/>
                    </a:rPr>
                    <a:pPr algn="ctr"/>
                    <a:t>CORRELATIONS</a:t>
                  </a:fld>
                  <a:endParaRPr lang="en-GB" sz="900" b="1">
                    <a:solidFill>
                      <a:schemeClr val="accent5">
                        <a:lumMod val="50000"/>
                      </a:schemeClr>
                    </a:solidFill>
                    <a:latin typeface="+mn-lt"/>
                    <a:ea typeface="Karla" pitchFamily="2" charset="0"/>
                  </a:endParaRPr>
                </a:p>
              </xdr:txBody>
            </xdr:sp>
            <xdr:sp macro="[0]!LBChanger" textlink="uxb_works!B99">
              <xdr:nvSpPr>
                <xdr:cNvPr id="130" name="Scatter">
                  <a:extLst>
                    <a:ext uri="{FF2B5EF4-FFF2-40B4-BE49-F238E27FC236}">
                      <a16:creationId xmlns:a16="http://schemas.microsoft.com/office/drawing/2014/main" id="{00000000-0008-0000-0800-000082000000}"/>
                    </a:ext>
                  </a:extLst>
                </xdr:cNvPr>
                <xdr:cNvSpPr>
                  <a:spLocks/>
                </xdr:cNvSpPr>
              </xdr:nvSpPr>
              <xdr:spPr>
                <a:xfrm>
                  <a:off x="7903939" y="285940"/>
                  <a:ext cx="1320074" cy="179810"/>
                </a:xfrm>
                <a:prstGeom prst="rect">
                  <a:avLst/>
                </a:prstGeom>
                <a:solidFill>
                  <a:schemeClr val="accent5">
                    <a:lumMod val="50000"/>
                  </a:schemeClr>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8DE1D7F-61C0-4422-A1B6-E89A6501ED1F}" type="TxLink">
                    <a:rPr lang="en-US" sz="900" b="1" i="0" u="none" strike="noStrike">
                      <a:solidFill>
                        <a:schemeClr val="bg1"/>
                      </a:solidFill>
                      <a:latin typeface="Calibri"/>
                      <a:ea typeface="Karla" pitchFamily="2" charset="0"/>
                      <a:cs typeface="Calibri"/>
                    </a:rPr>
                    <a:pPr algn="ctr"/>
                    <a:t>SCATTER</a:t>
                  </a:fld>
                  <a:endParaRPr lang="en-GB" sz="900" b="1">
                    <a:solidFill>
                      <a:schemeClr val="bg1"/>
                    </a:solidFill>
                    <a:latin typeface="+mn-lt"/>
                    <a:ea typeface="Karla" pitchFamily="2" charset="0"/>
                  </a:endParaRPr>
                </a:p>
              </xdr:txBody>
            </xdr:sp>
            <xdr:sp macro="[0]!LBChanger" textlink="uxb_works!B101">
              <xdr:nvSpPr>
                <xdr:cNvPr id="131" name="Scores">
                  <a:extLst>
                    <a:ext uri="{FF2B5EF4-FFF2-40B4-BE49-F238E27FC236}">
                      <a16:creationId xmlns:a16="http://schemas.microsoft.com/office/drawing/2014/main" id="{00000000-0008-0000-0800-000083000000}"/>
                    </a:ext>
                  </a:extLst>
                </xdr:cNvPr>
                <xdr:cNvSpPr>
                  <a:spLocks/>
                </xdr:cNvSpPr>
              </xdr:nvSpPr>
              <xdr:spPr>
                <a:xfrm>
                  <a:off x="10540783"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25165ACF-6EE1-4F74-8FDB-F21F37E9E6FB}" type="TxLink">
                    <a:rPr lang="en-US" sz="900" b="1" i="0" u="none" strike="noStrike">
                      <a:solidFill>
                        <a:schemeClr val="accent5">
                          <a:lumMod val="50000"/>
                        </a:schemeClr>
                      </a:solidFill>
                      <a:latin typeface="Calibri"/>
                      <a:ea typeface="Karla" pitchFamily="2" charset="0"/>
                      <a:cs typeface="Calibri"/>
                    </a:rPr>
                    <a:pPr algn="ctr"/>
                    <a:t>DATA / SCORES</a:t>
                  </a:fld>
                  <a:endParaRPr lang="en-GB" sz="900" b="1">
                    <a:solidFill>
                      <a:schemeClr val="accent5">
                        <a:lumMod val="50000"/>
                      </a:schemeClr>
                    </a:solidFill>
                    <a:latin typeface="+mn-lt"/>
                    <a:ea typeface="Karla" pitchFamily="2" charset="0"/>
                  </a:endParaRPr>
                </a:p>
              </xdr:txBody>
            </xdr:sp>
            <xdr:sp macro="[0]!LBChanger" textlink="uxb_works!B102">
              <xdr:nvSpPr>
                <xdr:cNvPr id="132" name="Weights">
                  <a:extLst>
                    <a:ext uri="{FF2B5EF4-FFF2-40B4-BE49-F238E27FC236}">
                      <a16:creationId xmlns:a16="http://schemas.microsoft.com/office/drawing/2014/main" id="{00000000-0008-0000-0800-000084000000}"/>
                    </a:ext>
                  </a:extLst>
                </xdr:cNvPr>
                <xdr:cNvSpPr>
                  <a:spLocks/>
                </xdr:cNvSpPr>
              </xdr:nvSpPr>
              <xdr:spPr>
                <a:xfrm>
                  <a:off x="11855698"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43627509-C0BB-4D16-AADD-A85AC599D44F}" type="TxLink">
                    <a:rPr lang="en-US" sz="900" b="1" i="0" u="none" strike="noStrike">
                      <a:solidFill>
                        <a:schemeClr val="accent5">
                          <a:lumMod val="50000"/>
                        </a:schemeClr>
                      </a:solidFill>
                      <a:latin typeface="Calibri"/>
                      <a:ea typeface="Karla" pitchFamily="2" charset="0"/>
                      <a:cs typeface="Calibri"/>
                    </a:rPr>
                    <a:pPr algn="ctr"/>
                    <a:t>WEIGHTS</a:t>
                  </a:fld>
                  <a:endParaRPr lang="en-GB" sz="900" b="1">
                    <a:solidFill>
                      <a:schemeClr val="accent5">
                        <a:lumMod val="50000"/>
                      </a:schemeClr>
                    </a:solidFill>
                    <a:latin typeface="+mn-lt"/>
                    <a:ea typeface="Karla" pitchFamily="2" charset="0"/>
                  </a:endParaRPr>
                </a:p>
              </xdr:txBody>
            </xdr:sp>
            <xdr:sp macro="[0]!LBChanger" textlink="uxb_works!B95">
              <xdr:nvSpPr>
                <xdr:cNvPr id="133" name="Summary1">
                  <a:extLst>
                    <a:ext uri="{FF2B5EF4-FFF2-40B4-BE49-F238E27FC236}">
                      <a16:creationId xmlns:a16="http://schemas.microsoft.com/office/drawing/2014/main" id="{00000000-0008-0000-0800-000085000000}"/>
                    </a:ext>
                  </a:extLst>
                </xdr:cNvPr>
                <xdr:cNvSpPr>
                  <a:spLocks/>
                </xdr:cNvSpPr>
              </xdr:nvSpPr>
              <xdr:spPr>
                <a:xfrm>
                  <a:off x="0"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A5241822-14D3-4854-9411-CFDDA1D4CE0A}" type="TxLink">
                    <a:rPr lang="en-US" sz="900" b="1" i="0" u="none" strike="noStrike">
                      <a:solidFill>
                        <a:schemeClr val="accent5">
                          <a:lumMod val="50000"/>
                        </a:schemeClr>
                      </a:solidFill>
                      <a:latin typeface="Calibri"/>
                      <a:ea typeface="Karla" pitchFamily="2" charset="0"/>
                      <a:cs typeface="Calibri"/>
                    </a:rPr>
                    <a:pPr algn="ctr"/>
                    <a:t>SUMMARY</a:t>
                  </a:fld>
                  <a:endParaRPr lang="en-GB" sz="900" b="1">
                    <a:solidFill>
                      <a:schemeClr val="accent5">
                        <a:lumMod val="50000"/>
                      </a:schemeClr>
                    </a:solidFill>
                    <a:latin typeface="+mn-lt"/>
                    <a:ea typeface="Karla" pitchFamily="2" charset="0"/>
                  </a:endParaRPr>
                </a:p>
              </xdr:txBody>
            </xdr:sp>
            <xdr:sp macro="[0]!LBChanger" textlink="uxb_works!B96">
              <xdr:nvSpPr>
                <xdr:cNvPr id="134" name="Indicator_Ranking">
                  <a:extLst>
                    <a:ext uri="{FF2B5EF4-FFF2-40B4-BE49-F238E27FC236}">
                      <a16:creationId xmlns:a16="http://schemas.microsoft.com/office/drawing/2014/main" id="{00000000-0008-0000-0800-000086000000}"/>
                    </a:ext>
                  </a:extLst>
                </xdr:cNvPr>
                <xdr:cNvSpPr>
                  <a:spLocks/>
                </xdr:cNvSpPr>
              </xdr:nvSpPr>
              <xdr:spPr>
                <a:xfrm>
                  <a:off x="1319392" y="285940"/>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1D205C57-4D69-4B9A-8D11-5E0B7527B9E2}" type="TxLink">
                    <a:rPr lang="en-US" sz="900" b="1" i="0" u="none" strike="noStrike">
                      <a:solidFill>
                        <a:schemeClr val="accent5">
                          <a:lumMod val="50000"/>
                        </a:schemeClr>
                      </a:solidFill>
                      <a:latin typeface="Calibri"/>
                      <a:ea typeface="Karla" pitchFamily="2" charset="0"/>
                      <a:cs typeface="Calibri"/>
                    </a:rPr>
                    <a:pPr algn="ctr"/>
                    <a:t>INDICATOR RANKING</a:t>
                  </a:fld>
                  <a:endParaRPr lang="en-GB" sz="900" b="1">
                    <a:solidFill>
                      <a:schemeClr val="accent5">
                        <a:lumMod val="50000"/>
                      </a:schemeClr>
                    </a:solidFill>
                    <a:latin typeface="+mn-lt"/>
                    <a:ea typeface="Karla" pitchFamily="2" charset="0"/>
                  </a:endParaRPr>
                </a:p>
              </xdr:txBody>
            </xdr:sp>
            <xdr:sp macro="[0]!LBChanger" textlink="uxb_works!B98">
              <xdr:nvSpPr>
                <xdr:cNvPr id="135" name="CCompare">
                  <a:extLst>
                    <a:ext uri="{FF2B5EF4-FFF2-40B4-BE49-F238E27FC236}">
                      <a16:creationId xmlns:a16="http://schemas.microsoft.com/office/drawing/2014/main" id="{00000000-0008-0000-0800-000087000000}"/>
                    </a:ext>
                  </a:extLst>
                </xdr:cNvPr>
                <xdr:cNvSpPr>
                  <a:spLocks/>
                </xdr:cNvSpPr>
              </xdr:nvSpPr>
              <xdr:spPr>
                <a:xfrm>
                  <a:off x="5256659" y="285940"/>
                  <a:ext cx="132486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829603AF-0DD8-4C72-8452-B09DB6262544}" type="TxLink">
                    <a:rPr lang="en-US" sz="900" b="1" i="0" u="none" strike="noStrike">
                      <a:solidFill>
                        <a:schemeClr val="accent5">
                          <a:lumMod val="50000"/>
                        </a:schemeClr>
                      </a:solidFill>
                      <a:latin typeface="Calibri"/>
                      <a:ea typeface="Karla" pitchFamily="2" charset="0"/>
                      <a:cs typeface="Calibri"/>
                    </a:rPr>
                    <a:pPr algn="ctr"/>
                    <a:t>CITY COMPARE</a:t>
                  </a:fld>
                  <a:endParaRPr lang="en-GB" sz="900" b="1">
                    <a:solidFill>
                      <a:schemeClr val="accent5">
                        <a:lumMod val="50000"/>
                      </a:schemeClr>
                    </a:solidFill>
                    <a:latin typeface="+mn-lt"/>
                    <a:ea typeface="Karla" pitchFamily="2" charset="0"/>
                  </a:endParaRPr>
                </a:p>
              </xdr:txBody>
            </xdr:sp>
            <xdr:sp macro="[0]!LBChanger" textlink="uxb_works!B97">
              <xdr:nvSpPr>
                <xdr:cNvPr id="136" name="CtyScoreCard">
                  <a:extLst>
                    <a:ext uri="{FF2B5EF4-FFF2-40B4-BE49-F238E27FC236}">
                      <a16:creationId xmlns:a16="http://schemas.microsoft.com/office/drawing/2014/main" id="{00000000-0008-0000-0800-000088000000}"/>
                    </a:ext>
                  </a:extLst>
                </xdr:cNvPr>
                <xdr:cNvSpPr>
                  <a:spLocks/>
                </xdr:cNvSpPr>
              </xdr:nvSpPr>
              <xdr:spPr>
                <a:xfrm>
                  <a:off x="3943666" y="285489"/>
                  <a:ext cx="1317779" cy="180261"/>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fld id="{5B2B5046-96B7-4EDE-9DD8-D97FF7695B86}" type="TxLink">
                    <a:rPr lang="en-US" sz="900" b="1" i="0" u="none" strike="noStrike">
                      <a:solidFill>
                        <a:schemeClr val="accent5">
                          <a:lumMod val="50000"/>
                        </a:schemeClr>
                      </a:solidFill>
                      <a:latin typeface="Calibri"/>
                      <a:ea typeface="Karla" pitchFamily="2" charset="0"/>
                      <a:cs typeface="Calibri"/>
                    </a:rPr>
                    <a:pPr algn="ctr"/>
                    <a:t>CITY SCORECARD</a:t>
                  </a:fld>
                  <a:endParaRPr lang="en-GB" sz="900" b="1">
                    <a:solidFill>
                      <a:schemeClr val="accent5">
                        <a:lumMod val="50000"/>
                      </a:schemeClr>
                    </a:solidFill>
                    <a:latin typeface="+mn-lt"/>
                    <a:ea typeface="Karla" pitchFamily="2" charset="0"/>
                  </a:endParaRPr>
                </a:p>
              </xdr:txBody>
            </xdr:sp>
            <xdr:sp macro="[0]!LBChanger" textlink="uxb_works!B103">
              <xdr:nvSpPr>
                <xdr:cNvPr id="179" name="RegionCompare">
                  <a:extLst>
                    <a:ext uri="{FF2B5EF4-FFF2-40B4-BE49-F238E27FC236}">
                      <a16:creationId xmlns:a16="http://schemas.microsoft.com/office/drawing/2014/main" id="{00000000-0008-0000-0800-0000B3000000}"/>
                    </a:ext>
                  </a:extLst>
                </xdr:cNvPr>
                <xdr:cNvSpPr>
                  <a:spLocks/>
                </xdr:cNvSpPr>
              </xdr:nvSpPr>
              <xdr:spPr>
                <a:xfrm>
                  <a:off x="6578664" y="285940"/>
                  <a:ext cx="132486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51E55FBF-FB84-41A1-976B-235AB148A85F}" type="TxLink">
                    <a:rPr lang="en-US" sz="900" b="1" i="0" u="none" strike="noStrike">
                      <a:solidFill>
                        <a:schemeClr val="accent5">
                          <a:lumMod val="50000"/>
                        </a:schemeClr>
                      </a:solidFill>
                      <a:latin typeface="Calibri"/>
                      <a:ea typeface="Karla" pitchFamily="2" charset="0"/>
                      <a:cs typeface="Calibri"/>
                    </a:rPr>
                    <a:pPr algn="ctr"/>
                    <a:t>REGION COMPARE</a:t>
                  </a:fld>
                  <a:endParaRPr lang="en-GB" sz="900" b="1">
                    <a:solidFill>
                      <a:schemeClr val="accent5">
                        <a:lumMod val="50000"/>
                      </a:schemeClr>
                    </a:solidFill>
                    <a:latin typeface="+mn-lt"/>
                    <a:ea typeface="Karla" pitchFamily="2" charset="0"/>
                  </a:endParaRPr>
                </a:p>
              </xdr:txBody>
            </xdr:sp>
            <xdr:sp macro="[0]!LBChanger" textlink="uxb_works!B104">
              <xdr:nvSpPr>
                <xdr:cNvPr id="180" name="CProfile">
                  <a:extLst>
                    <a:ext uri="{FF2B5EF4-FFF2-40B4-BE49-F238E27FC236}">
                      <a16:creationId xmlns:a16="http://schemas.microsoft.com/office/drawing/2014/main" id="{00000000-0008-0000-0800-0000B4000000}"/>
                    </a:ext>
                  </a:extLst>
                </xdr:cNvPr>
                <xdr:cNvSpPr>
                  <a:spLocks/>
                </xdr:cNvSpPr>
              </xdr:nvSpPr>
              <xdr:spPr>
                <a:xfrm>
                  <a:off x="2635250" y="285489"/>
                  <a:ext cx="1317779" cy="179810"/>
                </a:xfrm>
                <a:prstGeom prst="rect">
                  <a:avLst/>
                </a:prstGeom>
                <a:solidFill>
                  <a:schemeClr val="bg1"/>
                </a:solidFill>
                <a:ln w="6350">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noAutofit/>
                </a:bodyPr>
                <a:lstStyle/>
                <a:p>
                  <a:pPr algn="ctr"/>
                  <a:fld id="{62C1403F-D06F-4F81-B666-49A22A849932}" type="TxLink">
                    <a:rPr lang="en-US" sz="900" b="1" i="0" u="none" strike="noStrike">
                      <a:solidFill>
                        <a:srgbClr val="366092"/>
                      </a:solidFill>
                      <a:latin typeface="Calibri"/>
                      <a:ea typeface="Karla" pitchFamily="2" charset="0"/>
                      <a:cs typeface="Calibri"/>
                    </a:rPr>
                    <a:pPr algn="ctr"/>
                    <a:t>CITY PROFILE</a:t>
                  </a:fld>
                  <a:endParaRPr lang="en-GB" sz="900" b="1">
                    <a:solidFill>
                      <a:schemeClr val="accent5">
                        <a:lumMod val="50000"/>
                      </a:schemeClr>
                    </a:solidFill>
                    <a:latin typeface="+mn-lt"/>
                    <a:ea typeface="Karla" pitchFamily="2" charset="0"/>
                  </a:endParaRPr>
                </a:p>
              </xdr:txBody>
            </xdr:sp>
          </xdr:grpSp>
        </xdr:grpSp>
        <xdr:sp macro="[0]!UniversalChanger" textlink="uxb_works!$C$111">
          <xdr:nvSpPr>
            <xdr:cNvPr id="114" name="FilterToggle">
              <a:extLst>
                <a:ext uri="{FF2B5EF4-FFF2-40B4-BE49-F238E27FC236}">
                  <a16:creationId xmlns:a16="http://schemas.microsoft.com/office/drawing/2014/main" id="{00000000-0008-0000-0800-000072000000}"/>
                </a:ext>
              </a:extLst>
            </xdr:cNvPr>
            <xdr:cNvSpPr>
              <a:spLocks/>
            </xdr:cNvSpPr>
          </xdr:nvSpPr>
          <xdr:spPr>
            <a:xfrm>
              <a:off x="10744308" y="852242"/>
              <a:ext cx="1082221" cy="212967"/>
            </a:xfrm>
            <a:prstGeom prst="rect">
              <a:avLst/>
            </a:prstGeom>
            <a:solidFill>
              <a:srgbClr val="D9D9D9"/>
            </a:solidFill>
            <a:ln w="2857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D5B5E-6696-41FF-B581-44AEC0F219A7}" type="TxLink">
                <a:rPr lang="en-US" sz="800" b="0" i="0" u="none" strike="noStrike">
                  <a:solidFill>
                    <a:srgbClr val="000000"/>
                  </a:solidFill>
                  <a:latin typeface="Calibri"/>
                  <a:ea typeface="Karla" pitchFamily="2" charset="0"/>
                  <a:cs typeface="Calibri"/>
                </a:rPr>
                <a:pPr algn="ctr"/>
                <a:t>Hide these options</a:t>
              </a:fld>
              <a:endParaRPr lang="en-GB" sz="4000" b="1">
                <a:solidFill>
                  <a:srgbClr val="000000"/>
                </a:solidFill>
                <a:latin typeface="+mn-lt"/>
                <a:ea typeface="Karla" pitchFamily="2" charset="0"/>
              </a:endParaRPr>
            </a:p>
          </xdr:txBody>
        </xdr:sp>
        <xdr:grpSp>
          <xdr:nvGrpSpPr>
            <xdr:cNvPr id="115" name="Group 114">
              <a:extLst>
                <a:ext uri="{FF2B5EF4-FFF2-40B4-BE49-F238E27FC236}">
                  <a16:creationId xmlns:a16="http://schemas.microsoft.com/office/drawing/2014/main" id="{00000000-0008-0000-0800-000073000000}"/>
                </a:ext>
              </a:extLst>
            </xdr:cNvPr>
            <xdr:cNvGrpSpPr/>
          </xdr:nvGrpSpPr>
          <xdr:grpSpPr>
            <a:xfrm>
              <a:off x="10753783" y="37494"/>
              <a:ext cx="999275" cy="240746"/>
              <a:chOff x="10782556" y="28575"/>
              <a:chExt cx="999806" cy="252000"/>
            </a:xfrm>
          </xdr:grpSpPr>
          <xdr:sp macro="[0]!UniversalChanger" textlink="">
            <xdr:nvSpPr>
              <xdr:cNvPr id="116" name="ctr_Reset">
                <a:extLst>
                  <a:ext uri="{FF2B5EF4-FFF2-40B4-BE49-F238E27FC236}">
                    <a16:creationId xmlns:a16="http://schemas.microsoft.com/office/drawing/2014/main" id="{00000000-0008-0000-0800-000074000000}"/>
                  </a:ext>
                </a:extLst>
              </xdr:cNvPr>
              <xdr:cNvSpPr/>
            </xdr:nvSpPr>
            <xdr:spPr>
              <a:xfrm>
                <a:off x="10782556" y="38100"/>
                <a:ext cx="666749" cy="209550"/>
              </a:xfrm>
              <a:prstGeom prst="rect">
                <a:avLst/>
              </a:prstGeom>
              <a:solidFill>
                <a:srgbClr val="F47940">
                  <a:alpha val="20000"/>
                </a:srgbClr>
              </a:solidFill>
              <a:ln w="3175">
                <a:solidFill>
                  <a:srgbClr val="005BAD"/>
                </a:solid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r>
                  <a:rPr lang="en-GB" sz="1000" b="0">
                    <a:solidFill>
                      <a:srgbClr val="143050"/>
                    </a:solidFill>
                    <a:latin typeface="+mn-lt"/>
                    <a:ea typeface="Karla" pitchFamily="2" charset="0"/>
                  </a:rPr>
                  <a:t>RESET</a:t>
                </a:r>
              </a:p>
            </xdr:txBody>
          </xdr:sp>
          <xdr:pic macro="[0]!UniversalChanger">
            <xdr:nvPicPr>
              <xdr:cNvPr id="117" name="Excel_Out">
                <a:extLst>
                  <a:ext uri="{FF2B5EF4-FFF2-40B4-BE49-F238E27FC236}">
                    <a16:creationId xmlns:a16="http://schemas.microsoft.com/office/drawing/2014/main" id="{00000000-0008-0000-0800-00007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525506" y="28575"/>
                <a:ext cx="256856" cy="252000"/>
              </a:xfrm>
              <a:prstGeom prst="rect">
                <a:avLst/>
              </a:prstGeom>
            </xdr:spPr>
          </xdr:pic>
        </xdr:grpSp>
      </xdr:grpSp>
      <xdr:grpSp>
        <xdr:nvGrpSpPr>
          <xdr:cNvPr id="47" name="Group 46">
            <a:extLst>
              <a:ext uri="{FF2B5EF4-FFF2-40B4-BE49-F238E27FC236}">
                <a16:creationId xmlns:a16="http://schemas.microsoft.com/office/drawing/2014/main" id="{00000000-0008-0000-0800-00002F000000}"/>
              </a:ext>
            </a:extLst>
          </xdr:cNvPr>
          <xdr:cNvGrpSpPr/>
        </xdr:nvGrpSpPr>
        <xdr:grpSpPr>
          <a:xfrm>
            <a:off x="65728" y="634453"/>
            <a:ext cx="4769372" cy="397786"/>
            <a:chOff x="65787" y="638186"/>
            <a:chExt cx="4780060" cy="400126"/>
          </a:xfrm>
        </xdr:grpSpPr>
        <xdr:grpSp>
          <xdr:nvGrpSpPr>
            <xdr:cNvPr id="57" name="Group 56">
              <a:extLst>
                <a:ext uri="{FF2B5EF4-FFF2-40B4-BE49-F238E27FC236}">
                  <a16:creationId xmlns:a16="http://schemas.microsoft.com/office/drawing/2014/main" id="{00000000-0008-0000-0800-000039000000}"/>
                </a:ext>
              </a:extLst>
            </xdr:cNvPr>
            <xdr:cNvGrpSpPr/>
          </xdr:nvGrpSpPr>
          <xdr:grpSpPr>
            <a:xfrm>
              <a:off x="65787" y="638186"/>
              <a:ext cx="4780060" cy="400126"/>
              <a:chOff x="75312" y="647700"/>
              <a:chExt cx="4780060" cy="400126"/>
            </a:xfrm>
          </xdr:grpSpPr>
          <xdr:grpSp>
            <xdr:nvGrpSpPr>
              <xdr:cNvPr id="59" name="Group 58">
                <a:extLst>
                  <a:ext uri="{FF2B5EF4-FFF2-40B4-BE49-F238E27FC236}">
                    <a16:creationId xmlns:a16="http://schemas.microsoft.com/office/drawing/2014/main" id="{00000000-0008-0000-0800-00003B000000}"/>
                  </a:ext>
                </a:extLst>
              </xdr:cNvPr>
              <xdr:cNvGrpSpPr/>
            </xdr:nvGrpSpPr>
            <xdr:grpSpPr>
              <a:xfrm>
                <a:off x="75312" y="828751"/>
                <a:ext cx="4777489" cy="219075"/>
                <a:chOff x="75312" y="847801"/>
                <a:chExt cx="4777489" cy="219075"/>
              </a:xfrm>
            </xdr:grpSpPr>
            <xdr:pic macro="[0]!UniversalChanger">
              <xdr:nvPicPr>
                <xdr:cNvPr id="62" name="Scatter_X_Up" descr="scroll_up_small.png">
                  <a:extLst>
                    <a:ext uri="{FF2B5EF4-FFF2-40B4-BE49-F238E27FC236}">
                      <a16:creationId xmlns:a16="http://schemas.microsoft.com/office/drawing/2014/main" id="{00000000-0008-0000-0800-00003E000000}"/>
                    </a:ext>
                  </a:extLst>
                </xdr:cNvPr>
                <xdr:cNvPicPr>
                  <a:picLocks/>
                </xdr:cNvPicPr>
              </xdr:nvPicPr>
              <xdr:blipFill>
                <a:blip xmlns:r="http://schemas.openxmlformats.org/officeDocument/2006/relationships" r:embed="rId3" cstate="print"/>
                <a:stretch>
                  <a:fillRect/>
                </a:stretch>
              </xdr:blipFill>
              <xdr:spPr>
                <a:xfrm>
                  <a:off x="4546641" y="855153"/>
                  <a:ext cx="306160" cy="120658"/>
                </a:xfrm>
                <a:prstGeom prst="rect">
                  <a:avLst/>
                </a:prstGeom>
              </xdr:spPr>
            </xdr:pic>
            <xdr:pic macro="[0]!UniversalChanger">
              <xdr:nvPicPr>
                <xdr:cNvPr id="63" name="Scatter_X_Down" descr="scroll_down_small.png">
                  <a:extLst>
                    <a:ext uri="{FF2B5EF4-FFF2-40B4-BE49-F238E27FC236}">
                      <a16:creationId xmlns:a16="http://schemas.microsoft.com/office/drawing/2014/main" id="{00000000-0008-0000-0800-00003F000000}"/>
                    </a:ext>
                  </a:extLst>
                </xdr:cNvPr>
                <xdr:cNvPicPr>
                  <a:picLocks/>
                </xdr:cNvPicPr>
              </xdr:nvPicPr>
              <xdr:blipFill>
                <a:blip xmlns:r="http://schemas.openxmlformats.org/officeDocument/2006/relationships" r:embed="rId4" cstate="print"/>
                <a:stretch>
                  <a:fillRect/>
                </a:stretch>
              </xdr:blipFill>
              <xdr:spPr>
                <a:xfrm>
                  <a:off x="4546641" y="964289"/>
                  <a:ext cx="306079" cy="97981"/>
                </a:xfrm>
                <a:prstGeom prst="rect">
                  <a:avLst/>
                </a:prstGeom>
              </xdr:spPr>
            </xdr:pic>
            <mc:AlternateContent xmlns:mc="http://schemas.openxmlformats.org/markup-compatibility/2006">
              <mc:Choice xmlns:a14="http://schemas.microsoft.com/office/drawing/2010/main" Requires="a14">
                <xdr:sp macro="" textlink="">
                  <xdr:nvSpPr>
                    <xdr:cNvPr id="14501894" name="Scatter_X" hidden="1">
                      <a:extLst>
                        <a:ext uri="{63B3BB69-23CF-44E3-9099-C40C66FF867C}">
                          <a14:compatExt spid="_x0000_s14501894"/>
                        </a:ext>
                        <a:ext uri="{FF2B5EF4-FFF2-40B4-BE49-F238E27FC236}">
                          <a16:creationId xmlns:a16="http://schemas.microsoft.com/office/drawing/2014/main" id="{00000000-0008-0000-0800-00000648DD00}"/>
                        </a:ext>
                      </a:extLst>
                    </xdr:cNvPr>
                    <xdr:cNvSpPr/>
                  </xdr:nvSpPr>
                  <xdr:spPr bwMode="auto">
                    <a:xfrm>
                      <a:off x="75312" y="847801"/>
                      <a:ext cx="4458538" cy="219075"/>
                    </a:xfrm>
                    <a:prstGeom prst="rect">
                      <a:avLst/>
                    </a:prstGeom>
                    <a:noFill/>
                    <a:ln>
                      <a:noFill/>
                    </a:ln>
                    <a:extLst>
                      <a:ext uri="{91240B29-F687-4F45-9708-019B960494DF}">
                        <a14:hiddenLine w="9525">
                          <a:noFill/>
                          <a:miter lim="800000"/>
                          <a:headEnd/>
                          <a:tailEnd/>
                        </a14:hiddenLine>
                      </a:ext>
                    </a:extLst>
                  </xdr:spPr>
                </xdr:sp>
              </mc:Choice>
              <mc:Fallback/>
            </mc:AlternateContent>
          </xdr:grpSp>
          <xdr:sp macro="[0]!UniversalChanger" textlink="uxb_works!H94">
            <xdr:nvSpPr>
              <xdr:cNvPr id="60" name="Xbtn_1">
                <a:extLst>
                  <a:ext uri="{FF2B5EF4-FFF2-40B4-BE49-F238E27FC236}">
                    <a16:creationId xmlns:a16="http://schemas.microsoft.com/office/drawing/2014/main" id="{00000000-0008-0000-0800-00003C000000}"/>
                  </a:ext>
                </a:extLst>
              </xdr:cNvPr>
              <xdr:cNvSpPr>
                <a:spLocks/>
              </xdr:cNvSpPr>
            </xdr:nvSpPr>
            <xdr:spPr>
              <a:xfrm>
                <a:off x="690565" y="647700"/>
                <a:ext cx="4164807"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A23FB796-3414-4DD6-9E99-4B2879C19228}" type="TxLink">
                  <a:rPr lang="en-US" sz="800" b="0" i="0" u="none" strike="noStrike">
                    <a:solidFill>
                      <a:srgbClr val="000000"/>
                    </a:solidFill>
                    <a:latin typeface="Calibri"/>
                    <a:ea typeface="Karla" pitchFamily="2" charset="0"/>
                    <a:cs typeface="Calibri"/>
                  </a:rPr>
                  <a:pPr algn="ctr"/>
                  <a:t>INDEX INDICATORS (click to reset)</a:t>
                </a:fld>
                <a:endParaRPr lang="en-GB" sz="800" b="1">
                  <a:solidFill>
                    <a:srgbClr val="000000"/>
                  </a:solidFill>
                  <a:latin typeface="+mn-lt"/>
                  <a:ea typeface="Karla" pitchFamily="2" charset="0"/>
                </a:endParaRPr>
              </a:p>
            </xdr:txBody>
          </xdr:sp>
          <xdr:sp macro="" textlink="">
            <xdr:nvSpPr>
              <xdr:cNvPr id="61" name="lbl_cnt_City_1">
                <a:extLst>
                  <a:ext uri="{FF2B5EF4-FFF2-40B4-BE49-F238E27FC236}">
                    <a16:creationId xmlns:a16="http://schemas.microsoft.com/office/drawing/2014/main" id="{00000000-0008-0000-0800-00003D000000}"/>
                  </a:ext>
                </a:extLst>
              </xdr:cNvPr>
              <xdr:cNvSpPr txBox="1"/>
            </xdr:nvSpPr>
            <xdr:spPr>
              <a:xfrm>
                <a:off x="76200" y="647700"/>
                <a:ext cx="609600" cy="180000"/>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ctr"/>
                <a:r>
                  <a:rPr lang="en-GB" sz="1000" b="1">
                    <a:solidFill>
                      <a:sysClr val="windowText" lastClr="000000"/>
                    </a:solidFill>
                    <a:latin typeface="+mn-lt"/>
                    <a:ea typeface="Karla" pitchFamily="2" charset="0"/>
                  </a:rPr>
                  <a:t>SELECT X</a:t>
                </a:r>
              </a:p>
            </xdr:txBody>
          </xdr:sp>
        </xdr:grpSp>
        <xdr:sp macro="" textlink="">
          <xdr:nvSpPr>
            <xdr:cNvPr id="58" name="Rectangle 57">
              <a:extLst>
                <a:ext uri="{FF2B5EF4-FFF2-40B4-BE49-F238E27FC236}">
                  <a16:creationId xmlns:a16="http://schemas.microsoft.com/office/drawing/2014/main" id="{00000000-0008-0000-0800-00003A000000}"/>
                </a:ext>
              </a:extLst>
            </xdr:cNvPr>
            <xdr:cNvSpPr/>
          </xdr:nvSpPr>
          <xdr:spPr>
            <a:xfrm>
              <a:off x="4524374" y="819151"/>
              <a:ext cx="319089" cy="219074"/>
            </a:xfrm>
            <a:prstGeom prst="rect">
              <a:avLst/>
            </a:prstGeom>
            <a:noFill/>
            <a:ln w="63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chemeClr val="accent1">
                    <a:lumMod val="60000"/>
                    <a:lumOff val="40000"/>
                  </a:schemeClr>
                </a:solidFill>
                <a:latin typeface="Calibri"/>
                <a:cs typeface="Calibri"/>
              </a:endParaRPr>
            </a:p>
          </xdr:txBody>
        </xdr:sp>
      </xdr:grpSp>
      <xdr:grpSp>
        <xdr:nvGrpSpPr>
          <xdr:cNvPr id="48" name="Group 47">
            <a:extLst>
              <a:ext uri="{FF2B5EF4-FFF2-40B4-BE49-F238E27FC236}">
                <a16:creationId xmlns:a16="http://schemas.microsoft.com/office/drawing/2014/main" id="{00000000-0008-0000-0800-000030000000}"/>
              </a:ext>
            </a:extLst>
          </xdr:cNvPr>
          <xdr:cNvGrpSpPr/>
        </xdr:nvGrpSpPr>
        <xdr:grpSpPr>
          <a:xfrm>
            <a:off x="4904091" y="634443"/>
            <a:ext cx="4761933" cy="402456"/>
            <a:chOff x="4914902" y="638175"/>
            <a:chExt cx="4790624" cy="404823"/>
          </a:xfrm>
        </xdr:grpSpPr>
        <xdr:grpSp>
          <xdr:nvGrpSpPr>
            <xdr:cNvPr id="49" name="Group 48">
              <a:extLst>
                <a:ext uri="{FF2B5EF4-FFF2-40B4-BE49-F238E27FC236}">
                  <a16:creationId xmlns:a16="http://schemas.microsoft.com/office/drawing/2014/main" id="{00000000-0008-0000-0800-000031000000}"/>
                </a:ext>
              </a:extLst>
            </xdr:cNvPr>
            <xdr:cNvGrpSpPr/>
          </xdr:nvGrpSpPr>
          <xdr:grpSpPr>
            <a:xfrm>
              <a:off x="4914902" y="638175"/>
              <a:ext cx="4790624" cy="404823"/>
              <a:chOff x="4924427" y="647689"/>
              <a:chExt cx="4790624" cy="404823"/>
            </a:xfrm>
          </xdr:grpSpPr>
          <xdr:grpSp>
            <xdr:nvGrpSpPr>
              <xdr:cNvPr id="51" name="Group 50">
                <a:extLst>
                  <a:ext uri="{FF2B5EF4-FFF2-40B4-BE49-F238E27FC236}">
                    <a16:creationId xmlns:a16="http://schemas.microsoft.com/office/drawing/2014/main" id="{00000000-0008-0000-0800-000033000000}"/>
                  </a:ext>
                </a:extLst>
              </xdr:cNvPr>
              <xdr:cNvGrpSpPr/>
            </xdr:nvGrpSpPr>
            <xdr:grpSpPr>
              <a:xfrm>
                <a:off x="4925008" y="828674"/>
                <a:ext cx="4790043" cy="223838"/>
                <a:chOff x="4925008" y="847724"/>
                <a:chExt cx="4790043" cy="223838"/>
              </a:xfrm>
            </xdr:grpSpPr>
            <xdr:pic macro="[0]!UniversalChanger">
              <xdr:nvPicPr>
                <xdr:cNvPr id="54" name="Scatter_Y_Down" descr="scroll_down_small.png">
                  <a:extLst>
                    <a:ext uri="{FF2B5EF4-FFF2-40B4-BE49-F238E27FC236}">
                      <a16:creationId xmlns:a16="http://schemas.microsoft.com/office/drawing/2014/main" id="{00000000-0008-0000-0800-000036000000}"/>
                    </a:ext>
                  </a:extLst>
                </xdr:cNvPr>
                <xdr:cNvPicPr>
                  <a:picLocks/>
                </xdr:cNvPicPr>
              </xdr:nvPicPr>
              <xdr:blipFill>
                <a:blip xmlns:r="http://schemas.openxmlformats.org/officeDocument/2006/relationships" r:embed="rId4" cstate="print"/>
                <a:stretch>
                  <a:fillRect/>
                </a:stretch>
              </xdr:blipFill>
              <xdr:spPr>
                <a:xfrm>
                  <a:off x="9417151" y="972192"/>
                  <a:ext cx="297820" cy="99370"/>
                </a:xfrm>
                <a:prstGeom prst="rect">
                  <a:avLst/>
                </a:prstGeom>
              </xdr:spPr>
            </xdr:pic>
            <xdr:pic macro="[0]!UniversalChanger">
              <xdr:nvPicPr>
                <xdr:cNvPr id="55" name="Scatter_Y_Up" descr="scroll_up_small.png">
                  <a:extLst>
                    <a:ext uri="{FF2B5EF4-FFF2-40B4-BE49-F238E27FC236}">
                      <a16:creationId xmlns:a16="http://schemas.microsoft.com/office/drawing/2014/main" id="{00000000-0008-0000-0800-000037000000}"/>
                    </a:ext>
                  </a:extLst>
                </xdr:cNvPr>
                <xdr:cNvPicPr>
                  <a:picLocks/>
                </xdr:cNvPicPr>
              </xdr:nvPicPr>
              <xdr:blipFill>
                <a:blip xmlns:r="http://schemas.openxmlformats.org/officeDocument/2006/relationships" r:embed="rId3" cstate="print"/>
                <a:stretch>
                  <a:fillRect/>
                </a:stretch>
              </xdr:blipFill>
              <xdr:spPr>
                <a:xfrm>
                  <a:off x="9417151" y="858293"/>
                  <a:ext cx="297900" cy="120659"/>
                </a:xfrm>
                <a:prstGeom prst="rect">
                  <a:avLst/>
                </a:prstGeom>
              </xdr:spPr>
            </xdr:pic>
            <mc:AlternateContent xmlns:mc="http://schemas.openxmlformats.org/markup-compatibility/2006">
              <mc:Choice xmlns:a14="http://schemas.microsoft.com/office/drawing/2010/main" Requires="a14">
                <xdr:sp macro="" textlink="">
                  <xdr:nvSpPr>
                    <xdr:cNvPr id="14501895" name="Scatter_Y" hidden="1">
                      <a:extLst>
                        <a:ext uri="{63B3BB69-23CF-44E3-9099-C40C66FF867C}">
                          <a14:compatExt spid="_x0000_s14501895"/>
                        </a:ext>
                        <a:ext uri="{FF2B5EF4-FFF2-40B4-BE49-F238E27FC236}">
                          <a16:creationId xmlns:a16="http://schemas.microsoft.com/office/drawing/2014/main" id="{00000000-0008-0000-0800-00000748DD00}"/>
                        </a:ext>
                      </a:extLst>
                    </xdr:cNvPr>
                    <xdr:cNvSpPr/>
                  </xdr:nvSpPr>
                  <xdr:spPr bwMode="auto">
                    <a:xfrm>
                      <a:off x="4925008" y="847724"/>
                      <a:ext cx="4485706" cy="219075"/>
                    </a:xfrm>
                    <a:prstGeom prst="rect">
                      <a:avLst/>
                    </a:prstGeom>
                    <a:noFill/>
                    <a:ln>
                      <a:noFill/>
                    </a:ln>
                    <a:extLst>
                      <a:ext uri="{91240B29-F687-4F45-9708-019B960494DF}">
                        <a14:hiddenLine w="9525">
                          <a:noFill/>
                          <a:miter lim="800000"/>
                          <a:headEnd/>
                          <a:tailEnd/>
                        </a14:hiddenLine>
                      </a:ext>
                    </a:extLst>
                  </xdr:spPr>
                </xdr:sp>
              </mc:Choice>
              <mc:Fallback/>
            </mc:AlternateContent>
          </xdr:grpSp>
          <xdr:sp macro="[0]!UniversalChanger" textlink="uxb_works!H94">
            <xdr:nvSpPr>
              <xdr:cNvPr id="52" name="Ybtn_1">
                <a:extLst>
                  <a:ext uri="{FF2B5EF4-FFF2-40B4-BE49-F238E27FC236}">
                    <a16:creationId xmlns:a16="http://schemas.microsoft.com/office/drawing/2014/main" id="{00000000-0008-0000-0800-000034000000}"/>
                  </a:ext>
                </a:extLst>
              </xdr:cNvPr>
              <xdr:cNvSpPr>
                <a:spLocks/>
              </xdr:cNvSpPr>
            </xdr:nvSpPr>
            <xdr:spPr>
              <a:xfrm>
                <a:off x="5534027" y="647689"/>
                <a:ext cx="4178056"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A23FB796-3414-4DD6-9E99-4B2879C19228}" type="TxLink">
                  <a:rPr lang="en-US" sz="800" b="0" i="0" u="none" strike="noStrike">
                    <a:solidFill>
                      <a:srgbClr val="000000"/>
                    </a:solidFill>
                    <a:latin typeface="Calibri"/>
                    <a:ea typeface="Karla" pitchFamily="2" charset="0"/>
                    <a:cs typeface="Calibri"/>
                  </a:rPr>
                  <a:pPr algn="ctr"/>
                  <a:t>INDEX INDICATORS (click to reset)</a:t>
                </a:fld>
                <a:endParaRPr lang="en-GB" sz="800" b="1">
                  <a:solidFill>
                    <a:srgbClr val="000000"/>
                  </a:solidFill>
                  <a:latin typeface="+mn-lt"/>
                  <a:ea typeface="Karla" pitchFamily="2" charset="0"/>
                </a:endParaRPr>
              </a:p>
            </xdr:txBody>
          </xdr:sp>
          <xdr:sp macro="" textlink="">
            <xdr:nvSpPr>
              <xdr:cNvPr id="53" name="lbl_cnt_City_1">
                <a:extLst>
                  <a:ext uri="{FF2B5EF4-FFF2-40B4-BE49-F238E27FC236}">
                    <a16:creationId xmlns:a16="http://schemas.microsoft.com/office/drawing/2014/main" id="{00000000-0008-0000-0800-000035000000}"/>
                  </a:ext>
                </a:extLst>
              </xdr:cNvPr>
              <xdr:cNvSpPr txBox="1"/>
            </xdr:nvSpPr>
            <xdr:spPr>
              <a:xfrm>
                <a:off x="4924427" y="647689"/>
                <a:ext cx="609600" cy="180000"/>
              </a:xfrm>
              <a:prstGeom prst="rect">
                <a:avLst/>
              </a:prstGeom>
              <a:noFill/>
              <a:ln w="63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lstStyle/>
              <a:p>
                <a:pPr algn="ctr"/>
                <a:r>
                  <a:rPr lang="en-GB" sz="1000" b="1">
                    <a:solidFill>
                      <a:sysClr val="windowText" lastClr="000000"/>
                    </a:solidFill>
                    <a:latin typeface="+mn-lt"/>
                    <a:ea typeface="Karla" pitchFamily="2" charset="0"/>
                  </a:rPr>
                  <a:t>SELECT Y</a:t>
                </a:r>
              </a:p>
            </xdr:txBody>
          </xdr:sp>
        </xdr:grpSp>
        <xdr:sp macro="" textlink="">
          <xdr:nvSpPr>
            <xdr:cNvPr id="50" name="Rectangle 49">
              <a:extLst>
                <a:ext uri="{FF2B5EF4-FFF2-40B4-BE49-F238E27FC236}">
                  <a16:creationId xmlns:a16="http://schemas.microsoft.com/office/drawing/2014/main" id="{00000000-0008-0000-0800-000032000000}"/>
                </a:ext>
              </a:extLst>
            </xdr:cNvPr>
            <xdr:cNvSpPr/>
          </xdr:nvSpPr>
          <xdr:spPr>
            <a:xfrm>
              <a:off x="9401040" y="819150"/>
              <a:ext cx="304486" cy="219074"/>
            </a:xfrm>
            <a:prstGeom prst="rect">
              <a:avLst/>
            </a:prstGeom>
            <a:noFill/>
            <a:ln w="63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400" b="1" i="0" u="none" strike="noStrike">
                <a:solidFill>
                  <a:schemeClr val="accent1">
                    <a:lumMod val="60000"/>
                    <a:lumOff val="40000"/>
                  </a:schemeClr>
                </a:solidFill>
                <a:latin typeface="Calibri"/>
                <a:cs typeface="Calibri"/>
              </a:endParaRPr>
            </a:p>
          </xdr:txBody>
        </xdr:sp>
      </xdr:grpSp>
    </xdr:grpSp>
    <xdr:clientData/>
  </xdr:twoCellAnchor>
  <xdr:twoCellAnchor editAs="absolute">
    <xdr:from>
      <xdr:col>0</xdr:col>
      <xdr:colOff>76200</xdr:colOff>
      <xdr:row>3</xdr:row>
      <xdr:rowOff>52917</xdr:rowOff>
    </xdr:from>
    <xdr:to>
      <xdr:col>18</xdr:col>
      <xdr:colOff>136033</xdr:colOff>
      <xdr:row>3</xdr:row>
      <xdr:rowOff>588433</xdr:rowOff>
    </xdr:to>
    <xdr:grpSp>
      <xdr:nvGrpSpPr>
        <xdr:cNvPr id="144" name="Del_FILTER_OPTIONS">
          <a:extLst>
            <a:ext uri="{FF2B5EF4-FFF2-40B4-BE49-F238E27FC236}">
              <a16:creationId xmlns:a16="http://schemas.microsoft.com/office/drawing/2014/main" id="{00000000-0008-0000-0800-000090000000}"/>
            </a:ext>
          </a:extLst>
        </xdr:cNvPr>
        <xdr:cNvGrpSpPr/>
      </xdr:nvGrpSpPr>
      <xdr:grpSpPr>
        <a:xfrm>
          <a:off x="76200" y="1176867"/>
          <a:ext cx="11534283" cy="535516"/>
          <a:chOff x="123825" y="1181100"/>
          <a:chExt cx="11562858" cy="542925"/>
        </a:xfrm>
      </xdr:grpSpPr>
      <xdr:sp macro="" textlink="">
        <xdr:nvSpPr>
          <xdr:cNvPr id="145" name="lbl_cnt_City_1">
            <a:extLst>
              <a:ext uri="{FF2B5EF4-FFF2-40B4-BE49-F238E27FC236}">
                <a16:creationId xmlns:a16="http://schemas.microsoft.com/office/drawing/2014/main" id="{00000000-0008-0000-0800-000091000000}"/>
              </a:ext>
            </a:extLst>
          </xdr:cNvPr>
          <xdr:cNvSpPr txBox="1"/>
        </xdr:nvSpPr>
        <xdr:spPr>
          <a:xfrm>
            <a:off x="123825" y="1181100"/>
            <a:ext cx="7315200" cy="54292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endParaRPr lang="en-US" sz="1000" b="1" i="0" u="none" strike="noStrike">
              <a:solidFill>
                <a:srgbClr val="143050"/>
              </a:solidFill>
              <a:latin typeface="Calibri"/>
              <a:cs typeface="Calibri"/>
            </a:endParaRPr>
          </a:p>
        </xdr:txBody>
      </xdr:sp>
      <xdr:sp macro="" textlink="uxb_works!D96">
        <xdr:nvSpPr>
          <xdr:cNvPr id="146" name="lbl_cnt_City_1">
            <a:extLst>
              <a:ext uri="{FF2B5EF4-FFF2-40B4-BE49-F238E27FC236}">
                <a16:creationId xmlns:a16="http://schemas.microsoft.com/office/drawing/2014/main" id="{00000000-0008-0000-0800-000092000000}"/>
              </a:ext>
            </a:extLst>
          </xdr:cNvPr>
          <xdr:cNvSpPr txBox="1"/>
        </xdr:nvSpPr>
        <xdr:spPr>
          <a:xfrm>
            <a:off x="228492" y="1247773"/>
            <a:ext cx="524674"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rIns="0" bIns="0" rtlCol="0" anchor="t"/>
          <a:lstStyle/>
          <a:p>
            <a:pPr algn="r"/>
            <a:fld id="{EC6270EF-FB14-4F40-A375-01271F5F9F23}" type="TxLink">
              <a:rPr lang="en-US" sz="1000" b="1" i="0" u="none" strike="noStrike" baseline="0">
                <a:solidFill>
                  <a:sysClr val="windowText" lastClr="000000"/>
                </a:solidFill>
                <a:effectLst/>
                <a:latin typeface="Calibri"/>
                <a:ea typeface="+mn-ea"/>
                <a:cs typeface="Calibri"/>
              </a:rPr>
              <a:pPr algn="r"/>
              <a:t>CITY FILTERS</a:t>
            </a:fld>
            <a:endParaRPr lang="en-GB" sz="1000" b="1">
              <a:solidFill>
                <a:sysClr val="windowText" lastClr="000000"/>
              </a:solidFill>
              <a:latin typeface="+mn-lt"/>
            </a:endParaRPr>
          </a:p>
        </xdr:txBody>
      </xdr:sp>
      <xdr:grpSp>
        <xdr:nvGrpSpPr>
          <xdr:cNvPr id="147" name="Group 146">
            <a:extLst>
              <a:ext uri="{FF2B5EF4-FFF2-40B4-BE49-F238E27FC236}">
                <a16:creationId xmlns:a16="http://schemas.microsoft.com/office/drawing/2014/main" id="{00000000-0008-0000-0800-000093000000}"/>
              </a:ext>
            </a:extLst>
          </xdr:cNvPr>
          <xdr:cNvGrpSpPr/>
        </xdr:nvGrpSpPr>
        <xdr:grpSpPr>
          <a:xfrm>
            <a:off x="3067895" y="1266824"/>
            <a:ext cx="2085130" cy="402834"/>
            <a:chOff x="887117" y="1257299"/>
            <a:chExt cx="2094310" cy="402834"/>
          </a:xfrm>
        </xdr:grpSpPr>
        <xdr:pic macro="[0]!UniversalChanger">
          <xdr:nvPicPr>
            <xdr:cNvPr id="158" name="INCOME_FL_UP" descr="scroll_up_small.png">
              <a:extLst>
                <a:ext uri="{FF2B5EF4-FFF2-40B4-BE49-F238E27FC236}">
                  <a16:creationId xmlns:a16="http://schemas.microsoft.com/office/drawing/2014/main" id="{00000000-0008-0000-0800-00009E000000}"/>
                </a:ext>
              </a:extLst>
            </xdr:cNvPr>
            <xdr:cNvPicPr>
              <a:picLocks noChangeAspect="1"/>
            </xdr:cNvPicPr>
          </xdr:nvPicPr>
          <xdr:blipFill>
            <a:blip xmlns:r="http://schemas.openxmlformats.org/officeDocument/2006/relationships" r:embed="rId3" cstate="print"/>
            <a:stretch>
              <a:fillRect/>
            </a:stretch>
          </xdr:blipFill>
          <xdr:spPr>
            <a:xfrm>
              <a:off x="2694979" y="1447799"/>
              <a:ext cx="285679" cy="119545"/>
            </a:xfrm>
            <a:prstGeom prst="rect">
              <a:avLst/>
            </a:prstGeom>
          </xdr:spPr>
        </xdr:pic>
        <xdr:pic macro="[0]!UniversalChanger">
          <xdr:nvPicPr>
            <xdr:cNvPr id="159" name="INCOME_FL_DOWN" descr="scroll_down_small.png">
              <a:extLst>
                <a:ext uri="{FF2B5EF4-FFF2-40B4-BE49-F238E27FC236}">
                  <a16:creationId xmlns:a16="http://schemas.microsoft.com/office/drawing/2014/main" id="{00000000-0008-0000-0800-00009F000000}"/>
                </a:ext>
              </a:extLst>
            </xdr:cNvPr>
            <xdr:cNvPicPr>
              <a:picLocks noChangeAspect="1"/>
            </xdr:cNvPicPr>
          </xdr:nvPicPr>
          <xdr:blipFill>
            <a:blip xmlns:r="http://schemas.openxmlformats.org/officeDocument/2006/relationships" r:embed="rId4" cstate="print"/>
            <a:stretch>
              <a:fillRect/>
            </a:stretch>
          </xdr:blipFill>
          <xdr:spPr>
            <a:xfrm>
              <a:off x="2694972" y="1565459"/>
              <a:ext cx="285599" cy="94674"/>
            </a:xfrm>
            <a:prstGeom prst="rect">
              <a:avLst/>
            </a:prstGeom>
          </xdr:spPr>
        </xdr:pic>
        <mc:AlternateContent xmlns:mc="http://schemas.openxmlformats.org/markup-compatibility/2006">
          <mc:Choice xmlns:a14="http://schemas.microsoft.com/office/drawing/2010/main" Requires="a14">
            <xdr:sp macro="" textlink="">
              <xdr:nvSpPr>
                <xdr:cNvPr id="14501901" name="INCOME_FILTER" hidden="1">
                  <a:extLst>
                    <a:ext uri="{63B3BB69-23CF-44E3-9099-C40C66FF867C}">
                      <a14:compatExt spid="_x0000_s14501901"/>
                    </a:ext>
                    <a:ext uri="{FF2B5EF4-FFF2-40B4-BE49-F238E27FC236}">
                      <a16:creationId xmlns:a16="http://schemas.microsoft.com/office/drawing/2014/main" id="{00000000-0008-0000-0800-00000D48DD00}"/>
                    </a:ext>
                  </a:extLst>
                </xdr:cNvPr>
                <xdr:cNvSpPr/>
              </xdr:nvSpPr>
              <xdr:spPr bwMode="auto">
                <a:xfrm>
                  <a:off x="887123" y="1438274"/>
                  <a:ext cx="1805947" cy="219075"/>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0">
          <xdr:nvSpPr>
            <xdr:cNvPr id="160" name="FILTER_GA_1">
              <a:extLst>
                <a:ext uri="{FF2B5EF4-FFF2-40B4-BE49-F238E27FC236}">
                  <a16:creationId xmlns:a16="http://schemas.microsoft.com/office/drawing/2014/main" id="{00000000-0008-0000-0800-0000A0000000}"/>
                </a:ext>
              </a:extLst>
            </xdr:cNvPr>
            <xdr:cNvSpPr>
              <a:spLocks/>
            </xdr:cNvSpPr>
          </xdr:nvSpPr>
          <xdr:spPr>
            <a:xfrm>
              <a:off x="887117" y="1257299"/>
              <a:ext cx="2094310"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5B3884B5-1625-476A-A697-2341FA45AADB}" type="TxLink">
                <a:rPr lang="en-US" sz="800" b="0" i="0" u="none" strike="noStrike">
                  <a:solidFill>
                    <a:srgbClr val="000000"/>
                  </a:solidFill>
                  <a:latin typeface="Calibri"/>
                  <a:cs typeface="Calibri"/>
                </a:rPr>
                <a:pPr algn="ctr"/>
                <a:t>BY INCOME (reset)</a:t>
              </a:fld>
              <a:endParaRPr lang="en-US" sz="800" b="0" i="0" u="none" strike="noStrike">
                <a:solidFill>
                  <a:srgbClr val="000000"/>
                </a:solidFill>
                <a:latin typeface="Calibri"/>
                <a:cs typeface="Calibri"/>
              </a:endParaRPr>
            </a:p>
          </xdr:txBody>
        </xdr:sp>
      </xdr:grpSp>
      <xdr:grpSp>
        <xdr:nvGrpSpPr>
          <xdr:cNvPr id="148" name="Group 147">
            <a:extLst>
              <a:ext uri="{FF2B5EF4-FFF2-40B4-BE49-F238E27FC236}">
                <a16:creationId xmlns:a16="http://schemas.microsoft.com/office/drawing/2014/main" id="{00000000-0008-0000-0800-000094000000}"/>
              </a:ext>
            </a:extLst>
          </xdr:cNvPr>
          <xdr:cNvGrpSpPr/>
        </xdr:nvGrpSpPr>
        <xdr:grpSpPr>
          <a:xfrm>
            <a:off x="893621" y="1266824"/>
            <a:ext cx="2094230" cy="389525"/>
            <a:chOff x="3238171" y="1266824"/>
            <a:chExt cx="2095068" cy="389525"/>
          </a:xfrm>
        </xdr:grpSpPr>
        <xdr:pic macro="[0]!UniversalChanger">
          <xdr:nvPicPr>
            <xdr:cNvPr id="155" name="R_FL_UP" descr="scroll_up_small.png">
              <a:extLst>
                <a:ext uri="{FF2B5EF4-FFF2-40B4-BE49-F238E27FC236}">
                  <a16:creationId xmlns:a16="http://schemas.microsoft.com/office/drawing/2014/main" id="{00000000-0008-0000-0800-00009B000000}"/>
                </a:ext>
              </a:extLst>
            </xdr:cNvPr>
            <xdr:cNvPicPr>
              <a:picLocks noChangeAspect="1"/>
            </xdr:cNvPicPr>
          </xdr:nvPicPr>
          <xdr:blipFill>
            <a:blip xmlns:r="http://schemas.openxmlformats.org/officeDocument/2006/relationships" r:embed="rId3" cstate="print"/>
            <a:stretch>
              <a:fillRect/>
            </a:stretch>
          </xdr:blipFill>
          <xdr:spPr>
            <a:xfrm>
              <a:off x="5045868" y="1447655"/>
              <a:ext cx="285679" cy="117499"/>
            </a:xfrm>
            <a:prstGeom prst="rect">
              <a:avLst/>
            </a:prstGeom>
          </xdr:spPr>
        </xdr:pic>
        <xdr:pic macro="[0]!UniversalChanger">
          <xdr:nvPicPr>
            <xdr:cNvPr id="156" name="R_FL_DOWN" descr="scroll_down_small.png">
              <a:extLst>
                <a:ext uri="{FF2B5EF4-FFF2-40B4-BE49-F238E27FC236}">
                  <a16:creationId xmlns:a16="http://schemas.microsoft.com/office/drawing/2014/main" id="{00000000-0008-0000-0800-00009C000000}"/>
                </a:ext>
              </a:extLst>
            </xdr:cNvPr>
            <xdr:cNvPicPr>
              <a:picLocks noChangeAspect="1"/>
            </xdr:cNvPicPr>
          </xdr:nvPicPr>
          <xdr:blipFill>
            <a:blip xmlns:r="http://schemas.openxmlformats.org/officeDocument/2006/relationships" r:embed="rId4" cstate="print"/>
            <a:stretch>
              <a:fillRect/>
            </a:stretch>
          </xdr:blipFill>
          <xdr:spPr>
            <a:xfrm>
              <a:off x="5045861" y="1563295"/>
              <a:ext cx="285599" cy="93054"/>
            </a:xfrm>
            <a:prstGeom prst="rect">
              <a:avLst/>
            </a:prstGeom>
          </xdr:spPr>
        </xdr:pic>
        <mc:AlternateContent xmlns:mc="http://schemas.openxmlformats.org/markup-compatibility/2006">
          <mc:Choice xmlns:a14="http://schemas.microsoft.com/office/drawing/2010/main" Requires="a14">
            <xdr:sp macro="" textlink="">
              <xdr:nvSpPr>
                <xdr:cNvPr id="14501902" name="R_FILTER" hidden="1">
                  <a:extLst>
                    <a:ext uri="{63B3BB69-23CF-44E3-9099-C40C66FF867C}">
                      <a14:compatExt spid="_x0000_s14501902"/>
                    </a:ext>
                    <a:ext uri="{FF2B5EF4-FFF2-40B4-BE49-F238E27FC236}">
                      <a16:creationId xmlns:a16="http://schemas.microsoft.com/office/drawing/2014/main" id="{00000000-0008-0000-0800-00000E48DD00}"/>
                    </a:ext>
                  </a:extLst>
                </xdr:cNvPr>
                <xdr:cNvSpPr/>
              </xdr:nvSpPr>
              <xdr:spPr bwMode="auto">
                <a:xfrm>
                  <a:off x="3238171" y="1438295"/>
                  <a:ext cx="1806026" cy="215327"/>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2">
          <xdr:nvSpPr>
            <xdr:cNvPr id="157" name="FILTER_GB_1">
              <a:extLst>
                <a:ext uri="{FF2B5EF4-FFF2-40B4-BE49-F238E27FC236}">
                  <a16:creationId xmlns:a16="http://schemas.microsoft.com/office/drawing/2014/main" id="{00000000-0008-0000-0800-00009D000000}"/>
                </a:ext>
              </a:extLst>
            </xdr:cNvPr>
            <xdr:cNvSpPr>
              <a:spLocks/>
            </xdr:cNvSpPr>
          </xdr:nvSpPr>
          <xdr:spPr>
            <a:xfrm>
              <a:off x="3238943" y="1266824"/>
              <a:ext cx="2094296"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683254F2-E44C-4100-8BB8-067CC0F20B8C}" type="TxLink">
                <a:rPr lang="en-US" sz="800" b="0" i="0" u="none" strike="noStrike">
                  <a:solidFill>
                    <a:srgbClr val="000000"/>
                  </a:solidFill>
                  <a:latin typeface="Calibri"/>
                  <a:cs typeface="Calibri"/>
                </a:rPr>
                <a:pPr algn="ctr"/>
                <a:t>BY REGION (reset)</a:t>
              </a:fld>
              <a:endParaRPr lang="en-US" sz="800" b="0" i="0" u="none" strike="noStrike">
                <a:solidFill>
                  <a:srgbClr val="000000"/>
                </a:solidFill>
                <a:latin typeface="Calibri"/>
                <a:cs typeface="Calibri"/>
              </a:endParaRPr>
            </a:p>
          </xdr:txBody>
        </xdr:sp>
      </xdr:grpSp>
      <xdr:grpSp>
        <xdr:nvGrpSpPr>
          <xdr:cNvPr id="149" name="Group 148">
            <a:extLst>
              <a:ext uri="{FF2B5EF4-FFF2-40B4-BE49-F238E27FC236}">
                <a16:creationId xmlns:a16="http://schemas.microsoft.com/office/drawing/2014/main" id="{00000000-0008-0000-0800-000095000000}"/>
              </a:ext>
            </a:extLst>
          </xdr:cNvPr>
          <xdr:cNvGrpSpPr/>
        </xdr:nvGrpSpPr>
        <xdr:grpSpPr>
          <a:xfrm>
            <a:off x="9883351" y="1263650"/>
            <a:ext cx="1803332" cy="393692"/>
            <a:chOff x="9936742" y="1257300"/>
            <a:chExt cx="1807200" cy="393692"/>
          </a:xfrm>
        </xdr:grpSpPr>
        <mc:AlternateContent xmlns:mc="http://schemas.openxmlformats.org/markup-compatibility/2006">
          <mc:Choice xmlns:a14="http://schemas.microsoft.com/office/drawing/2010/main" Requires="a14">
            <xdr:sp macro="" textlink="">
              <xdr:nvSpPr>
                <xdr:cNvPr id="14501903" name="L_Weights" hidden="1">
                  <a:extLst>
                    <a:ext uri="{63B3BB69-23CF-44E3-9099-C40C66FF867C}">
                      <a14:compatExt spid="_x0000_s14501903"/>
                    </a:ext>
                    <a:ext uri="{FF2B5EF4-FFF2-40B4-BE49-F238E27FC236}">
                      <a16:creationId xmlns:a16="http://schemas.microsoft.com/office/drawing/2014/main" id="{00000000-0008-0000-0800-00000F48DD00}"/>
                    </a:ext>
                  </a:extLst>
                </xdr:cNvPr>
                <xdr:cNvSpPr/>
              </xdr:nvSpPr>
              <xdr:spPr bwMode="auto">
                <a:xfrm>
                  <a:off x="9936742" y="1431925"/>
                  <a:ext cx="1807125" cy="219067"/>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D104">
          <xdr:nvSpPr>
            <xdr:cNvPr id="154" name="Weight_Reset">
              <a:extLst>
                <a:ext uri="{FF2B5EF4-FFF2-40B4-BE49-F238E27FC236}">
                  <a16:creationId xmlns:a16="http://schemas.microsoft.com/office/drawing/2014/main" id="{00000000-0008-0000-0800-00009A000000}"/>
                </a:ext>
              </a:extLst>
            </xdr:cNvPr>
            <xdr:cNvSpPr>
              <a:spLocks/>
            </xdr:cNvSpPr>
          </xdr:nvSpPr>
          <xdr:spPr>
            <a:xfrm>
              <a:off x="9936742" y="1257300"/>
              <a:ext cx="1807200"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856B8423-91E9-41D2-BBE7-4949AD6F09C2}" type="TxLink">
                <a:rPr lang="en-US" sz="800" b="0" i="0" u="none" strike="noStrike">
                  <a:solidFill>
                    <a:sysClr val="windowText" lastClr="000000"/>
                  </a:solidFill>
                  <a:latin typeface="Calibri"/>
                  <a:cs typeface="Calibri"/>
                </a:rPr>
                <a:pPr algn="ctr"/>
                <a:t>WEIGHTS (reset)</a:t>
              </a:fld>
              <a:endParaRPr lang="en-US" sz="800" b="0" i="0" u="none" strike="noStrike">
                <a:solidFill>
                  <a:sysClr val="windowText" lastClr="000000"/>
                </a:solidFill>
                <a:latin typeface="Calibri"/>
                <a:cs typeface="Calibri"/>
              </a:endParaRPr>
            </a:p>
          </xdr:txBody>
        </xdr:sp>
      </xdr:grpSp>
      <xdr:grpSp>
        <xdr:nvGrpSpPr>
          <xdr:cNvPr id="150" name="Group 149">
            <a:extLst>
              <a:ext uri="{FF2B5EF4-FFF2-40B4-BE49-F238E27FC236}">
                <a16:creationId xmlns:a16="http://schemas.microsoft.com/office/drawing/2014/main" id="{00000000-0008-0000-0800-000096000000}"/>
              </a:ext>
            </a:extLst>
          </xdr:cNvPr>
          <xdr:cNvGrpSpPr/>
        </xdr:nvGrpSpPr>
        <xdr:grpSpPr>
          <a:xfrm>
            <a:off x="5238725" y="1266824"/>
            <a:ext cx="2094230" cy="389525"/>
            <a:chOff x="3238171" y="1266824"/>
            <a:chExt cx="2095068" cy="389525"/>
          </a:xfrm>
        </xdr:grpSpPr>
        <xdr:pic macro="[0]!UniversalChanger">
          <xdr:nvPicPr>
            <xdr:cNvPr id="151" name="POP_UP" descr="scroll_up_small.png">
              <a:extLst>
                <a:ext uri="{FF2B5EF4-FFF2-40B4-BE49-F238E27FC236}">
                  <a16:creationId xmlns:a16="http://schemas.microsoft.com/office/drawing/2014/main" id="{00000000-0008-0000-0800-000097000000}"/>
                </a:ext>
              </a:extLst>
            </xdr:cNvPr>
            <xdr:cNvPicPr>
              <a:picLocks noChangeAspect="1"/>
            </xdr:cNvPicPr>
          </xdr:nvPicPr>
          <xdr:blipFill>
            <a:blip xmlns:r="http://schemas.openxmlformats.org/officeDocument/2006/relationships" r:embed="rId3" cstate="print"/>
            <a:stretch>
              <a:fillRect/>
            </a:stretch>
          </xdr:blipFill>
          <xdr:spPr>
            <a:xfrm>
              <a:off x="5045868" y="1447655"/>
              <a:ext cx="285679" cy="117499"/>
            </a:xfrm>
            <a:prstGeom prst="rect">
              <a:avLst/>
            </a:prstGeom>
          </xdr:spPr>
        </xdr:pic>
        <xdr:pic macro="[0]!UniversalChanger">
          <xdr:nvPicPr>
            <xdr:cNvPr id="152" name="POP_DOWN" descr="scroll_down_small.png">
              <a:extLst>
                <a:ext uri="{FF2B5EF4-FFF2-40B4-BE49-F238E27FC236}">
                  <a16:creationId xmlns:a16="http://schemas.microsoft.com/office/drawing/2014/main" id="{00000000-0008-0000-0800-000098000000}"/>
                </a:ext>
              </a:extLst>
            </xdr:cNvPr>
            <xdr:cNvPicPr>
              <a:picLocks noChangeAspect="1"/>
            </xdr:cNvPicPr>
          </xdr:nvPicPr>
          <xdr:blipFill>
            <a:blip xmlns:r="http://schemas.openxmlformats.org/officeDocument/2006/relationships" r:embed="rId4" cstate="print"/>
            <a:stretch>
              <a:fillRect/>
            </a:stretch>
          </xdr:blipFill>
          <xdr:spPr>
            <a:xfrm>
              <a:off x="5045861" y="1563295"/>
              <a:ext cx="285599" cy="93054"/>
            </a:xfrm>
            <a:prstGeom prst="rect">
              <a:avLst/>
            </a:prstGeom>
          </xdr:spPr>
        </xdr:pic>
        <mc:AlternateContent xmlns:mc="http://schemas.openxmlformats.org/markup-compatibility/2006">
          <mc:Choice xmlns:a14="http://schemas.microsoft.com/office/drawing/2010/main" Requires="a14">
            <xdr:sp macro="" textlink="">
              <xdr:nvSpPr>
                <xdr:cNvPr id="14501904" name="POP_DD" hidden="1">
                  <a:extLst>
                    <a:ext uri="{63B3BB69-23CF-44E3-9099-C40C66FF867C}">
                      <a14:compatExt spid="_x0000_s14501904"/>
                    </a:ext>
                    <a:ext uri="{FF2B5EF4-FFF2-40B4-BE49-F238E27FC236}">
                      <a16:creationId xmlns:a16="http://schemas.microsoft.com/office/drawing/2014/main" id="{00000000-0008-0000-0800-00001048DD00}"/>
                    </a:ext>
                  </a:extLst>
                </xdr:cNvPr>
                <xdr:cNvSpPr/>
              </xdr:nvSpPr>
              <xdr:spPr bwMode="auto">
                <a:xfrm>
                  <a:off x="3238171" y="1438295"/>
                  <a:ext cx="1806026" cy="215327"/>
                </a:xfrm>
                <a:prstGeom prst="rect">
                  <a:avLst/>
                </a:prstGeom>
                <a:noFill/>
                <a:ln>
                  <a:noFill/>
                </a:ln>
                <a:extLst>
                  <a:ext uri="{91240B29-F687-4F45-9708-019B960494DF}">
                    <a14:hiddenLine w="9525">
                      <a:noFill/>
                      <a:miter lim="800000"/>
                      <a:headEnd/>
                      <a:tailEnd/>
                    </a14:hiddenLine>
                  </a:ext>
                </a:extLst>
              </xdr:spPr>
            </xdr:sp>
          </mc:Choice>
          <mc:Fallback/>
        </mc:AlternateContent>
        <xdr:sp macro="[0]!UniversalChanger" textlink="uxb_works!G100">
          <xdr:nvSpPr>
            <xdr:cNvPr id="153" name="FILTER_POP_RESET">
              <a:extLst>
                <a:ext uri="{FF2B5EF4-FFF2-40B4-BE49-F238E27FC236}">
                  <a16:creationId xmlns:a16="http://schemas.microsoft.com/office/drawing/2014/main" id="{00000000-0008-0000-0800-000099000000}"/>
                </a:ext>
              </a:extLst>
            </xdr:cNvPr>
            <xdr:cNvSpPr>
              <a:spLocks/>
            </xdr:cNvSpPr>
          </xdr:nvSpPr>
          <xdr:spPr>
            <a:xfrm>
              <a:off x="3238943" y="1266824"/>
              <a:ext cx="2094296" cy="180000"/>
            </a:xfrm>
            <a:prstGeom prst="rect">
              <a:avLst/>
            </a:prstGeom>
            <a:solidFill>
              <a:schemeClr val="bg2"/>
            </a:solidFill>
            <a:ln w="317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040051F4-705A-4460-AB4E-E01CB46B3889}" type="TxLink">
                <a:rPr lang="en-US" sz="800" b="0" i="0" u="none" strike="noStrike">
                  <a:solidFill>
                    <a:sysClr val="windowText" lastClr="000000"/>
                  </a:solidFill>
                  <a:latin typeface="Calibri"/>
                  <a:cs typeface="Calibri"/>
                </a:rPr>
                <a:pPr algn="ctr"/>
                <a:t>BY POPULATION (reset)</a:t>
              </a:fld>
              <a:endParaRPr lang="en-US" sz="800" b="0" i="0" u="none" strike="noStrike">
                <a:solidFill>
                  <a:sysClr val="windowText" lastClr="000000"/>
                </a:solidFill>
                <a:latin typeface="Calibri"/>
                <a:cs typeface="Calibri"/>
              </a:endParaRPr>
            </a:p>
          </xdr:txBody>
        </xdr:sp>
      </xdr:grpSp>
    </xdr:grpSp>
    <xdr:clientData fPrintsWithSheet="0"/>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8</v>
    <v>0</v>
    <v>3</v>
  </rv>
  <rv s="1">
    <v>8</v>
    <v>1</v>
  </rv>
</rvData>
</file>

<file path=xl/richData/rdrichvaluestructure.xml><?xml version="1.0" encoding="utf-8"?>
<rvStructures xmlns="http://schemas.microsoft.com/office/spreadsheetml/2017/richdata" count="2">
  <s t="_error">
    <k n="colOffset" t="i"/>
    <k n="errorType" t="i"/>
    <k n="rwOffset" t="i"/>
    <k n="subType" t="i"/>
  </s>
  <s t="_error">
    <k n="errorType" t="i"/>
    <k n="propagated" t="b"/>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6350">
          <a:solidFill>
            <a:schemeClr val="accent1"/>
          </a:solidFill>
        </a:ln>
      </a:spPr>
      <a:bodyPr vertOverflow="clip" horzOverflow="clip" rtlCol="0" anchor="ctr"/>
      <a:lstStyle>
        <a:defPPr algn="ctr">
          <a:defRPr sz="1400" b="1" i="0" u="none" strike="noStrike">
            <a:solidFill>
              <a:schemeClr val="accent1">
                <a:lumMod val="60000"/>
                <a:lumOff val="40000"/>
              </a:schemeClr>
            </a:solidFill>
            <a:latin typeface="Calibri"/>
            <a:cs typeface="Calibri"/>
          </a:defRPr>
        </a:defPPr>
      </a:lstStyle>
      <a:style>
        <a:lnRef idx="2">
          <a:schemeClr val="accent1">
            <a:shade val="50000"/>
          </a:schemeClr>
        </a:lnRef>
        <a:fillRef idx="1">
          <a:schemeClr val="accent1"/>
        </a:fillRef>
        <a:effectRef idx="0">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noFill/>
        <a:ln w="9525" cmpd="sng">
          <a:noFill/>
        </a:ln>
      </a:spPr>
      <a:bodyPr vertOverflow="clip" wrap="square" lIns="0" rIns="0" bIns="0" rtlCol="0" anchor="t"/>
      <a:lstStyle>
        <a:defPPr algn="l">
          <a:defRPr sz="1100" b="1">
            <a:solidFill>
              <a:sysClr val="windowText" lastClr="000000"/>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1.xml"/><Relationship Id="rId3" Type="http://schemas.openxmlformats.org/officeDocument/2006/relationships/vmlDrawing" Target="../drawings/vmlDrawing9.vml"/><Relationship Id="rId7" Type="http://schemas.openxmlformats.org/officeDocument/2006/relationships/ctrlProp" Target="../ctrlProps/ctrlProp50.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49.xml"/><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6.xml"/><Relationship Id="rId3" Type="http://schemas.openxmlformats.org/officeDocument/2006/relationships/vmlDrawing" Target="../drawings/vmlDrawing10.vml"/><Relationship Id="rId7" Type="http://schemas.openxmlformats.org/officeDocument/2006/relationships/ctrlProp" Target="../ctrlProps/ctrlProp55.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54.xml"/><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59.xml"/><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60.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4.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5" Type="http://schemas.openxmlformats.org/officeDocument/2006/relationships/ctrlProp" Target="../ctrlProps/ctrlProp1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2.xml"/><Relationship Id="rId3" Type="http://schemas.openxmlformats.org/officeDocument/2006/relationships/vmlDrawing" Target="../drawings/vmlDrawing5.vml"/><Relationship Id="rId7" Type="http://schemas.openxmlformats.org/officeDocument/2006/relationships/ctrlProp" Target="../ctrlProps/ctrlProp21.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7.xml"/><Relationship Id="rId3" Type="http://schemas.openxmlformats.org/officeDocument/2006/relationships/vmlDrawing" Target="../drawings/vmlDrawing6.vml"/><Relationship Id="rId7" Type="http://schemas.openxmlformats.org/officeDocument/2006/relationships/ctrlProp" Target="../ctrlProps/ctrlProp26.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5.xml"/><Relationship Id="rId5" Type="http://schemas.openxmlformats.org/officeDocument/2006/relationships/ctrlProp" Target="../ctrlProps/ctrlProp24.xml"/><Relationship Id="rId10" Type="http://schemas.openxmlformats.org/officeDocument/2006/relationships/ctrlProp" Target="../ctrlProps/ctrlProp29.xml"/><Relationship Id="rId4" Type="http://schemas.openxmlformats.org/officeDocument/2006/relationships/ctrlProp" Target="../ctrlProps/ctrlProp23.xml"/><Relationship Id="rId9" Type="http://schemas.openxmlformats.org/officeDocument/2006/relationships/ctrlProp" Target="../ctrlProps/ctrlProp2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7.vml"/><Relationship Id="rId7" Type="http://schemas.openxmlformats.org/officeDocument/2006/relationships/ctrlProp" Target="../ctrlProps/ctrlProp33.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 Id="rId9" Type="http://schemas.openxmlformats.org/officeDocument/2006/relationships/ctrlProp" Target="../ctrlProps/ctrlProp35.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40.xml"/><Relationship Id="rId13" Type="http://schemas.openxmlformats.org/officeDocument/2006/relationships/ctrlProp" Target="../ctrlProps/ctrlProp45.xml"/><Relationship Id="rId3" Type="http://schemas.openxmlformats.org/officeDocument/2006/relationships/vmlDrawing" Target="../drawings/vmlDrawing8.vml"/><Relationship Id="rId7" Type="http://schemas.openxmlformats.org/officeDocument/2006/relationships/ctrlProp" Target="../ctrlProps/ctrlProp39.xml"/><Relationship Id="rId12" Type="http://schemas.openxmlformats.org/officeDocument/2006/relationships/ctrlProp" Target="../ctrlProps/ctrlProp44.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38.xml"/><Relationship Id="rId11" Type="http://schemas.openxmlformats.org/officeDocument/2006/relationships/ctrlProp" Target="../ctrlProps/ctrlProp43.xml"/><Relationship Id="rId5" Type="http://schemas.openxmlformats.org/officeDocument/2006/relationships/ctrlProp" Target="../ctrlProps/ctrlProp37.xml"/><Relationship Id="rId10" Type="http://schemas.openxmlformats.org/officeDocument/2006/relationships/ctrlProp" Target="../ctrlProps/ctrlProp42.xml"/><Relationship Id="rId4" Type="http://schemas.openxmlformats.org/officeDocument/2006/relationships/ctrlProp" Target="../ctrlProps/ctrlProp36.xml"/><Relationship Id="rId9" Type="http://schemas.openxmlformats.org/officeDocument/2006/relationships/ctrlProp" Target="../ctrlProps/ctrlProp41.xml"/><Relationship Id="rId14"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pageSetUpPr fitToPage="1"/>
  </sheetPr>
  <dimension ref="A1:BB60"/>
  <sheetViews>
    <sheetView showGridLines="0" showRowColHeaders="0" zoomScaleNormal="100" zoomScaleSheetLayoutView="100" workbookViewId="0">
      <pane ySplit="3" topLeftCell="A4" activePane="bottomLeft" state="frozen"/>
      <selection activeCell="BA1" sqref="BA1"/>
      <selection pane="bottomLeft"/>
    </sheetView>
  </sheetViews>
  <sheetFormatPr defaultColWidth="9.1796875" defaultRowHeight="13" zeroHeight="1"/>
  <cols>
    <col min="1" max="1" width="2.26953125" style="137" customWidth="1"/>
    <col min="2" max="2" width="10.26953125" style="137" hidden="1" customWidth="1"/>
    <col min="3" max="3" width="4.7265625" style="137" customWidth="1"/>
    <col min="4" max="6" width="9.1796875" style="137"/>
    <col min="7" max="7" width="13.7265625" style="137" customWidth="1"/>
    <col min="8" max="10" width="9.1796875" style="137" customWidth="1"/>
    <col min="11" max="11" width="13.1796875" style="137" customWidth="1"/>
    <col min="12" max="12" width="5.453125" style="137" customWidth="1"/>
    <col min="13" max="13" width="9.1796875" style="137" customWidth="1"/>
    <col min="14" max="14" width="4.7265625" style="137" customWidth="1"/>
    <col min="15" max="15" width="11.26953125" style="137" customWidth="1"/>
    <col min="16" max="16" width="9.1796875" style="137" customWidth="1"/>
    <col min="17" max="17" width="20.453125" style="137" customWidth="1"/>
    <col min="18" max="18" width="2" style="137" customWidth="1"/>
    <col min="19" max="19" width="11.7265625" style="137" customWidth="1"/>
    <col min="20" max="20" width="2.7265625" style="137" customWidth="1"/>
    <col min="21" max="21" width="9" style="137" customWidth="1"/>
    <col min="22" max="22" width="2.1796875" style="137" customWidth="1"/>
    <col min="23" max="23" width="8.453125" style="137" customWidth="1"/>
    <col min="24" max="24" width="9.1796875" style="137"/>
    <col min="25" max="49" width="0" style="137" hidden="1" customWidth="1"/>
    <col min="50" max="51" width="9.1796875" style="137" hidden="1" customWidth="1"/>
    <col min="52" max="16384" width="9.1796875" style="137"/>
  </cols>
  <sheetData>
    <row r="1" spans="1:54" s="132" customFormat="1" ht="22.5" customHeight="1">
      <c r="A1" s="340" t="s">
        <v>125</v>
      </c>
      <c r="B1" s="340" t="str">
        <f>uxb_works!$B$92</f>
        <v>Digital Cities Index</v>
      </c>
      <c r="C1" s="341" t="str">
        <f>uxb_works!$B$92</f>
        <v>Digital Cities Index</v>
      </c>
      <c r="D1" s="340"/>
      <c r="E1" s="340"/>
      <c r="F1" s="340"/>
      <c r="G1" s="340"/>
      <c r="H1" s="340"/>
      <c r="I1" s="340"/>
      <c r="J1" s="340"/>
      <c r="K1" s="340"/>
      <c r="L1" s="340"/>
      <c r="M1" s="340"/>
      <c r="N1" s="340"/>
      <c r="O1" s="340"/>
      <c r="P1" s="340"/>
      <c r="Q1" s="340"/>
      <c r="R1" s="340"/>
      <c r="S1" s="340"/>
      <c r="T1" s="340"/>
      <c r="U1" s="340"/>
      <c r="V1" s="340"/>
      <c r="BA1" s="133">
        <v>0</v>
      </c>
      <c r="BB1" s="133">
        <v>0</v>
      </c>
    </row>
    <row r="2" spans="1:54" s="135" customFormat="1" ht="63" customHeight="1">
      <c r="A2" s="134"/>
      <c r="D2" s="134"/>
      <c r="G2" s="134"/>
      <c r="J2" s="134"/>
      <c r="O2" s="136"/>
      <c r="BA2" s="134"/>
      <c r="BB2" s="134"/>
    </row>
    <row r="3" spans="1:54" s="135" customFormat="1" ht="45.75" hidden="1" customHeight="1">
      <c r="A3" s="134"/>
      <c r="D3" s="134"/>
      <c r="G3" s="134"/>
      <c r="J3" s="134"/>
      <c r="O3" s="136"/>
    </row>
    <row r="4" spans="1:54" ht="12.75" customHeight="1"/>
    <row r="5" spans="1:54" ht="12.75" hidden="1" customHeight="1">
      <c r="C5" s="138"/>
    </row>
    <row r="6" spans="1:54" ht="12.75" hidden="1" customHeight="1">
      <c r="C6" s="139"/>
    </row>
    <row r="7" spans="1:54" ht="12.75" customHeight="1">
      <c r="C7" s="139"/>
    </row>
    <row r="8" spans="1:54" ht="61.5" hidden="1" customHeight="1">
      <c r="C8" s="140"/>
    </row>
    <row r="9" spans="1:54" ht="15.5" hidden="1">
      <c r="C9" s="141"/>
      <c r="K9" s="142"/>
    </row>
    <row r="11" spans="1:54" ht="31.5" customHeight="1">
      <c r="F11" s="1085"/>
      <c r="K11" s="143"/>
      <c r="M11" s="307"/>
    </row>
    <row r="12" spans="1:54" ht="10.5" hidden="1" customHeight="1">
      <c r="K12" s="143"/>
    </row>
    <row r="13" spans="1:54" ht="10.5" hidden="1" customHeight="1">
      <c r="K13" s="143"/>
      <c r="S13" s="144"/>
    </row>
    <row r="14" spans="1:54" ht="10.5" hidden="1" customHeight="1">
      <c r="K14" s="143"/>
    </row>
    <row r="15" spans="1:54" ht="10.5" hidden="1" customHeight="1">
      <c r="K15" s="143"/>
    </row>
    <row r="16" spans="1:54" ht="13.5" hidden="1" customHeight="1">
      <c r="K16" s="143"/>
    </row>
    <row r="17" spans="4:29" ht="10.5" hidden="1" customHeight="1">
      <c r="K17" s="143"/>
    </row>
    <row r="18" spans="4:29" ht="10.5" hidden="1" customHeight="1">
      <c r="K18" s="143"/>
    </row>
    <row r="19" spans="4:29" ht="10.5" hidden="1" customHeight="1">
      <c r="K19" s="143"/>
    </row>
    <row r="20" spans="4:29" ht="114.75" customHeight="1">
      <c r="K20" s="143"/>
      <c r="Q20" s="145"/>
      <c r="Z20" s="145"/>
      <c r="AC20" s="145"/>
    </row>
    <row r="21" spans="4:29" ht="14.25" customHeight="1">
      <c r="E21" s="144"/>
      <c r="F21" s="144"/>
      <c r="X21" s="596"/>
    </row>
    <row r="22" spans="4:29" ht="51.75" customHeight="1">
      <c r="D22" s="146"/>
      <c r="F22" s="144"/>
      <c r="I22" s="147"/>
      <c r="O22" s="148"/>
    </row>
    <row r="23" spans="4:29" ht="16.5" customHeight="1">
      <c r="D23" s="149"/>
      <c r="F23" s="144"/>
      <c r="O23" s="150"/>
    </row>
    <row r="24" spans="4:29" ht="16.5" customHeight="1">
      <c r="E24" s="144"/>
      <c r="F24" s="144"/>
      <c r="O24" s="150"/>
    </row>
    <row r="25" spans="4:29" ht="9" customHeight="1">
      <c r="E25" s="144"/>
      <c r="F25" s="144"/>
    </row>
    <row r="26" spans="4:29" s="151" customFormat="1" ht="17.25" customHeight="1">
      <c r="D26" s="152"/>
      <c r="E26" s="149"/>
      <c r="F26" s="149"/>
      <c r="I26" s="153"/>
    </row>
    <row r="27" spans="4:29" ht="17.25" customHeight="1"/>
    <row r="28" spans="4:29" ht="17.25" customHeight="1"/>
    <row r="29" spans="4:29" ht="17.25" customHeight="1"/>
    <row r="30" spans="4:29" ht="17.25" customHeight="1"/>
    <row r="31" spans="4:29" ht="17.25" customHeight="1"/>
    <row r="32" spans="4:29" ht="17.25" customHeight="1"/>
    <row r="33" spans="2:52" ht="17.25" customHeight="1"/>
    <row r="34" spans="2:52" ht="17.25" customHeight="1">
      <c r="B34" s="1088"/>
      <c r="C34" s="1088"/>
    </row>
    <row r="35" spans="2:52" ht="17.25" customHeight="1"/>
    <row r="36" spans="2:52" ht="17.25" customHeight="1"/>
    <row r="37" spans="2:52" ht="17.25" customHeight="1">
      <c r="B37" s="144"/>
      <c r="C37" s="154"/>
      <c r="D37" s="144"/>
      <c r="E37" s="144"/>
      <c r="F37" s="144"/>
      <c r="G37" s="144"/>
      <c r="H37" s="144"/>
      <c r="I37" s="144"/>
    </row>
    <row r="38" spans="2:52" ht="17.25" customHeight="1">
      <c r="B38" s="144"/>
      <c r="C38" s="144"/>
      <c r="D38" s="144"/>
      <c r="E38" s="144"/>
      <c r="F38" s="144"/>
      <c r="G38" s="144"/>
      <c r="H38" s="144"/>
      <c r="I38" s="144"/>
    </row>
    <row r="39" spans="2:52" ht="17.25" customHeight="1">
      <c r="B39" s="144"/>
      <c r="C39" s="144"/>
      <c r="D39" s="144"/>
      <c r="E39" s="144"/>
      <c r="F39" s="144"/>
      <c r="G39" s="144"/>
      <c r="H39" s="144"/>
      <c r="I39" s="144"/>
    </row>
    <row r="40" spans="2:52" ht="17.25" customHeight="1">
      <c r="B40" s="144"/>
      <c r="C40" s="144"/>
      <c r="D40" s="144"/>
      <c r="E40" s="144"/>
      <c r="F40" s="144"/>
      <c r="G40" s="144"/>
      <c r="H40" s="144"/>
      <c r="I40" s="144"/>
    </row>
    <row r="41" spans="2:52" ht="14.5" hidden="1">
      <c r="B41" s="144"/>
      <c r="C41" s="144"/>
      <c r="D41" s="144"/>
      <c r="E41" s="144"/>
      <c r="F41" s="144"/>
      <c r="G41" s="144"/>
      <c r="H41" s="144"/>
      <c r="I41" s="144"/>
    </row>
    <row r="42" spans="2:52" ht="14.5" hidden="1">
      <c r="B42" s="144"/>
      <c r="C42" s="144"/>
      <c r="D42" s="144"/>
      <c r="E42" s="144"/>
      <c r="F42" s="144"/>
      <c r="G42" s="144"/>
      <c r="H42" s="144"/>
      <c r="I42" s="144"/>
      <c r="AZ42"/>
    </row>
    <row r="43" spans="2:52" ht="14.5" hidden="1">
      <c r="B43" s="144"/>
      <c r="C43" s="144"/>
      <c r="D43" s="144"/>
      <c r="E43" s="144"/>
      <c r="F43" s="144"/>
      <c r="G43" s="144"/>
      <c r="H43" s="144"/>
      <c r="I43" s="144"/>
    </row>
    <row r="44" spans="2:52" ht="14.5" hidden="1">
      <c r="B44" s="144"/>
      <c r="C44" s="144"/>
      <c r="D44" s="144"/>
      <c r="E44" s="144"/>
      <c r="F44" s="144"/>
      <c r="G44" s="144"/>
      <c r="H44" s="144"/>
      <c r="I44" s="144"/>
    </row>
    <row r="45" spans="2:52" ht="14.5" hidden="1">
      <c r="B45" s="144"/>
      <c r="C45" s="144"/>
      <c r="D45" s="144"/>
      <c r="E45" s="144"/>
      <c r="F45" s="144"/>
      <c r="G45" s="144"/>
      <c r="H45" s="144"/>
      <c r="I45" s="144"/>
    </row>
    <row r="46" spans="2:52" ht="14.5" hidden="1">
      <c r="B46" s="144"/>
      <c r="C46" s="144"/>
      <c r="D46" s="144"/>
      <c r="E46" s="144"/>
      <c r="F46" s="144"/>
      <c r="G46" s="144"/>
      <c r="H46" s="144"/>
      <c r="I46" s="144"/>
    </row>
    <row r="60" spans="4:4" ht="14.5" hidden="1">
      <c r="D60" s="300"/>
    </row>
  </sheetData>
  <sheetProtection algorithmName="SHA-512" hashValue="sDFlYXFS6ugMe0Lbn8CLy59g5WciBdhWwDqggDgRe4CDHe0+vPtunLfF9VsG45OHO8qt6B70t3yLT34piNlhCA==" saltValue="KWtwsgXnecbG+f37YVzl5w==" spinCount="100000" sheet="1" objects="1" scenarios="1"/>
  <mergeCells count="1">
    <mergeCell ref="B34:C34"/>
  </mergeCells>
  <pageMargins left="0.55118110236220474" right="0.55118110236220474" top="0.59055118110236227" bottom="0.78740157480314965" header="0.51181102362204722" footer="0.51181102362204722"/>
  <pageSetup paperSize="9" scale="61" orientation="landscape" r:id="rId1"/>
  <headerFooter alignWithMargins="0">
    <oddHeader>&amp;RCity Water Optimization Index: 2020</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088769" r:id="rId4" name="cnt_zoom">
              <controlPr defaultSize="0" autoLine="0" autoPict="0" macro="[0]!UniversalChanger">
                <anchor>
                  <from>
                    <xdr:col>3</xdr:col>
                    <xdr:colOff>38100</xdr:colOff>
                    <xdr:row>28</xdr:row>
                    <xdr:rowOff>203200</xdr:rowOff>
                  </from>
                  <to>
                    <xdr:col>6</xdr:col>
                    <xdr:colOff>800100</xdr:colOff>
                    <xdr:row>29</xdr:row>
                    <xdr:rowOff>203200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pageSetUpPr autoPageBreaks="0" fitToPage="1"/>
  </sheetPr>
  <dimension ref="A1:BC89"/>
  <sheetViews>
    <sheetView showGridLines="0" showRowColHeaders="0" zoomScaleNormal="100" workbookViewId="0">
      <pane ySplit="9" topLeftCell="A10" activePane="bottomLeft" state="frozen"/>
      <selection pane="bottomLeft"/>
    </sheetView>
  </sheetViews>
  <sheetFormatPr defaultColWidth="9.1796875" defaultRowHeight="15" customHeight="1" zeroHeight="1"/>
  <cols>
    <col min="1" max="1" width="1.26953125" style="367" customWidth="1"/>
    <col min="2" max="2" width="5.7265625" style="367" hidden="1" customWidth="1"/>
    <col min="3" max="3" width="6" style="367" hidden="1" customWidth="1"/>
    <col min="4" max="4" width="2.26953125" style="367" customWidth="1"/>
    <col min="5" max="5" width="3.26953125" style="367" hidden="1" customWidth="1"/>
    <col min="6" max="6" width="73.453125" style="367" customWidth="1"/>
    <col min="7" max="7" width="9.453125" style="367" customWidth="1"/>
    <col min="8" max="8" width="7.453125" style="367" customWidth="1"/>
    <col min="9" max="9" width="5.7265625" style="367" hidden="1" customWidth="1"/>
    <col min="10" max="10" width="4.453125" style="367" hidden="1" customWidth="1"/>
    <col min="11" max="11" width="73.453125" style="367" customWidth="1"/>
    <col min="12" max="12" width="7" style="367" customWidth="1"/>
    <col min="13" max="13" width="3.1796875" style="367" customWidth="1"/>
    <col min="14" max="15" width="7" style="367" hidden="1" customWidth="1"/>
    <col min="16" max="16" width="9.1796875" style="367"/>
    <col min="17" max="49" width="0" style="367" hidden="1" customWidth="1"/>
    <col min="50" max="51" width="9.1796875" style="367" hidden="1" customWidth="1"/>
    <col min="52" max="52" width="0" style="367" hidden="1" customWidth="1"/>
    <col min="53" max="16384" width="9.1796875" style="367"/>
  </cols>
  <sheetData>
    <row r="1" spans="1:55" ht="22.5" customHeight="1">
      <c r="A1" s="599" t="str">
        <f>uxb_works!B92</f>
        <v>Digital Cities Index</v>
      </c>
      <c r="B1" s="599"/>
      <c r="C1" s="599"/>
      <c r="D1" s="599"/>
      <c r="E1" s="599"/>
      <c r="F1" s="599"/>
      <c r="G1" s="599"/>
      <c r="H1" s="599"/>
      <c r="I1" s="599"/>
      <c r="J1" s="599"/>
      <c r="K1" s="599"/>
      <c r="L1" s="599"/>
      <c r="M1" s="599"/>
      <c r="N1" s="170"/>
      <c r="O1" s="170"/>
      <c r="BA1" s="69">
        <v>1</v>
      </c>
      <c r="BB1" s="69">
        <v>8</v>
      </c>
      <c r="BC1" s="69"/>
    </row>
    <row r="2" spans="1:55" ht="63" customHeight="1">
      <c r="A2" s="170"/>
      <c r="B2" s="170"/>
      <c r="C2" s="170"/>
      <c r="D2" s="170"/>
      <c r="E2" s="170"/>
      <c r="F2" s="170"/>
      <c r="G2" s="170"/>
      <c r="H2" s="278"/>
      <c r="I2" s="170"/>
      <c r="J2" s="170"/>
      <c r="K2" s="170"/>
      <c r="L2" s="170"/>
      <c r="M2" s="170"/>
      <c r="N2" s="170"/>
      <c r="O2" s="170"/>
    </row>
    <row r="3" spans="1:55" ht="3" customHeight="1">
      <c r="A3" s="369"/>
      <c r="B3" s="369"/>
      <c r="C3" s="369"/>
      <c r="D3" s="369"/>
      <c r="E3" s="369"/>
      <c r="F3" s="369"/>
      <c r="G3" s="369"/>
      <c r="H3" s="369"/>
      <c r="I3" s="369"/>
      <c r="J3" s="369"/>
      <c r="K3" s="369"/>
      <c r="L3" s="369"/>
      <c r="M3" s="369"/>
      <c r="N3" s="171"/>
      <c r="O3" s="171"/>
    </row>
    <row r="4" spans="1:55" ht="50.15" customHeight="1">
      <c r="A4" s="370">
        <f>uxb_works!B111</f>
        <v>2</v>
      </c>
      <c r="B4" s="370"/>
      <c r="C4" s="370"/>
      <c r="D4" s="370"/>
      <c r="E4" s="370"/>
      <c r="F4" s="370"/>
      <c r="G4" s="370"/>
      <c r="H4" s="370"/>
      <c r="I4" s="370"/>
      <c r="J4" s="370"/>
      <c r="K4" s="370"/>
      <c r="L4" s="370"/>
      <c r="M4" s="370"/>
      <c r="N4" s="157"/>
      <c r="O4" s="157"/>
    </row>
    <row r="5" spans="1:55" ht="3" customHeight="1">
      <c r="A5" s="369"/>
      <c r="B5" s="369"/>
      <c r="C5" s="369"/>
      <c r="D5" s="369"/>
      <c r="E5" s="369"/>
      <c r="F5" s="369"/>
      <c r="G5" s="369"/>
      <c r="H5" s="369"/>
      <c r="I5" s="369"/>
      <c r="J5" s="369"/>
      <c r="K5" s="369"/>
      <c r="L5" s="369"/>
      <c r="M5" s="369"/>
      <c r="N5" s="171"/>
      <c r="O5" s="171"/>
    </row>
    <row r="6" spans="1:55" ht="15" hidden="1" customHeight="1">
      <c r="A6" s="677"/>
      <c r="B6" s="677"/>
      <c r="C6" s="677"/>
      <c r="D6" s="683" t="str">
        <f>uxb_works!$C$5</f>
        <v>The active weight profile has been changed from its default setting</v>
      </c>
      <c r="E6" s="677"/>
      <c r="F6" s="653"/>
      <c r="G6" s="677"/>
      <c r="H6" s="678"/>
      <c r="I6" s="677"/>
      <c r="J6" s="677"/>
      <c r="K6" s="677"/>
      <c r="L6" s="677"/>
      <c r="M6" s="677"/>
      <c r="N6" s="677"/>
      <c r="O6" s="677"/>
    </row>
    <row r="7" spans="1:55" ht="19.899999999999999" hidden="1" customHeight="1">
      <c r="A7" s="171"/>
      <c r="B7" s="171"/>
      <c r="C7" s="171"/>
      <c r="D7" s="684"/>
      <c r="E7" s="171"/>
      <c r="F7" s="171"/>
      <c r="G7" s="171"/>
      <c r="H7" s="258"/>
      <c r="I7" s="172"/>
      <c r="J7" s="171"/>
      <c r="K7" s="172"/>
      <c r="L7" s="171"/>
      <c r="M7" s="171"/>
      <c r="N7" s="171"/>
      <c r="O7" s="171"/>
    </row>
    <row r="8" spans="1:55" s="652" customFormat="1" ht="15" hidden="1" customHeight="1">
      <c r="A8" s="685"/>
      <c r="B8" s="685"/>
      <c r="C8" s="685"/>
      <c r="D8" s="686" t="str">
        <f>uxb_works!D67</f>
        <v>There are 30 cities in the active filter set</v>
      </c>
      <c r="E8" s="685"/>
      <c r="F8" s="685"/>
      <c r="G8" s="685"/>
      <c r="H8" s="687"/>
      <c r="I8" s="688"/>
      <c r="J8" s="685"/>
      <c r="K8" s="688"/>
      <c r="L8" s="685"/>
      <c r="M8" s="685"/>
      <c r="N8" s="318"/>
      <c r="O8" s="318"/>
    </row>
    <row r="9" spans="1:55" ht="60" hidden="1" customHeight="1" thickBot="1">
      <c r="A9" s="328"/>
      <c r="B9" s="328"/>
      <c r="C9" s="328"/>
      <c r="D9" s="328"/>
      <c r="E9" s="328"/>
      <c r="F9" s="328"/>
      <c r="G9" s="328"/>
      <c r="H9" s="328"/>
      <c r="I9" s="328"/>
      <c r="J9" s="328"/>
      <c r="K9" s="328"/>
      <c r="L9" s="328"/>
      <c r="M9" s="328"/>
      <c r="N9" s="171"/>
      <c r="O9" s="171"/>
    </row>
    <row r="10" spans="1:55" ht="16.5" customHeight="1">
      <c r="A10" s="156"/>
      <c r="B10" s="174"/>
      <c r="C10" s="174"/>
      <c r="D10" s="194"/>
      <c r="E10" s="290"/>
      <c r="F10" s="290"/>
      <c r="G10" s="290"/>
      <c r="H10" s="290"/>
      <c r="I10" s="290"/>
      <c r="J10" s="290"/>
      <c r="K10" s="290"/>
      <c r="L10" s="290"/>
      <c r="M10" s="290"/>
      <c r="N10" s="290"/>
      <c r="O10" s="290"/>
    </row>
    <row r="12" spans="1:55" ht="24" hidden="1" customHeight="1">
      <c r="F12" s="656"/>
      <c r="G12" s="656"/>
      <c r="H12" s="656"/>
      <c r="I12" s="656"/>
      <c r="J12" s="656"/>
      <c r="K12" s="656"/>
      <c r="L12" s="656"/>
    </row>
    <row r="13" spans="1:55" ht="3.75" hidden="1" customHeight="1"/>
    <row r="14" spans="1:55" ht="25.15" hidden="1" customHeight="1">
      <c r="A14" s="48"/>
      <c r="B14" s="48"/>
      <c r="C14" s="48"/>
      <c r="D14" s="48"/>
      <c r="E14" s="48"/>
      <c r="F14" s="676"/>
      <c r="G14" s="676"/>
      <c r="H14" s="675"/>
      <c r="I14" s="674"/>
      <c r="J14" s="674"/>
      <c r="K14" s="673"/>
      <c r="L14" s="673"/>
      <c r="M14" s="48"/>
      <c r="N14" s="48"/>
      <c r="O14" s="48"/>
    </row>
    <row r="15" spans="1:55" ht="25.15" hidden="1" customHeight="1">
      <c r="A15" s="48"/>
      <c r="B15" s="48"/>
      <c r="C15" s="48"/>
      <c r="D15" s="48"/>
      <c r="E15" s="48"/>
      <c r="F15" s="672"/>
      <c r="G15" s="672"/>
      <c r="H15" s="671"/>
      <c r="I15" s="670"/>
      <c r="J15" s="670"/>
      <c r="K15" s="669"/>
      <c r="L15" s="669"/>
      <c r="M15" s="48"/>
      <c r="N15" s="48"/>
      <c r="O15" s="48"/>
    </row>
    <row r="16" spans="1:55" ht="25.15" hidden="1" customHeight="1">
      <c r="A16" s="48"/>
      <c r="B16" s="48"/>
      <c r="C16" s="48"/>
      <c r="D16" s="48"/>
      <c r="E16" s="48"/>
      <c r="F16" s="668"/>
      <c r="G16" s="668"/>
      <c r="H16" s="667"/>
      <c r="I16" s="666"/>
      <c r="J16" s="666"/>
      <c r="K16" s="665"/>
      <c r="L16" s="665"/>
      <c r="M16" s="48"/>
      <c r="N16" s="48"/>
      <c r="O16" s="48"/>
    </row>
    <row r="17" spans="1:15" ht="25.15" hidden="1" customHeight="1">
      <c r="A17" s="48"/>
      <c r="B17" s="48"/>
      <c r="C17" s="48"/>
      <c r="D17" s="48"/>
      <c r="E17" s="48"/>
      <c r="F17" s="668"/>
      <c r="G17" s="668"/>
      <c r="H17" s="667"/>
      <c r="I17" s="666"/>
      <c r="J17" s="666"/>
      <c r="K17" s="665"/>
      <c r="L17" s="665"/>
      <c r="M17" s="48"/>
      <c r="N17" s="48"/>
      <c r="O17" s="48"/>
    </row>
    <row r="18" spans="1:15" ht="25.15" hidden="1" customHeight="1">
      <c r="A18" s="48"/>
      <c r="B18" s="48"/>
      <c r="C18" s="48"/>
      <c r="D18" s="48"/>
      <c r="E18" s="48"/>
      <c r="F18" s="664"/>
      <c r="G18" s="664"/>
      <c r="H18" s="663"/>
      <c r="I18" s="662"/>
      <c r="J18" s="662"/>
      <c r="K18" s="661"/>
      <c r="L18" s="661"/>
      <c r="M18" s="48"/>
      <c r="N18" s="48"/>
      <c r="O18" s="48"/>
    </row>
    <row r="19" spans="1:15" ht="24" hidden="1" customHeight="1">
      <c r="F19" s="78"/>
      <c r="K19" s="78"/>
    </row>
    <row r="20" spans="1:15" ht="24" hidden="1" customHeight="1">
      <c r="F20" s="78"/>
      <c r="K20" s="78"/>
    </row>
    <row r="21" spans="1:15" ht="24" hidden="1" customHeight="1">
      <c r="F21" s="78"/>
      <c r="K21" s="78"/>
    </row>
    <row r="22" spans="1:15" ht="24" customHeight="1">
      <c r="F22" s="245"/>
      <c r="G22" s="660"/>
      <c r="H22" s="287" t="s">
        <v>680</v>
      </c>
      <c r="I22" s="660"/>
      <c r="J22" s="660"/>
      <c r="K22" s="182"/>
    </row>
    <row r="23" spans="1:15" ht="30.75" customHeight="1">
      <c r="A23" s="48"/>
      <c r="B23" s="48"/>
      <c r="C23" s="48"/>
      <c r="D23" s="48"/>
      <c r="E23" s="48"/>
      <c r="F23" s="245"/>
      <c r="G23" s="658"/>
      <c r="H23" s="659" t="str">
        <f>UPPER(iCorrel1!C6)</f>
        <v>OVERALL SCORE</v>
      </c>
      <c r="I23" s="658"/>
      <c r="J23" s="658"/>
      <c r="K23" s="235"/>
      <c r="L23" s="48"/>
      <c r="M23" s="48"/>
      <c r="N23" s="48"/>
      <c r="O23" s="48"/>
    </row>
    <row r="24" spans="1:15" ht="28.5" customHeight="1">
      <c r="F24" s="78"/>
      <c r="H24" s="657" t="s">
        <v>681</v>
      </c>
      <c r="I24" s="235"/>
      <c r="K24" s="78"/>
    </row>
    <row r="25" spans="1:15" ht="23.25" customHeight="1">
      <c r="F25" s="689" t="s">
        <v>674</v>
      </c>
      <c r="G25" s="690"/>
      <c r="I25" s="682"/>
      <c r="K25" s="689" t="s">
        <v>673</v>
      </c>
      <c r="L25" s="690"/>
    </row>
    <row r="26" spans="1:15" s="69" customFormat="1" ht="3" customHeight="1">
      <c r="E26" s="69">
        <f ca="1">MAX(G26,L26)</f>
        <v>22</v>
      </c>
      <c r="F26" s="75"/>
      <c r="G26" s="69">
        <f ca="1">MAX(COUNTIF(E27:E66,"&lt;&gt;0"),1)</f>
        <v>22</v>
      </c>
      <c r="K26" s="75"/>
      <c r="L26" s="69">
        <f ca="1">MAX(COUNTIF(J27:J66,"&lt;&gt;0"),1)</f>
        <v>4</v>
      </c>
    </row>
    <row r="27" spans="1:15" ht="16.899999999999999" customHeight="1">
      <c r="E27" s="367">
        <f ca="1">iCorrel1!N8</f>
        <v>4</v>
      </c>
      <c r="F27" s="691" t="str">
        <f ca="1">TRIM(iCorrel1!O8)</f>
        <v>4) SUSTAINABILITY</v>
      </c>
      <c r="G27" s="692">
        <f ca="1">iCorrel1!P8</f>
        <v>0.92</v>
      </c>
      <c r="J27" s="367">
        <f ca="1">iCorrel1!T8</f>
        <v>3</v>
      </c>
      <c r="K27" s="691" t="str">
        <f ca="1">TRIM(iCorrel1!U8)</f>
        <v>BG_1.4) Gender Inequality Index</v>
      </c>
      <c r="L27" s="692">
        <f ca="1">iCorrel1!V8</f>
        <v>-0.85</v>
      </c>
    </row>
    <row r="28" spans="1:15" ht="16.899999999999999" customHeight="1">
      <c r="E28" s="367">
        <f ca="1">iCorrel1!N9</f>
        <v>4</v>
      </c>
      <c r="F28" s="693" t="str">
        <f ca="1">TRIM(iCorrel1!O9)</f>
        <v>1) CONNECTIVITY</v>
      </c>
      <c r="G28" s="694">
        <f ca="1">iCorrel1!P9</f>
        <v>0.91</v>
      </c>
      <c r="J28" s="367">
        <f ca="1">iCorrel1!T9</f>
        <v>2</v>
      </c>
      <c r="K28" s="693" t="str">
        <f ca="1">TRIM(iCorrel1!U9)</f>
        <v>BG_1.2) Corruption</v>
      </c>
      <c r="L28" s="694">
        <f ca="1">iCorrel1!V9</f>
        <v>-0.78</v>
      </c>
    </row>
    <row r="29" spans="1:15" ht="16.899999999999999" customHeight="1">
      <c r="E29" s="367">
        <f ca="1">iCorrel1!N10</f>
        <v>4</v>
      </c>
      <c r="F29" s="693" t="str">
        <f ca="1">TRIM(iCorrel1!O10)</f>
        <v>BG_1.3) Human Development Index</v>
      </c>
      <c r="G29" s="694">
        <f ca="1">iCorrel1!P10</f>
        <v>0.9</v>
      </c>
      <c r="J29" s="367">
        <f ca="1">iCorrel1!T10</f>
        <v>1</v>
      </c>
      <c r="K29" s="693" t="str">
        <f ca="1">TRIM(iCorrel1!U10)</f>
        <v>3.4) Public attitude and engagement</v>
      </c>
      <c r="L29" s="694">
        <f ca="1">iCorrel1!V10</f>
        <v>-0.41</v>
      </c>
    </row>
    <row r="30" spans="1:15" ht="16.899999999999999" customHeight="1">
      <c r="E30" s="367">
        <f ca="1">iCorrel1!N11</f>
        <v>3</v>
      </c>
      <c r="F30" s="693" t="str">
        <f ca="1">TRIM(iCorrel1!O11)</f>
        <v>2) SERVICES</v>
      </c>
      <c r="G30" s="694">
        <f ca="1">iCorrel1!P11</f>
        <v>0.89</v>
      </c>
      <c r="J30" s="367">
        <f ca="1">iCorrel1!T11</f>
        <v>1</v>
      </c>
      <c r="K30" s="693" t="str">
        <f ca="1">TRIM(iCorrel1!U11)</f>
        <v>BG_1.1) Real GDP growth</v>
      </c>
      <c r="L30" s="694">
        <f ca="1">iCorrel1!V11</f>
        <v>-0.14000000000000001</v>
      </c>
    </row>
    <row r="31" spans="1:15" ht="16.899999999999999" customHeight="1">
      <c r="E31" s="367">
        <f ca="1">iCorrel1!N12</f>
        <v>3</v>
      </c>
      <c r="F31" s="693" t="str">
        <f ca="1">TRIM(iCorrel1!O12)</f>
        <v>3.3) Innovation ecosystem</v>
      </c>
      <c r="G31" s="694">
        <f ca="1">iCorrel1!P12</f>
        <v>0.88</v>
      </c>
      <c r="J31" s="367">
        <f ca="1">iCorrel1!T12</f>
        <v>0</v>
      </c>
      <c r="K31" s="693" t="str">
        <f ca="1">TRIM(iCorrel1!U12)</f>
        <v/>
      </c>
      <c r="L31" s="694" t="str">
        <f ca="1">iCorrel1!V12</f>
        <v/>
      </c>
    </row>
    <row r="32" spans="1:15" ht="16.899999999999999" customHeight="1">
      <c r="E32" s="367">
        <f ca="1">iCorrel1!N13</f>
        <v>3</v>
      </c>
      <c r="F32" s="693" t="str">
        <f ca="1">TRIM(iCorrel1!O13)</f>
        <v>4.1) Efficient resource management</v>
      </c>
      <c r="G32" s="694">
        <f ca="1">iCorrel1!P13</f>
        <v>0.84</v>
      </c>
      <c r="J32" s="367">
        <f ca="1">iCorrel1!T13</f>
        <v>0</v>
      </c>
      <c r="K32" s="693" t="str">
        <f ca="1">TRIM(iCorrel1!U13)</f>
        <v/>
      </c>
      <c r="L32" s="694" t="str">
        <f ca="1">iCorrel1!V13</f>
        <v/>
      </c>
    </row>
    <row r="33" spans="5:12" ht="16.899999999999999" customHeight="1">
      <c r="E33" s="367">
        <f ca="1">iCorrel1!N14</f>
        <v>3</v>
      </c>
      <c r="F33" s="693" t="str">
        <f ca="1">TRIM(iCorrel1!O14)</f>
        <v>1.1) Digital infrastructure</v>
      </c>
      <c r="G33" s="694">
        <f ca="1">iCorrel1!P14</f>
        <v>0.82</v>
      </c>
      <c r="J33" s="367">
        <f ca="1">iCorrel1!T14</f>
        <v>0</v>
      </c>
      <c r="K33" s="693" t="str">
        <f ca="1">TRIM(iCorrel1!U14)</f>
        <v/>
      </c>
      <c r="L33" s="694" t="str">
        <f ca="1">iCorrel1!V14</f>
        <v/>
      </c>
    </row>
    <row r="34" spans="5:12" ht="16.899999999999999" customHeight="1">
      <c r="E34" s="367">
        <f ca="1">iCorrel1!N15</f>
        <v>3</v>
      </c>
      <c r="F34" s="693" t="str">
        <f ca="1">TRIM(iCorrel1!O15)</f>
        <v>4.2) Emissions reduction</v>
      </c>
      <c r="G34" s="694">
        <f ca="1">iCorrel1!P15</f>
        <v>0.82</v>
      </c>
      <c r="J34" s="367">
        <f ca="1">iCorrel1!T15</f>
        <v>0</v>
      </c>
      <c r="K34" s="693" t="str">
        <f ca="1">TRIM(iCorrel1!U15)</f>
        <v/>
      </c>
      <c r="L34" s="694" t="str">
        <f ca="1">iCorrel1!V15</f>
        <v/>
      </c>
    </row>
    <row r="35" spans="5:12" ht="16.899999999999999" customHeight="1">
      <c r="E35" s="367">
        <f ca="1">iCorrel1!N16</f>
        <v>3</v>
      </c>
      <c r="F35" s="693" t="str">
        <f ca="1">TRIM(iCorrel1!O16)</f>
        <v>3) CULTURE</v>
      </c>
      <c r="G35" s="694">
        <f ca="1">iCorrel1!P16</f>
        <v>0.8</v>
      </c>
      <c r="J35" s="367">
        <f ca="1">iCorrel1!T16</f>
        <v>0</v>
      </c>
      <c r="K35" s="693" t="str">
        <f ca="1">TRIM(iCorrel1!U16)</f>
        <v/>
      </c>
      <c r="L35" s="694" t="str">
        <f ca="1">iCorrel1!V16</f>
        <v/>
      </c>
    </row>
    <row r="36" spans="5:12" ht="16.899999999999999" customHeight="1">
      <c r="E36" s="367">
        <f ca="1">iCorrel1!N17</f>
        <v>1</v>
      </c>
      <c r="F36" s="693" t="str">
        <f ca="1">TRIM(iCorrel1!O17)</f>
        <v>1.3) Affordability</v>
      </c>
      <c r="G36" s="694">
        <f ca="1">iCorrel1!P17</f>
        <v>0.69</v>
      </c>
      <c r="J36" s="367">
        <f ca="1">iCorrel1!T17</f>
        <v>0</v>
      </c>
      <c r="K36" s="693" t="str">
        <f ca="1">TRIM(iCorrel1!U17)</f>
        <v/>
      </c>
      <c r="L36" s="694" t="str">
        <f ca="1">iCorrel1!V17</f>
        <v/>
      </c>
    </row>
    <row r="37" spans="5:12" ht="16.899999999999999" customHeight="1">
      <c r="E37" s="367">
        <f ca="1">iCorrel1!N18</f>
        <v>1</v>
      </c>
      <c r="F37" s="693" t="str">
        <f ca="1">TRIM(iCorrel1!O18)</f>
        <v>2.5) Education</v>
      </c>
      <c r="G37" s="694">
        <f ca="1">iCorrel1!P18</f>
        <v>0.67</v>
      </c>
      <c r="J37" s="367">
        <f ca="1">iCorrel1!T18</f>
        <v>0</v>
      </c>
      <c r="K37" s="693" t="str">
        <f ca="1">TRIM(iCorrel1!U18)</f>
        <v/>
      </c>
      <c r="L37" s="694" t="str">
        <f ca="1">iCorrel1!V18</f>
        <v/>
      </c>
    </row>
    <row r="38" spans="5:12" ht="16.899999999999999" customHeight="1">
      <c r="E38" s="367">
        <f ca="1">iCorrel1!N19</f>
        <v>1</v>
      </c>
      <c r="F38" s="693" t="str">
        <f ca="1">TRIM(iCorrel1!O19)</f>
        <v>BG_1.5) Per capita income</v>
      </c>
      <c r="G38" s="694">
        <f ca="1">iCorrel1!P19</f>
        <v>0.66</v>
      </c>
      <c r="J38" s="367">
        <f ca="1">iCorrel1!T19</f>
        <v>0</v>
      </c>
      <c r="K38" s="693" t="str">
        <f ca="1">TRIM(iCorrel1!U19)</f>
        <v/>
      </c>
      <c r="L38" s="694" t="str">
        <f ca="1">iCorrel1!V19</f>
        <v/>
      </c>
    </row>
    <row r="39" spans="5:12" ht="16.899999999999999" customHeight="1">
      <c r="E39" s="367">
        <f ca="1">iCorrel1!N20</f>
        <v>1</v>
      </c>
      <c r="F39" s="693" t="str">
        <f ca="1">TRIM(iCorrel1!O20)</f>
        <v>2.3) Transportation</v>
      </c>
      <c r="G39" s="694">
        <f ca="1">iCorrel1!P20</f>
        <v>0.62</v>
      </c>
      <c r="J39" s="367">
        <f ca="1">iCorrel1!T20</f>
        <v>0</v>
      </c>
      <c r="K39" s="693" t="str">
        <f ca="1">TRIM(iCorrel1!U20)</f>
        <v/>
      </c>
      <c r="L39" s="694" t="str">
        <f ca="1">iCorrel1!V20</f>
        <v/>
      </c>
    </row>
    <row r="40" spans="5:12" ht="16.899999999999999" customHeight="1">
      <c r="E40" s="367">
        <f ca="1">iCorrel1!N21</f>
        <v>1</v>
      </c>
      <c r="F40" s="693" t="str">
        <f ca="1">TRIM(iCorrel1!O21)</f>
        <v>3.2) Government support</v>
      </c>
      <c r="G40" s="694">
        <f ca="1">iCorrel1!P21</f>
        <v>0.56000000000000005</v>
      </c>
      <c r="J40" s="367">
        <f ca="1">iCorrel1!T21</f>
        <v>0</v>
      </c>
      <c r="K40" s="693" t="str">
        <f ca="1">TRIM(iCorrel1!U21)</f>
        <v/>
      </c>
      <c r="L40" s="694" t="str">
        <f ca="1">iCorrel1!V21</f>
        <v/>
      </c>
    </row>
    <row r="41" spans="5:12" ht="16.899999999999999" customHeight="1">
      <c r="E41" s="367">
        <f ca="1">iCorrel1!N22</f>
        <v>1</v>
      </c>
      <c r="F41" s="693" t="str">
        <f ca="1">TRIM(iCorrel1!O22)</f>
        <v>4.4) Circular economy</v>
      </c>
      <c r="G41" s="694">
        <f ca="1">iCorrel1!P22</f>
        <v>0.56000000000000005</v>
      </c>
      <c r="J41" s="367">
        <f ca="1">iCorrel1!T22</f>
        <v>0</v>
      </c>
      <c r="K41" s="693" t="str">
        <f ca="1">TRIM(iCorrel1!U22)</f>
        <v/>
      </c>
      <c r="L41" s="694" t="str">
        <f ca="1">iCorrel1!V22</f>
        <v/>
      </c>
    </row>
    <row r="42" spans="5:12" ht="16.899999999999999" customHeight="1">
      <c r="E42" s="367">
        <f ca="1">iCorrel1!N23</f>
        <v>1</v>
      </c>
      <c r="F42" s="693" t="str">
        <f ca="1">TRIM(iCorrel1!O23)</f>
        <v>2.4) Healthcare</v>
      </c>
      <c r="G42" s="694">
        <f ca="1">iCorrel1!P23</f>
        <v>0.53</v>
      </c>
      <c r="J42" s="367">
        <f ca="1">iCorrel1!T23</f>
        <v>0</v>
      </c>
      <c r="K42" s="693" t="str">
        <f ca="1">TRIM(iCorrel1!U23)</f>
        <v/>
      </c>
      <c r="L42" s="694" t="str">
        <f ca="1">iCorrel1!V23</f>
        <v/>
      </c>
    </row>
    <row r="43" spans="5:12" ht="16.899999999999999" customHeight="1">
      <c r="E43" s="367">
        <f ca="1">iCorrel1!N24</f>
        <v>1</v>
      </c>
      <c r="F43" s="693" t="str">
        <f ca="1">TRIM(iCorrel1!O24)</f>
        <v>4.3) Pollution</v>
      </c>
      <c r="G43" s="694">
        <f ca="1">iCorrel1!P24</f>
        <v>0.48</v>
      </c>
      <c r="J43" s="367">
        <f ca="1">iCorrel1!T24</f>
        <v>0</v>
      </c>
      <c r="K43" s="693" t="str">
        <f ca="1">TRIM(iCorrel1!U24)</f>
        <v/>
      </c>
      <c r="L43" s="694" t="str">
        <f ca="1">iCorrel1!V24</f>
        <v/>
      </c>
    </row>
    <row r="44" spans="5:12" ht="16.899999999999999" customHeight="1">
      <c r="E44" s="367">
        <f ca="1">iCorrel1!N25</f>
        <v>1</v>
      </c>
      <c r="F44" s="693" t="str">
        <f ca="1">TRIM(iCorrel1!O25)</f>
        <v>2.6) Retail and hospitality</v>
      </c>
      <c r="G44" s="694">
        <f ca="1">iCorrel1!P25</f>
        <v>0.46</v>
      </c>
      <c r="J44" s="367">
        <f ca="1">iCorrel1!T25</f>
        <v>0</v>
      </c>
      <c r="K44" s="693" t="str">
        <f ca="1">TRIM(iCorrel1!U25)</f>
        <v/>
      </c>
      <c r="L44" s="694" t="str">
        <f ca="1">iCorrel1!V25</f>
        <v/>
      </c>
    </row>
    <row r="45" spans="5:12" ht="16.899999999999999" customHeight="1">
      <c r="E45" s="367">
        <f ca="1">iCorrel1!N26</f>
        <v>1</v>
      </c>
      <c r="F45" s="693" t="str">
        <f ca="1">TRIM(iCorrel1!O26)</f>
        <v>1.2) Quality</v>
      </c>
      <c r="G45" s="694">
        <f ca="1">iCorrel1!P26</f>
        <v>0.43</v>
      </c>
      <c r="J45" s="367">
        <f ca="1">iCorrel1!T26</f>
        <v>0</v>
      </c>
      <c r="K45" s="693" t="str">
        <f ca="1">TRIM(iCorrel1!U26)</f>
        <v/>
      </c>
      <c r="L45" s="694" t="str">
        <f ca="1">iCorrel1!V26</f>
        <v/>
      </c>
    </row>
    <row r="46" spans="5:12" ht="16.899999999999999" customHeight="1">
      <c r="E46" s="367">
        <f ca="1">iCorrel1!N27</f>
        <v>1</v>
      </c>
      <c r="F46" s="693" t="str">
        <f ca="1">TRIM(iCorrel1!O27)</f>
        <v>2.2) Digital finance</v>
      </c>
      <c r="G46" s="694">
        <f ca="1">iCorrel1!P27</f>
        <v>0.38</v>
      </c>
      <c r="J46" s="367">
        <f ca="1">iCorrel1!T27</f>
        <v>0</v>
      </c>
      <c r="K46" s="693" t="str">
        <f ca="1">TRIM(iCorrel1!U27)</f>
        <v/>
      </c>
      <c r="L46" s="694" t="str">
        <f ca="1">iCorrel1!V27</f>
        <v/>
      </c>
    </row>
    <row r="47" spans="5:12" ht="16.899999999999999" customHeight="1">
      <c r="E47" s="367">
        <f ca="1">iCorrel1!N28</f>
        <v>1</v>
      </c>
      <c r="F47" s="693" t="str">
        <f ca="1">TRIM(iCorrel1!O28)</f>
        <v>3.1) Digital inclusion</v>
      </c>
      <c r="G47" s="694">
        <f ca="1">iCorrel1!P28</f>
        <v>0.11</v>
      </c>
      <c r="J47" s="367">
        <f ca="1">iCorrel1!T28</f>
        <v>0</v>
      </c>
      <c r="K47" s="693" t="str">
        <f ca="1">TRIM(iCorrel1!U28)</f>
        <v/>
      </c>
      <c r="L47" s="694" t="str">
        <f ca="1">iCorrel1!V28</f>
        <v/>
      </c>
    </row>
    <row r="48" spans="5:12" ht="16.899999999999999" customHeight="1">
      <c r="E48" s="367">
        <f ca="1">iCorrel1!N29</f>
        <v>1</v>
      </c>
      <c r="F48" s="693" t="str">
        <f ca="1">TRIM(iCorrel1!O29)</f>
        <v>2.1) E-gov services for residents &amp; businesses</v>
      </c>
      <c r="G48" s="694">
        <f ca="1">iCorrel1!P29</f>
        <v>0.05</v>
      </c>
      <c r="J48" s="367">
        <f ca="1">iCorrel1!T29</f>
        <v>0</v>
      </c>
      <c r="K48" s="693" t="str">
        <f ca="1">TRIM(iCorrel1!U29)</f>
        <v/>
      </c>
      <c r="L48" s="694" t="str">
        <f ca="1">iCorrel1!V29</f>
        <v/>
      </c>
    </row>
    <row r="49" spans="5:12" ht="16.899999999999999" customHeight="1">
      <c r="E49" s="367">
        <f ca="1">iCorrel1!N30</f>
        <v>0</v>
      </c>
      <c r="F49" s="693" t="str">
        <f ca="1">TRIM(iCorrel1!O30)</f>
        <v/>
      </c>
      <c r="G49" s="694" t="str">
        <f ca="1">iCorrel1!P30</f>
        <v/>
      </c>
      <c r="J49" s="367">
        <f ca="1">iCorrel1!T30</f>
        <v>0</v>
      </c>
      <c r="K49" s="693" t="str">
        <f ca="1">TRIM(iCorrel1!U30)</f>
        <v/>
      </c>
      <c r="L49" s="694" t="str">
        <f ca="1">iCorrel1!V30</f>
        <v/>
      </c>
    </row>
    <row r="50" spans="5:12" ht="16.899999999999999" customHeight="1">
      <c r="E50" s="367">
        <f ca="1">iCorrel1!N31</f>
        <v>0</v>
      </c>
      <c r="F50" s="693" t="str">
        <f ca="1">TRIM(iCorrel1!O31)</f>
        <v/>
      </c>
      <c r="G50" s="694" t="str">
        <f ca="1">iCorrel1!P31</f>
        <v/>
      </c>
      <c r="J50" s="367">
        <f ca="1">iCorrel1!T31</f>
        <v>0</v>
      </c>
      <c r="K50" s="693" t="str">
        <f ca="1">TRIM(iCorrel1!U31)</f>
        <v/>
      </c>
      <c r="L50" s="694" t="str">
        <f ca="1">iCorrel1!V31</f>
        <v/>
      </c>
    </row>
    <row r="51" spans="5:12" ht="16.899999999999999" customHeight="1">
      <c r="E51" s="367">
        <f ca="1">iCorrel1!N32</f>
        <v>0</v>
      </c>
      <c r="F51" s="693" t="str">
        <f ca="1">TRIM(iCorrel1!O32)</f>
        <v/>
      </c>
      <c r="G51" s="694" t="str">
        <f ca="1">iCorrel1!P32</f>
        <v/>
      </c>
      <c r="J51" s="367">
        <f ca="1">iCorrel1!T32</f>
        <v>0</v>
      </c>
      <c r="K51" s="693" t="str">
        <f ca="1">TRIM(iCorrel1!U32)</f>
        <v/>
      </c>
      <c r="L51" s="694" t="str">
        <f ca="1">iCorrel1!V32</f>
        <v/>
      </c>
    </row>
    <row r="52" spans="5:12" ht="16.899999999999999" customHeight="1">
      <c r="E52" s="367">
        <f ca="1">iCorrel1!N33</f>
        <v>0</v>
      </c>
      <c r="F52" s="693" t="str">
        <f ca="1">TRIM(iCorrel1!O33)</f>
        <v/>
      </c>
      <c r="G52" s="694" t="str">
        <f ca="1">iCorrel1!P33</f>
        <v/>
      </c>
      <c r="J52" s="367">
        <f ca="1">iCorrel1!T33</f>
        <v>0</v>
      </c>
      <c r="K52" s="693" t="str">
        <f ca="1">TRIM(iCorrel1!U33)</f>
        <v/>
      </c>
      <c r="L52" s="694" t="str">
        <f ca="1">iCorrel1!V33</f>
        <v/>
      </c>
    </row>
    <row r="53" spans="5:12" ht="16.899999999999999" customHeight="1">
      <c r="E53" s="367">
        <f ca="1">iCorrel1!N34</f>
        <v>0</v>
      </c>
      <c r="F53" s="693" t="str">
        <f ca="1">TRIM(iCorrel1!O34)</f>
        <v/>
      </c>
      <c r="G53" s="694" t="str">
        <f ca="1">iCorrel1!P34</f>
        <v/>
      </c>
      <c r="J53" s="367">
        <f ca="1">iCorrel1!T34</f>
        <v>0</v>
      </c>
      <c r="K53" s="693" t="str">
        <f ca="1">TRIM(iCorrel1!U34)</f>
        <v/>
      </c>
      <c r="L53" s="694" t="str">
        <f ca="1">iCorrel1!V34</f>
        <v/>
      </c>
    </row>
    <row r="54" spans="5:12" ht="16.899999999999999" customHeight="1">
      <c r="E54" s="367">
        <f>iCorrel1!N35</f>
        <v>0</v>
      </c>
      <c r="F54" s="693" t="str">
        <f>TRIM(iCorrel1!O35)</f>
        <v/>
      </c>
      <c r="G54" s="694">
        <f>iCorrel1!P35</f>
        <v>0</v>
      </c>
      <c r="J54" s="367">
        <f>iCorrel1!T35</f>
        <v>0</v>
      </c>
      <c r="K54" s="693" t="str">
        <f>TRIM(iCorrel1!U35)</f>
        <v/>
      </c>
      <c r="L54" s="694">
        <f>iCorrel1!V35</f>
        <v>0</v>
      </c>
    </row>
    <row r="55" spans="5:12" ht="16.899999999999999" customHeight="1">
      <c r="E55" s="367">
        <f>iCorrel1!N36</f>
        <v>0</v>
      </c>
      <c r="F55" s="693" t="str">
        <f>TRIM(iCorrel1!O36)</f>
        <v/>
      </c>
      <c r="G55" s="694">
        <f>iCorrel1!P36</f>
        <v>0</v>
      </c>
      <c r="J55" s="367">
        <f>iCorrel1!T36</f>
        <v>0</v>
      </c>
      <c r="K55" s="693" t="str">
        <f>TRIM(iCorrel1!U36)</f>
        <v/>
      </c>
      <c r="L55" s="694">
        <f>iCorrel1!V36</f>
        <v>0</v>
      </c>
    </row>
    <row r="56" spans="5:12" ht="16.899999999999999" customHeight="1">
      <c r="E56" s="367">
        <f>iCorrel1!N37</f>
        <v>0</v>
      </c>
      <c r="F56" s="693" t="str">
        <f>TRIM(iCorrel1!O37)</f>
        <v/>
      </c>
      <c r="G56" s="694">
        <f>iCorrel1!P37</f>
        <v>0</v>
      </c>
      <c r="J56" s="367">
        <f>iCorrel1!T37</f>
        <v>0</v>
      </c>
      <c r="K56" s="693" t="str">
        <f>TRIM(iCorrel1!U37)</f>
        <v/>
      </c>
      <c r="L56" s="694">
        <f>iCorrel1!V37</f>
        <v>0</v>
      </c>
    </row>
    <row r="57" spans="5:12" ht="16.899999999999999" customHeight="1">
      <c r="E57" s="367">
        <f>iCorrel1!N38</f>
        <v>0</v>
      </c>
      <c r="F57" s="693" t="str">
        <f>TRIM(iCorrel1!O38)</f>
        <v/>
      </c>
      <c r="G57" s="694">
        <f>iCorrel1!P38</f>
        <v>0</v>
      </c>
      <c r="J57" s="367">
        <f>iCorrel1!T38</f>
        <v>0</v>
      </c>
      <c r="K57" s="693" t="str">
        <f>TRIM(iCorrel1!U38)</f>
        <v/>
      </c>
      <c r="L57" s="694">
        <f>iCorrel1!V38</f>
        <v>0</v>
      </c>
    </row>
    <row r="58" spans="5:12" ht="16.899999999999999" customHeight="1">
      <c r="E58" s="367">
        <f>iCorrel1!N39</f>
        <v>0</v>
      </c>
      <c r="F58" s="693" t="str">
        <f>TRIM(iCorrel1!O39)</f>
        <v/>
      </c>
      <c r="G58" s="694">
        <f>iCorrel1!P39</f>
        <v>0</v>
      </c>
      <c r="J58" s="367">
        <f>iCorrel1!T39</f>
        <v>0</v>
      </c>
      <c r="K58" s="693" t="str">
        <f>TRIM(iCorrel1!U39)</f>
        <v/>
      </c>
      <c r="L58" s="694">
        <f>iCorrel1!V39</f>
        <v>0</v>
      </c>
    </row>
    <row r="59" spans="5:12" ht="16.899999999999999" customHeight="1">
      <c r="E59" s="367">
        <f>iCorrel1!N35</f>
        <v>0</v>
      </c>
      <c r="F59" s="693" t="str">
        <f>TRIM(iCorrel1!O35)</f>
        <v/>
      </c>
      <c r="G59" s="694">
        <f>iCorrel1!P35</f>
        <v>0</v>
      </c>
      <c r="J59" s="367">
        <f>iCorrel1!T35</f>
        <v>0</v>
      </c>
      <c r="K59" s="693" t="str">
        <f>TRIM(iCorrel1!U35)</f>
        <v/>
      </c>
      <c r="L59" s="694">
        <f>iCorrel1!V35</f>
        <v>0</v>
      </c>
    </row>
    <row r="60" spans="5:12" ht="16.899999999999999" customHeight="1">
      <c r="E60" s="367">
        <f>iCorrel1!N36</f>
        <v>0</v>
      </c>
      <c r="F60" s="693" t="str">
        <f>TRIM(iCorrel1!O36)</f>
        <v/>
      </c>
      <c r="G60" s="694">
        <f>iCorrel1!P36</f>
        <v>0</v>
      </c>
      <c r="J60" s="367">
        <f>iCorrel1!T36</f>
        <v>0</v>
      </c>
      <c r="K60" s="693" t="str">
        <f>TRIM(iCorrel1!U36)</f>
        <v/>
      </c>
      <c r="L60" s="694">
        <f>iCorrel1!V36</f>
        <v>0</v>
      </c>
    </row>
    <row r="61" spans="5:12" ht="16.899999999999999" customHeight="1">
      <c r="E61" s="367">
        <f>iCorrel1!N37</f>
        <v>0</v>
      </c>
      <c r="F61" s="693" t="str">
        <f>TRIM(iCorrel1!O37)</f>
        <v/>
      </c>
      <c r="G61" s="694">
        <f>iCorrel1!P37</f>
        <v>0</v>
      </c>
      <c r="J61" s="367">
        <f>iCorrel1!T37</f>
        <v>0</v>
      </c>
      <c r="K61" s="693" t="str">
        <f>TRIM(iCorrel1!U37)</f>
        <v/>
      </c>
      <c r="L61" s="694">
        <f>iCorrel1!V37</f>
        <v>0</v>
      </c>
    </row>
    <row r="62" spans="5:12" ht="16.899999999999999" customHeight="1">
      <c r="E62" s="367">
        <f>iCorrel1!N38</f>
        <v>0</v>
      </c>
      <c r="F62" s="693" t="str">
        <f>TRIM(iCorrel1!O38)</f>
        <v/>
      </c>
      <c r="G62" s="694">
        <f>iCorrel1!P38</f>
        <v>0</v>
      </c>
      <c r="J62" s="367">
        <f>iCorrel1!T38</f>
        <v>0</v>
      </c>
      <c r="K62" s="693" t="str">
        <f>TRIM(iCorrel1!U38)</f>
        <v/>
      </c>
      <c r="L62" s="694">
        <f>iCorrel1!V38</f>
        <v>0</v>
      </c>
    </row>
    <row r="63" spans="5:12" ht="16.899999999999999" customHeight="1">
      <c r="E63" s="367">
        <f>iCorrel1!N39</f>
        <v>0</v>
      </c>
      <c r="F63" s="693" t="str">
        <f>TRIM(iCorrel1!O39)</f>
        <v/>
      </c>
      <c r="G63" s="694">
        <f>iCorrel1!P39</f>
        <v>0</v>
      </c>
      <c r="J63" s="367">
        <f>iCorrel1!T39</f>
        <v>0</v>
      </c>
      <c r="K63" s="693" t="str">
        <f>TRIM(iCorrel1!U39)</f>
        <v/>
      </c>
      <c r="L63" s="694">
        <f>iCorrel1!V39</f>
        <v>0</v>
      </c>
    </row>
    <row r="64" spans="5:12" ht="16.899999999999999" customHeight="1">
      <c r="E64" s="367">
        <f>iCorrel1!N40</f>
        <v>0</v>
      </c>
      <c r="F64" s="693" t="str">
        <f>TRIM(iCorrel1!O40)</f>
        <v/>
      </c>
      <c r="G64" s="694">
        <f>iCorrel1!P40</f>
        <v>0</v>
      </c>
      <c r="J64" s="367">
        <f>iCorrel1!T40</f>
        <v>0</v>
      </c>
      <c r="K64" s="693" t="str">
        <f>TRIM(iCorrel1!U40)</f>
        <v/>
      </c>
      <c r="L64" s="694">
        <f>iCorrel1!V40</f>
        <v>0</v>
      </c>
    </row>
    <row r="65" spans="5:12" ht="16.899999999999999" customHeight="1">
      <c r="E65" s="367">
        <f>iCorrel1!N41</f>
        <v>0</v>
      </c>
      <c r="F65" s="693" t="str">
        <f>TRIM(iCorrel1!O41)</f>
        <v/>
      </c>
      <c r="G65" s="694">
        <f>iCorrel1!P41</f>
        <v>0</v>
      </c>
      <c r="J65" s="367">
        <f>iCorrel1!T41</f>
        <v>0</v>
      </c>
      <c r="K65" s="693" t="str">
        <f>TRIM(iCorrel1!U41)</f>
        <v/>
      </c>
      <c r="L65" s="694">
        <f>iCorrel1!V41</f>
        <v>0</v>
      </c>
    </row>
    <row r="66" spans="5:12" ht="16.899999999999999" customHeight="1">
      <c r="E66" s="367">
        <f>iCorrel1!N42</f>
        <v>0</v>
      </c>
      <c r="F66" s="693" t="str">
        <f>TRIM(iCorrel1!O42)</f>
        <v/>
      </c>
      <c r="G66" s="694">
        <f>iCorrel1!P42</f>
        <v>0</v>
      </c>
      <c r="J66" s="367">
        <f>iCorrel1!T42</f>
        <v>0</v>
      </c>
      <c r="K66" s="693" t="str">
        <f>TRIM(iCorrel1!U42)</f>
        <v/>
      </c>
      <c r="L66" s="694">
        <f>iCorrel1!V42</f>
        <v>0</v>
      </c>
    </row>
    <row r="67" spans="5:12" ht="15" customHeight="1">
      <c r="F67" s="693"/>
      <c r="G67" s="694"/>
      <c r="K67" s="693"/>
      <c r="L67" s="694"/>
    </row>
    <row r="68" spans="5:12" ht="15" customHeight="1">
      <c r="F68" s="693"/>
      <c r="G68" s="694"/>
      <c r="K68" s="693"/>
      <c r="L68" s="694"/>
    </row>
    <row r="69" spans="5:12" ht="15" customHeight="1">
      <c r="F69" s="693"/>
      <c r="G69" s="694"/>
      <c r="K69" s="693"/>
      <c r="L69" s="694"/>
    </row>
    <row r="70" spans="5:12" ht="15" customHeight="1">
      <c r="F70" s="693"/>
      <c r="G70" s="694"/>
      <c r="K70" s="693"/>
      <c r="L70" s="694"/>
    </row>
    <row r="71" spans="5:12" ht="15" customHeight="1">
      <c r="F71" s="693"/>
      <c r="G71" s="694"/>
      <c r="K71" s="693"/>
      <c r="L71" s="694"/>
    </row>
    <row r="72" spans="5:12" ht="15" customHeight="1">
      <c r="F72" s="693"/>
      <c r="G72" s="694"/>
      <c r="K72" s="693"/>
      <c r="L72" s="694"/>
    </row>
    <row r="73" spans="5:12" ht="15" customHeight="1">
      <c r="F73" s="693"/>
      <c r="G73" s="694"/>
      <c r="K73" s="693"/>
      <c r="L73" s="694"/>
    </row>
    <row r="74" spans="5:12" ht="15" customHeight="1">
      <c r="F74" s="693"/>
      <c r="G74" s="694"/>
      <c r="K74" s="693"/>
      <c r="L74" s="694"/>
    </row>
    <row r="75" spans="5:12" ht="15" customHeight="1">
      <c r="F75" s="693"/>
      <c r="G75" s="694"/>
      <c r="K75" s="693"/>
      <c r="L75" s="694"/>
    </row>
    <row r="76" spans="5:12" ht="15" customHeight="1">
      <c r="F76" s="693"/>
      <c r="G76" s="694"/>
      <c r="K76" s="693"/>
      <c r="L76" s="694"/>
    </row>
    <row r="77" spans="5:12" ht="15" customHeight="1">
      <c r="F77" s="693"/>
      <c r="G77" s="694"/>
      <c r="K77" s="693"/>
      <c r="L77" s="694"/>
    </row>
    <row r="78" spans="5:12" ht="14.5"/>
    <row r="79" spans="5:12" ht="14.5"/>
    <row r="80" spans="5:12" ht="14.5"/>
    <row r="81" ht="15" customHeight="1"/>
    <row r="82" ht="15" customHeight="1"/>
    <row r="83" ht="15" customHeight="1"/>
    <row r="84" ht="15" customHeight="1"/>
    <row r="85" ht="15" customHeight="1"/>
    <row r="86" ht="15" customHeight="1"/>
    <row r="87" ht="15" customHeight="1"/>
    <row r="88" ht="15" customHeight="1"/>
    <row r="89" ht="15" customHeight="1"/>
  </sheetData>
  <conditionalFormatting sqref="F27:G77">
    <cfRule type="expression" dxfId="171" priority="1">
      <formula>$E27=0</formula>
    </cfRule>
    <cfRule type="expression" dxfId="170" priority="2">
      <formula>$E27=1</formula>
    </cfRule>
    <cfRule type="expression" dxfId="169" priority="3">
      <formula>$E27=2</formula>
    </cfRule>
    <cfRule type="expression" dxfId="168" priority="4">
      <formula>$E27=3</formula>
    </cfRule>
  </conditionalFormatting>
  <conditionalFormatting sqref="K27:L77">
    <cfRule type="expression" dxfId="167" priority="5">
      <formula>$J27=0</formula>
    </cfRule>
    <cfRule type="expression" dxfId="166" priority="6">
      <formula>$J27=1</formula>
    </cfRule>
    <cfRule type="expression" dxfId="165" priority="7">
      <formula>$J27=2</formula>
    </cfRule>
    <cfRule type="expression" dxfId="164" priority="8">
      <formula>$J27=3</formula>
    </cfRule>
  </conditionalFormatting>
  <pageMargins left="0.55118110236220474" right="0.55118110236220474" top="0.59055118110236227" bottom="0.78740157480314965" header="0.51181102362204722" footer="0.51181102362204722"/>
  <pageSetup paperSize="9" orientation="landscape" r:id="rId1"/>
  <headerFooter alignWithMargins="0">
    <oddHeader>&amp;RPlastics Management Index: 2021</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502916" r:id="rId4" name="CorrelSelect">
              <controlPr defaultSize="0" autoLine="0" autoPict="0" macro="[0]!UniversalChanger">
                <anchor>
                  <from>
                    <xdr:col>0</xdr:col>
                    <xdr:colOff>76200</xdr:colOff>
                    <xdr:row>1</xdr:row>
                    <xdr:rowOff>533400</xdr:rowOff>
                  </from>
                  <to>
                    <xdr:col>5</xdr:col>
                    <xdr:colOff>4279900</xdr:colOff>
                    <xdr:row>1</xdr:row>
                    <xdr:rowOff>755650</xdr:rowOff>
                  </to>
                </anchor>
              </controlPr>
            </control>
          </mc:Choice>
        </mc:AlternateContent>
        <mc:AlternateContent xmlns:mc="http://schemas.openxmlformats.org/markup-compatibility/2006">
          <mc:Choice Requires="x14">
            <control shapeId="14502922" r:id="rId5" name="INCOME_FILTER">
              <controlPr defaultSize="0" print="0" autoLine="0" autoPict="0" macro="[0]!UniversalChanger">
                <anchor>
                  <from>
                    <xdr:col>5</xdr:col>
                    <xdr:colOff>2781300</xdr:colOff>
                    <xdr:row>3</xdr:row>
                    <xdr:rowOff>304800</xdr:rowOff>
                  </from>
                  <to>
                    <xdr:col>5</xdr:col>
                    <xdr:colOff>4584700</xdr:colOff>
                    <xdr:row>3</xdr:row>
                    <xdr:rowOff>527050</xdr:rowOff>
                  </to>
                </anchor>
              </controlPr>
            </control>
          </mc:Choice>
        </mc:AlternateContent>
        <mc:AlternateContent xmlns:mc="http://schemas.openxmlformats.org/markup-compatibility/2006">
          <mc:Choice Requires="x14">
            <control shapeId="14502923" r:id="rId6" name="R_FILTER">
              <controlPr defaultSize="0" print="0" autoLine="0" autoPict="0" macro="[0]!UniversalChanger">
                <anchor>
                  <from>
                    <xdr:col>5</xdr:col>
                    <xdr:colOff>609600</xdr:colOff>
                    <xdr:row>3</xdr:row>
                    <xdr:rowOff>298450</xdr:rowOff>
                  </from>
                  <to>
                    <xdr:col>5</xdr:col>
                    <xdr:colOff>2413000</xdr:colOff>
                    <xdr:row>3</xdr:row>
                    <xdr:rowOff>514350</xdr:rowOff>
                  </to>
                </anchor>
              </controlPr>
            </control>
          </mc:Choice>
        </mc:AlternateContent>
        <mc:AlternateContent xmlns:mc="http://schemas.openxmlformats.org/markup-compatibility/2006">
          <mc:Choice Requires="x14">
            <control shapeId="14502924" r:id="rId7" name="L_Weights">
              <controlPr defaultSize="0" print="0" autoLine="0" autoPict="0" macro="[0]!UniversalChanger">
                <anchor>
                  <from>
                    <xdr:col>10</xdr:col>
                    <xdr:colOff>3581400</xdr:colOff>
                    <xdr:row>3</xdr:row>
                    <xdr:rowOff>298450</xdr:rowOff>
                  </from>
                  <to>
                    <xdr:col>12</xdr:col>
                    <xdr:colOff>19050</xdr:colOff>
                    <xdr:row>3</xdr:row>
                    <xdr:rowOff>514350</xdr:rowOff>
                  </to>
                </anchor>
              </controlPr>
            </control>
          </mc:Choice>
        </mc:AlternateContent>
        <mc:AlternateContent xmlns:mc="http://schemas.openxmlformats.org/markup-compatibility/2006">
          <mc:Choice Requires="x14">
            <control shapeId="14502925" r:id="rId8" name="POP_DD">
              <controlPr defaultSize="0" print="0" autoLine="0" autoPict="0" macro="[0]!UniversalChanger">
                <anchor>
                  <from>
                    <xdr:col>6</xdr:col>
                    <xdr:colOff>57150</xdr:colOff>
                    <xdr:row>3</xdr:row>
                    <xdr:rowOff>298450</xdr:rowOff>
                  </from>
                  <to>
                    <xdr:col>10</xdr:col>
                    <xdr:colOff>742950</xdr:colOff>
                    <xdr:row>3</xdr:row>
                    <xdr:rowOff>514350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CD88"/>
  <sheetViews>
    <sheetView showGridLines="0" showRowColHeaders="0" zoomScaleNormal="100" workbookViewId="0">
      <pane xSplit="15" ySplit="10" topLeftCell="P11" activePane="bottomRight" state="frozen"/>
      <selection activeCell="X1" sqref="X1"/>
      <selection pane="topRight" activeCell="X1" sqref="X1"/>
      <selection pane="bottomLeft" activeCell="X1" sqref="X1"/>
      <selection pane="bottomRight"/>
    </sheetView>
  </sheetViews>
  <sheetFormatPr defaultColWidth="9.1796875" defaultRowHeight="14.5"/>
  <cols>
    <col min="1" max="13" width="5.81640625" style="157" hidden="1" customWidth="1"/>
    <col min="14" max="14" width="82" style="157" customWidth="1"/>
    <col min="15" max="15" width="19.7265625" style="388" hidden="1" customWidth="1"/>
    <col min="16" max="45" width="13.1796875" style="633" customWidth="1"/>
    <col min="46" max="46" width="7.453125" style="157" customWidth="1"/>
    <col min="47" max="47" width="7.26953125" style="157" customWidth="1"/>
    <col min="48" max="51" width="7.7265625" style="157" hidden="1" customWidth="1"/>
    <col min="52" max="52" width="0" style="157" hidden="1" customWidth="1"/>
    <col min="53" max="16384" width="9.1796875" style="157"/>
  </cols>
  <sheetData>
    <row r="1" spans="1:82" ht="22.5" customHeight="1">
      <c r="A1" s="132"/>
      <c r="B1" s="132"/>
      <c r="C1" s="132"/>
      <c r="D1" s="132"/>
      <c r="E1" s="132"/>
      <c r="F1" s="132"/>
      <c r="G1" s="132"/>
      <c r="H1" s="132"/>
      <c r="I1" s="132"/>
      <c r="J1" s="132"/>
      <c r="K1" s="132"/>
      <c r="L1" s="132">
        <v>1</v>
      </c>
      <c r="M1" s="132"/>
      <c r="N1" s="515" t="str">
        <f>uxb_works!$B$92</f>
        <v>Digital Cities Index</v>
      </c>
      <c r="O1" s="516"/>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517"/>
      <c r="AU1" s="132"/>
      <c r="AV1" s="157">
        <f>uxb_works!B52</f>
        <v>1</v>
      </c>
      <c r="AW1" s="157">
        <v>0</v>
      </c>
      <c r="AX1" s="157">
        <v>33.299999999999997</v>
      </c>
      <c r="AY1" s="157">
        <v>66.599999999999994</v>
      </c>
      <c r="AZ1" s="157">
        <v>100</v>
      </c>
      <c r="BA1" s="157">
        <v>1</v>
      </c>
      <c r="BB1" s="157">
        <v>9</v>
      </c>
      <c r="CC1" s="157">
        <v>1</v>
      </c>
      <c r="CD1" s="157">
        <v>4</v>
      </c>
    </row>
    <row r="2" spans="1:82" ht="63" customHeight="1">
      <c r="A2" s="155"/>
      <c r="B2" s="156"/>
      <c r="C2" s="156"/>
      <c r="D2" s="155"/>
      <c r="E2" s="156"/>
      <c r="F2" s="156"/>
      <c r="G2" s="155"/>
      <c r="H2" s="156"/>
      <c r="I2" s="156"/>
      <c r="J2" s="155"/>
      <c r="K2" s="156"/>
      <c r="L2" s="156"/>
      <c r="M2" s="156"/>
      <c r="N2" s="516"/>
      <c r="O2" s="516"/>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622"/>
      <c r="AO2" s="622"/>
      <c r="AP2" s="622"/>
      <c r="AQ2" s="622"/>
      <c r="AR2" s="622"/>
      <c r="AS2" s="622"/>
      <c r="AT2" s="516"/>
      <c r="AU2" s="156"/>
    </row>
    <row r="3" spans="1:82" ht="3" customHeight="1">
      <c r="A3" s="315"/>
      <c r="B3" s="315"/>
      <c r="C3" s="315"/>
      <c r="D3" s="315"/>
      <c r="E3" s="315"/>
      <c r="F3" s="315"/>
      <c r="G3" s="315"/>
      <c r="H3" s="315"/>
      <c r="I3" s="315"/>
      <c r="J3" s="315"/>
      <c r="K3" s="315"/>
      <c r="L3" s="315"/>
      <c r="M3" s="315"/>
      <c r="N3" s="369"/>
      <c r="O3" s="369">
        <v>0</v>
      </c>
      <c r="P3" s="623">
        <f>O3+1</f>
        <v>1</v>
      </c>
      <c r="Q3" s="623">
        <f t="shared" ref="Q3:X3" si="0">P3+1</f>
        <v>2</v>
      </c>
      <c r="R3" s="623">
        <f t="shared" si="0"/>
        <v>3</v>
      </c>
      <c r="S3" s="623">
        <f t="shared" si="0"/>
        <v>4</v>
      </c>
      <c r="T3" s="623">
        <f t="shared" si="0"/>
        <v>5</v>
      </c>
      <c r="U3" s="623">
        <f t="shared" si="0"/>
        <v>6</v>
      </c>
      <c r="V3" s="623">
        <f t="shared" si="0"/>
        <v>7</v>
      </c>
      <c r="W3" s="623">
        <f t="shared" si="0"/>
        <v>8</v>
      </c>
      <c r="X3" s="623">
        <f t="shared" si="0"/>
        <v>9</v>
      </c>
      <c r="Y3" s="623">
        <f t="shared" ref="Y3" si="1">X3+1</f>
        <v>10</v>
      </c>
      <c r="Z3" s="623">
        <f t="shared" ref="Z3" si="2">Y3+1</f>
        <v>11</v>
      </c>
      <c r="AA3" s="623">
        <f t="shared" ref="AA3" si="3">Z3+1</f>
        <v>12</v>
      </c>
      <c r="AB3" s="623">
        <f t="shared" ref="AB3" si="4">AA3+1</f>
        <v>13</v>
      </c>
      <c r="AC3" s="623">
        <f t="shared" ref="AC3" si="5">AB3+1</f>
        <v>14</v>
      </c>
      <c r="AD3" s="623">
        <f t="shared" ref="AD3" si="6">AC3+1</f>
        <v>15</v>
      </c>
      <c r="AE3" s="623">
        <f t="shared" ref="AE3" si="7">AD3+1</f>
        <v>16</v>
      </c>
      <c r="AF3" s="623">
        <f t="shared" ref="AF3" si="8">AE3+1</f>
        <v>17</v>
      </c>
      <c r="AG3" s="623">
        <f t="shared" ref="AG3" si="9">AF3+1</f>
        <v>18</v>
      </c>
      <c r="AH3" s="623">
        <f t="shared" ref="AH3" si="10">AG3+1</f>
        <v>19</v>
      </c>
      <c r="AI3" s="623">
        <f t="shared" ref="AI3" si="11">AH3+1</f>
        <v>20</v>
      </c>
      <c r="AJ3" s="623">
        <f t="shared" ref="AJ3" si="12">AI3+1</f>
        <v>21</v>
      </c>
      <c r="AK3" s="623">
        <f t="shared" ref="AK3" si="13">AJ3+1</f>
        <v>22</v>
      </c>
      <c r="AL3" s="623">
        <f t="shared" ref="AL3" si="14">AK3+1</f>
        <v>23</v>
      </c>
      <c r="AM3" s="623">
        <f t="shared" ref="AM3" si="15">AL3+1</f>
        <v>24</v>
      </c>
      <c r="AN3" s="623">
        <f t="shared" ref="AN3" si="16">AM3+1</f>
        <v>25</v>
      </c>
      <c r="AO3" s="623">
        <f t="shared" ref="AO3" si="17">AN3+1</f>
        <v>26</v>
      </c>
      <c r="AP3" s="623">
        <f t="shared" ref="AP3" si="18">AO3+1</f>
        <v>27</v>
      </c>
      <c r="AQ3" s="623">
        <f t="shared" ref="AQ3" si="19">AP3+1</f>
        <v>28</v>
      </c>
      <c r="AR3" s="623">
        <f t="shared" ref="AR3" si="20">AQ3+1</f>
        <v>29</v>
      </c>
      <c r="AS3" s="623">
        <f t="shared" ref="AS3" si="21">AR3+1</f>
        <v>30</v>
      </c>
      <c r="AT3" s="392" t="e">
        <f>#REF!+1</f>
        <v>#REF!</v>
      </c>
      <c r="AU3" s="382"/>
    </row>
    <row r="4" spans="1:82" ht="50.15" customHeight="1">
      <c r="A4" s="299">
        <f>uxb_works!B111</f>
        <v>2</v>
      </c>
      <c r="B4" s="299"/>
      <c r="C4" s="299"/>
      <c r="D4" s="299"/>
      <c r="E4" s="299"/>
      <c r="F4" s="299"/>
      <c r="G4" s="299"/>
      <c r="H4" s="299"/>
      <c r="I4" s="299"/>
      <c r="J4" s="299"/>
      <c r="K4" s="299"/>
      <c r="L4" s="299"/>
      <c r="M4" s="299"/>
      <c r="N4" s="370">
        <f>uxb_works!O111</f>
        <v>0</v>
      </c>
      <c r="O4" s="370"/>
      <c r="P4" s="624">
        <f>INDEX(tblTerritories!$V$3:$V$32,Scores!P3)</f>
        <v>1</v>
      </c>
      <c r="Q4" s="624">
        <f>INDEX(tblTerritories!$V$3:$V$32,Scores!Q3)</f>
        <v>2</v>
      </c>
      <c r="R4" s="624">
        <f>INDEX(tblTerritories!$V$3:$V$32,Scores!R3)</f>
        <v>3</v>
      </c>
      <c r="S4" s="624">
        <f>INDEX(tblTerritories!$V$3:$V$32,Scores!S3)</f>
        <v>4</v>
      </c>
      <c r="T4" s="624">
        <f>INDEX(tblTerritories!$V$3:$V$32,Scores!T3)</f>
        <v>5</v>
      </c>
      <c r="U4" s="624">
        <f>INDEX(tblTerritories!$V$3:$V$32,Scores!U3)</f>
        <v>6</v>
      </c>
      <c r="V4" s="624">
        <f>INDEX(tblTerritories!$V$3:$V$32,Scores!V3)</f>
        <v>7</v>
      </c>
      <c r="W4" s="624">
        <f>INDEX(tblTerritories!$V$3:$V$32,Scores!W3)</f>
        <v>8</v>
      </c>
      <c r="X4" s="624">
        <f>INDEX(tblTerritories!$V$3:$V$32,Scores!X3)</f>
        <v>9</v>
      </c>
      <c r="Y4" s="624">
        <f>INDEX(tblTerritories!$V$3:$V$32,Scores!Y3)</f>
        <v>10</v>
      </c>
      <c r="Z4" s="624">
        <f>INDEX(tblTerritories!$V$3:$V$32,Scores!Z3)</f>
        <v>11</v>
      </c>
      <c r="AA4" s="624">
        <f>INDEX(tblTerritories!$V$3:$V$32,Scores!AA3)</f>
        <v>12</v>
      </c>
      <c r="AB4" s="624">
        <f>INDEX(tblTerritories!$V$3:$V$32,Scores!AB3)</f>
        <v>13</v>
      </c>
      <c r="AC4" s="624">
        <f>INDEX(tblTerritories!$V$3:$V$32,Scores!AC3)</f>
        <v>14</v>
      </c>
      <c r="AD4" s="624">
        <f>INDEX(tblTerritories!$V$3:$V$32,Scores!AD3)</f>
        <v>15</v>
      </c>
      <c r="AE4" s="624">
        <f>INDEX(tblTerritories!$V$3:$V$32,Scores!AE3)</f>
        <v>16</v>
      </c>
      <c r="AF4" s="624">
        <f>INDEX(tblTerritories!$V$3:$V$32,Scores!AF3)</f>
        <v>17</v>
      </c>
      <c r="AG4" s="624">
        <f>INDEX(tblTerritories!$V$3:$V$32,Scores!AG3)</f>
        <v>18</v>
      </c>
      <c r="AH4" s="624">
        <f>INDEX(tblTerritories!$V$3:$V$32,Scores!AH3)</f>
        <v>19</v>
      </c>
      <c r="AI4" s="624">
        <f>INDEX(tblTerritories!$V$3:$V$32,Scores!AI3)</f>
        <v>20</v>
      </c>
      <c r="AJ4" s="624">
        <f>INDEX(tblTerritories!$V$3:$V$32,Scores!AJ3)</f>
        <v>21</v>
      </c>
      <c r="AK4" s="624">
        <f>INDEX(tblTerritories!$V$3:$V$32,Scores!AK3)</f>
        <v>22</v>
      </c>
      <c r="AL4" s="624">
        <f>INDEX(tblTerritories!$V$3:$V$32,Scores!AL3)</f>
        <v>23</v>
      </c>
      <c r="AM4" s="624">
        <f>INDEX(tblTerritories!$V$3:$V$32,Scores!AM3)</f>
        <v>24</v>
      </c>
      <c r="AN4" s="624">
        <f>INDEX(tblTerritories!$V$3:$V$32,Scores!AN3)</f>
        <v>25</v>
      </c>
      <c r="AO4" s="624">
        <f>INDEX(tblTerritories!$V$3:$V$32,Scores!AO3)</f>
        <v>26</v>
      </c>
      <c r="AP4" s="624">
        <f>INDEX(tblTerritories!$V$3:$V$32,Scores!AP3)</f>
        <v>27</v>
      </c>
      <c r="AQ4" s="624">
        <f>INDEX(tblTerritories!$V$3:$V$32,Scores!AQ3)</f>
        <v>28</v>
      </c>
      <c r="AR4" s="624">
        <f>INDEX(tblTerritories!$V$3:$V$32,Scores!AR3)</f>
        <v>29</v>
      </c>
      <c r="AS4" s="624">
        <f>INDEX(tblTerritories!$V$3:$V$32,Scores!AS3)</f>
        <v>30</v>
      </c>
      <c r="AT4" s="370">
        <f>IFERROR(INDEX(tblTerritories!$V$3:$V$32,Scores!AT3),0)</f>
        <v>0</v>
      </c>
      <c r="AU4" s="383"/>
      <c r="AW4" s="157">
        <f>P4</f>
        <v>1</v>
      </c>
      <c r="AX4" s="157" t="e">
        <f>#REF!</f>
        <v>#REF!</v>
      </c>
    </row>
    <row r="5" spans="1:82" ht="3" customHeight="1">
      <c r="A5" s="298"/>
      <c r="B5" s="298"/>
      <c r="C5" s="298"/>
      <c r="D5" s="298"/>
      <c r="E5" s="298"/>
      <c r="F5" s="298"/>
      <c r="G5" s="298"/>
      <c r="H5" s="298"/>
      <c r="I5" s="298"/>
      <c r="J5" s="298"/>
      <c r="K5" s="298"/>
      <c r="L5" s="298"/>
      <c r="M5" s="298"/>
      <c r="N5" s="369"/>
      <c r="O5" s="369"/>
      <c r="P5" s="625"/>
      <c r="Q5" s="625"/>
      <c r="R5" s="625"/>
      <c r="S5" s="625"/>
      <c r="T5" s="625"/>
      <c r="U5" s="625"/>
      <c r="V5" s="625"/>
      <c r="W5" s="625"/>
      <c r="X5" s="625"/>
      <c r="Y5" s="625"/>
      <c r="Z5" s="625"/>
      <c r="AA5" s="625"/>
      <c r="AB5" s="625"/>
      <c r="AC5" s="625"/>
      <c r="AD5" s="625"/>
      <c r="AE5" s="625"/>
      <c r="AF5" s="625"/>
      <c r="AG5" s="625"/>
      <c r="AH5" s="625"/>
      <c r="AI5" s="625"/>
      <c r="AJ5" s="625"/>
      <c r="AK5" s="625"/>
      <c r="AL5" s="625"/>
      <c r="AM5" s="625"/>
      <c r="AN5" s="625"/>
      <c r="AO5" s="625"/>
      <c r="AP5" s="625"/>
      <c r="AQ5" s="625"/>
      <c r="AR5" s="625"/>
      <c r="AS5" s="625"/>
      <c r="AT5" s="369"/>
      <c r="AU5" s="155"/>
    </row>
    <row r="6" spans="1:82" ht="15" hidden="1" customHeight="1">
      <c r="A6" s="384"/>
      <c r="B6" s="384"/>
      <c r="C6" s="384"/>
      <c r="D6" s="384"/>
      <c r="E6" s="384"/>
      <c r="F6" s="384"/>
      <c r="G6" s="384"/>
      <c r="H6" s="384"/>
      <c r="I6" s="384"/>
      <c r="J6" s="384"/>
      <c r="K6" s="384"/>
      <c r="L6" s="384"/>
      <c r="M6" s="384"/>
      <c r="N6" s="349" t="str">
        <f>uxb_works!C5</f>
        <v>The active weight profile has been changed from its default setting</v>
      </c>
      <c r="O6" s="343"/>
      <c r="P6" s="626"/>
      <c r="Q6" s="626"/>
      <c r="R6" s="626"/>
      <c r="S6" s="626"/>
      <c r="T6" s="626"/>
      <c r="U6" s="626"/>
      <c r="V6" s="626"/>
      <c r="W6" s="626"/>
      <c r="X6" s="626"/>
      <c r="Y6" s="626"/>
      <c r="Z6" s="626"/>
      <c r="AA6" s="626"/>
      <c r="AB6" s="626"/>
      <c r="AC6" s="626"/>
      <c r="AD6" s="626"/>
      <c r="AE6" s="626"/>
      <c r="AF6" s="626"/>
      <c r="AG6" s="626"/>
      <c r="AH6" s="626"/>
      <c r="AI6" s="626"/>
      <c r="AJ6" s="626"/>
      <c r="AK6" s="626"/>
      <c r="AL6" s="626"/>
      <c r="AM6" s="626"/>
      <c r="AN6" s="626"/>
      <c r="AO6" s="626"/>
      <c r="AP6" s="626"/>
      <c r="AQ6" s="626"/>
      <c r="AR6" s="626"/>
      <c r="AS6" s="626"/>
      <c r="AT6" s="344"/>
    </row>
    <row r="7" spans="1:82" ht="27.75" hidden="1" customHeight="1">
      <c r="A7" s="171"/>
      <c r="B7" s="171"/>
      <c r="C7" s="171"/>
      <c r="D7" s="171"/>
      <c r="E7" s="171"/>
      <c r="F7" s="171"/>
      <c r="G7" s="171"/>
      <c r="H7" s="171"/>
      <c r="I7" s="171"/>
      <c r="J7" s="171"/>
      <c r="K7" s="171"/>
      <c r="L7" s="171"/>
      <c r="M7" s="171"/>
      <c r="N7" s="350"/>
      <c r="O7" s="207"/>
      <c r="P7" s="627"/>
      <c r="Q7" s="627"/>
      <c r="R7" s="627"/>
      <c r="S7" s="627"/>
      <c r="T7" s="627"/>
      <c r="U7" s="627"/>
      <c r="V7" s="627"/>
      <c r="W7" s="627"/>
      <c r="X7" s="627"/>
      <c r="Y7" s="627"/>
      <c r="Z7" s="627"/>
      <c r="AA7" s="627"/>
      <c r="AB7" s="627"/>
      <c r="AC7" s="627"/>
      <c r="AD7" s="627"/>
      <c r="AE7" s="627"/>
      <c r="AF7" s="627"/>
      <c r="AG7" s="627"/>
      <c r="AH7" s="627"/>
      <c r="AI7" s="627"/>
      <c r="AJ7" s="627"/>
      <c r="AK7" s="627"/>
      <c r="AL7" s="627"/>
      <c r="AM7" s="627"/>
      <c r="AN7" s="627"/>
      <c r="AO7" s="627"/>
      <c r="AP7" s="627"/>
      <c r="AQ7" s="627"/>
      <c r="AR7" s="627"/>
      <c r="AS7" s="627"/>
      <c r="AT7" s="171"/>
    </row>
    <row r="8" spans="1:82" ht="15" hidden="1" customHeight="1">
      <c r="A8" s="318"/>
      <c r="B8" s="318"/>
      <c r="C8" s="318"/>
      <c r="D8" s="318"/>
      <c r="E8" s="318"/>
      <c r="F8" s="318"/>
      <c r="G8" s="318"/>
      <c r="H8" s="318"/>
      <c r="I8" s="318"/>
      <c r="J8" s="318"/>
      <c r="K8" s="318"/>
      <c r="L8" s="318"/>
      <c r="M8" s="318"/>
      <c r="N8" s="351" t="str">
        <f>uxb_works!D67</f>
        <v>There are 30 cities in the active filter set</v>
      </c>
      <c r="O8" s="338"/>
      <c r="P8" s="628"/>
      <c r="Q8" s="628"/>
      <c r="R8" s="628"/>
      <c r="S8" s="628"/>
      <c r="T8" s="628"/>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c r="AT8" s="339"/>
      <c r="AU8" s="201"/>
    </row>
    <row r="9" spans="1:82" ht="33.75" hidden="1" customHeight="1" thickBot="1">
      <c r="A9" s="171"/>
      <c r="B9" s="171"/>
      <c r="C9" s="171"/>
      <c r="D9" s="171"/>
      <c r="E9" s="171"/>
      <c r="F9" s="171"/>
      <c r="G9" s="171"/>
      <c r="H9" s="171"/>
      <c r="I9" s="171"/>
      <c r="J9" s="171"/>
      <c r="K9" s="171"/>
      <c r="L9" s="171"/>
      <c r="M9" s="171"/>
      <c r="N9" s="328"/>
      <c r="O9" s="333"/>
      <c r="P9" s="629"/>
      <c r="Q9" s="629"/>
      <c r="R9" s="629"/>
      <c r="S9" s="629"/>
      <c r="T9" s="629"/>
      <c r="U9" s="629"/>
      <c r="V9" s="629"/>
      <c r="W9" s="629"/>
      <c r="X9" s="629"/>
      <c r="Y9" s="629"/>
      <c r="Z9" s="629"/>
      <c r="AA9" s="629"/>
      <c r="AB9" s="629"/>
      <c r="AC9" s="629"/>
      <c r="AD9" s="629"/>
      <c r="AE9" s="629"/>
      <c r="AF9" s="629"/>
      <c r="AG9" s="629"/>
      <c r="AH9" s="629"/>
      <c r="AI9" s="629"/>
      <c r="AJ9" s="629"/>
      <c r="AK9" s="629"/>
      <c r="AL9" s="629"/>
      <c r="AM9" s="629"/>
      <c r="AN9" s="629"/>
      <c r="AO9" s="629"/>
      <c r="AP9" s="629"/>
      <c r="AQ9" s="629"/>
      <c r="AR9" s="629"/>
      <c r="AS9" s="629"/>
      <c r="AT9" s="328"/>
    </row>
    <row r="10" spans="1:82" ht="84" customHeight="1">
      <c r="A10" s="208"/>
      <c r="B10" s="209" t="str">
        <f>tblIndicators!A1</f>
        <v>line</v>
      </c>
      <c r="C10" s="209"/>
      <c r="D10" s="210"/>
      <c r="E10" s="210" t="str">
        <f>tblIndicators!B1</f>
        <v>IS_BG</v>
      </c>
      <c r="F10" s="209" t="str">
        <f>tblIndicators!G1</f>
        <v>DEPTH</v>
      </c>
      <c r="G10" s="209"/>
      <c r="H10" s="209" t="str">
        <f>tblIndicators!AC1</f>
        <v>Format</v>
      </c>
      <c r="I10" s="210"/>
      <c r="J10" s="210"/>
      <c r="K10" s="211">
        <f>SUM(K11:K86)</f>
        <v>70</v>
      </c>
      <c r="L10" s="210"/>
      <c r="M10" s="210"/>
      <c r="N10" s="385" t="s">
        <v>61</v>
      </c>
      <c r="O10" s="387" t="str">
        <f>CHOOSE(uxb_works!$B$47,"Unit","Weight")</f>
        <v>Weight</v>
      </c>
      <c r="P10" s="630" t="str">
        <f>IF(P$4="","",INDEX(tblTerritories!$C$3:$C$37,P$4))</f>
        <v>Amsterdam</v>
      </c>
      <c r="Q10" s="630" t="str">
        <f>IF(Q$4="","",INDEX(tblTerritories!$C$3:$C$37,Q$4))</f>
        <v>Auckland</v>
      </c>
      <c r="R10" s="630" t="str">
        <f>IF(R$4="","",INDEX(tblTerritories!$C$3:$C$37,R$4))</f>
        <v>Bangkok</v>
      </c>
      <c r="S10" s="630" t="str">
        <f>IF(S$4="","",INDEX(tblTerritories!$C$3:$C$37,S$4))</f>
        <v>Barcelona</v>
      </c>
      <c r="T10" s="630" t="str">
        <f>IF(T$4="","",INDEX(tblTerritories!$C$3:$C$37,T$4))</f>
        <v>Beijing</v>
      </c>
      <c r="U10" s="630" t="str">
        <f>IF(U$4="","",INDEX(tblTerritories!$C$3:$C$37,U$4))</f>
        <v>Berlin</v>
      </c>
      <c r="V10" s="630" t="str">
        <f>IF(V$4="","",INDEX(tblTerritories!$C$3:$C$37,V$4))</f>
        <v>Buenos Aires</v>
      </c>
      <c r="W10" s="630" t="str">
        <f>IF(W$4="","",INDEX(tblTerritories!$C$3:$C$37,W$4))</f>
        <v>Copenhagen</v>
      </c>
      <c r="X10" s="630" t="str">
        <f>IF(X$4="","",INDEX(tblTerritories!$C$3:$C$37,X$4))</f>
        <v>Dallas</v>
      </c>
      <c r="Y10" s="630" t="str">
        <f>IF(Y$4="","",INDEX(tblTerritories!$C$3:$C$37,Y$4))</f>
        <v>Dubai</v>
      </c>
      <c r="Z10" s="630" t="str">
        <f>IF(Z$4="","",INDEX(tblTerritories!$C$3:$C$37,Z$4))</f>
        <v>Frankfurt</v>
      </c>
      <c r="AA10" s="630" t="str">
        <f>IF(AA$4="","",INDEX(tblTerritories!$C$3:$C$37,AA$4))</f>
        <v>Hong Kong</v>
      </c>
      <c r="AB10" s="630" t="str">
        <f>IF(AB$4="","",INDEX(tblTerritories!$C$3:$C$37,AB$4))</f>
        <v>Jakarta</v>
      </c>
      <c r="AC10" s="630" t="str">
        <f>IF(AC$4="","",INDEX(tblTerritories!$C$3:$C$37,AC$4))</f>
        <v>Kuala Lumpur</v>
      </c>
      <c r="AD10" s="630" t="str">
        <f>IF(AD$4="","",INDEX(tblTerritories!$C$3:$C$37,AD$4))</f>
        <v>London</v>
      </c>
      <c r="AE10" s="630" t="str">
        <f>IF(AE$4="","",INDEX(tblTerritories!$C$3:$C$37,AE$4))</f>
        <v>Madrid</v>
      </c>
      <c r="AF10" s="630" t="str">
        <f>IF(AF$4="","",INDEX(tblTerritories!$C$3:$C$37,AF$4))</f>
        <v>Manila</v>
      </c>
      <c r="AG10" s="630" t="str">
        <f>IF(AG$4="","",INDEX(tblTerritories!$C$3:$C$37,AG$4))</f>
        <v>Mexico City</v>
      </c>
      <c r="AH10" s="630" t="str">
        <f>IF(AH$4="","",INDEX(tblTerritories!$C$3:$C$37,AH$4))</f>
        <v>New Delhi</v>
      </c>
      <c r="AI10" s="630" t="str">
        <f>IF(AI$4="","",INDEX(tblTerritories!$C$3:$C$37,AI$4))</f>
        <v>New York</v>
      </c>
      <c r="AJ10" s="630" t="str">
        <f>IF(AJ$4="","",INDEX(tblTerritories!$C$3:$C$37,AJ$4))</f>
        <v>Paris</v>
      </c>
      <c r="AK10" s="630" t="str">
        <f>IF(AK$4="","",INDEX(tblTerritories!$C$3:$C$37,AK$4))</f>
        <v>Rome</v>
      </c>
      <c r="AL10" s="630" t="str">
        <f>IF(AL$4="","",INDEX(tblTerritories!$C$3:$C$37,AL$4))</f>
        <v>Sao Paulo</v>
      </c>
      <c r="AM10" s="630" t="str">
        <f>IF(AM$4="","",INDEX(tblTerritories!$C$3:$C$37,AM$4))</f>
        <v>Seoul</v>
      </c>
      <c r="AN10" s="630" t="str">
        <f>IF(AN$4="","",INDEX(tblTerritories!$C$3:$C$37,AN$4))</f>
        <v>Singapore</v>
      </c>
      <c r="AO10" s="630" t="str">
        <f>IF(AO$4="","",INDEX(tblTerritories!$C$3:$C$37,AO$4))</f>
        <v>Sydney</v>
      </c>
      <c r="AP10" s="630" t="str">
        <f>IF(AP$4="","",INDEX(tblTerritories!$C$3:$C$37,AP$4))</f>
        <v>Tokyo</v>
      </c>
      <c r="AQ10" s="630" t="str">
        <f>IF(AQ$4="","",INDEX(tblTerritories!$C$3:$C$37,AQ$4))</f>
        <v>Toronto</v>
      </c>
      <c r="AR10" s="630" t="str">
        <f>IF(AR$4="","",INDEX(tblTerritories!$C$3:$C$37,AR$4))</f>
        <v>Washington DC</v>
      </c>
      <c r="AS10" s="630" t="str">
        <f>IF(AS$4="","",INDEX(tblTerritories!$C$3:$C$37,AS$4))</f>
        <v>Zurich</v>
      </c>
      <c r="AU10" s="212"/>
      <c r="AW10" s="157">
        <f>IF(P10="",0,1)</f>
        <v>1</v>
      </c>
      <c r="AX10" s="157" t="e">
        <f>IF(#REF!="",0,1)</f>
        <v>#REF!</v>
      </c>
    </row>
    <row r="11" spans="1:82" ht="31.5" customHeight="1">
      <c r="A11" s="213"/>
      <c r="B11" s="214">
        <f>tblIndicators!A2</f>
        <v>1</v>
      </c>
      <c r="C11" s="214"/>
      <c r="D11" s="214"/>
      <c r="E11" s="214">
        <f>tblIndicators!B2</f>
        <v>0</v>
      </c>
      <c r="F11" s="214">
        <v>5</v>
      </c>
      <c r="G11" s="214"/>
      <c r="H11" s="214" t="str">
        <f>tblIndicators!AC2</f>
        <v>#,##0.0</v>
      </c>
      <c r="I11" s="215"/>
      <c r="J11" s="214"/>
      <c r="K11" s="214">
        <f>IF(uxb_works!$B$46&gt;=L11,1,0)</f>
        <v>1</v>
      </c>
      <c r="L11" s="216">
        <f>IF(AND(uxb_works!$B$47=2,E12=1),0,tblIndicators!G2)</f>
        <v>0</v>
      </c>
      <c r="M11" s="214"/>
      <c r="N11" s="386" t="str">
        <f>iScores!N6</f>
        <v>OVERALL SCORE</v>
      </c>
      <c r="O11" s="406"/>
      <c r="P11" s="631">
        <f>IF(P$4="","",CHOOSE(uxb_works!$B$47,IF(INDEX(aData,$B11,P$4)="","-",TEXT(INDEX(aData,$B11,P$4),$H11)),IFERROR(INDEX(aScoresRounded,$B11,P$4),"")))</f>
        <v>74.599999999999994</v>
      </c>
      <c r="Q11" s="706">
        <f>IF(Q$4="","",CHOOSE(uxb_works!$B$47,IF(INDEX(aData,$B11,Q$4)="","-",TEXT(INDEX(aData,$B11,Q$4),$H11)),IFERROR(INDEX(aScoresRounded,$B11,Q$4),"")))</f>
        <v>60.1</v>
      </c>
      <c r="R11" s="706">
        <f>IF(R$4="","",CHOOSE(uxb_works!$B$47,IF(INDEX(aData,$B11,R$4)="","-",TEXT(INDEX(aData,$B11,R$4),$H11)),IFERROR(INDEX(aScoresRounded,$B11,R$4),"")))</f>
        <v>49.1</v>
      </c>
      <c r="S11" s="706">
        <f>IF(S$4="","",CHOOSE(uxb_works!$B$47,IF(INDEX(aData,$B11,S$4)="","-",TEXT(INDEX(aData,$B11,S$4),$H11)),IFERROR(INDEX(aScoresRounded,$B11,S$4),"")))</f>
        <v>69.7</v>
      </c>
      <c r="T11" s="706">
        <f>IF(T$4="","",CHOOSE(uxb_works!$B$47,IF(INDEX(aData,$B11,T$4)="","-",TEXT(INDEX(aData,$B11,T$4),$H11)),IFERROR(INDEX(aScoresRounded,$B11,T$4),"")))</f>
        <v>73.7</v>
      </c>
      <c r="U11" s="706">
        <f>IF(U$4="","",CHOOSE(uxb_works!$B$47,IF(INDEX(aData,$B11,U$4)="","-",TEXT(INDEX(aData,$B11,U$4),$H11)),IFERROR(INDEX(aScoresRounded,$B11,U$4),"")))</f>
        <v>68.2</v>
      </c>
      <c r="V11" s="706">
        <f>IF(V$4="","",CHOOSE(uxb_works!$B$47,IF(INDEX(aData,$B11,V$4)="","-",TEXT(INDEX(aData,$B11,V$4),$H11)),IFERROR(INDEX(aScoresRounded,$B11,V$4),"")))</f>
        <v>45.1</v>
      </c>
      <c r="W11" s="706">
        <f>IF(W$4="","",CHOOSE(uxb_works!$B$47,IF(INDEX(aData,$B11,W$4)="","-",TEXT(INDEX(aData,$B11,W$4),$H11)),IFERROR(INDEX(aScoresRounded,$B11,W$4),"")))</f>
        <v>81.5</v>
      </c>
      <c r="X11" s="706">
        <f>IF(X$4="","",CHOOSE(uxb_works!$B$47,IF(INDEX(aData,$B11,X$4)="","-",TEXT(INDEX(aData,$B11,X$4),$H11)),IFERROR(INDEX(aScoresRounded,$B11,X$4),"")))</f>
        <v>68.7</v>
      </c>
      <c r="Y11" s="631">
        <f>IF(Y$4="","",CHOOSE(uxb_works!$B$47,IF(INDEX(aData,$B11,Y$4)="","-",TEXT(INDEX(aData,$B11,Y$4),$H11)),IFERROR(INDEX(aScoresRounded,$B11,Y$4),"")))</f>
        <v>63.8</v>
      </c>
      <c r="Z11" s="631">
        <f>IF(Z$4="","",CHOOSE(uxb_works!$B$47,IF(INDEX(aData,$B11,Z$4)="","-",TEXT(INDEX(aData,$B11,Z$4),$H11)),IFERROR(INDEX(aScoresRounded,$B11,Z$4),"")))</f>
        <v>69.099999999999994</v>
      </c>
      <c r="AA11" s="631">
        <f>IF(AA$4="","",CHOOSE(uxb_works!$B$47,IF(INDEX(aData,$B11,AA$4)="","-",TEXT(INDEX(aData,$B11,AA$4),$H11)),IFERROR(INDEX(aScoresRounded,$B11,AA$4),"")))</f>
        <v>68</v>
      </c>
      <c r="AB11" s="631">
        <f>IF(AB$4="","",CHOOSE(uxb_works!$B$47,IF(INDEX(aData,$B11,AB$4)="","-",TEXT(INDEX(aData,$B11,AB$4),$H11)),IFERROR(INDEX(aScoresRounded,$B11,AB$4),"")))</f>
        <v>43.5</v>
      </c>
      <c r="AC11" s="631">
        <f>IF(AC$4="","",CHOOSE(uxb_works!$B$47,IF(INDEX(aData,$B11,AC$4)="","-",TEXT(INDEX(aData,$B11,AC$4),$H11)),IFERROR(INDEX(aScoresRounded,$B11,AC$4),"")))</f>
        <v>58.2</v>
      </c>
      <c r="AD11" s="631">
        <f>IF(AD$4="","",CHOOSE(uxb_works!$B$47,IF(INDEX(aData,$B11,AD$4)="","-",TEXT(INDEX(aData,$B11,AD$4),$H11)),IFERROR(INDEX(aScoresRounded,$B11,AD$4),"")))</f>
        <v>73.599999999999994</v>
      </c>
      <c r="AE11" s="631">
        <f>IF(AE$4="","",CHOOSE(uxb_works!$B$47,IF(INDEX(aData,$B11,AE$4)="","-",TEXT(INDEX(aData,$B11,AE$4),$H11)),IFERROR(INDEX(aScoresRounded,$B11,AE$4),"")))</f>
        <v>63.2</v>
      </c>
      <c r="AF11" s="631">
        <f>IF(AF$4="","",CHOOSE(uxb_works!$B$47,IF(INDEX(aData,$B11,AF$4)="","-",TEXT(INDEX(aData,$B11,AF$4),$H11)),IFERROR(INDEX(aScoresRounded,$B11,AF$4),"")))</f>
        <v>39.1</v>
      </c>
      <c r="AG11" s="631">
        <f>IF(AG$4="","",CHOOSE(uxb_works!$B$47,IF(INDEX(aData,$B11,AG$4)="","-",TEXT(INDEX(aData,$B11,AG$4),$H11)),IFERROR(INDEX(aScoresRounded,$B11,AG$4),"")))</f>
        <v>42.6</v>
      </c>
      <c r="AH11" s="631">
        <f>IF(AH$4="","",CHOOSE(uxb_works!$B$47,IF(INDEX(aData,$B11,AH$4)="","-",TEXT(INDEX(aData,$B11,AH$4),$H11)),IFERROR(INDEX(aScoresRounded,$B11,AH$4),"")))</f>
        <v>40.299999999999997</v>
      </c>
      <c r="AI11" s="631">
        <f>IF(AI$4="","",CHOOSE(uxb_works!$B$47,IF(INDEX(aData,$B11,AI$4)="","-",TEXT(INDEX(aData,$B11,AI$4),$H11)),IFERROR(INDEX(aScoresRounded,$B11,AI$4),"")))</f>
        <v>73.3</v>
      </c>
      <c r="AJ11" s="631">
        <f>IF(AJ$4="","",CHOOSE(uxb_works!$B$47,IF(INDEX(aData,$B11,AJ$4)="","-",TEXT(INDEX(aData,$B11,AJ$4),$H11)),IFERROR(INDEX(aScoresRounded,$B11,AJ$4),"")))</f>
        <v>70.2</v>
      </c>
      <c r="AK11" s="631">
        <f>IF(AK$4="","",CHOOSE(uxb_works!$B$47,IF(INDEX(aData,$B11,AK$4)="","-",TEXT(INDEX(aData,$B11,AK$4),$H11)),IFERROR(INDEX(aScoresRounded,$B11,AK$4),"")))</f>
        <v>61.2</v>
      </c>
      <c r="AL11" s="631">
        <f>IF(AL$4="","",CHOOSE(uxb_works!$B$47,IF(INDEX(aData,$B11,AL$4)="","-",TEXT(INDEX(aData,$B11,AL$4),$H11)),IFERROR(INDEX(aScoresRounded,$B11,AL$4),"")))</f>
        <v>50.7</v>
      </c>
      <c r="AM11" s="631">
        <f>IF(AM$4="","",CHOOSE(uxb_works!$B$47,IF(INDEX(aData,$B11,AM$4)="","-",TEXT(INDEX(aData,$B11,AM$4),$H11)),IFERROR(INDEX(aScoresRounded,$B11,AM$4),"")))</f>
        <v>73.599999999999994</v>
      </c>
      <c r="AN11" s="631">
        <f>IF(AN$4="","",CHOOSE(uxb_works!$B$47,IF(INDEX(aData,$B11,AN$4)="","-",TEXT(INDEX(aData,$B11,AN$4),$H11)),IFERROR(INDEX(aScoresRounded,$B11,AN$4),"")))</f>
        <v>71.400000000000006</v>
      </c>
      <c r="AO11" s="631">
        <f>IF(AO$4="","",CHOOSE(uxb_works!$B$47,IF(INDEX(aData,$B11,AO$4)="","-",TEXT(INDEX(aData,$B11,AO$4),$H11)),IFERROR(INDEX(aScoresRounded,$B11,AO$4),"")))</f>
        <v>72.599999999999994</v>
      </c>
      <c r="AP11" s="631">
        <f>IF(AP$4="","",CHOOSE(uxb_works!$B$47,IF(INDEX(aData,$B11,AP$4)="","-",TEXT(INDEX(aData,$B11,AP$4),$H11)),IFERROR(INDEX(aScoresRounded,$B11,AP$4),"")))</f>
        <v>63</v>
      </c>
      <c r="AQ11" s="631">
        <f>IF(AQ$4="","",CHOOSE(uxb_works!$B$47,IF(INDEX(aData,$B11,AQ$4)="","-",TEXT(INDEX(aData,$B11,AQ$4),$H11)),IFERROR(INDEX(aScoresRounded,$B11,AQ$4),"")))</f>
        <v>70.099999999999994</v>
      </c>
      <c r="AR11" s="631">
        <f>IF(AR$4="","",CHOOSE(uxb_works!$B$47,IF(INDEX(aData,$B11,AR$4)="","-",TEXT(INDEX(aData,$B11,AR$4),$H11)),IFERROR(INDEX(aScoresRounded,$B11,AR$4),"")))</f>
        <v>71.2</v>
      </c>
      <c r="AS11" s="631">
        <f>IF(AS$4="","",CHOOSE(uxb_works!$B$47,IF(INDEX(aData,$B11,AS$4)="","-",TEXT(INDEX(aData,$B11,AS$4),$H11)),IFERROR(INDEX(aScoresRounded,$B11,AS$4),"")))</f>
        <v>70.099999999999994</v>
      </c>
      <c r="AT11" s="569"/>
      <c r="AU11" s="217"/>
      <c r="AW11" s="157">
        <f>CHOOSE($AV$1,0,IF(AW$10=0,0,IF(P11&lt;=$AX$1,1,IF(P11&lt;=$AY$1,2,3))),IF(AW$10=0,0,IF(P11&lt;=$AX$1,4,IF(P11&lt;=$AY$1,5,6))))</f>
        <v>0</v>
      </c>
      <c r="AX11" s="157">
        <f>CHOOSE($AV$1,0,IF(AX$10=0,0,IF(#REF!&lt;=$AX$1,1,IF(#REF!&lt;=#REF!,2,3))),IF(AX$10=0,0,IF(#REF!&lt;=$AX$1,4,IF(#REF!&lt;=#REF!,5,6))))</f>
        <v>0</v>
      </c>
    </row>
    <row r="12" spans="1:82" ht="25.15" customHeight="1">
      <c r="A12" s="213"/>
      <c r="B12" s="218">
        <f>tblIndicators!A3</f>
        <v>2</v>
      </c>
      <c r="C12" s="218"/>
      <c r="D12" s="218"/>
      <c r="E12" s="218">
        <f>tblIndicators!B3</f>
        <v>0</v>
      </c>
      <c r="F12" s="218">
        <f>iScores!F7</f>
        <v>1</v>
      </c>
      <c r="G12" s="218"/>
      <c r="H12" s="218" t="str">
        <f>tblIndicators!AC3</f>
        <v>#,##0.0</v>
      </c>
      <c r="I12" s="219"/>
      <c r="J12" s="218"/>
      <c r="K12" s="214">
        <f>IF(L12=0,0,IF(uxb_works!$B$46&gt;=L12,1,0))</f>
        <v>1</v>
      </c>
      <c r="L12" s="216">
        <f>IF(AND(uxb_works!$B$47=2,E12=1),0,tblIndicators!G3)</f>
        <v>1</v>
      </c>
      <c r="M12" s="218"/>
      <c r="N12" s="249" t="str">
        <f>iScores!N7</f>
        <v xml:space="preserve"> 1) CONNECTIVITY</v>
      </c>
      <c r="O12" s="407">
        <f>CHOOSE(uxb_works!$B$47,iData!I7,iScores!O7)</f>
        <v>0.3</v>
      </c>
      <c r="P12" s="631">
        <f>IF(P$4="","",CHOOSE(uxb_works!$B$47,IF(INDEX(aData,$B12,P$4)="","-",TEXT(INDEX(aData,$B12,P$4),$H12)),IFERROR(INDEX(aScoresRounded,$B12,P$4),"")))</f>
        <v>77</v>
      </c>
      <c r="Q12" s="706">
        <f>IF(Q$4="","",CHOOSE(uxb_works!$B$47,IF(INDEX(aData,$B12,Q$4)="","-",TEXT(INDEX(aData,$B12,Q$4),$H12)),IFERROR(INDEX(aScoresRounded,$B12,Q$4),"")))</f>
        <v>59.7</v>
      </c>
      <c r="R12" s="706">
        <f>IF(R$4="","",CHOOSE(uxb_works!$B$47,IF(INDEX(aData,$B12,R$4)="","-",TEXT(INDEX(aData,$B12,R$4),$H12)),IFERROR(INDEX(aScoresRounded,$B12,R$4),"")))</f>
        <v>55.3</v>
      </c>
      <c r="S12" s="706">
        <f>IF(S$4="","",CHOOSE(uxb_works!$B$47,IF(INDEX(aData,$B12,S$4)="","-",TEXT(INDEX(aData,$B12,S$4),$H12)),IFERROR(INDEX(aScoresRounded,$B12,S$4),"")))</f>
        <v>61.6</v>
      </c>
      <c r="T12" s="706">
        <f>IF(T$4="","",CHOOSE(uxb_works!$B$47,IF(INDEX(aData,$B12,T$4)="","-",TEXT(INDEX(aData,$B12,T$4),$H12)),IFERROR(INDEX(aScoresRounded,$B12,T$4),"")))</f>
        <v>80.7</v>
      </c>
      <c r="U12" s="706">
        <f>IF(U$4="","",CHOOSE(uxb_works!$B$47,IF(INDEX(aData,$B12,U$4)="","-",TEXT(INDEX(aData,$B12,U$4),$H12)),IFERROR(INDEX(aScoresRounded,$B12,U$4),"")))</f>
        <v>65.900000000000006</v>
      </c>
      <c r="V12" s="706">
        <f>IF(V$4="","",CHOOSE(uxb_works!$B$47,IF(INDEX(aData,$B12,V$4)="","-",TEXT(INDEX(aData,$B12,V$4),$H12)),IFERROR(INDEX(aScoresRounded,$B12,V$4),"")))</f>
        <v>40.799999999999997</v>
      </c>
      <c r="W12" s="706">
        <f>IF(W$4="","",CHOOSE(uxb_works!$B$47,IF(INDEX(aData,$B12,W$4)="","-",TEXT(INDEX(aData,$B12,W$4),$H12)),IFERROR(INDEX(aScoresRounded,$B12,W$4),"")))</f>
        <v>85.4</v>
      </c>
      <c r="X12" s="706">
        <f>IF(X$4="","",CHOOSE(uxb_works!$B$47,IF(INDEX(aData,$B12,X$4)="","-",TEXT(INDEX(aData,$B12,X$4),$H12)),IFERROR(INDEX(aScoresRounded,$B12,X$4),"")))</f>
        <v>74.2</v>
      </c>
      <c r="Y12" s="631">
        <f>IF(Y$4="","",CHOOSE(uxb_works!$B$47,IF(INDEX(aData,$B12,Y$4)="","-",TEXT(INDEX(aData,$B12,Y$4),$H12)),IFERROR(INDEX(aScoresRounded,$B12,Y$4),"")))</f>
        <v>63.5</v>
      </c>
      <c r="Z12" s="631">
        <f>IF(Z$4="","",CHOOSE(uxb_works!$B$47,IF(INDEX(aData,$B12,Z$4)="","-",TEXT(INDEX(aData,$B12,Z$4),$H12)),IFERROR(INDEX(aScoresRounded,$B12,Z$4),"")))</f>
        <v>71.2</v>
      </c>
      <c r="AA12" s="631">
        <f>IF(AA$4="","",CHOOSE(uxb_works!$B$47,IF(INDEX(aData,$B12,AA$4)="","-",TEXT(INDEX(aData,$B12,AA$4),$H12)),IFERROR(INDEX(aScoresRounded,$B12,AA$4),"")))</f>
        <v>76.599999999999994</v>
      </c>
      <c r="AB12" s="631">
        <f>IF(AB$4="","",CHOOSE(uxb_works!$B$47,IF(INDEX(aData,$B12,AB$4)="","-",TEXT(INDEX(aData,$B12,AB$4),$H12)),IFERROR(INDEX(aScoresRounded,$B12,AB$4),"")))</f>
        <v>48.1</v>
      </c>
      <c r="AC12" s="631">
        <f>IF(AC$4="","",CHOOSE(uxb_works!$B$47,IF(INDEX(aData,$B12,AC$4)="","-",TEXT(INDEX(aData,$B12,AC$4),$H12)),IFERROR(INDEX(aScoresRounded,$B12,AC$4),"")))</f>
        <v>58.9</v>
      </c>
      <c r="AD12" s="631">
        <f>IF(AD$4="","",CHOOSE(uxb_works!$B$47,IF(INDEX(aData,$B12,AD$4)="","-",TEXT(INDEX(aData,$B12,AD$4),$H12)),IFERROR(INDEX(aScoresRounded,$B12,AD$4),"")))</f>
        <v>71.3</v>
      </c>
      <c r="AE12" s="631">
        <f>IF(AE$4="","",CHOOSE(uxb_works!$B$47,IF(INDEX(aData,$B12,AE$4)="","-",TEXT(INDEX(aData,$B12,AE$4),$H12)),IFERROR(INDEX(aScoresRounded,$B12,AE$4),"")))</f>
        <v>64.599999999999994</v>
      </c>
      <c r="AF12" s="631">
        <f>IF(AF$4="","",CHOOSE(uxb_works!$B$47,IF(INDEX(aData,$B12,AF$4)="","-",TEXT(INDEX(aData,$B12,AF$4),$H12)),IFERROR(INDEX(aScoresRounded,$B12,AF$4),"")))</f>
        <v>43.8</v>
      </c>
      <c r="AG12" s="631">
        <f>IF(AG$4="","",CHOOSE(uxb_works!$B$47,IF(INDEX(aData,$B12,AG$4)="","-",TEXT(INDEX(aData,$B12,AG$4),$H12)),IFERROR(INDEX(aScoresRounded,$B12,AG$4),"")))</f>
        <v>53</v>
      </c>
      <c r="AH12" s="631">
        <f>IF(AH$4="","",CHOOSE(uxb_works!$B$47,IF(INDEX(aData,$B12,AH$4)="","-",TEXT(INDEX(aData,$B12,AH$4),$H12)),IFERROR(INDEX(aScoresRounded,$B12,AH$4),"")))</f>
        <v>28.4</v>
      </c>
      <c r="AI12" s="631">
        <f>IF(AI$4="","",CHOOSE(uxb_works!$B$47,IF(INDEX(aData,$B12,AI$4)="","-",TEXT(INDEX(aData,$B12,AI$4),$H12)),IFERROR(INDEX(aScoresRounded,$B12,AI$4),"")))</f>
        <v>76.2</v>
      </c>
      <c r="AJ12" s="631">
        <f>IF(AJ$4="","",CHOOSE(uxb_works!$B$47,IF(INDEX(aData,$B12,AJ$4)="","-",TEXT(INDEX(aData,$B12,AJ$4),$H12)),IFERROR(INDEX(aScoresRounded,$B12,AJ$4),"")))</f>
        <v>71.900000000000006</v>
      </c>
      <c r="AK12" s="631">
        <f>IF(AK$4="","",CHOOSE(uxb_works!$B$47,IF(INDEX(aData,$B12,AK$4)="","-",TEXT(INDEX(aData,$B12,AK$4),$H12)),IFERROR(INDEX(aScoresRounded,$B12,AK$4),"")))</f>
        <v>64.900000000000006</v>
      </c>
      <c r="AL12" s="631">
        <f>IF(AL$4="","",CHOOSE(uxb_works!$B$47,IF(INDEX(aData,$B12,AL$4)="","-",TEXT(INDEX(aData,$B12,AL$4),$H12)),IFERROR(INDEX(aScoresRounded,$B12,AL$4),"")))</f>
        <v>56.5</v>
      </c>
      <c r="AM12" s="631">
        <f>IF(AM$4="","",CHOOSE(uxb_works!$B$47,IF(INDEX(aData,$B12,AM$4)="","-",TEXT(INDEX(aData,$B12,AM$4),$H12)),IFERROR(INDEX(aScoresRounded,$B12,AM$4),"")))</f>
        <v>75.3</v>
      </c>
      <c r="AN12" s="631">
        <f>IF(AN$4="","",CHOOSE(uxb_works!$B$47,IF(INDEX(aData,$B12,AN$4)="","-",TEXT(INDEX(aData,$B12,AN$4),$H12)),IFERROR(INDEX(aScoresRounded,$B12,AN$4),"")))</f>
        <v>83.1</v>
      </c>
      <c r="AO12" s="631">
        <f>IF(AO$4="","",CHOOSE(uxb_works!$B$47,IF(INDEX(aData,$B12,AO$4)="","-",TEXT(INDEX(aData,$B12,AO$4),$H12)),IFERROR(INDEX(aScoresRounded,$B12,AO$4),"")))</f>
        <v>78</v>
      </c>
      <c r="AP12" s="631">
        <f>IF(AP$4="","",CHOOSE(uxb_works!$B$47,IF(INDEX(aData,$B12,AP$4)="","-",TEXT(INDEX(aData,$B12,AP$4),$H12)),IFERROR(INDEX(aScoresRounded,$B12,AP$4),"")))</f>
        <v>71.3</v>
      </c>
      <c r="AQ12" s="631">
        <f>IF(AQ$4="","",CHOOSE(uxb_works!$B$47,IF(INDEX(aData,$B12,AQ$4)="","-",TEXT(INDEX(aData,$B12,AQ$4),$H12)),IFERROR(INDEX(aScoresRounded,$B12,AQ$4),"")))</f>
        <v>62.8</v>
      </c>
      <c r="AR12" s="631">
        <f>IF(AR$4="","",CHOOSE(uxb_works!$B$47,IF(INDEX(aData,$B12,AR$4)="","-",TEXT(INDEX(aData,$B12,AR$4),$H12)),IFERROR(INDEX(aScoresRounded,$B12,AR$4),"")))</f>
        <v>75.599999999999994</v>
      </c>
      <c r="AS12" s="631">
        <f>IF(AS$4="","",CHOOSE(uxb_works!$B$47,IF(INDEX(aData,$B12,AS$4)="","-",TEXT(INDEX(aData,$B12,AS$4),$H12)),IFERROR(INDEX(aScoresRounded,$B12,AS$4),"")))</f>
        <v>81</v>
      </c>
      <c r="AT12" s="570"/>
      <c r="AW12" s="157">
        <f>CHOOSE($AV$1,0,IF(AW$10=0,0,IF(P12&lt;=$AX$1,1,IF(P12&lt;=#REF!,2,3))),IF(AW$10=0,0,IF(P12&lt;=$AX$1,4,IF(P12&lt;=#REF!,5,6))))</f>
        <v>0</v>
      </c>
      <c r="AX12" s="157">
        <f>CHOOSE($AV$1,0,IF(AX$10=0,0,IF(#REF!&lt;=$AX$1,1,IF(#REF!&lt;=#REF!,2,3))),IF(AX$10=0,0,IF(#REF!&lt;=$AX$1,4,IF(#REF!&lt;=#REF!,5,6))))</f>
        <v>0</v>
      </c>
    </row>
    <row r="13" spans="1:82" ht="25" customHeight="1">
      <c r="A13" s="213"/>
      <c r="B13" s="218">
        <f>tblIndicators!A4</f>
        <v>3</v>
      </c>
      <c r="C13" s="218"/>
      <c r="D13" s="218"/>
      <c r="E13" s="218">
        <f>tblIndicators!B4</f>
        <v>0</v>
      </c>
      <c r="F13" s="218">
        <f>IF(AND(uxb_works!$B$47=2,E13=1),0,iScores!F8)</f>
        <v>2</v>
      </c>
      <c r="G13" s="218"/>
      <c r="H13" s="218" t="str">
        <f>tblIndicators!AC4</f>
        <v>#,##0.0</v>
      </c>
      <c r="I13" s="219"/>
      <c r="J13" s="218"/>
      <c r="K13" s="214">
        <f>IF(L13=0,0,IF(uxb_works!$B$46&gt;=L13,1,0))</f>
        <v>1</v>
      </c>
      <c r="L13" s="216">
        <f>IF(AND(uxb_works!$B$47=2,E13=1),0,tblIndicators!G4)</f>
        <v>2</v>
      </c>
      <c r="M13" s="218"/>
      <c r="N13" s="249" t="str">
        <f>iScores!N8</f>
        <v xml:space="preserve">  1.1) Digital infrastructure</v>
      </c>
      <c r="O13" s="407">
        <f>CHOOSE(uxb_works!$B$47,iData!I8,iScores!O8)</f>
        <v>0.44444444444444442</v>
      </c>
      <c r="P13" s="631">
        <f>IF(P$4="","",CHOOSE(uxb_works!$B$47,IF(INDEX(aData,$B13,P$4)="","-",TEXT(INDEX(aData,$B13,P$4),$H13)),IFERROR(INDEX(aScoresRounded,$B13,P$4),"")))</f>
        <v>84</v>
      </c>
      <c r="Q13" s="706">
        <f>IF(Q$4="","",CHOOSE(uxb_works!$B$47,IF(INDEX(aData,$B13,Q$4)="","-",TEXT(INDEX(aData,$B13,Q$4),$H13)),IFERROR(INDEX(aScoresRounded,$B13,Q$4),"")))</f>
        <v>77.3</v>
      </c>
      <c r="R13" s="706">
        <f>IF(R$4="","",CHOOSE(uxb_works!$B$47,IF(INDEX(aData,$B13,R$4)="","-",TEXT(INDEX(aData,$B13,R$4),$H13)),IFERROR(INDEX(aScoresRounded,$B13,R$4),"")))</f>
        <v>59</v>
      </c>
      <c r="S13" s="706">
        <f>IF(S$4="","",CHOOSE(uxb_works!$B$47,IF(INDEX(aData,$B13,S$4)="","-",TEXT(INDEX(aData,$B13,S$4),$H13)),IFERROR(INDEX(aScoresRounded,$B13,S$4),"")))</f>
        <v>74.7</v>
      </c>
      <c r="T13" s="706">
        <f>IF(T$4="","",CHOOSE(uxb_works!$B$47,IF(INDEX(aData,$B13,T$4)="","-",TEXT(INDEX(aData,$B13,T$4),$H13)),IFERROR(INDEX(aScoresRounded,$B13,T$4),"")))</f>
        <v>73.3</v>
      </c>
      <c r="U13" s="706">
        <f>IF(U$4="","",CHOOSE(uxb_works!$B$47,IF(INDEX(aData,$B13,U$4)="","-",TEXT(INDEX(aData,$B13,U$4),$H13)),IFERROR(INDEX(aScoresRounded,$B13,U$4),"")))</f>
        <v>76.599999999999994</v>
      </c>
      <c r="V13" s="706">
        <f>IF(V$4="","",CHOOSE(uxb_works!$B$47,IF(INDEX(aData,$B13,V$4)="","-",TEXT(INDEX(aData,$B13,V$4),$H13)),IFERROR(INDEX(aScoresRounded,$B13,V$4),"")))</f>
        <v>63.9</v>
      </c>
      <c r="W13" s="706">
        <f>IF(W$4="","",CHOOSE(uxb_works!$B$47,IF(INDEX(aData,$B13,W$4)="","-",TEXT(INDEX(aData,$B13,W$4),$H13)),IFERROR(INDEX(aScoresRounded,$B13,W$4),"")))</f>
        <v>86.4</v>
      </c>
      <c r="X13" s="706">
        <f>IF(X$4="","",CHOOSE(uxb_works!$B$47,IF(INDEX(aData,$B13,X$4)="","-",TEXT(INDEX(aData,$B13,X$4),$H13)),IFERROR(INDEX(aScoresRounded,$B13,X$4),"")))</f>
        <v>84.8</v>
      </c>
      <c r="Y13" s="631">
        <f>IF(Y$4="","",CHOOSE(uxb_works!$B$47,IF(INDEX(aData,$B13,Y$4)="","-",TEXT(INDEX(aData,$B13,Y$4),$H13)),IFERROR(INDEX(aScoresRounded,$B13,Y$4),"")))</f>
        <v>93.1</v>
      </c>
      <c r="Z13" s="631">
        <f>IF(Z$4="","",CHOOSE(uxb_works!$B$47,IF(INDEX(aData,$B13,Z$4)="","-",TEXT(INDEX(aData,$B13,Z$4),$H13)),IFERROR(INDEX(aScoresRounded,$B13,Z$4),"")))</f>
        <v>76.599999999999994</v>
      </c>
      <c r="AA13" s="631">
        <f>IF(AA$4="","",CHOOSE(uxb_works!$B$47,IF(INDEX(aData,$B13,AA$4)="","-",TEXT(INDEX(aData,$B13,AA$4),$H13)),IFERROR(INDEX(aScoresRounded,$B13,AA$4),"")))</f>
        <v>84.4</v>
      </c>
      <c r="AB13" s="631">
        <f>IF(AB$4="","",CHOOSE(uxb_works!$B$47,IF(INDEX(aData,$B13,AB$4)="","-",TEXT(INDEX(aData,$B13,AB$4),$H13)),IFERROR(INDEX(aScoresRounded,$B13,AB$4),"")))</f>
        <v>57</v>
      </c>
      <c r="AC13" s="631">
        <f>IF(AC$4="","",CHOOSE(uxb_works!$B$47,IF(INDEX(aData,$B13,AC$4)="","-",TEXT(INDEX(aData,$B13,AC$4),$H13)),IFERROR(INDEX(aScoresRounded,$B13,AC$4),"")))</f>
        <v>67.2</v>
      </c>
      <c r="AD13" s="631">
        <f>IF(AD$4="","",CHOOSE(uxb_works!$B$47,IF(INDEX(aData,$B13,AD$4)="","-",TEXT(INDEX(aData,$B13,AD$4),$H13)),IFERROR(INDEX(aScoresRounded,$B13,AD$4),"")))</f>
        <v>79.400000000000006</v>
      </c>
      <c r="AE13" s="631">
        <f>IF(AE$4="","",CHOOSE(uxb_works!$B$47,IF(INDEX(aData,$B13,AE$4)="","-",TEXT(INDEX(aData,$B13,AE$4),$H13)),IFERROR(INDEX(aScoresRounded,$B13,AE$4),"")))</f>
        <v>74.7</v>
      </c>
      <c r="AF13" s="631">
        <f>IF(AF$4="","",CHOOSE(uxb_works!$B$47,IF(INDEX(aData,$B13,AF$4)="","-",TEXT(INDEX(aData,$B13,AF$4),$H13)),IFERROR(INDEX(aScoresRounded,$B13,AF$4),"")))</f>
        <v>53.4</v>
      </c>
      <c r="AG13" s="631">
        <f>IF(AG$4="","",CHOOSE(uxb_works!$B$47,IF(INDEX(aData,$B13,AG$4)="","-",TEXT(INDEX(aData,$B13,AG$4),$H13)),IFERROR(INDEX(aScoresRounded,$B13,AG$4),"")))</f>
        <v>60.7</v>
      </c>
      <c r="AH13" s="631">
        <f>IF(AH$4="","",CHOOSE(uxb_works!$B$47,IF(INDEX(aData,$B13,AH$4)="","-",TEXT(INDEX(aData,$B13,AH$4),$H13)),IFERROR(INDEX(aScoresRounded,$B13,AH$4),"")))</f>
        <v>34.4</v>
      </c>
      <c r="AI13" s="631">
        <f>IF(AI$4="","",CHOOSE(uxb_works!$B$47,IF(INDEX(aData,$B13,AI$4)="","-",TEXT(INDEX(aData,$B13,AI$4),$H13)),IFERROR(INDEX(aScoresRounded,$B13,AI$4),"")))</f>
        <v>84.8</v>
      </c>
      <c r="AJ13" s="631">
        <f>IF(AJ$4="","",CHOOSE(uxb_works!$B$47,IF(INDEX(aData,$B13,AJ$4)="","-",TEXT(INDEX(aData,$B13,AJ$4),$H13)),IFERROR(INDEX(aScoresRounded,$B13,AJ$4),"")))</f>
        <v>80.400000000000006</v>
      </c>
      <c r="AK13" s="631">
        <f>IF(AK$4="","",CHOOSE(uxb_works!$B$47,IF(INDEX(aData,$B13,AK$4)="","-",TEXT(INDEX(aData,$B13,AK$4),$H13)),IFERROR(INDEX(aScoresRounded,$B13,AK$4),"")))</f>
        <v>70.400000000000006</v>
      </c>
      <c r="AL13" s="631">
        <f>IF(AL$4="","",CHOOSE(uxb_works!$B$47,IF(INDEX(aData,$B13,AL$4)="","-",TEXT(INDEX(aData,$B13,AL$4),$H13)),IFERROR(INDEX(aScoresRounded,$B13,AL$4),"")))</f>
        <v>63.8</v>
      </c>
      <c r="AM13" s="631">
        <f>IF(AM$4="","",CHOOSE(uxb_works!$B$47,IF(INDEX(aData,$B13,AM$4)="","-",TEXT(INDEX(aData,$B13,AM$4),$H13)),IFERROR(INDEX(aScoresRounded,$B13,AM$4),"")))</f>
        <v>82.1</v>
      </c>
      <c r="AN13" s="631">
        <f>IF(AN$4="","",CHOOSE(uxb_works!$B$47,IF(INDEX(aData,$B13,AN$4)="","-",TEXT(INDEX(aData,$B13,AN$4),$H13)),IFERROR(INDEX(aScoresRounded,$B13,AN$4),"")))</f>
        <v>78.7</v>
      </c>
      <c r="AO13" s="631">
        <f>IF(AO$4="","",CHOOSE(uxb_works!$B$47,IF(INDEX(aData,$B13,AO$4)="","-",TEXT(INDEX(aData,$B13,AO$4),$H13)),IFERROR(INDEX(aScoresRounded,$B13,AO$4),"")))</f>
        <v>80.2</v>
      </c>
      <c r="AP13" s="631">
        <f>IF(AP$4="","",CHOOSE(uxb_works!$B$47,IF(INDEX(aData,$B13,AP$4)="","-",TEXT(INDEX(aData,$B13,AP$4),$H13)),IFERROR(INDEX(aScoresRounded,$B13,AP$4),"")))</f>
        <v>93.9</v>
      </c>
      <c r="AQ13" s="631">
        <f>IF(AQ$4="","",CHOOSE(uxb_works!$B$47,IF(INDEX(aData,$B13,AQ$4)="","-",TEXT(INDEX(aData,$B13,AQ$4),$H13)),IFERROR(INDEX(aScoresRounded,$B13,AQ$4),"")))</f>
        <v>74.3</v>
      </c>
      <c r="AR13" s="631">
        <f>IF(AR$4="","",CHOOSE(uxb_works!$B$47,IF(INDEX(aData,$B13,AR$4)="","-",TEXT(INDEX(aData,$B13,AR$4),$H13)),IFERROR(INDEX(aScoresRounded,$B13,AR$4),"")))</f>
        <v>84.8</v>
      </c>
      <c r="AS13" s="631">
        <f>IF(AS$4="","",CHOOSE(uxb_works!$B$47,IF(INDEX(aData,$B13,AS$4)="","-",TEXT(INDEX(aData,$B13,AS$4),$H13)),IFERROR(INDEX(aScoresRounded,$B13,AS$4),"")))</f>
        <v>81.400000000000006</v>
      </c>
      <c r="AT13" s="570"/>
      <c r="AW13" s="157">
        <f>CHOOSE($AV$1,0,IF(AW$10=0,0,IF(P13&lt;=$AX$1,1,IF(P13&lt;=#REF!,2,3))),IF(AW$10=0,0,IF(P13&lt;=$AX$1,4,IF(P13&lt;=#REF!,5,6))))</f>
        <v>0</v>
      </c>
      <c r="AX13" s="157">
        <f>CHOOSE($AV$1,0,IF(AX$10=0,0,IF(#REF!&lt;=$AX$1,1,IF(#REF!&lt;=#REF!,2,3))),IF(AX$10=0,0,IF(#REF!&lt;=$AX$1,4,IF(#REF!&lt;=#REF!,5,6))))</f>
        <v>0</v>
      </c>
    </row>
    <row r="14" spans="1:82" ht="25" customHeight="1">
      <c r="A14" s="213"/>
      <c r="B14" s="218">
        <f>tblIndicators!A5</f>
        <v>4</v>
      </c>
      <c r="C14" s="218"/>
      <c r="D14" s="218"/>
      <c r="E14" s="218">
        <f>tblIndicators!B5</f>
        <v>0</v>
      </c>
      <c r="F14" s="218">
        <f>IF(AND(uxb_works!$B$47=2,E14=1),0,iScores!F9)</f>
        <v>3</v>
      </c>
      <c r="G14" s="218"/>
      <c r="H14" s="218" t="str">
        <f>tblIndicators!AC5</f>
        <v>#,##0.0</v>
      </c>
      <c r="I14" s="219"/>
      <c r="J14" s="218"/>
      <c r="K14" s="214">
        <f>IF(L14=0,0,IF(uxb_works!$B$46&gt;=L14,1,0))</f>
        <v>1</v>
      </c>
      <c r="L14" s="216">
        <f>IF(AND(uxb_works!$B$47=2,E14=1),0,tblIndicators!G5)</f>
        <v>3</v>
      </c>
      <c r="M14" s="218"/>
      <c r="N14" s="249" t="str">
        <f>iScores!N9</f>
        <v xml:space="preserve">   1.1.1) Mobile broadband subscriptions</v>
      </c>
      <c r="O14" s="407">
        <f>CHOOSE(uxb_works!$B$47,iData!I9,iScores!O9)</f>
        <v>0.28888888888888886</v>
      </c>
      <c r="P14" s="631">
        <f>IF(P$4="","",CHOOSE(uxb_works!$B$47,IF(INDEX(aData,$B14,P$4)="","-",TEXT(INDEX(aData,$B14,P$4),$H14)),IFERROR(INDEX(aScoresRounded,$B14,P$4),"")))</f>
        <v>49.9</v>
      </c>
      <c r="Q14" s="706">
        <f>IF(Q$4="","",CHOOSE(uxb_works!$B$47,IF(INDEX(aData,$B14,Q$4)="","-",TEXT(INDEX(aData,$B14,Q$4),$H14)),IFERROR(INDEX(aScoresRounded,$B14,Q$4),"")))</f>
        <v>42</v>
      </c>
      <c r="R14" s="706">
        <f>IF(R$4="","",CHOOSE(uxb_works!$B$47,IF(INDEX(aData,$B14,R$4)="","-",TEXT(INDEX(aData,$B14,R$4),$H14)),IFERROR(INDEX(aScoresRounded,$B14,R$4),"")))</f>
        <v>32.6</v>
      </c>
      <c r="S14" s="706">
        <f>IF(S$4="","",CHOOSE(uxb_works!$B$47,IF(INDEX(aData,$B14,S$4)="","-",TEXT(INDEX(aData,$B14,S$4),$H14)),IFERROR(INDEX(aScoresRounded,$B14,S$4),"")))</f>
        <v>34.4</v>
      </c>
      <c r="T14" s="706">
        <f>IF(T$4="","",CHOOSE(uxb_works!$B$47,IF(INDEX(aData,$B14,T$4)="","-",TEXT(INDEX(aData,$B14,T$4),$H14)),IFERROR(INDEX(aScoresRounded,$B14,T$4),"")))</f>
        <v>30</v>
      </c>
      <c r="U14" s="706">
        <f>IF(U$4="","",CHOOSE(uxb_works!$B$47,IF(INDEX(aData,$B14,U$4)="","-",TEXT(INDEX(aData,$B14,U$4),$H14)),IFERROR(INDEX(aScoresRounded,$B14,U$4),"")))</f>
        <v>25.6</v>
      </c>
      <c r="V14" s="706">
        <f>IF(V$4="","",CHOOSE(uxb_works!$B$47,IF(INDEX(aData,$B14,V$4)="","-",TEXT(INDEX(aData,$B14,V$4),$H14)),IFERROR(INDEX(aScoresRounded,$B14,V$4),"")))</f>
        <v>18.8</v>
      </c>
      <c r="W14" s="706">
        <f>IF(W$4="","",CHOOSE(uxb_works!$B$47,IF(INDEX(aData,$B14,W$4)="","-",TEXT(INDEX(aData,$B14,W$4),$H14)),IFERROR(INDEX(aScoresRounded,$B14,W$4),"")))</f>
        <v>57</v>
      </c>
      <c r="X14" s="706">
        <f>IF(X$4="","",CHOOSE(uxb_works!$B$47,IF(INDEX(aData,$B14,X$4)="","-",TEXT(INDEX(aData,$B14,X$4),$H14)),IFERROR(INDEX(aScoresRounded,$B14,X$4),"")))</f>
        <v>65.099999999999994</v>
      </c>
      <c r="Y14" s="631">
        <f>IF(Y$4="","",CHOOSE(uxb_works!$B$47,IF(INDEX(aData,$B14,Y$4)="","-",TEXT(INDEX(aData,$B14,Y$4),$H14)),IFERROR(INDEX(aScoresRounded,$B14,Y$4),"")))</f>
        <v>100</v>
      </c>
      <c r="Z14" s="631">
        <f>IF(Z$4="","",CHOOSE(uxb_works!$B$47,IF(INDEX(aData,$B14,Z$4)="","-",TEXT(INDEX(aData,$B14,Z$4),$H14)),IFERROR(INDEX(aScoresRounded,$B14,Z$4),"")))</f>
        <v>25.6</v>
      </c>
      <c r="AA14" s="631">
        <f>IF(AA$4="","",CHOOSE(uxb_works!$B$47,IF(INDEX(aData,$B14,AA$4)="","-",TEXT(INDEX(aData,$B14,AA$4),$H14)),IFERROR(INDEX(aScoresRounded,$B14,AA$4),"")))</f>
        <v>60.5</v>
      </c>
      <c r="AB14" s="631">
        <f>IF(AB$4="","",CHOOSE(uxb_works!$B$47,IF(INDEX(aData,$B14,AB$4)="","-",TEXT(INDEX(aData,$B14,AB$4),$H14)),IFERROR(INDEX(aScoresRounded,$B14,AB$4),"")))</f>
        <v>24.1</v>
      </c>
      <c r="AC14" s="631">
        <f>IF(AC$4="","",CHOOSE(uxb_works!$B$47,IF(INDEX(aData,$B14,AC$4)="","-",TEXT(INDEX(aData,$B14,AC$4),$H14)),IFERROR(INDEX(aScoresRounded,$B14,AC$4),"")))</f>
        <v>48.5</v>
      </c>
      <c r="AD14" s="631">
        <f>IF(AD$4="","",CHOOSE(uxb_works!$B$47,IF(INDEX(aData,$B14,AD$4)="","-",TEXT(INDEX(aData,$B14,AD$4),$H14)),IFERROR(INDEX(aScoresRounded,$B14,AD$4),"")))</f>
        <v>39.4</v>
      </c>
      <c r="AE14" s="631">
        <f>IF(AE$4="","",CHOOSE(uxb_works!$B$47,IF(INDEX(aData,$B14,AE$4)="","-",TEXT(INDEX(aData,$B14,AE$4),$H14)),IFERROR(INDEX(aScoresRounded,$B14,AE$4),"")))</f>
        <v>34.4</v>
      </c>
      <c r="AF14" s="631">
        <f>IF(AF$4="","",CHOOSE(uxb_works!$B$47,IF(INDEX(aData,$B14,AF$4)="","-",TEXT(INDEX(aData,$B14,AF$4),$H14)),IFERROR(INDEX(aScoresRounded,$B14,AF$4),"")))</f>
        <v>8.8000000000000007</v>
      </c>
      <c r="AG14" s="631">
        <f>IF(AG$4="","",CHOOSE(uxb_works!$B$47,IF(INDEX(aData,$B14,AG$4)="","-",TEXT(INDEX(aData,$B14,AG$4),$H14)),IFERROR(INDEX(aScoresRounded,$B14,AG$4),"")))</f>
        <v>15.4</v>
      </c>
      <c r="AH14" s="631">
        <f>IF(AH$4="","",CHOOSE(uxb_works!$B$47,IF(INDEX(aData,$B14,AH$4)="","-",TEXT(INDEX(aData,$B14,AH$4),$H14)),IFERROR(INDEX(aScoresRounded,$B14,AH$4),"")))</f>
        <v>0</v>
      </c>
      <c r="AI14" s="631">
        <f>IF(AI$4="","",CHOOSE(uxb_works!$B$47,IF(INDEX(aData,$B14,AI$4)="","-",TEXT(INDEX(aData,$B14,AI$4),$H14)),IFERROR(INDEX(aScoresRounded,$B14,AI$4),"")))</f>
        <v>65.099999999999994</v>
      </c>
      <c r="AJ14" s="631">
        <f>IF(AJ$4="","",CHOOSE(uxb_works!$B$47,IF(INDEX(aData,$B14,AJ$4)="","-",TEXT(INDEX(aData,$B14,AJ$4),$H14)),IFERROR(INDEX(aScoresRounded,$B14,AJ$4),"")))</f>
        <v>32.1</v>
      </c>
      <c r="AK14" s="631">
        <f>IF(AK$4="","",CHOOSE(uxb_works!$B$47,IF(INDEX(aData,$B14,AK$4)="","-",TEXT(INDEX(aData,$B14,AK$4),$H14)),IFERROR(INDEX(aScoresRounded,$B14,AK$4),"")))</f>
        <v>26.9</v>
      </c>
      <c r="AL14" s="631">
        <f>IF(AL$4="","",CHOOSE(uxb_works!$B$47,IF(INDEX(aData,$B14,AL$4)="","-",TEXT(INDEX(aData,$B14,AL$4),$H14)),IFERROR(INDEX(aScoresRounded,$B14,AL$4),"")))</f>
        <v>25.2</v>
      </c>
      <c r="AM14" s="631">
        <f>IF(AM$4="","",CHOOSE(uxb_works!$B$47,IF(INDEX(aData,$B14,AM$4)="","-",TEXT(INDEX(aData,$B14,AM$4),$H14)),IFERROR(INDEX(aScoresRounded,$B14,AM$4),"")))</f>
        <v>43.5</v>
      </c>
      <c r="AN14" s="631">
        <f>IF(AN$4="","",CHOOSE(uxb_works!$B$47,IF(INDEX(aData,$B14,AN$4)="","-",TEXT(INDEX(aData,$B14,AN$4),$H14)),IFERROR(INDEX(aScoresRounded,$B14,AN$4),"")))</f>
        <v>62</v>
      </c>
      <c r="AO14" s="631">
        <f>IF(AO$4="","",CHOOSE(uxb_works!$B$47,IF(INDEX(aData,$B14,AO$4)="","-",TEXT(INDEX(aData,$B14,AO$4),$H14)),IFERROR(INDEX(aScoresRounded,$B14,AO$4),"")))</f>
        <v>51.6</v>
      </c>
      <c r="AP14" s="631">
        <f>IF(AP$4="","",CHOOSE(uxb_works!$B$47,IF(INDEX(aData,$B14,AP$4)="","-",TEXT(INDEX(aData,$B14,AP$4),$H14)),IFERROR(INDEX(aScoresRounded,$B14,AP$4),"")))</f>
        <v>100</v>
      </c>
      <c r="AQ14" s="631">
        <f>IF(AQ$4="","",CHOOSE(uxb_works!$B$47,IF(INDEX(aData,$B14,AQ$4)="","-",TEXT(INDEX(aData,$B14,AQ$4),$H14)),IFERROR(INDEX(aScoresRounded,$B14,AQ$4),"")))</f>
        <v>19.8</v>
      </c>
      <c r="AR14" s="631">
        <f>IF(AR$4="","",CHOOSE(uxb_works!$B$47,IF(INDEX(aData,$B14,AR$4)="","-",TEXT(INDEX(aData,$B14,AR$4),$H14)),IFERROR(INDEX(aScoresRounded,$B14,AR$4),"")))</f>
        <v>65.099999999999994</v>
      </c>
      <c r="AS14" s="631">
        <f>IF(AS$4="","",CHOOSE(uxb_works!$B$47,IF(INDEX(aData,$B14,AS$4)="","-",TEXT(INDEX(aData,$B14,AS$4),$H14)),IFERROR(INDEX(aScoresRounded,$B14,AS$4),"")))</f>
        <v>36.200000000000003</v>
      </c>
      <c r="AT14" s="570"/>
      <c r="AW14" s="157">
        <f>CHOOSE($AV$1,0,IF(AW$10=0,0,IF(P14&lt;=$AX$1,1,IF(P14&lt;=#REF!,2,3))),IF(AW$10=0,0,IF(P14&lt;=$AX$1,4,IF(P14&lt;=#REF!,5,6))))</f>
        <v>0</v>
      </c>
      <c r="AX14" s="157">
        <f>CHOOSE($AV$1,0,IF(AX$10=0,0,IF(#REF!&lt;=$AX$1,1,IF(#REF!&lt;=#REF!,2,3))),IF(AX$10=0,0,IF(#REF!&lt;=$AX$1,4,IF(#REF!&lt;=#REF!,5,6))))</f>
        <v>0</v>
      </c>
    </row>
    <row r="15" spans="1:82" ht="25" customHeight="1">
      <c r="A15" s="213"/>
      <c r="B15" s="218">
        <f>tblIndicators!A6</f>
        <v>5</v>
      </c>
      <c r="C15" s="218"/>
      <c r="D15" s="218"/>
      <c r="E15" s="218">
        <f>tblIndicators!B6</f>
        <v>0</v>
      </c>
      <c r="F15" s="218">
        <f>IF(AND(uxb_works!$B$47=2,E15=1),0,iScores!F10)</f>
        <v>3</v>
      </c>
      <c r="G15" s="218"/>
      <c r="H15" s="218" t="str">
        <f>tblIndicators!AC6</f>
        <v>#,##0.0</v>
      </c>
      <c r="I15" s="219"/>
      <c r="J15" s="218"/>
      <c r="K15" s="214">
        <f>IF(L15=0,0,IF(uxb_works!$B$46&gt;=L15,1,0))</f>
        <v>1</v>
      </c>
      <c r="L15" s="216">
        <f>IF(AND(uxb_works!$B$47=2,E15=1),0,tblIndicators!G6)</f>
        <v>3</v>
      </c>
      <c r="M15" s="218"/>
      <c r="N15" s="249" t="str">
        <f>iScores!N10</f>
        <v xml:space="preserve">   1.1.2) Fixed broadband susbcriptions</v>
      </c>
      <c r="O15" s="407">
        <f>CHOOSE(uxb_works!$B$47,iData!I10,iScores!O10)</f>
        <v>0.22222222222222224</v>
      </c>
      <c r="P15" s="631">
        <f>IF(P$4="","",CHOOSE(uxb_works!$B$47,IF(INDEX(aData,$B15,P$4)="","-",TEXT(INDEX(aData,$B15,P$4),$H15)),IFERROR(INDEX(aScoresRounded,$B15,P$4),"")))</f>
        <v>93.4</v>
      </c>
      <c r="Q15" s="706">
        <f>IF(Q$4="","",CHOOSE(uxb_works!$B$47,IF(INDEX(aData,$B15,Q$4)="","-",TEXT(INDEX(aData,$B15,Q$4),$H15)),IFERROR(INDEX(aScoresRounded,$B15,Q$4),"")))</f>
        <v>73.099999999999994</v>
      </c>
      <c r="R15" s="706">
        <f>IF(R$4="","",CHOOSE(uxb_works!$B$47,IF(INDEX(aData,$B15,R$4)="","-",TEXT(INDEX(aData,$B15,R$4),$H15)),IFERROR(INDEX(aScoresRounded,$B15,R$4),"")))</f>
        <v>33.1</v>
      </c>
      <c r="S15" s="706">
        <f>IF(S$4="","",CHOOSE(uxb_works!$B$47,IF(INDEX(aData,$B15,S$4)="","-",TEXT(INDEX(aData,$B15,S$4),$H15)),IFERROR(INDEX(aScoresRounded,$B15,S$4),"")))</f>
        <v>71.3</v>
      </c>
      <c r="T15" s="706">
        <f>IF(T$4="","",CHOOSE(uxb_works!$B$47,IF(INDEX(aData,$B15,T$4)="","-",TEXT(INDEX(aData,$B15,T$4),$H15)),IFERROR(INDEX(aScoresRounded,$B15,T$4),"")))</f>
        <v>70.599999999999994</v>
      </c>
      <c r="U15" s="706">
        <f>IF(U$4="","",CHOOSE(uxb_works!$B$47,IF(INDEX(aData,$B15,U$4)="","-",TEXT(INDEX(aData,$B15,U$4),$H15)),IFERROR(INDEX(aScoresRounded,$B15,U$4),"")))</f>
        <v>91.4</v>
      </c>
      <c r="V15" s="706">
        <f>IF(V$4="","",CHOOSE(uxb_works!$B$47,IF(INDEX(aData,$B15,V$4)="","-",TEXT(INDEX(aData,$B15,V$4),$H15)),IFERROR(INDEX(aScoresRounded,$B15,V$4),"")))</f>
        <v>43.3</v>
      </c>
      <c r="W15" s="706">
        <f>IF(W$4="","",CHOOSE(uxb_works!$B$47,IF(INDEX(aData,$B15,W$4)="","-",TEXT(INDEX(aData,$B15,W$4),$H15)),IFERROR(INDEX(aScoresRounded,$B15,W$4),"")))</f>
        <v>94.5</v>
      </c>
      <c r="X15" s="706">
        <f>IF(X$4="","",CHOOSE(uxb_works!$B$47,IF(INDEX(aData,$B15,X$4)="","-",TEXT(INDEX(aData,$B15,X$4),$H15)),IFERROR(INDEX(aScoresRounded,$B15,X$4),"")))</f>
        <v>76.8</v>
      </c>
      <c r="Y15" s="631">
        <f>IF(Y$4="","",CHOOSE(uxb_works!$B$47,IF(INDEX(aData,$B15,Y$4)="","-",TEXT(INDEX(aData,$B15,Y$4),$H15)),IFERROR(INDEX(aScoresRounded,$B15,Y$4),"")))</f>
        <v>68.900000000000006</v>
      </c>
      <c r="Z15" s="631">
        <f>IF(Z$4="","",CHOOSE(uxb_works!$B$47,IF(INDEX(aData,$B15,Z$4)="","-",TEXT(INDEX(aData,$B15,Z$4),$H15)),IFERROR(INDEX(aScoresRounded,$B15,Z$4),"")))</f>
        <v>91.4</v>
      </c>
      <c r="AA15" s="631">
        <f>IF(AA$4="","",CHOOSE(uxb_works!$B$47,IF(INDEX(aData,$B15,AA$4)="","-",TEXT(INDEX(aData,$B15,AA$4),$H15)),IFERROR(INDEX(aScoresRounded,$B15,AA$4),"")))</f>
        <v>81</v>
      </c>
      <c r="AB15" s="631">
        <f>IF(AB$4="","",CHOOSE(uxb_works!$B$47,IF(INDEX(aData,$B15,AB$4)="","-",TEXT(INDEX(aData,$B15,AB$4),$H15)),IFERROR(INDEX(aScoresRounded,$B15,AB$4),"")))</f>
        <v>5.0999999999999996</v>
      </c>
      <c r="AC15" s="631">
        <f>IF(AC$4="","",CHOOSE(uxb_works!$B$47,IF(INDEX(aData,$B15,AC$4)="","-",TEXT(INDEX(aData,$B15,AC$4),$H15)),IFERROR(INDEX(aScoresRounded,$B15,AC$4),"")))</f>
        <v>19.399999999999999</v>
      </c>
      <c r="AD15" s="631">
        <f>IF(AD$4="","",CHOOSE(uxb_works!$B$47,IF(INDEX(aData,$B15,AD$4)="","-",TEXT(INDEX(aData,$B15,AD$4),$H15)),IFERROR(INDEX(aScoresRounded,$B15,AD$4),"")))</f>
        <v>85.9</v>
      </c>
      <c r="AE15" s="631">
        <f>IF(AE$4="","",CHOOSE(uxb_works!$B$47,IF(INDEX(aData,$B15,AE$4)="","-",TEXT(INDEX(aData,$B15,AE$4),$H15)),IFERROR(INDEX(aScoresRounded,$B15,AE$4),"")))</f>
        <v>71.3</v>
      </c>
      <c r="AF15" s="631">
        <f>IF(AF$4="","",CHOOSE(uxb_works!$B$47,IF(INDEX(aData,$B15,AF$4)="","-",TEXT(INDEX(aData,$B15,AF$4),$H15)),IFERROR(INDEX(aScoresRounded,$B15,AF$4),"")))</f>
        <v>8.6</v>
      </c>
      <c r="AG15" s="631">
        <f>IF(AG$4="","",CHOOSE(uxb_works!$B$47,IF(INDEX(aData,$B15,AG$4)="","-",TEXT(INDEX(aData,$B15,AG$4),$H15)),IFERROR(INDEX(aScoresRounded,$B15,AG$4),"")))</f>
        <v>32.9</v>
      </c>
      <c r="AH15" s="631">
        <f>IF(AH$4="","",CHOOSE(uxb_works!$B$47,IF(INDEX(aData,$B15,AH$4)="","-",TEXT(INDEX(aData,$B15,AH$4),$H15)),IFERROR(INDEX(aScoresRounded,$B15,AH$4),"")))</f>
        <v>0</v>
      </c>
      <c r="AI15" s="631">
        <f>IF(AI$4="","",CHOOSE(uxb_works!$B$47,IF(INDEX(aData,$B15,AI$4)="","-",TEXT(INDEX(aData,$B15,AI$4),$H15)),IFERROR(INDEX(aScoresRounded,$B15,AI$4),"")))</f>
        <v>76.8</v>
      </c>
      <c r="AJ15" s="631">
        <f>IF(AJ$4="","",CHOOSE(uxb_works!$B$47,IF(INDEX(aData,$B15,AJ$4)="","-",TEXT(INDEX(aData,$B15,AJ$4),$H15)),IFERROR(INDEX(aScoresRounded,$B15,AJ$4),"")))</f>
        <v>100</v>
      </c>
      <c r="AK15" s="631">
        <f>IF(AK$4="","",CHOOSE(uxb_works!$B$47,IF(INDEX(aData,$B15,AK$4)="","-",TEXT(INDEX(aData,$B15,AK$4),$H15)),IFERROR(INDEX(aScoresRounded,$B15,AK$4),"")))</f>
        <v>61.6</v>
      </c>
      <c r="AL15" s="631">
        <f>IF(AL$4="","",CHOOSE(uxb_works!$B$47,IF(INDEX(aData,$B15,AL$4)="","-",TEXT(INDEX(aData,$B15,AL$4),$H15)),IFERROR(INDEX(aScoresRounded,$B15,AL$4),"")))</f>
        <v>34.200000000000003</v>
      </c>
      <c r="AM15" s="631">
        <f>IF(AM$4="","",CHOOSE(uxb_works!$B$47,IF(INDEX(aData,$B15,AM$4)="","-",TEXT(INDEX(aData,$B15,AM$4),$H15)),IFERROR(INDEX(aScoresRounded,$B15,AM$4),"")))</f>
        <v>92.7</v>
      </c>
      <c r="AN15" s="631">
        <f>IF(AN$4="","",CHOOSE(uxb_works!$B$47,IF(INDEX(aData,$B15,AN$4)="","-",TEXT(INDEX(aData,$B15,AN$4),$H15)),IFERROR(INDEX(aScoresRounded,$B15,AN$4),"")))</f>
        <v>53.6</v>
      </c>
      <c r="AO15" s="631">
        <f>IF(AO$4="","",CHOOSE(uxb_works!$B$47,IF(INDEX(aData,$B15,AO$4)="","-",TEXT(INDEX(aData,$B15,AO$4),$H15)),IFERROR(INDEX(aScoresRounded,$B15,AO$4),"")))</f>
        <v>74</v>
      </c>
      <c r="AP15" s="631">
        <f>IF(AP$4="","",CHOOSE(uxb_works!$B$47,IF(INDEX(aData,$B15,AP$4)="","-",TEXT(INDEX(aData,$B15,AP$4),$H15)),IFERROR(INDEX(aScoresRounded,$B15,AP$4),"")))</f>
        <v>72.599999999999994</v>
      </c>
      <c r="AQ15" s="631">
        <f>IF(AQ$4="","",CHOOSE(uxb_works!$B$47,IF(INDEX(aData,$B15,AQ$4)="","-",TEXT(INDEX(aData,$B15,AQ$4),$H15)),IFERROR(INDEX(aScoresRounded,$B15,AQ$4),"")))</f>
        <v>88.7</v>
      </c>
      <c r="AR15" s="631">
        <f>IF(AR$4="","",CHOOSE(uxb_works!$B$47,IF(INDEX(aData,$B15,AR$4)="","-",TEXT(INDEX(aData,$B15,AR$4),$H15)),IFERROR(INDEX(aScoresRounded,$B15,AR$4),"")))</f>
        <v>76.8</v>
      </c>
      <c r="AS15" s="631">
        <f>IF(AS$4="","",CHOOSE(uxb_works!$B$47,IF(INDEX(aData,$B15,AS$4)="","-",TEXT(INDEX(aData,$B15,AS$4),$H15)),IFERROR(INDEX(aScoresRounded,$B15,AS$4),"")))</f>
        <v>99.1</v>
      </c>
      <c r="AT15" s="570"/>
      <c r="AW15" s="157">
        <f>CHOOSE($AV$1,0,IF(AW$10=0,0,IF(P15&lt;=$AX$1,1,IF(P15&lt;=#REF!,2,3))),IF(AW$10=0,0,IF(P15&lt;=$AX$1,4,IF(P15&lt;=#REF!,5,6))))</f>
        <v>0</v>
      </c>
      <c r="AX15" s="157">
        <f>CHOOSE($AV$1,0,IF(AX$10=0,0,IF(#REF!&lt;=$AX$1,1,IF(#REF!&lt;=#REF!,2,3))),IF(AX$10=0,0,IF(#REF!&lt;=$AX$1,4,IF(#REF!&lt;=#REF!,5,6))))</f>
        <v>0</v>
      </c>
    </row>
    <row r="16" spans="1:82" ht="25" customHeight="1">
      <c r="A16" s="213"/>
      <c r="B16" s="218">
        <f>tblIndicators!A7</f>
        <v>6</v>
      </c>
      <c r="C16" s="218"/>
      <c r="D16" s="218"/>
      <c r="E16" s="218">
        <f>tblIndicators!B7</f>
        <v>0</v>
      </c>
      <c r="F16" s="218">
        <f>IF(AND(uxb_works!$B$47=2,E16=1),0,iScores!F11)</f>
        <v>3</v>
      </c>
      <c r="G16" s="218"/>
      <c r="H16" s="218" t="str">
        <f>tblIndicators!AC7</f>
        <v>#,##0</v>
      </c>
      <c r="I16" s="219"/>
      <c r="J16" s="218"/>
      <c r="K16" s="214">
        <f>IF(L16=0,0,IF(uxb_works!$B$46&gt;=L16,1,0))</f>
        <v>1</v>
      </c>
      <c r="L16" s="216">
        <f>IF(AND(uxb_works!$B$47=2,E16=1),0,tblIndicators!G7)</f>
        <v>3</v>
      </c>
      <c r="M16" s="218"/>
      <c r="N16" s="249" t="str">
        <f>iScores!N11</f>
        <v xml:space="preserve">   1.1.3) 5G readiness</v>
      </c>
      <c r="O16" s="407">
        <f>CHOOSE(uxb_works!$B$47,iData!I11,iScores!O11)</f>
        <v>0.2</v>
      </c>
      <c r="P16" s="631">
        <f>IF(P$4="","",CHOOSE(uxb_works!$B$47,IF(INDEX(aData,$B16,P$4)="","-",TEXT(INDEX(aData,$B16,P$4),$H16)),IFERROR(INDEX(aScoresRounded,$B16,P$4),"")))</f>
        <v>100</v>
      </c>
      <c r="Q16" s="706">
        <f>IF(Q$4="","",CHOOSE(uxb_works!$B$47,IF(INDEX(aData,$B16,Q$4)="","-",TEXT(INDEX(aData,$B16,Q$4),$H16)),IFERROR(INDEX(aScoresRounded,$B16,Q$4),"")))</f>
        <v>100</v>
      </c>
      <c r="R16" s="706">
        <f>IF(R$4="","",CHOOSE(uxb_works!$B$47,IF(INDEX(aData,$B16,R$4)="","-",TEXT(INDEX(aData,$B16,R$4),$H16)),IFERROR(INDEX(aScoresRounded,$B16,R$4),"")))</f>
        <v>66.7</v>
      </c>
      <c r="S16" s="706">
        <f>IF(S$4="","",CHOOSE(uxb_works!$B$47,IF(INDEX(aData,$B16,S$4)="","-",TEXT(INDEX(aData,$B16,S$4),$H16)),IFERROR(INDEX(aScoresRounded,$B16,S$4),"")))</f>
        <v>100</v>
      </c>
      <c r="T16" s="706">
        <f>IF(T$4="","",CHOOSE(uxb_works!$B$47,IF(INDEX(aData,$B16,T$4)="","-",TEXT(INDEX(aData,$B16,T$4),$H16)),IFERROR(INDEX(aScoresRounded,$B16,T$4),"")))</f>
        <v>100</v>
      </c>
      <c r="U16" s="706">
        <f>IF(U$4="","",CHOOSE(uxb_works!$B$47,IF(INDEX(aData,$B16,U$4)="","-",TEXT(INDEX(aData,$B16,U$4),$H16)),IFERROR(INDEX(aScoresRounded,$B16,U$4),"")))</f>
        <v>100</v>
      </c>
      <c r="V16" s="706">
        <f>IF(V$4="","",CHOOSE(uxb_works!$B$47,IF(INDEX(aData,$B16,V$4)="","-",TEXT(INDEX(aData,$B16,V$4),$H16)),IFERROR(INDEX(aScoresRounded,$B16,V$4),"")))</f>
        <v>100</v>
      </c>
      <c r="W16" s="706">
        <f>IF(W$4="","",CHOOSE(uxb_works!$B$47,IF(INDEX(aData,$B16,W$4)="","-",TEXT(INDEX(aData,$B16,W$4),$H16)),IFERROR(INDEX(aScoresRounded,$B16,W$4),"")))</f>
        <v>100</v>
      </c>
      <c r="X16" s="706">
        <f>IF(X$4="","",CHOOSE(uxb_works!$B$47,IF(INDEX(aData,$B16,X$4)="","-",TEXT(INDEX(aData,$B16,X$4),$H16)),IFERROR(INDEX(aScoresRounded,$B16,X$4),"")))</f>
        <v>100</v>
      </c>
      <c r="Y16" s="631">
        <f>IF(Y$4="","",CHOOSE(uxb_works!$B$47,IF(INDEX(aData,$B16,Y$4)="","-",TEXT(INDEX(aData,$B16,Y$4),$H16)),IFERROR(INDEX(aScoresRounded,$B16,Y$4),"")))</f>
        <v>100</v>
      </c>
      <c r="Z16" s="631">
        <f>IF(Z$4="","",CHOOSE(uxb_works!$B$47,IF(INDEX(aData,$B16,Z$4)="","-",TEXT(INDEX(aData,$B16,Z$4),$H16)),IFERROR(INDEX(aScoresRounded,$B16,Z$4),"")))</f>
        <v>100</v>
      </c>
      <c r="AA16" s="631">
        <f>IF(AA$4="","",CHOOSE(uxb_works!$B$47,IF(INDEX(aData,$B16,AA$4)="","-",TEXT(INDEX(aData,$B16,AA$4),$H16)),IFERROR(INDEX(aScoresRounded,$B16,AA$4),"")))</f>
        <v>100</v>
      </c>
      <c r="AB16" s="631">
        <f>IF(AB$4="","",CHOOSE(uxb_works!$B$47,IF(INDEX(aData,$B16,AB$4)="","-",TEXT(INDEX(aData,$B16,AB$4),$H16)),IFERROR(INDEX(aScoresRounded,$B16,AB$4),"")))</f>
        <v>100</v>
      </c>
      <c r="AC16" s="631">
        <f>IF(AC$4="","",CHOOSE(uxb_works!$B$47,IF(INDEX(aData,$B16,AC$4)="","-",TEXT(INDEX(aData,$B16,AC$4),$H16)),IFERROR(INDEX(aScoresRounded,$B16,AC$4),"")))</f>
        <v>100</v>
      </c>
      <c r="AD16" s="631">
        <f>IF(AD$4="","",CHOOSE(uxb_works!$B$47,IF(INDEX(aData,$B16,AD$4)="","-",TEXT(INDEX(aData,$B16,AD$4),$H16)),IFERROR(INDEX(aScoresRounded,$B16,AD$4),"")))</f>
        <v>100</v>
      </c>
      <c r="AE16" s="631">
        <f>IF(AE$4="","",CHOOSE(uxb_works!$B$47,IF(INDEX(aData,$B16,AE$4)="","-",TEXT(INDEX(aData,$B16,AE$4),$H16)),IFERROR(INDEX(aScoresRounded,$B16,AE$4),"")))</f>
        <v>100</v>
      </c>
      <c r="AF16" s="631">
        <f>IF(AF$4="","",CHOOSE(uxb_works!$B$47,IF(INDEX(aData,$B16,AF$4)="","-",TEXT(INDEX(aData,$B16,AF$4),$H16)),IFERROR(INDEX(aScoresRounded,$B16,AF$4),"")))</f>
        <v>100</v>
      </c>
      <c r="AG16" s="631">
        <f>IF(AG$4="","",CHOOSE(uxb_works!$B$47,IF(INDEX(aData,$B16,AG$4)="","-",TEXT(INDEX(aData,$B16,AG$4),$H16)),IFERROR(INDEX(aScoresRounded,$B16,AG$4),"")))</f>
        <v>100</v>
      </c>
      <c r="AH16" s="631">
        <f>IF(AH$4="","",CHOOSE(uxb_works!$B$47,IF(INDEX(aData,$B16,AH$4)="","-",TEXT(INDEX(aData,$B16,AH$4),$H16)),IFERROR(INDEX(aScoresRounded,$B16,AH$4),"")))</f>
        <v>100</v>
      </c>
      <c r="AI16" s="631">
        <f>IF(AI$4="","",CHOOSE(uxb_works!$B$47,IF(INDEX(aData,$B16,AI$4)="","-",TEXT(INDEX(aData,$B16,AI$4),$H16)),IFERROR(INDEX(aScoresRounded,$B16,AI$4),"")))</f>
        <v>100</v>
      </c>
      <c r="AJ16" s="631">
        <f>IF(AJ$4="","",CHOOSE(uxb_works!$B$47,IF(INDEX(aData,$B16,AJ$4)="","-",TEXT(INDEX(aData,$B16,AJ$4),$H16)),IFERROR(INDEX(aScoresRounded,$B16,AJ$4),"")))</f>
        <v>100</v>
      </c>
      <c r="AK16" s="631">
        <f>IF(AK$4="","",CHOOSE(uxb_works!$B$47,IF(INDEX(aData,$B16,AK$4)="","-",TEXT(INDEX(aData,$B16,AK$4),$H16)),IFERROR(INDEX(aScoresRounded,$B16,AK$4),"")))</f>
        <v>100</v>
      </c>
      <c r="AL16" s="631">
        <f>IF(AL$4="","",CHOOSE(uxb_works!$B$47,IF(INDEX(aData,$B16,AL$4)="","-",TEXT(INDEX(aData,$B16,AL$4),$H16)),IFERROR(INDEX(aScoresRounded,$B16,AL$4),"")))</f>
        <v>100</v>
      </c>
      <c r="AM16" s="631">
        <f>IF(AM$4="","",CHOOSE(uxb_works!$B$47,IF(INDEX(aData,$B16,AM$4)="","-",TEXT(INDEX(aData,$B16,AM$4),$H16)),IFERROR(INDEX(aScoresRounded,$B16,AM$4),"")))</f>
        <v>100</v>
      </c>
      <c r="AN16" s="631">
        <f>IF(AN$4="","",CHOOSE(uxb_works!$B$47,IF(INDEX(aData,$B16,AN$4)="","-",TEXT(INDEX(aData,$B16,AN$4),$H16)),IFERROR(INDEX(aScoresRounded,$B16,AN$4),"")))</f>
        <v>100</v>
      </c>
      <c r="AO16" s="631">
        <f>IF(AO$4="","",CHOOSE(uxb_works!$B$47,IF(INDEX(aData,$B16,AO$4)="","-",TEXT(INDEX(aData,$B16,AO$4),$H16)),IFERROR(INDEX(aScoresRounded,$B16,AO$4),"")))</f>
        <v>100</v>
      </c>
      <c r="AP16" s="631">
        <f>IF(AP$4="","",CHOOSE(uxb_works!$B$47,IF(INDEX(aData,$B16,AP$4)="","-",TEXT(INDEX(aData,$B16,AP$4),$H16)),IFERROR(INDEX(aScoresRounded,$B16,AP$4),"")))</f>
        <v>100</v>
      </c>
      <c r="AQ16" s="631">
        <f>IF(AQ$4="","",CHOOSE(uxb_works!$B$47,IF(INDEX(aData,$B16,AQ$4)="","-",TEXT(INDEX(aData,$B16,AQ$4),$H16)),IFERROR(INDEX(aScoresRounded,$B16,AQ$4),"")))</f>
        <v>100</v>
      </c>
      <c r="AR16" s="631">
        <f>IF(AR$4="","",CHOOSE(uxb_works!$B$47,IF(INDEX(aData,$B16,AR$4)="","-",TEXT(INDEX(aData,$B16,AR$4),$H16)),IFERROR(INDEX(aScoresRounded,$B16,AR$4),"")))</f>
        <v>100</v>
      </c>
      <c r="AS16" s="631">
        <f>IF(AS$4="","",CHOOSE(uxb_works!$B$47,IF(INDEX(aData,$B16,AS$4)="","-",TEXT(INDEX(aData,$B16,AS$4),$H16)),IFERROR(INDEX(aScoresRounded,$B16,AS$4),"")))</f>
        <v>100</v>
      </c>
      <c r="AT16" s="570"/>
      <c r="AW16" s="157">
        <f>CHOOSE($AV$1,0,IF(AW$10=0,0,IF(P16&lt;=$AX$1,1,IF(P16&lt;=#REF!,2,3))),IF(AW$10=0,0,IF(P16&lt;=$AX$1,4,IF(P16&lt;=#REF!,5,6))))</f>
        <v>0</v>
      </c>
      <c r="AX16" s="157">
        <f>CHOOSE($AV$1,0,IF(AX$10=0,0,IF(#REF!&lt;=$AX$1,1,IF(#REF!&lt;=#REF!,2,3))),IF(AX$10=0,0,IF(#REF!&lt;=$AX$1,4,IF(#REF!&lt;=#REF!,5,6))))</f>
        <v>0</v>
      </c>
    </row>
    <row r="17" spans="1:50" ht="25" customHeight="1">
      <c r="A17" s="213"/>
      <c r="B17" s="218">
        <f>tblIndicators!A8</f>
        <v>7</v>
      </c>
      <c r="C17" s="218"/>
      <c r="D17" s="218"/>
      <c r="E17" s="218">
        <f>tblIndicators!B8</f>
        <v>0</v>
      </c>
      <c r="F17" s="218">
        <f>IF(AND(uxb_works!$B$47=2,E17=1),0,iScores!F12)</f>
        <v>3</v>
      </c>
      <c r="G17" s="218"/>
      <c r="H17" s="218" t="str">
        <f>tblIndicators!AC8</f>
        <v>#,##0</v>
      </c>
      <c r="I17" s="219"/>
      <c r="J17" s="218"/>
      <c r="K17" s="214">
        <f>IF(L17=0,0,IF(uxb_works!$B$46&gt;=L17,1,0))</f>
        <v>1</v>
      </c>
      <c r="L17" s="216">
        <f>IF(AND(uxb_works!$B$47=2,E17=1),0,tblIndicators!G8)</f>
        <v>3</v>
      </c>
      <c r="M17" s="218"/>
      <c r="N17" s="249" t="str">
        <f>iScores!N12</f>
        <v xml:space="preserve">   1.1.4) 5G deployment</v>
      </c>
      <c r="O17" s="407">
        <f>CHOOSE(uxb_works!$B$47,iData!I12,iScores!O12)</f>
        <v>0.28888888888888886</v>
      </c>
      <c r="P17" s="631">
        <f>IF(P$4="","",CHOOSE(uxb_works!$B$47,IF(INDEX(aData,$B17,P$4)="","-",TEXT(INDEX(aData,$B17,P$4),$H17)),IFERROR(INDEX(aScoresRounded,$B17,P$4),"")))</f>
        <v>100</v>
      </c>
      <c r="Q17" s="706">
        <f>IF(Q$4="","",CHOOSE(uxb_works!$B$47,IF(INDEX(aData,$B17,Q$4)="","-",TEXT(INDEX(aData,$B17,Q$4),$H17)),IFERROR(INDEX(aScoresRounded,$B17,Q$4),"")))</f>
        <v>100</v>
      </c>
      <c r="R17" s="706">
        <f>IF(R$4="","",CHOOSE(uxb_works!$B$47,IF(INDEX(aData,$B17,R$4)="","-",TEXT(INDEX(aData,$B17,R$4),$H17)),IFERROR(INDEX(aScoresRounded,$B17,R$4),"")))</f>
        <v>100</v>
      </c>
      <c r="S17" s="706">
        <f>IF(S$4="","",CHOOSE(uxb_works!$B$47,IF(INDEX(aData,$B17,S$4)="","-",TEXT(INDEX(aData,$B17,S$4),$H17)),IFERROR(INDEX(aScoresRounded,$B17,S$4),"")))</f>
        <v>100</v>
      </c>
      <c r="T17" s="706">
        <f>IF(T$4="","",CHOOSE(uxb_works!$B$47,IF(INDEX(aData,$B17,T$4)="","-",TEXT(INDEX(aData,$B17,T$4),$H17)),IFERROR(INDEX(aScoresRounded,$B17,T$4),"")))</f>
        <v>100</v>
      </c>
      <c r="U17" s="706">
        <f>IF(U$4="","",CHOOSE(uxb_works!$B$47,IF(INDEX(aData,$B17,U$4)="","-",TEXT(INDEX(aData,$B17,U$4),$H17)),IFERROR(INDEX(aScoresRounded,$B17,U$4),"")))</f>
        <v>100</v>
      </c>
      <c r="V17" s="706">
        <f>IF(V$4="","",CHOOSE(uxb_works!$B$47,IF(INDEX(aData,$B17,V$4)="","-",TEXT(INDEX(aData,$B17,V$4),$H17)),IFERROR(INDEX(aScoresRounded,$B17,V$4),"")))</f>
        <v>100</v>
      </c>
      <c r="W17" s="706">
        <f>IF(W$4="","",CHOOSE(uxb_works!$B$47,IF(INDEX(aData,$B17,W$4)="","-",TEXT(INDEX(aData,$B17,W$4),$H17)),IFERROR(INDEX(aScoresRounded,$B17,W$4),"")))</f>
        <v>100</v>
      </c>
      <c r="X17" s="706">
        <f>IF(X$4="","",CHOOSE(uxb_works!$B$47,IF(INDEX(aData,$B17,X$4)="","-",TEXT(INDEX(aData,$B17,X$4),$H17)),IFERROR(INDEX(aScoresRounded,$B17,X$4),"")))</f>
        <v>100</v>
      </c>
      <c r="Y17" s="631">
        <f>IF(Y$4="","",CHOOSE(uxb_works!$B$47,IF(INDEX(aData,$B17,Y$4)="","-",TEXT(INDEX(aData,$B17,Y$4),$H17)),IFERROR(INDEX(aScoresRounded,$B17,Y$4),"")))</f>
        <v>100</v>
      </c>
      <c r="Z17" s="631">
        <f>IF(Z$4="","",CHOOSE(uxb_works!$B$47,IF(INDEX(aData,$B17,Z$4)="","-",TEXT(INDEX(aData,$B17,Z$4),$H17)),IFERROR(INDEX(aScoresRounded,$B17,Z$4),"")))</f>
        <v>100</v>
      </c>
      <c r="AA17" s="631">
        <f>IF(AA$4="","",CHOOSE(uxb_works!$B$47,IF(INDEX(aData,$B17,AA$4)="","-",TEXT(INDEX(aData,$B17,AA$4),$H17)),IFERROR(INDEX(aScoresRounded,$B17,AA$4),"")))</f>
        <v>100</v>
      </c>
      <c r="AB17" s="631">
        <f>IF(AB$4="","",CHOOSE(uxb_works!$B$47,IF(INDEX(aData,$B17,AB$4)="","-",TEXT(INDEX(aData,$B17,AB$4),$H17)),IFERROR(INDEX(aScoresRounded,$B17,AB$4),"")))</f>
        <v>100</v>
      </c>
      <c r="AC17" s="631">
        <f>IF(AC$4="","",CHOOSE(uxb_works!$B$47,IF(INDEX(aData,$B17,AC$4)="","-",TEXT(INDEX(aData,$B17,AC$4),$H17)),IFERROR(INDEX(aScoresRounded,$B17,AC$4),"")))</f>
        <v>100</v>
      </c>
      <c r="AD17" s="631">
        <f>IF(AD$4="","",CHOOSE(uxb_works!$B$47,IF(INDEX(aData,$B17,AD$4)="","-",TEXT(INDEX(aData,$B17,AD$4),$H17)),IFERROR(INDEX(aScoresRounded,$B17,AD$4),"")))</f>
        <v>100</v>
      </c>
      <c r="AE17" s="631">
        <f>IF(AE$4="","",CHOOSE(uxb_works!$B$47,IF(INDEX(aData,$B17,AE$4)="","-",TEXT(INDEX(aData,$B17,AE$4),$H17)),IFERROR(INDEX(aScoresRounded,$B17,AE$4),"")))</f>
        <v>100</v>
      </c>
      <c r="AF17" s="631">
        <f>IF(AF$4="","",CHOOSE(uxb_works!$B$47,IF(INDEX(aData,$B17,AF$4)="","-",TEXT(INDEX(aData,$B17,AF$4),$H17)),IFERROR(INDEX(aScoresRounded,$B17,AF$4),"")))</f>
        <v>100</v>
      </c>
      <c r="AG17" s="631">
        <f>IF(AG$4="","",CHOOSE(uxb_works!$B$47,IF(INDEX(aData,$B17,AG$4)="","-",TEXT(INDEX(aData,$B17,AG$4),$H17)),IFERROR(INDEX(aScoresRounded,$B17,AG$4),"")))</f>
        <v>100</v>
      </c>
      <c r="AH17" s="631">
        <f>IF(AH$4="","",CHOOSE(uxb_works!$B$47,IF(INDEX(aData,$B17,AH$4)="","-",TEXT(INDEX(aData,$B17,AH$4),$H17)),IFERROR(INDEX(aScoresRounded,$B17,AH$4),"")))</f>
        <v>50</v>
      </c>
      <c r="AI17" s="631">
        <f>IF(AI$4="","",CHOOSE(uxb_works!$B$47,IF(INDEX(aData,$B17,AI$4)="","-",TEXT(INDEX(aData,$B17,AI$4),$H17)),IFERROR(INDEX(aScoresRounded,$B17,AI$4),"")))</f>
        <v>100</v>
      </c>
      <c r="AJ17" s="631">
        <f>IF(AJ$4="","",CHOOSE(uxb_works!$B$47,IF(INDEX(aData,$B17,AJ$4)="","-",TEXT(INDEX(aData,$B17,AJ$4),$H17)),IFERROR(INDEX(aScoresRounded,$B17,AJ$4),"")))</f>
        <v>100</v>
      </c>
      <c r="AK17" s="631">
        <f>IF(AK$4="","",CHOOSE(uxb_works!$B$47,IF(INDEX(aData,$B17,AK$4)="","-",TEXT(INDEX(aData,$B17,AK$4),$H17)),IFERROR(INDEX(aScoresRounded,$B17,AK$4),"")))</f>
        <v>100</v>
      </c>
      <c r="AL17" s="631">
        <f>IF(AL$4="","",CHOOSE(uxb_works!$B$47,IF(INDEX(aData,$B17,AL$4)="","-",TEXT(INDEX(aData,$B17,AL$4),$H17)),IFERROR(INDEX(aScoresRounded,$B17,AL$4),"")))</f>
        <v>100</v>
      </c>
      <c r="AM17" s="631">
        <f>IF(AM$4="","",CHOOSE(uxb_works!$B$47,IF(INDEX(aData,$B17,AM$4)="","-",TEXT(INDEX(aData,$B17,AM$4),$H17)),IFERROR(INDEX(aScoresRounded,$B17,AM$4),"")))</f>
        <v>100</v>
      </c>
      <c r="AN17" s="631">
        <f>IF(AN$4="","",CHOOSE(uxb_works!$B$47,IF(INDEX(aData,$B17,AN$4)="","-",TEXT(INDEX(aData,$B17,AN$4),$H17)),IFERROR(INDEX(aScoresRounded,$B17,AN$4),"")))</f>
        <v>100</v>
      </c>
      <c r="AO17" s="631">
        <f>IF(AO$4="","",CHOOSE(uxb_works!$B$47,IF(INDEX(aData,$B17,AO$4)="","-",TEXT(INDEX(aData,$B17,AO$4),$H17)),IFERROR(INDEX(aScoresRounded,$B17,AO$4),"")))</f>
        <v>100</v>
      </c>
      <c r="AP17" s="631">
        <f>IF(AP$4="","",CHOOSE(uxb_works!$B$47,IF(INDEX(aData,$B17,AP$4)="","-",TEXT(INDEX(aData,$B17,AP$4),$H17)),IFERROR(INDEX(aScoresRounded,$B17,AP$4),"")))</f>
        <v>100</v>
      </c>
      <c r="AQ17" s="631">
        <f>IF(AQ$4="","",CHOOSE(uxb_works!$B$47,IF(INDEX(aData,$B17,AQ$4)="","-",TEXT(INDEX(aData,$B17,AQ$4),$H17)),IFERROR(INDEX(aScoresRounded,$B17,AQ$4),"")))</f>
        <v>100</v>
      </c>
      <c r="AR17" s="631">
        <f>IF(AR$4="","",CHOOSE(uxb_works!$B$47,IF(INDEX(aData,$B17,AR$4)="","-",TEXT(INDEX(aData,$B17,AR$4),$H17)),IFERROR(INDEX(aScoresRounded,$B17,AR$4),"")))</f>
        <v>100</v>
      </c>
      <c r="AS17" s="631">
        <f>IF(AS$4="","",CHOOSE(uxb_works!$B$47,IF(INDEX(aData,$B17,AS$4)="","-",TEXT(INDEX(aData,$B17,AS$4),$H17)),IFERROR(INDEX(aScoresRounded,$B17,AS$4),"")))</f>
        <v>100</v>
      </c>
      <c r="AT17" s="570"/>
      <c r="AW17" s="157">
        <f>CHOOSE($AV$1,0,IF(AW$10=0,0,IF(P17&lt;=$AX$1,1,IF(P17&lt;=#REF!,2,3))),IF(AW$10=0,0,IF(P17&lt;=$AX$1,4,IF(P17&lt;=#REF!,5,6))))</f>
        <v>0</v>
      </c>
      <c r="AX17" s="157">
        <f>CHOOSE($AV$1,0,IF(AX$10=0,0,IF(#REF!&lt;=$AX$1,1,IF(#REF!&lt;=#REF!,2,3))),IF(AX$10=0,0,IF(#REF!&lt;=$AX$1,4,IF(#REF!&lt;=#REF!,5,6))))</f>
        <v>0</v>
      </c>
    </row>
    <row r="18" spans="1:50" ht="25" customHeight="1">
      <c r="A18" s="213"/>
      <c r="B18" s="218">
        <f>tblIndicators!A9</f>
        <v>8</v>
      </c>
      <c r="C18" s="218"/>
      <c r="D18" s="218"/>
      <c r="E18" s="218">
        <f>tblIndicators!B9</f>
        <v>0</v>
      </c>
      <c r="F18" s="218">
        <f>IF(AND(uxb_works!$B$47=2,E18=1),0,iScores!F13)</f>
        <v>2</v>
      </c>
      <c r="G18" s="218"/>
      <c r="H18" s="218" t="str">
        <f>tblIndicators!AC9</f>
        <v>#,##0.0</v>
      </c>
      <c r="I18" s="219"/>
      <c r="J18" s="218"/>
      <c r="K18" s="214">
        <f>IF(L18=0,0,IF(uxb_works!$B$46&gt;=L18,1,0))</f>
        <v>1</v>
      </c>
      <c r="L18" s="216">
        <f>IF(AND(uxb_works!$B$47=2,E18=1),0,tblIndicators!G9)</f>
        <v>2</v>
      </c>
      <c r="M18" s="218"/>
      <c r="N18" s="249" t="str">
        <f>iScores!N13</f>
        <v xml:space="preserve">  1.2) Quality</v>
      </c>
      <c r="O18" s="407">
        <f>CHOOSE(uxb_works!$B$47,iData!I13,iScores!O13)</f>
        <v>0.22222222222222221</v>
      </c>
      <c r="P18" s="631">
        <f>IF(P$4="","",CHOOSE(uxb_works!$B$47,IF(INDEX(aData,$B18,P$4)="","-",TEXT(INDEX(aData,$B18,P$4),$H18)),IFERROR(INDEX(aScoresRounded,$B18,P$4),"")))</f>
        <v>66.7</v>
      </c>
      <c r="Q18" s="706">
        <f>IF(Q$4="","",CHOOSE(uxb_works!$B$47,IF(INDEX(aData,$B18,Q$4)="","-",TEXT(INDEX(aData,$B18,Q$4),$H18)),IFERROR(INDEX(aScoresRounded,$B18,Q$4),"")))</f>
        <v>44.1</v>
      </c>
      <c r="R18" s="706">
        <f>IF(R$4="","",CHOOSE(uxb_works!$B$47,IF(INDEX(aData,$B18,R$4)="","-",TEXT(INDEX(aData,$B18,R$4),$H18)),IFERROR(INDEX(aScoresRounded,$B18,R$4),"")))</f>
        <v>50.9</v>
      </c>
      <c r="S18" s="706">
        <f>IF(S$4="","",CHOOSE(uxb_works!$B$47,IF(INDEX(aData,$B18,S$4)="","-",TEXT(INDEX(aData,$B18,S$4),$H18)),IFERROR(INDEX(aScoresRounded,$B18,S$4),"")))</f>
        <v>22.6</v>
      </c>
      <c r="T18" s="706">
        <f>IF(T$4="","",CHOOSE(uxb_works!$B$47,IF(INDEX(aData,$B18,T$4)="","-",TEXT(INDEX(aData,$B18,T$4),$H18)),IFERROR(INDEX(aScoresRounded,$B18,T$4),"")))</f>
        <v>75</v>
      </c>
      <c r="U18" s="706">
        <f>IF(U$4="","",CHOOSE(uxb_works!$B$47,IF(INDEX(aData,$B18,U$4)="","-",TEXT(INDEX(aData,$B18,U$4),$H18)),IFERROR(INDEX(aScoresRounded,$B18,U$4),"")))</f>
        <v>36.4</v>
      </c>
      <c r="V18" s="706">
        <f>IF(V$4="","",CHOOSE(uxb_works!$B$47,IF(INDEX(aData,$B18,V$4)="","-",TEXT(INDEX(aData,$B18,V$4),$H18)),IFERROR(INDEX(aScoresRounded,$B18,V$4),"")))</f>
        <v>17.899999999999999</v>
      </c>
      <c r="W18" s="706">
        <f>IF(W$4="","",CHOOSE(uxb_works!$B$47,IF(INDEX(aData,$B18,W$4)="","-",TEXT(INDEX(aData,$B18,W$4),$H18)),IFERROR(INDEX(aScoresRounded,$B18,W$4),"")))</f>
        <v>70.900000000000006</v>
      </c>
      <c r="X18" s="706">
        <f>IF(X$4="","",CHOOSE(uxb_works!$B$47,IF(INDEX(aData,$B18,X$4)="","-",TEXT(INDEX(aData,$B18,X$4),$H18)),IFERROR(INDEX(aScoresRounded,$B18,X$4),"")))</f>
        <v>29.9</v>
      </c>
      <c r="Y18" s="631">
        <f>IF(Y$4="","",CHOOSE(uxb_works!$B$47,IF(INDEX(aData,$B18,Y$4)="","-",TEXT(INDEX(aData,$B18,Y$4),$H18)),IFERROR(INDEX(aScoresRounded,$B18,Y$4),"")))</f>
        <v>99.1</v>
      </c>
      <c r="Z18" s="631">
        <f>IF(Z$4="","",CHOOSE(uxb_works!$B$47,IF(INDEX(aData,$B18,Z$4)="","-",TEXT(INDEX(aData,$B18,Z$4),$H18)),IFERROR(INDEX(aScoresRounded,$B18,Z$4),"")))</f>
        <v>36.4</v>
      </c>
      <c r="AA18" s="631">
        <f>IF(AA$4="","",CHOOSE(uxb_works!$B$47,IF(INDEX(aData,$B18,AA$4)="","-",TEXT(INDEX(aData,$B18,AA$4),$H18)),IFERROR(INDEX(aScoresRounded,$B18,AA$4),"")))</f>
        <v>58.1</v>
      </c>
      <c r="AB18" s="631">
        <f>IF(AB$4="","",CHOOSE(uxb_works!$B$47,IF(INDEX(aData,$B18,AB$4)="","-",TEXT(INDEX(aData,$B18,AB$4),$H18)),IFERROR(INDEX(aScoresRounded,$B18,AB$4),"")))</f>
        <v>33.799999999999997</v>
      </c>
      <c r="AC18" s="631">
        <f>IF(AC$4="","",CHOOSE(uxb_works!$B$47,IF(INDEX(aData,$B18,AC$4)="","-",TEXT(INDEX(aData,$B18,AC$4),$H18)),IFERROR(INDEX(aScoresRounded,$B18,AC$4),"")))</f>
        <v>32.9</v>
      </c>
      <c r="AD18" s="631">
        <f>IF(AD$4="","",CHOOSE(uxb_works!$B$47,IF(INDEX(aData,$B18,AD$4)="","-",TEXT(INDEX(aData,$B18,AD$4),$H18)),IFERROR(INDEX(aScoresRounded,$B18,AD$4),"")))</f>
        <v>21</v>
      </c>
      <c r="AE18" s="631">
        <f>IF(AE$4="","",CHOOSE(uxb_works!$B$47,IF(INDEX(aData,$B18,AE$4)="","-",TEXT(INDEX(aData,$B18,AE$4),$H18)),IFERROR(INDEX(aScoresRounded,$B18,AE$4),"")))</f>
        <v>22.6</v>
      </c>
      <c r="AF18" s="631">
        <f>IF(AF$4="","",CHOOSE(uxb_works!$B$47,IF(INDEX(aData,$B18,AF$4)="","-",TEXT(INDEX(aData,$B18,AF$4),$H18)),IFERROR(INDEX(aScoresRounded,$B18,AF$4),"")))</f>
        <v>34.700000000000003</v>
      </c>
      <c r="AG18" s="631">
        <f>IF(AG$4="","",CHOOSE(uxb_works!$B$47,IF(INDEX(aData,$B18,AG$4)="","-",TEXT(INDEX(aData,$B18,AG$4),$H18)),IFERROR(INDEX(aScoresRounded,$B18,AG$4),"")))</f>
        <v>22.9</v>
      </c>
      <c r="AH18" s="631">
        <f>IF(AH$4="","",CHOOSE(uxb_works!$B$47,IF(INDEX(aData,$B18,AH$4)="","-",TEXT(INDEX(aData,$B18,AH$4),$H18)),IFERROR(INDEX(aScoresRounded,$B18,AH$4),"")))</f>
        <v>19.3</v>
      </c>
      <c r="AI18" s="631">
        <f>IF(AI$4="","",CHOOSE(uxb_works!$B$47,IF(INDEX(aData,$B18,AI$4)="","-",TEXT(INDEX(aData,$B18,AI$4),$H18)),IFERROR(INDEX(aScoresRounded,$B18,AI$4),"")))</f>
        <v>29.9</v>
      </c>
      <c r="AJ18" s="631">
        <f>IF(AJ$4="","",CHOOSE(uxb_works!$B$47,IF(INDEX(aData,$B18,AJ$4)="","-",TEXT(INDEX(aData,$B18,AJ$4),$H18)),IFERROR(INDEX(aScoresRounded,$B18,AJ$4),"")))</f>
        <v>31.1</v>
      </c>
      <c r="AK18" s="631">
        <f>IF(AK$4="","",CHOOSE(uxb_works!$B$47,IF(INDEX(aData,$B18,AK$4)="","-",TEXT(INDEX(aData,$B18,AK$4),$H18)),IFERROR(INDEX(aScoresRounded,$B18,AK$4),"")))</f>
        <v>19.600000000000001</v>
      </c>
      <c r="AL18" s="631">
        <f>IF(AL$4="","",CHOOSE(uxb_works!$B$47,IF(INDEX(aData,$B18,AL$4)="","-",TEXT(INDEX(aData,$B18,AL$4),$H18)),IFERROR(INDEX(aScoresRounded,$B18,AL$4),"")))</f>
        <v>37.1</v>
      </c>
      <c r="AM18" s="631">
        <f>IF(AM$4="","",CHOOSE(uxb_works!$B$47,IF(INDEX(aData,$B18,AM$4)="","-",TEXT(INDEX(aData,$B18,AM$4),$H18)),IFERROR(INDEX(aScoresRounded,$B18,AM$4),"")))</f>
        <v>74.8</v>
      </c>
      <c r="AN18" s="631">
        <f>IF(AN$4="","",CHOOSE(uxb_works!$B$47,IF(INDEX(aData,$B18,AN$4)="","-",TEXT(INDEX(aData,$B18,AN$4),$H18)),IFERROR(INDEX(aScoresRounded,$B18,AN$4),"")))</f>
        <v>77.599999999999994</v>
      </c>
      <c r="AO18" s="631">
        <f>IF(AO$4="","",CHOOSE(uxb_works!$B$47,IF(INDEX(aData,$B18,AO$4)="","-",TEXT(INDEX(aData,$B18,AO$4),$H18)),IFERROR(INDEX(aScoresRounded,$B18,AO$4),"")))</f>
        <v>58.3</v>
      </c>
      <c r="AP18" s="631">
        <f>IF(AP$4="","",CHOOSE(uxb_works!$B$47,IF(INDEX(aData,$B18,AP$4)="","-",TEXT(INDEX(aData,$B18,AP$4),$H18)),IFERROR(INDEX(aScoresRounded,$B18,AP$4),"")))</f>
        <v>25.5</v>
      </c>
      <c r="AQ18" s="631">
        <f>IF(AQ$4="","",CHOOSE(uxb_works!$B$47,IF(INDEX(aData,$B18,AQ$4)="","-",TEXT(INDEX(aData,$B18,AQ$4),$H18)),IFERROR(INDEX(aScoresRounded,$B18,AQ$4),"")))</f>
        <v>48</v>
      </c>
      <c r="AR18" s="631">
        <f>IF(AR$4="","",CHOOSE(uxb_works!$B$47,IF(INDEX(aData,$B18,AR$4)="","-",TEXT(INDEX(aData,$B18,AR$4),$H18)),IFERROR(INDEX(aScoresRounded,$B18,AR$4),"")))</f>
        <v>29.9</v>
      </c>
      <c r="AS18" s="631">
        <f>IF(AS$4="","",CHOOSE(uxb_works!$B$47,IF(INDEX(aData,$B18,AS$4)="","-",TEXT(INDEX(aData,$B18,AS$4),$H18)),IFERROR(INDEX(aScoresRounded,$B18,AS$4),"")))</f>
        <v>76.5</v>
      </c>
      <c r="AT18" s="570"/>
      <c r="AW18" s="157">
        <f>CHOOSE($AV$1,0,IF(AW$10=0,0,IF(P18&lt;=$AX$1,1,IF(P18&lt;=#REF!,2,3))),IF(AW$10=0,0,IF(P18&lt;=$AX$1,4,IF(P18&lt;=#REF!,5,6))))</f>
        <v>0</v>
      </c>
      <c r="AX18" s="157">
        <f>CHOOSE($AV$1,0,IF(AX$10=0,0,IF(#REF!&lt;=$AX$1,1,IF(#REF!&lt;=#REF!,2,3))),IF(AX$10=0,0,IF(#REF!&lt;=$AX$1,4,IF(#REF!&lt;=#REF!,5,6))))</f>
        <v>0</v>
      </c>
    </row>
    <row r="19" spans="1:50" ht="25" customHeight="1">
      <c r="A19" s="213"/>
      <c r="B19" s="218">
        <f>tblIndicators!A10</f>
        <v>9</v>
      </c>
      <c r="C19" s="218"/>
      <c r="D19" s="218"/>
      <c r="E19" s="218">
        <f>tblIndicators!B10</f>
        <v>0</v>
      </c>
      <c r="F19" s="218">
        <f>IF(AND(uxb_works!$B$47=2,E19=1),0,iScores!F14)</f>
        <v>3</v>
      </c>
      <c r="G19" s="218"/>
      <c r="H19" s="218" t="str">
        <f>tblIndicators!AC10</f>
        <v>#,##0.00</v>
      </c>
      <c r="I19" s="219"/>
      <c r="J19" s="218"/>
      <c r="K19" s="214">
        <f>IF(L19=0,0,IF(uxb_works!$B$46&gt;=L19,1,0))</f>
        <v>1</v>
      </c>
      <c r="L19" s="216">
        <f>IF(AND(uxb_works!$B$47=2,E19=1),0,tblIndicators!G10)</f>
        <v>3</v>
      </c>
      <c r="M19" s="218"/>
      <c r="N19" s="249" t="str">
        <f>iScores!N14</f>
        <v xml:space="preserve">   1.2.1) Internet upload speed</v>
      </c>
      <c r="O19" s="407">
        <f>CHOOSE(uxb_works!$B$47,iData!I14,iScores!O14)</f>
        <v>0.28571428571428575</v>
      </c>
      <c r="P19" s="631">
        <f>IF(P$4="","",CHOOSE(uxb_works!$B$47,IF(INDEX(aData,$B19,P$4)="","-",TEXT(INDEX(aData,$B19,P$4),$H19)),IFERROR(INDEX(aScoresRounded,$B19,P$4),"")))</f>
        <v>53.9</v>
      </c>
      <c r="Q19" s="706">
        <f>IF(Q$4="","",CHOOSE(uxb_works!$B$47,IF(INDEX(aData,$B19,Q$4)="","-",TEXT(INDEX(aData,$B19,Q$4),$H19)),IFERROR(INDEX(aScoresRounded,$B19,Q$4),"")))</f>
        <v>35.1</v>
      </c>
      <c r="R19" s="706">
        <f>IF(R$4="","",CHOOSE(uxb_works!$B$47,IF(INDEX(aData,$B19,R$4)="","-",TEXT(INDEX(aData,$B19,R$4),$H19)),IFERROR(INDEX(aScoresRounded,$B19,R$4),"")))</f>
        <v>42.9</v>
      </c>
      <c r="S19" s="706">
        <f>IF(S$4="","",CHOOSE(uxb_works!$B$47,IF(INDEX(aData,$B19,S$4)="","-",TEXT(INDEX(aData,$B19,S$4),$H19)),IFERROR(INDEX(aScoresRounded,$B19,S$4),"")))</f>
        <v>31.9</v>
      </c>
      <c r="T19" s="706">
        <f>IF(T$4="","",CHOOSE(uxb_works!$B$47,IF(INDEX(aData,$B19,T$4)="","-",TEXT(INDEX(aData,$B19,T$4),$H19)),IFERROR(INDEX(aScoresRounded,$B19,T$4),"")))</f>
        <v>93.2</v>
      </c>
      <c r="U19" s="706">
        <f>IF(U$4="","",CHOOSE(uxb_works!$B$47,IF(INDEX(aData,$B19,U$4)="","-",TEXT(INDEX(aData,$B19,U$4),$H19)),IFERROR(INDEX(aScoresRounded,$B19,U$4),"")))</f>
        <v>36.5</v>
      </c>
      <c r="V19" s="706">
        <f>IF(V$4="","",CHOOSE(uxb_works!$B$47,IF(INDEX(aData,$B19,V$4)="","-",TEXT(INDEX(aData,$B19,V$4),$H19)),IFERROR(INDEX(aScoresRounded,$B19,V$4),"")))</f>
        <v>19.600000000000001</v>
      </c>
      <c r="W19" s="706">
        <f>IF(W$4="","",CHOOSE(uxb_works!$B$47,IF(INDEX(aData,$B19,W$4)="","-",TEXT(INDEX(aData,$B19,W$4),$H19)),IFERROR(INDEX(aScoresRounded,$B19,W$4),"")))</f>
        <v>66.2</v>
      </c>
      <c r="X19" s="706">
        <f>IF(X$4="","",CHOOSE(uxb_works!$B$47,IF(INDEX(aData,$B19,X$4)="","-",TEXT(INDEX(aData,$B19,X$4),$H19)),IFERROR(INDEX(aScoresRounded,$B19,X$4),"")))</f>
        <v>27.5</v>
      </c>
      <c r="Y19" s="631">
        <f>IF(Y$4="","",CHOOSE(uxb_works!$B$47,IF(INDEX(aData,$B19,Y$4)="","-",TEXT(INDEX(aData,$B19,Y$4),$H19)),IFERROR(INDEX(aScoresRounded,$B19,Y$4),"")))</f>
        <v>100</v>
      </c>
      <c r="Z19" s="631">
        <f>IF(Z$4="","",CHOOSE(uxb_works!$B$47,IF(INDEX(aData,$B19,Z$4)="","-",TEXT(INDEX(aData,$B19,Z$4),$H19)),IFERROR(INDEX(aScoresRounded,$B19,Z$4),"")))</f>
        <v>36.5</v>
      </c>
      <c r="AA19" s="631">
        <f>IF(AA$4="","",CHOOSE(uxb_works!$B$47,IF(INDEX(aData,$B19,AA$4)="","-",TEXT(INDEX(aData,$B19,AA$4),$H19)),IFERROR(INDEX(aScoresRounded,$B19,AA$4),"")))</f>
        <v>32.4</v>
      </c>
      <c r="AB19" s="631">
        <f>IF(AB$4="","",CHOOSE(uxb_works!$B$47,IF(INDEX(aData,$B19,AB$4)="","-",TEXT(INDEX(aData,$B19,AB$4),$H19)),IFERROR(INDEX(aScoresRounded,$B19,AB$4),"")))</f>
        <v>32.700000000000003</v>
      </c>
      <c r="AC19" s="631">
        <f>IF(AC$4="","",CHOOSE(uxb_works!$B$47,IF(INDEX(aData,$B19,AC$4)="","-",TEXT(INDEX(aData,$B19,AC$4),$H19)),IFERROR(INDEX(aScoresRounded,$B19,AC$4),"")))</f>
        <v>22.8</v>
      </c>
      <c r="AD19" s="631">
        <f>IF(AD$4="","",CHOOSE(uxb_works!$B$47,IF(INDEX(aData,$B19,AD$4)="","-",TEXT(INDEX(aData,$B19,AD$4),$H19)),IFERROR(INDEX(aScoresRounded,$B19,AD$4),"")))</f>
        <v>23.9</v>
      </c>
      <c r="AE19" s="631">
        <f>IF(AE$4="","",CHOOSE(uxb_works!$B$47,IF(INDEX(aData,$B19,AE$4)="","-",TEXT(INDEX(aData,$B19,AE$4),$H19)),IFERROR(INDEX(aScoresRounded,$B19,AE$4),"")))</f>
        <v>31.9</v>
      </c>
      <c r="AF19" s="631">
        <f>IF(AF$4="","",CHOOSE(uxb_works!$B$47,IF(INDEX(aData,$B19,AF$4)="","-",TEXT(INDEX(aData,$B19,AF$4),$H19)),IFERROR(INDEX(aScoresRounded,$B19,AF$4),"")))</f>
        <v>10.199999999999999</v>
      </c>
      <c r="AG19" s="631">
        <f>IF(AG$4="","",CHOOSE(uxb_works!$B$47,IF(INDEX(aData,$B19,AG$4)="","-",TEXT(INDEX(aData,$B19,AG$4),$H19)),IFERROR(INDEX(aScoresRounded,$B19,AG$4),"")))</f>
        <v>28.2</v>
      </c>
      <c r="AH19" s="631">
        <f>IF(AH$4="","",CHOOSE(uxb_works!$B$47,IF(INDEX(aData,$B19,AH$4)="","-",TEXT(INDEX(aData,$B19,AH$4),$H19)),IFERROR(INDEX(aScoresRounded,$B19,AH$4),"")))</f>
        <v>0</v>
      </c>
      <c r="AI19" s="631">
        <f>IF(AI$4="","",CHOOSE(uxb_works!$B$47,IF(INDEX(aData,$B19,AI$4)="","-",TEXT(INDEX(aData,$B19,AI$4),$H19)),IFERROR(INDEX(aScoresRounded,$B19,AI$4),"")))</f>
        <v>27.5</v>
      </c>
      <c r="AJ19" s="631">
        <f>IF(AJ$4="","",CHOOSE(uxb_works!$B$47,IF(INDEX(aData,$B19,AJ$4)="","-",TEXT(INDEX(aData,$B19,AJ$4),$H19)),IFERROR(INDEX(aScoresRounded,$B19,AJ$4),"")))</f>
        <v>21.7</v>
      </c>
      <c r="AK19" s="631">
        <f>IF(AK$4="","",CHOOSE(uxb_works!$B$47,IF(INDEX(aData,$B19,AK$4)="","-",TEXT(INDEX(aData,$B19,AK$4),$H19)),IFERROR(INDEX(aScoresRounded,$B19,AK$4),"")))</f>
        <v>30.3</v>
      </c>
      <c r="AL19" s="631">
        <f>IF(AL$4="","",CHOOSE(uxb_works!$B$47,IF(INDEX(aData,$B19,AL$4)="","-",TEXT(INDEX(aData,$B19,AL$4),$H19)),IFERROR(INDEX(aScoresRounded,$B19,AL$4),"")))</f>
        <v>21.7</v>
      </c>
      <c r="AM19" s="631">
        <f>IF(AM$4="","",CHOOSE(uxb_works!$B$47,IF(INDEX(aData,$B19,AM$4)="","-",TEXT(INDEX(aData,$B19,AM$4),$H19)),IFERROR(INDEX(aScoresRounded,$B19,AM$4),"")))</f>
        <v>58</v>
      </c>
      <c r="AN19" s="631">
        <f>IF(AN$4="","",CHOOSE(uxb_works!$B$47,IF(INDEX(aData,$B19,AN$4)="","-",TEXT(INDEX(aData,$B19,AN$4),$H19)),IFERROR(INDEX(aScoresRounded,$B19,AN$4),"")))</f>
        <v>62.7</v>
      </c>
      <c r="AO19" s="631">
        <f>IF(AO$4="","",CHOOSE(uxb_works!$B$47,IF(INDEX(aData,$B19,AO$4)="","-",TEXT(INDEX(aData,$B19,AO$4),$H19)),IFERROR(INDEX(aScoresRounded,$B19,AO$4),"")))</f>
        <v>37.700000000000003</v>
      </c>
      <c r="AP19" s="631">
        <f>IF(AP$4="","",CHOOSE(uxb_works!$B$47,IF(INDEX(aData,$B19,AP$4)="","-",TEXT(INDEX(aData,$B19,AP$4),$H19)),IFERROR(INDEX(aScoresRounded,$B19,AP$4),"")))</f>
        <v>26.9</v>
      </c>
      <c r="AQ19" s="631">
        <f>IF(AQ$4="","",CHOOSE(uxb_works!$B$47,IF(INDEX(aData,$B19,AQ$4)="","-",TEXT(INDEX(aData,$B19,AQ$4),$H19)),IFERROR(INDEX(aScoresRounded,$B19,AQ$4),"")))</f>
        <v>26.1</v>
      </c>
      <c r="AR19" s="631">
        <f>IF(AR$4="","",CHOOSE(uxb_works!$B$47,IF(INDEX(aData,$B19,AR$4)="","-",TEXT(INDEX(aData,$B19,AR$4),$H19)),IFERROR(INDEX(aScoresRounded,$B19,AR$4),"")))</f>
        <v>27.5</v>
      </c>
      <c r="AS19" s="631">
        <f>IF(AS$4="","",CHOOSE(uxb_works!$B$47,IF(INDEX(aData,$B19,AS$4)="","-",TEXT(INDEX(aData,$B19,AS$4),$H19)),IFERROR(INDEX(aScoresRounded,$B19,AS$4),"")))</f>
        <v>82.9</v>
      </c>
      <c r="AT19" s="570"/>
      <c r="AW19" s="157">
        <f>CHOOSE($AV$1,0,IF(AW$10=0,0,IF(P19&lt;=$AX$1,1,IF(P19&lt;=#REF!,2,3))),IF(AW$10=0,0,IF(P19&lt;=$AX$1,4,IF(P19&lt;=#REF!,5,6))))</f>
        <v>0</v>
      </c>
      <c r="AX19" s="157">
        <f>CHOOSE($AV$1,0,IF(AX$10=0,0,IF(#REF!&lt;=$AX$1,1,IF(#REF!&lt;=#REF!,2,3))),IF(AX$10=0,0,IF(#REF!&lt;=$AX$1,4,IF(#REF!&lt;=#REF!,5,6))))</f>
        <v>0</v>
      </c>
    </row>
    <row r="20" spans="1:50" ht="25" customHeight="1">
      <c r="A20" s="213"/>
      <c r="B20" s="218">
        <f>tblIndicators!A11</f>
        <v>10</v>
      </c>
      <c r="C20" s="218"/>
      <c r="D20" s="218"/>
      <c r="E20" s="218">
        <f>tblIndicators!B11</f>
        <v>0</v>
      </c>
      <c r="F20" s="218">
        <f>IF(AND(uxb_works!$B$47=2,E20=1),0,iScores!F15)</f>
        <v>3</v>
      </c>
      <c r="G20" s="218"/>
      <c r="H20" s="218" t="str">
        <f>tblIndicators!AC11</f>
        <v>#,##0.00</v>
      </c>
      <c r="I20" s="219"/>
      <c r="J20" s="218"/>
      <c r="K20" s="214">
        <f>IF(L20=0,0,IF(uxb_works!$B$46&gt;=L20,1,0))</f>
        <v>1</v>
      </c>
      <c r="L20" s="216">
        <f>IF(AND(uxb_works!$B$47=2,E20=1),0,tblIndicators!G11)</f>
        <v>3</v>
      </c>
      <c r="M20" s="218"/>
      <c r="N20" s="249" t="str">
        <f>iScores!N15</f>
        <v xml:space="preserve">   1.2.2) Internet download speed</v>
      </c>
      <c r="O20" s="407">
        <f>CHOOSE(uxb_works!$B$47,iData!I15,iScores!O15)</f>
        <v>0.32142857142857145</v>
      </c>
      <c r="P20" s="631">
        <f>IF(P$4="","",CHOOSE(uxb_works!$B$47,IF(INDEX(aData,$B20,P$4)="","-",TEXT(INDEX(aData,$B20,P$4),$H20)),IFERROR(INDEX(aScoresRounded,$B20,P$4),"")))</f>
        <v>90.4</v>
      </c>
      <c r="Q20" s="706">
        <f>IF(Q$4="","",CHOOSE(uxb_works!$B$47,IF(INDEX(aData,$B20,Q$4)="","-",TEXT(INDEX(aData,$B20,Q$4),$H20)),IFERROR(INDEX(aScoresRounded,$B20,Q$4),"")))</f>
        <v>34.700000000000003</v>
      </c>
      <c r="R20" s="706">
        <f>IF(R$4="","",CHOOSE(uxb_works!$B$47,IF(INDEX(aData,$B20,R$4)="","-",TEXT(INDEX(aData,$B20,R$4),$H20)),IFERROR(INDEX(aScoresRounded,$B20,R$4),"")))</f>
        <v>20.7</v>
      </c>
      <c r="S20" s="706">
        <f>IF(S$4="","",CHOOSE(uxb_works!$B$47,IF(INDEX(aData,$B20,S$4)="","-",TEXT(INDEX(aData,$B20,S$4),$H20)),IFERROR(INDEX(aScoresRounded,$B20,S$4),"")))</f>
        <v>24.5</v>
      </c>
      <c r="T20" s="706">
        <f>IF(T$4="","",CHOOSE(uxb_works!$B$47,IF(INDEX(aData,$B20,T$4)="","-",TEXT(INDEX(aData,$B20,T$4),$H20)),IFERROR(INDEX(aScoresRounded,$B20,T$4),"")))</f>
        <v>75.3</v>
      </c>
      <c r="U20" s="706">
        <f>IF(U$4="","",CHOOSE(uxb_works!$B$47,IF(INDEX(aData,$B20,U$4)="","-",TEXT(INDEX(aData,$B20,U$4),$H20)),IFERROR(INDEX(aScoresRounded,$B20,U$4),"")))</f>
        <v>44.3</v>
      </c>
      <c r="V20" s="706">
        <f>IF(V$4="","",CHOOSE(uxb_works!$B$47,IF(INDEX(aData,$B20,V$4)="","-",TEXT(INDEX(aData,$B20,V$4),$H20)),IFERROR(INDEX(aScoresRounded,$B20,V$4),"")))</f>
        <v>10</v>
      </c>
      <c r="W20" s="706">
        <f>IF(W$4="","",CHOOSE(uxb_works!$B$47,IF(INDEX(aData,$B20,W$4)="","-",TEXT(INDEX(aData,$B20,W$4),$H20)),IFERROR(INDEX(aScoresRounded,$B20,W$4),"")))</f>
        <v>72.099999999999994</v>
      </c>
      <c r="X20" s="706">
        <f>IF(X$4="","",CHOOSE(uxb_works!$B$47,IF(INDEX(aData,$B20,X$4)="","-",TEXT(INDEX(aData,$B20,X$4),$H20)),IFERROR(INDEX(aScoresRounded,$B20,X$4),"")))</f>
        <v>45.9</v>
      </c>
      <c r="Y20" s="631">
        <f>IF(Y$4="","",CHOOSE(uxb_works!$B$47,IF(INDEX(aData,$B20,Y$4)="","-",TEXT(INDEX(aData,$B20,Y$4),$H20)),IFERROR(INDEX(aScoresRounded,$B20,Y$4),"")))</f>
        <v>100</v>
      </c>
      <c r="Z20" s="631">
        <f>IF(Z$4="","",CHOOSE(uxb_works!$B$47,IF(INDEX(aData,$B20,Z$4)="","-",TEXT(INDEX(aData,$B20,Z$4),$H20)),IFERROR(INDEX(aScoresRounded,$B20,Z$4),"")))</f>
        <v>44.3</v>
      </c>
      <c r="AA20" s="631">
        <f>IF(AA$4="","",CHOOSE(uxb_works!$B$47,IF(INDEX(aData,$B20,AA$4)="","-",TEXT(INDEX(aData,$B20,AA$4),$H20)),IFERROR(INDEX(aScoresRounded,$B20,AA$4),"")))</f>
        <v>35.200000000000003</v>
      </c>
      <c r="AB20" s="631">
        <f>IF(AB$4="","",CHOOSE(uxb_works!$B$47,IF(INDEX(aData,$B20,AB$4)="","-",TEXT(INDEX(aData,$B20,AB$4),$H20)),IFERROR(INDEX(aScoresRounded,$B20,AB$4),"")))</f>
        <v>3.1</v>
      </c>
      <c r="AC20" s="631">
        <f>IF(AC$4="","",CHOOSE(uxb_works!$B$47,IF(INDEX(aData,$B20,AC$4)="","-",TEXT(INDEX(aData,$B20,AC$4),$H20)),IFERROR(INDEX(aScoresRounded,$B20,AC$4),"")))</f>
        <v>11.9</v>
      </c>
      <c r="AD20" s="631">
        <f>IF(AD$4="","",CHOOSE(uxb_works!$B$47,IF(INDEX(aData,$B20,AD$4)="","-",TEXT(INDEX(aData,$B20,AD$4),$H20)),IFERROR(INDEX(aScoresRounded,$B20,AD$4),"")))</f>
        <v>35.9</v>
      </c>
      <c r="AE20" s="631">
        <f>IF(AE$4="","",CHOOSE(uxb_works!$B$47,IF(INDEX(aData,$B20,AE$4)="","-",TEXT(INDEX(aData,$B20,AE$4),$H20)),IFERROR(INDEX(aScoresRounded,$B20,AE$4),"")))</f>
        <v>24.5</v>
      </c>
      <c r="AF20" s="631">
        <f>IF(AF$4="","",CHOOSE(uxb_works!$B$47,IF(INDEX(aData,$B20,AF$4)="","-",TEXT(INDEX(aData,$B20,AF$4),$H20)),IFERROR(INDEX(aScoresRounded,$B20,AF$4),"")))</f>
        <v>5.5</v>
      </c>
      <c r="AG20" s="631">
        <f>IF(AG$4="","",CHOOSE(uxb_works!$B$47,IF(INDEX(aData,$B20,AG$4)="","-",TEXT(INDEX(aData,$B20,AG$4),$H20)),IFERROR(INDEX(aScoresRounded,$B20,AG$4),"")))</f>
        <v>10.9</v>
      </c>
      <c r="AH20" s="631">
        <f>IF(AH$4="","",CHOOSE(uxb_works!$B$47,IF(INDEX(aData,$B20,AH$4)="","-",TEXT(INDEX(aData,$B20,AH$4),$H20)),IFERROR(INDEX(aScoresRounded,$B20,AH$4),"")))</f>
        <v>0</v>
      </c>
      <c r="AI20" s="631">
        <f>IF(AI$4="","",CHOOSE(uxb_works!$B$47,IF(INDEX(aData,$B20,AI$4)="","-",TEXT(INDEX(aData,$B20,AI$4),$H20)),IFERROR(INDEX(aScoresRounded,$B20,AI$4),"")))</f>
        <v>45.9</v>
      </c>
      <c r="AJ20" s="631">
        <f>IF(AJ$4="","",CHOOSE(uxb_works!$B$47,IF(INDEX(aData,$B20,AJ$4)="","-",TEXT(INDEX(aData,$B20,AJ$4),$H20)),IFERROR(INDEX(aScoresRounded,$B20,AJ$4),"")))</f>
        <v>45.3</v>
      </c>
      <c r="AK20" s="631">
        <f>IF(AK$4="","",CHOOSE(uxb_works!$B$47,IF(INDEX(aData,$B20,AK$4)="","-",TEXT(INDEX(aData,$B20,AK$4),$H20)),IFERROR(INDEX(aScoresRounded,$B20,AK$4),"")))</f>
        <v>25.3</v>
      </c>
      <c r="AL20" s="631">
        <f>IF(AL$4="","",CHOOSE(uxb_works!$B$47,IF(INDEX(aData,$B20,AL$4)="","-",TEXT(INDEX(aData,$B20,AL$4),$H20)),IFERROR(INDEX(aScoresRounded,$B20,AL$4),"")))</f>
        <v>10.6</v>
      </c>
      <c r="AM20" s="631">
        <f>IF(AM$4="","",CHOOSE(uxb_works!$B$47,IF(INDEX(aData,$B20,AM$4)="","-",TEXT(INDEX(aData,$B20,AM$4),$H20)),IFERROR(INDEX(aScoresRounded,$B20,AM$4),"")))</f>
        <v>98.8</v>
      </c>
      <c r="AN20" s="631">
        <f>IF(AN$4="","",CHOOSE(uxb_works!$B$47,IF(INDEX(aData,$B20,AN$4)="","-",TEXT(INDEX(aData,$B20,AN$4),$H20)),IFERROR(INDEX(aScoresRounded,$B20,AN$4),"")))</f>
        <v>63.4</v>
      </c>
      <c r="AO20" s="631">
        <f>IF(AO$4="","",CHOOSE(uxb_works!$B$47,IF(INDEX(aData,$B20,AO$4)="","-",TEXT(INDEX(aData,$B20,AO$4),$H20)),IFERROR(INDEX(aScoresRounded,$B20,AO$4),"")))</f>
        <v>76</v>
      </c>
      <c r="AP20" s="631">
        <f>IF(AP$4="","",CHOOSE(uxb_works!$B$47,IF(INDEX(aData,$B20,AP$4)="","-",TEXT(INDEX(aData,$B20,AP$4),$H20)),IFERROR(INDEX(aScoresRounded,$B20,AP$4),"")))</f>
        <v>31.3</v>
      </c>
      <c r="AQ20" s="631">
        <f>IF(AQ$4="","",CHOOSE(uxb_works!$B$47,IF(INDEX(aData,$B20,AQ$4)="","-",TEXT(INDEX(aData,$B20,AQ$4),$H20)),IFERROR(INDEX(aScoresRounded,$B20,AQ$4),"")))</f>
        <v>65.7</v>
      </c>
      <c r="AR20" s="631">
        <f>IF(AR$4="","",CHOOSE(uxb_works!$B$47,IF(INDEX(aData,$B20,AR$4)="","-",TEXT(INDEX(aData,$B20,AR$4),$H20)),IFERROR(INDEX(aScoresRounded,$B20,AR$4),"")))</f>
        <v>45.9</v>
      </c>
      <c r="AS20" s="631">
        <f>IF(AS$4="","",CHOOSE(uxb_works!$B$47,IF(INDEX(aData,$B20,AS$4)="","-",TEXT(INDEX(aData,$B20,AS$4),$H20)),IFERROR(INDEX(aScoresRounded,$B20,AS$4),"")))</f>
        <v>77.400000000000006</v>
      </c>
      <c r="AT20" s="570"/>
      <c r="AW20" s="157">
        <f>CHOOSE($AV$1,0,IF(AW$10=0,0,IF(P20&lt;=$AX$1,1,IF(P20&lt;=#REF!,2,3))),IF(AW$10=0,0,IF(P20&lt;=$AX$1,4,IF(P20&lt;=#REF!,5,6))))</f>
        <v>0</v>
      </c>
      <c r="AX20" s="157">
        <f>CHOOSE($AV$1,0,IF(AX$10=0,0,IF(#REF!&lt;=$AX$1,1,IF(#REF!&lt;=#REF!,2,3))),IF(AX$10=0,0,IF(#REF!&lt;=$AX$1,4,IF(#REF!&lt;=#REF!,5,6))))</f>
        <v>0</v>
      </c>
    </row>
    <row r="21" spans="1:50" ht="25" customHeight="1">
      <c r="A21" s="213"/>
      <c r="B21" s="218">
        <f>tblIndicators!A12</f>
        <v>11</v>
      </c>
      <c r="C21" s="218"/>
      <c r="D21" s="218"/>
      <c r="E21" s="218">
        <f>tblIndicators!B12</f>
        <v>0</v>
      </c>
      <c r="F21" s="218">
        <f>IF(AND(uxb_works!$B$47=2,E21=1),0,iScores!F16)</f>
        <v>3</v>
      </c>
      <c r="G21" s="218"/>
      <c r="H21" s="218" t="str">
        <f>tblIndicators!AC12</f>
        <v>#,##0</v>
      </c>
      <c r="I21" s="219"/>
      <c r="J21" s="218"/>
      <c r="K21" s="214">
        <f>IF(L21=0,0,IF(uxb_works!$B$46&gt;=L21,1,0))</f>
        <v>1</v>
      </c>
      <c r="L21" s="216">
        <f>IF(AND(uxb_works!$B$47=2,E21=1),0,tblIndicators!G12)</f>
        <v>3</v>
      </c>
      <c r="M21" s="218"/>
      <c r="N21" s="249" t="str">
        <f>iScores!N16</f>
        <v xml:space="preserve">   1.2.3) Mobile broadband latency</v>
      </c>
      <c r="O21" s="407">
        <f>CHOOSE(uxb_works!$B$47,iData!I16,iScores!O16)</f>
        <v>0.1785714285714286</v>
      </c>
      <c r="P21" s="631">
        <f>IF(P$4="","",CHOOSE(uxb_works!$B$47,IF(INDEX(aData,$B21,P$4)="","-",TEXT(INDEX(aData,$B21,P$4),$H21)),IFERROR(INDEX(aScoresRounded,$B21,P$4),"")))</f>
        <v>70</v>
      </c>
      <c r="Q21" s="706">
        <f>IF(Q$4="","",CHOOSE(uxb_works!$B$47,IF(INDEX(aData,$B21,Q$4)="","-",TEXT(INDEX(aData,$B21,Q$4),$H21)),IFERROR(INDEX(aScoresRounded,$B21,Q$4),"")))</f>
        <v>30</v>
      </c>
      <c r="R21" s="706">
        <f>IF(R$4="","",CHOOSE(uxb_works!$B$47,IF(INDEX(aData,$B21,R$4)="","-",TEXT(INDEX(aData,$B21,R$4),$H21)),IFERROR(INDEX(aScoresRounded,$B21,R$4),"")))</f>
        <v>70</v>
      </c>
      <c r="S21" s="706">
        <f>IF(S$4="","",CHOOSE(uxb_works!$B$47,IF(INDEX(aData,$B21,S$4)="","-",TEXT(INDEX(aData,$B21,S$4),$H21)),IFERROR(INDEX(aScoresRounded,$B21,S$4),"")))</f>
        <v>10</v>
      </c>
      <c r="T21" s="706">
        <f>IF(T$4="","",CHOOSE(uxb_works!$B$47,IF(INDEX(aData,$B21,T$4)="","-",TEXT(INDEX(aData,$B21,T$4),$H21)),IFERROR(INDEX(aScoresRounded,$B21,T$4),"")))</f>
        <v>70</v>
      </c>
      <c r="U21" s="706">
        <f>IF(U$4="","",CHOOSE(uxb_works!$B$47,IF(INDEX(aData,$B21,U$4)="","-",TEXT(INDEX(aData,$B21,U$4),$H21)),IFERROR(INDEX(aScoresRounded,$B21,U$4),"")))</f>
        <v>55</v>
      </c>
      <c r="V21" s="706">
        <f>IF(V$4="","",CHOOSE(uxb_works!$B$47,IF(INDEX(aData,$B21,V$4)="","-",TEXT(INDEX(aData,$B21,V$4),$H21)),IFERROR(INDEX(aScoresRounded,$B21,V$4),"")))</f>
        <v>40</v>
      </c>
      <c r="W21" s="706">
        <f>IF(W$4="","",CHOOSE(uxb_works!$B$47,IF(INDEX(aData,$B21,W$4)="","-",TEXT(INDEX(aData,$B21,W$4),$H21)),IFERROR(INDEX(aScoresRounded,$B21,W$4),"")))</f>
        <v>85</v>
      </c>
      <c r="X21" s="706">
        <f>IF(X$4="","",CHOOSE(uxb_works!$B$47,IF(INDEX(aData,$B21,X$4)="","-",TEXT(INDEX(aData,$B21,X$4),$H21)),IFERROR(INDEX(aScoresRounded,$B21,X$4),"")))</f>
        <v>30</v>
      </c>
      <c r="Y21" s="631">
        <f>IF(Y$4="","",CHOOSE(uxb_works!$B$47,IF(INDEX(aData,$B21,Y$4)="","-",TEXT(INDEX(aData,$B21,Y$4),$H21)),IFERROR(INDEX(aScoresRounded,$B21,Y$4),"")))</f>
        <v>95</v>
      </c>
      <c r="Z21" s="631">
        <f>IF(Z$4="","",CHOOSE(uxb_works!$B$47,IF(INDEX(aData,$B21,Z$4)="","-",TEXT(INDEX(aData,$B21,Z$4),$H21)),IFERROR(INDEX(aScoresRounded,$B21,Z$4),"")))</f>
        <v>55</v>
      </c>
      <c r="AA21" s="631">
        <f>IF(AA$4="","",CHOOSE(uxb_works!$B$47,IF(INDEX(aData,$B21,AA$4)="","-",TEXT(INDEX(aData,$B21,AA$4),$H21)),IFERROR(INDEX(aScoresRounded,$B21,AA$4),"")))</f>
        <v>90</v>
      </c>
      <c r="AB21" s="631">
        <f>IF(AB$4="","",CHOOSE(uxb_works!$B$47,IF(INDEX(aData,$B21,AB$4)="","-",TEXT(INDEX(aData,$B21,AB$4),$H21)),IFERROR(INDEX(aScoresRounded,$B21,AB$4),"")))</f>
        <v>55</v>
      </c>
      <c r="AC21" s="631">
        <f>IF(AC$4="","",CHOOSE(uxb_works!$B$47,IF(INDEX(aData,$B21,AC$4)="","-",TEXT(INDEX(aData,$B21,AC$4),$H21)),IFERROR(INDEX(aScoresRounded,$B21,AC$4),"")))</f>
        <v>50</v>
      </c>
      <c r="AD21" s="631">
        <f>IF(AD$4="","",CHOOSE(uxb_works!$B$47,IF(INDEX(aData,$B21,AD$4)="","-",TEXT(INDEX(aData,$B21,AD$4),$H21)),IFERROR(INDEX(aScoresRounded,$B21,AD$4),"")))</f>
        <v>15</v>
      </c>
      <c r="AE21" s="631">
        <f>IF(AE$4="","",CHOOSE(uxb_works!$B$47,IF(INDEX(aData,$B21,AE$4)="","-",TEXT(INDEX(aData,$B21,AE$4),$H21)),IFERROR(INDEX(aScoresRounded,$B21,AE$4),"")))</f>
        <v>10</v>
      </c>
      <c r="AF21" s="631">
        <f>IF(AF$4="","",CHOOSE(uxb_works!$B$47,IF(INDEX(aData,$B21,AF$4)="","-",TEXT(INDEX(aData,$B21,AF$4),$H21)),IFERROR(INDEX(aScoresRounded,$B21,AF$4),"")))</f>
        <v>70</v>
      </c>
      <c r="AG21" s="631">
        <f>IF(AG$4="","",CHOOSE(uxb_works!$B$47,IF(INDEX(aData,$B21,AG$4)="","-",TEXT(INDEX(aData,$B21,AG$4),$H21)),IFERROR(INDEX(aScoresRounded,$B21,AG$4),"")))</f>
        <v>20</v>
      </c>
      <c r="AH21" s="631">
        <f>IF(AH$4="","",CHOOSE(uxb_works!$B$47,IF(INDEX(aData,$B21,AH$4)="","-",TEXT(INDEX(aData,$B21,AH$4),$H21)),IFERROR(INDEX(aScoresRounded,$B21,AH$4),"")))</f>
        <v>10</v>
      </c>
      <c r="AI21" s="631">
        <f>IF(AI$4="","",CHOOSE(uxb_works!$B$47,IF(INDEX(aData,$B21,AI$4)="","-",TEXT(INDEX(aData,$B21,AI$4),$H21)),IFERROR(INDEX(aScoresRounded,$B21,AI$4),"")))</f>
        <v>30</v>
      </c>
      <c r="AJ21" s="631">
        <f>IF(AJ$4="","",CHOOSE(uxb_works!$B$47,IF(INDEX(aData,$B21,AJ$4)="","-",TEXT(INDEX(aData,$B21,AJ$4),$H21)),IFERROR(INDEX(aScoresRounded,$B21,AJ$4),"")))</f>
        <v>25</v>
      </c>
      <c r="AK21" s="631">
        <f>IF(AK$4="","",CHOOSE(uxb_works!$B$47,IF(INDEX(aData,$B21,AK$4)="","-",TEXT(INDEX(aData,$B21,AK$4),$H21)),IFERROR(INDEX(aScoresRounded,$B21,AK$4),"")))</f>
        <v>5</v>
      </c>
      <c r="AL21" s="631">
        <f>IF(AL$4="","",CHOOSE(uxb_works!$B$47,IF(INDEX(aData,$B21,AL$4)="","-",TEXT(INDEX(aData,$B21,AL$4),$H21)),IFERROR(INDEX(aScoresRounded,$B21,AL$4),"")))</f>
        <v>45</v>
      </c>
      <c r="AM21" s="631">
        <f>IF(AM$4="","",CHOOSE(uxb_works!$B$47,IF(INDEX(aData,$B21,AM$4)="","-",TEXT(INDEX(aData,$B21,AM$4),$H21)),IFERROR(INDEX(aScoresRounded,$B21,AM$4),"")))</f>
        <v>50</v>
      </c>
      <c r="AN21" s="631">
        <f>IF(AN$4="","",CHOOSE(uxb_works!$B$47,IF(INDEX(aData,$B21,AN$4)="","-",TEXT(INDEX(aData,$B21,AN$4),$H21)),IFERROR(INDEX(aScoresRounded,$B21,AN$4),"")))</f>
        <v>100</v>
      </c>
      <c r="AO21" s="631">
        <f>IF(AO$4="","",CHOOSE(uxb_works!$B$47,IF(INDEX(aData,$B21,AO$4)="","-",TEXT(INDEX(aData,$B21,AO$4),$H21)),IFERROR(INDEX(aScoresRounded,$B21,AO$4),"")))</f>
        <v>75</v>
      </c>
      <c r="AP21" s="631">
        <f>IF(AP$4="","",CHOOSE(uxb_works!$B$47,IF(INDEX(aData,$B21,AP$4)="","-",TEXT(INDEX(aData,$B21,AP$4),$H21)),IFERROR(INDEX(aScoresRounded,$B21,AP$4),"")))</f>
        <v>0</v>
      </c>
      <c r="AQ21" s="631">
        <f>IF(AQ$4="","",CHOOSE(uxb_works!$B$47,IF(INDEX(aData,$B21,AQ$4)="","-",TEXT(INDEX(aData,$B21,AQ$4),$H21)),IFERROR(INDEX(aScoresRounded,$B21,AQ$4),"")))</f>
        <v>65</v>
      </c>
      <c r="AR21" s="631">
        <f>IF(AR$4="","",CHOOSE(uxb_works!$B$47,IF(INDEX(aData,$B21,AR$4)="","-",TEXT(INDEX(aData,$B21,AR$4),$H21)),IFERROR(INDEX(aScoresRounded,$B21,AR$4),"")))</f>
        <v>30</v>
      </c>
      <c r="AS21" s="631">
        <f>IF(AS$4="","",CHOOSE(uxb_works!$B$47,IF(INDEX(aData,$B21,AS$4)="","-",TEXT(INDEX(aData,$B21,AS$4),$H21)),IFERROR(INDEX(aScoresRounded,$B21,AS$4),"")))</f>
        <v>80</v>
      </c>
      <c r="AT21" s="570"/>
      <c r="AW21" s="157">
        <f>CHOOSE($AV$1,0,IF(AW$10=0,0,IF(P21&lt;=$AX$1,1,IF(P21&lt;=#REF!,2,3))),IF(AW$10=0,0,IF(P21&lt;=$AX$1,4,IF(P21&lt;=#REF!,5,6))))</f>
        <v>0</v>
      </c>
      <c r="AX21" s="157">
        <f>CHOOSE($AV$1,0,IF(AX$10=0,0,IF(#REF!&lt;=$AX$1,1,IF(#REF!&lt;=#REF!,2,3))),IF(AX$10=0,0,IF(#REF!&lt;=$AX$1,4,IF(#REF!&lt;=#REF!,5,6))))</f>
        <v>0</v>
      </c>
    </row>
    <row r="22" spans="1:50" ht="25" customHeight="1">
      <c r="A22" s="213"/>
      <c r="B22" s="218">
        <f>tblIndicators!A13</f>
        <v>12</v>
      </c>
      <c r="C22" s="218"/>
      <c r="D22" s="218"/>
      <c r="E22" s="218">
        <f>tblIndicators!B13</f>
        <v>0</v>
      </c>
      <c r="F22" s="218">
        <f>IF(AND(uxb_works!$B$47=2,E22=1),0,iScores!F17)</f>
        <v>3</v>
      </c>
      <c r="G22" s="218"/>
      <c r="H22" s="218" t="str">
        <f>tblIndicators!AC13</f>
        <v>#,##0</v>
      </c>
      <c r="I22" s="219"/>
      <c r="J22" s="218"/>
      <c r="K22" s="214">
        <f>IF(L22=0,0,IF(uxb_works!$B$46&gt;=L22,1,0))</f>
        <v>1</v>
      </c>
      <c r="L22" s="216">
        <f>IF(AND(uxb_works!$B$47=2,E22=1),0,tblIndicators!G13)</f>
        <v>3</v>
      </c>
      <c r="M22" s="218"/>
      <c r="N22" s="249" t="str">
        <f>iScores!N17</f>
        <v xml:space="preserve">   1.2.4) Fixed broadband latency</v>
      </c>
      <c r="O22" s="407">
        <f>CHOOSE(uxb_works!$B$47,iData!I17,iScores!O17)</f>
        <v>0.2142857142857143</v>
      </c>
      <c r="P22" s="631">
        <f>IF(P$4="","",CHOOSE(uxb_works!$B$47,IF(INDEX(aData,$B22,P$4)="","-",TEXT(INDEX(aData,$B22,P$4),$H22)),IFERROR(INDEX(aScoresRounded,$B22,P$4),"")))</f>
        <v>45.5</v>
      </c>
      <c r="Q22" s="706">
        <f>IF(Q$4="","",CHOOSE(uxb_works!$B$47,IF(INDEX(aData,$B22,Q$4)="","-",TEXT(INDEX(aData,$B22,Q$4),$H22)),IFERROR(INDEX(aScoresRounded,$B22,Q$4),"")))</f>
        <v>81.8</v>
      </c>
      <c r="R22" s="706">
        <f>IF(R$4="","",CHOOSE(uxb_works!$B$47,IF(INDEX(aData,$B22,R$4)="","-",TEXT(INDEX(aData,$B22,R$4),$H22)),IFERROR(INDEX(aScoresRounded,$B22,R$4),"")))</f>
        <v>90.9</v>
      </c>
      <c r="S22" s="706">
        <f>IF(S$4="","",CHOOSE(uxb_works!$B$47,IF(INDEX(aData,$B22,S$4)="","-",TEXT(INDEX(aData,$B22,S$4),$H22)),IFERROR(INDEX(aScoresRounded,$B22,S$4),"")))</f>
        <v>18.2</v>
      </c>
      <c r="T22" s="706">
        <f>IF(T$4="","",CHOOSE(uxb_works!$B$47,IF(INDEX(aData,$B22,T$4)="","-",TEXT(INDEX(aData,$B22,T$4),$H22)),IFERROR(INDEX(aScoresRounded,$B22,T$4),"")))</f>
        <v>54.5</v>
      </c>
      <c r="U22" s="706">
        <f>IF(U$4="","",CHOOSE(uxb_works!$B$47,IF(INDEX(aData,$B22,U$4)="","-",TEXT(INDEX(aData,$B22,U$4),$H22)),IFERROR(INDEX(aScoresRounded,$B22,U$4),"")))</f>
        <v>9.1</v>
      </c>
      <c r="V22" s="706">
        <f>IF(V$4="","",CHOOSE(uxb_works!$B$47,IF(INDEX(aData,$B22,V$4)="","-",TEXT(INDEX(aData,$B22,V$4),$H22)),IFERROR(INDEX(aScoresRounded,$B22,V$4),"")))</f>
        <v>9.1</v>
      </c>
      <c r="W22" s="706">
        <f>IF(W$4="","",CHOOSE(uxb_works!$B$47,IF(INDEX(aData,$B22,W$4)="","-",TEXT(INDEX(aData,$B22,W$4),$H22)),IFERROR(INDEX(aScoresRounded,$B22,W$4),"")))</f>
        <v>63.6</v>
      </c>
      <c r="X22" s="706">
        <f>IF(X$4="","",CHOOSE(uxb_works!$B$47,IF(INDEX(aData,$B22,X$4)="","-",TEXT(INDEX(aData,$B22,X$4),$H22)),IFERROR(INDEX(aScoresRounded,$B22,X$4),"")))</f>
        <v>9.1</v>
      </c>
      <c r="Y22" s="631">
        <f>IF(Y$4="","",CHOOSE(uxb_works!$B$47,IF(INDEX(aData,$B22,Y$4)="","-",TEXT(INDEX(aData,$B22,Y$4),$H22)),IFERROR(INDEX(aScoresRounded,$B22,Y$4),"")))</f>
        <v>100</v>
      </c>
      <c r="Z22" s="631">
        <f>IF(Z$4="","",CHOOSE(uxb_works!$B$47,IF(INDEX(aData,$B22,Z$4)="","-",TEXT(INDEX(aData,$B22,Z$4),$H22)),IFERROR(INDEX(aScoresRounded,$B22,Z$4),"")))</f>
        <v>9.1</v>
      </c>
      <c r="AA22" s="631">
        <f>IF(AA$4="","",CHOOSE(uxb_works!$B$47,IF(INDEX(aData,$B22,AA$4)="","-",TEXT(INDEX(aData,$B22,AA$4),$H22)),IFERROR(INDEX(aScoresRounded,$B22,AA$4),"")))</f>
        <v>100</v>
      </c>
      <c r="AB22" s="631">
        <f>IF(AB$4="","",CHOOSE(uxb_works!$B$47,IF(INDEX(aData,$B22,AB$4)="","-",TEXT(INDEX(aData,$B22,AB$4),$H22)),IFERROR(INDEX(aScoresRounded,$B22,AB$4),"")))</f>
        <v>63.6</v>
      </c>
      <c r="AC22" s="631">
        <f>IF(AC$4="","",CHOOSE(uxb_works!$B$47,IF(INDEX(aData,$B22,AC$4)="","-",TEXT(INDEX(aData,$B22,AC$4),$H22)),IFERROR(INDEX(aScoresRounded,$B22,AC$4),"")))</f>
        <v>63.6</v>
      </c>
      <c r="AD22" s="631">
        <f>IF(AD$4="","",CHOOSE(uxb_works!$B$47,IF(INDEX(aData,$B22,AD$4)="","-",TEXT(INDEX(aData,$B22,AD$4),$H22)),IFERROR(INDEX(aScoresRounded,$B22,AD$4),"")))</f>
        <v>0</v>
      </c>
      <c r="AE22" s="631">
        <f>IF(AE$4="","",CHOOSE(uxb_works!$B$47,IF(INDEX(aData,$B22,AE$4)="","-",TEXT(INDEX(aData,$B22,AE$4),$H22)),IFERROR(INDEX(aScoresRounded,$B22,AE$4),"")))</f>
        <v>18.2</v>
      </c>
      <c r="AF22" s="631">
        <f>IF(AF$4="","",CHOOSE(uxb_works!$B$47,IF(INDEX(aData,$B22,AF$4)="","-",TEXT(INDEX(aData,$B22,AF$4),$H22)),IFERROR(INDEX(aScoresRounded,$B22,AF$4),"")))</f>
        <v>81.8</v>
      </c>
      <c r="AG22" s="631">
        <f>IF(AG$4="","",CHOOSE(uxb_works!$B$47,IF(INDEX(aData,$B22,AG$4)="","-",TEXT(INDEX(aData,$B22,AG$4),$H22)),IFERROR(INDEX(aScoresRounded,$B22,AG$4),"")))</f>
        <v>36.4</v>
      </c>
      <c r="AH22" s="631">
        <f>IF(AH$4="","",CHOOSE(uxb_works!$B$47,IF(INDEX(aData,$B22,AH$4)="","-",TEXT(INDEX(aData,$B22,AH$4),$H22)),IFERROR(INDEX(aScoresRounded,$B22,AH$4),"")))</f>
        <v>81.8</v>
      </c>
      <c r="AI22" s="631">
        <f>IF(AI$4="","",CHOOSE(uxb_works!$B$47,IF(INDEX(aData,$B22,AI$4)="","-",TEXT(INDEX(aData,$B22,AI$4),$H22)),IFERROR(INDEX(aScoresRounded,$B22,AI$4),"")))</f>
        <v>9.1</v>
      </c>
      <c r="AJ22" s="631">
        <f>IF(AJ$4="","",CHOOSE(uxb_works!$B$47,IF(INDEX(aData,$B22,AJ$4)="","-",TEXT(INDEX(aData,$B22,AJ$4),$H22)),IFERROR(INDEX(aScoresRounded,$B22,AJ$4),"")))</f>
        <v>27.3</v>
      </c>
      <c r="AK22" s="631">
        <f>IF(AK$4="","",CHOOSE(uxb_works!$B$47,IF(INDEX(aData,$B22,AK$4)="","-",TEXT(INDEX(aData,$B22,AK$4),$H22)),IFERROR(INDEX(aScoresRounded,$B22,AK$4),"")))</f>
        <v>9.1</v>
      </c>
      <c r="AL22" s="631">
        <f>IF(AL$4="","",CHOOSE(uxb_works!$B$47,IF(INDEX(aData,$B22,AL$4)="","-",TEXT(INDEX(aData,$B22,AL$4),$H22)),IFERROR(INDEX(aScoresRounded,$B22,AL$4),"")))</f>
        <v>90.9</v>
      </c>
      <c r="AM22" s="631">
        <f>IF(AM$4="","",CHOOSE(uxb_works!$B$47,IF(INDEX(aData,$B22,AM$4)="","-",TEXT(INDEX(aData,$B22,AM$4),$H22)),IFERROR(INDEX(aScoresRounded,$B22,AM$4),"")))</f>
        <v>81.8</v>
      </c>
      <c r="AN22" s="631">
        <f>IF(AN$4="","",CHOOSE(uxb_works!$B$47,IF(INDEX(aData,$B22,AN$4)="","-",TEXT(INDEX(aData,$B22,AN$4),$H22)),IFERROR(INDEX(aScoresRounded,$B22,AN$4),"")))</f>
        <v>100</v>
      </c>
      <c r="AO22" s="631">
        <f>IF(AO$4="","",CHOOSE(uxb_works!$B$47,IF(INDEX(aData,$B22,AO$4)="","-",TEXT(INDEX(aData,$B22,AO$4),$H22)),IFERROR(INDEX(aScoresRounded,$B22,AO$4),"")))</f>
        <v>45.5</v>
      </c>
      <c r="AP22" s="631">
        <f>IF(AP$4="","",CHOOSE(uxb_works!$B$47,IF(INDEX(aData,$B22,AP$4)="","-",TEXT(INDEX(aData,$B22,AP$4),$H22)),IFERROR(INDEX(aScoresRounded,$B22,AP$4),"")))</f>
        <v>36.4</v>
      </c>
      <c r="AQ22" s="631">
        <f>IF(AQ$4="","",CHOOSE(uxb_works!$B$47,IF(INDEX(aData,$B22,AQ$4)="","-",TEXT(INDEX(aData,$B22,AQ$4),$H22)),IFERROR(INDEX(aScoresRounded,$B22,AQ$4),"")))</f>
        <v>36.4</v>
      </c>
      <c r="AR22" s="631">
        <f>IF(AR$4="","",CHOOSE(uxb_works!$B$47,IF(INDEX(aData,$B22,AR$4)="","-",TEXT(INDEX(aData,$B22,AR$4),$H22)),IFERROR(INDEX(aScoresRounded,$B22,AR$4),"")))</f>
        <v>9.1</v>
      </c>
      <c r="AS22" s="631">
        <f>IF(AS$4="","",CHOOSE(uxb_works!$B$47,IF(INDEX(aData,$B22,AS$4)="","-",TEXT(INDEX(aData,$B22,AS$4),$H22)),IFERROR(INDEX(aScoresRounded,$B22,AS$4),"")))</f>
        <v>63.6</v>
      </c>
      <c r="AT22" s="570"/>
      <c r="AW22" s="157">
        <f>CHOOSE($AV$1,0,IF(AW$10=0,0,IF(P22&lt;=$AX$1,1,IF(P22&lt;=#REF!,2,3))),IF(AW$10=0,0,IF(P22&lt;=$AX$1,4,IF(P22&lt;=#REF!,5,6))))</f>
        <v>0</v>
      </c>
      <c r="AX22" s="157">
        <f>CHOOSE($AV$1,0,IF(AX$10=0,0,IF(#REF!&lt;=$AX$1,1,IF(#REF!&lt;=#REF!,2,3))),IF(AX$10=0,0,IF(#REF!&lt;=$AX$1,4,IF(#REF!&lt;=#REF!,5,6))))</f>
        <v>0</v>
      </c>
    </row>
    <row r="23" spans="1:50" ht="25" customHeight="1">
      <c r="A23" s="213"/>
      <c r="B23" s="218">
        <f>tblIndicators!A14</f>
        <v>13</v>
      </c>
      <c r="C23" s="218"/>
      <c r="D23" s="218"/>
      <c r="E23" s="218">
        <f>tblIndicators!B14</f>
        <v>0</v>
      </c>
      <c r="F23" s="218">
        <f>IF(AND(uxb_works!$B$47=2,E23=1),0,iScores!F18)</f>
        <v>2</v>
      </c>
      <c r="G23" s="218"/>
      <c r="H23" s="218" t="str">
        <f>tblIndicators!AC14</f>
        <v>#,##0.0</v>
      </c>
      <c r="I23" s="219"/>
      <c r="J23" s="218"/>
      <c r="K23" s="214">
        <f>IF(L23=0,0,IF(uxb_works!$B$46&gt;=L23,1,0))</f>
        <v>1</v>
      </c>
      <c r="L23" s="216">
        <f>IF(AND(uxb_works!$B$47=2,E23=1),0,tblIndicators!G14)</f>
        <v>2</v>
      </c>
      <c r="M23" s="218"/>
      <c r="N23" s="249" t="str">
        <f>iScores!N18</f>
        <v xml:space="preserve">  1.3) Affordability</v>
      </c>
      <c r="O23" s="407">
        <f>CHOOSE(uxb_works!$B$47,iData!I18,iScores!O18)</f>
        <v>0.33333333333333331</v>
      </c>
      <c r="P23" s="631">
        <f>IF(P$4="","",CHOOSE(uxb_works!$B$47,IF(INDEX(aData,$B23,P$4)="","-",TEXT(INDEX(aData,$B23,P$4),$H23)),IFERROR(INDEX(aScoresRounded,$B23,P$4),"")))</f>
        <v>74.599999999999994</v>
      </c>
      <c r="Q23" s="706">
        <f>IF(Q$4="","",CHOOSE(uxb_works!$B$47,IF(INDEX(aData,$B23,Q$4)="","-",TEXT(INDEX(aData,$B23,Q$4),$H23)),IFERROR(INDEX(aScoresRounded,$B23,Q$4),"")))</f>
        <v>46.8</v>
      </c>
      <c r="R23" s="706">
        <f>IF(R$4="","",CHOOSE(uxb_works!$B$47,IF(INDEX(aData,$B23,R$4)="","-",TEXT(INDEX(aData,$B23,R$4),$H23)),IFERROR(INDEX(aScoresRounded,$B23,R$4),"")))</f>
        <v>53.4</v>
      </c>
      <c r="S23" s="706">
        <f>IF(S$4="","",CHOOSE(uxb_works!$B$47,IF(INDEX(aData,$B23,S$4)="","-",TEXT(INDEX(aData,$B23,S$4),$H23)),IFERROR(INDEX(aScoresRounded,$B23,S$4),"")))</f>
        <v>70.2</v>
      </c>
      <c r="T23" s="706">
        <f>IF(T$4="","",CHOOSE(uxb_works!$B$47,IF(INDEX(aData,$B23,T$4)="","-",TEXT(INDEX(aData,$B23,T$4),$H23)),IFERROR(INDEX(aScoresRounded,$B23,T$4),"")))</f>
        <v>94.4</v>
      </c>
      <c r="U23" s="706">
        <f>IF(U$4="","",CHOOSE(uxb_works!$B$47,IF(INDEX(aData,$B23,U$4)="","-",TEXT(INDEX(aData,$B23,U$4),$H23)),IFERROR(INDEX(aScoresRounded,$B23,U$4),"")))</f>
        <v>71.3</v>
      </c>
      <c r="V23" s="706">
        <f>IF(V$4="","",CHOOSE(uxb_works!$B$47,IF(INDEX(aData,$B23,V$4)="","-",TEXT(INDEX(aData,$B23,V$4),$H23)),IFERROR(INDEX(aScoresRounded,$B23,V$4),"")))</f>
        <v>25.1</v>
      </c>
      <c r="W23" s="706">
        <f>IF(W$4="","",CHOOSE(uxb_works!$B$47,IF(INDEX(aData,$B23,W$4)="","-",TEXT(INDEX(aData,$B23,W$4),$H23)),IFERROR(INDEX(aScoresRounded,$B23,W$4),"")))</f>
        <v>93.9</v>
      </c>
      <c r="X23" s="706">
        <f>IF(X$4="","",CHOOSE(uxb_works!$B$47,IF(INDEX(aData,$B23,X$4)="","-",TEXT(INDEX(aData,$B23,X$4),$H23)),IFERROR(INDEX(aScoresRounded,$B23,X$4),"")))</f>
        <v>89.8</v>
      </c>
      <c r="Y23" s="631">
        <f>IF(Y$4="","",CHOOSE(uxb_works!$B$47,IF(INDEX(aData,$B23,Y$4)="","-",TEXT(INDEX(aData,$B23,Y$4),$H23)),IFERROR(INDEX(aScoresRounded,$B23,Y$4),"")))</f>
        <v>0.4</v>
      </c>
      <c r="Z23" s="631">
        <f>IF(Z$4="","",CHOOSE(uxb_works!$B$47,IF(INDEX(aData,$B23,Z$4)="","-",TEXT(INDEX(aData,$B23,Z$4),$H23)),IFERROR(INDEX(aScoresRounded,$B23,Z$4),"")))</f>
        <v>87.1</v>
      </c>
      <c r="AA23" s="631">
        <f>IF(AA$4="","",CHOOSE(uxb_works!$B$47,IF(INDEX(aData,$B23,AA$4)="","-",TEXT(INDEX(aData,$B23,AA$4),$H23)),IFERROR(INDEX(aScoresRounded,$B23,AA$4),"")))</f>
        <v>78.5</v>
      </c>
      <c r="AB23" s="631">
        <f>IF(AB$4="","",CHOOSE(uxb_works!$B$47,IF(INDEX(aData,$B23,AB$4)="","-",TEXT(INDEX(aData,$B23,AB$4),$H23)),IFERROR(INDEX(aScoresRounded,$B23,AB$4),"")))</f>
        <v>45.8</v>
      </c>
      <c r="AC23" s="631">
        <f>IF(AC$4="","",CHOOSE(uxb_works!$B$47,IF(INDEX(aData,$B23,AC$4)="","-",TEXT(INDEX(aData,$B23,AC$4),$H23)),IFERROR(INDEX(aScoresRounded,$B23,AC$4),"")))</f>
        <v>65.099999999999994</v>
      </c>
      <c r="AD23" s="631">
        <f>IF(AD$4="","",CHOOSE(uxb_works!$B$47,IF(INDEX(aData,$B23,AD$4)="","-",TEXT(INDEX(aData,$B23,AD$4),$H23)),IFERROR(INDEX(aScoresRounded,$B23,AD$4),"")))</f>
        <v>93.9</v>
      </c>
      <c r="AE23" s="631">
        <f>IF(AE$4="","",CHOOSE(uxb_works!$B$47,IF(INDEX(aData,$B23,AE$4)="","-",TEXT(INDEX(aData,$B23,AE$4),$H23)),IFERROR(INDEX(aScoresRounded,$B23,AE$4),"")))</f>
        <v>79.2</v>
      </c>
      <c r="AF23" s="631">
        <f>IF(AF$4="","",CHOOSE(uxb_works!$B$47,IF(INDEX(aData,$B23,AF$4)="","-",TEXT(INDEX(aData,$B23,AF$4),$H23)),IFERROR(INDEX(aScoresRounded,$B23,AF$4),"")))</f>
        <v>37.1</v>
      </c>
      <c r="AG23" s="631">
        <f>IF(AG$4="","",CHOOSE(uxb_works!$B$47,IF(INDEX(aData,$B23,AG$4)="","-",TEXT(INDEX(aData,$B23,AG$4),$H23)),IFERROR(INDEX(aScoresRounded,$B23,AG$4),"")))</f>
        <v>63</v>
      </c>
      <c r="AH23" s="631">
        <f>IF(AH$4="","",CHOOSE(uxb_works!$B$47,IF(INDEX(aData,$B23,AH$4)="","-",TEXT(INDEX(aData,$B23,AH$4),$H23)),IFERROR(INDEX(aScoresRounded,$B23,AH$4),"")))</f>
        <v>26.5</v>
      </c>
      <c r="AI23" s="631">
        <f>IF(AI$4="","",CHOOSE(uxb_works!$B$47,IF(INDEX(aData,$B23,AI$4)="","-",TEXT(INDEX(aData,$B23,AI$4),$H23)),IFERROR(INDEX(aScoresRounded,$B23,AI$4),"")))</f>
        <v>95.7</v>
      </c>
      <c r="AJ23" s="631">
        <f>IF(AJ$4="","",CHOOSE(uxb_works!$B$47,IF(INDEX(aData,$B23,AJ$4)="","-",TEXT(INDEX(aData,$B23,AJ$4),$H23)),IFERROR(INDEX(aScoresRounded,$B23,AJ$4),"")))</f>
        <v>87.7</v>
      </c>
      <c r="AK23" s="631">
        <f>IF(AK$4="","",CHOOSE(uxb_works!$B$47,IF(INDEX(aData,$B23,AK$4)="","-",TEXT(INDEX(aData,$B23,AK$4),$H23)),IFERROR(INDEX(aScoresRounded,$B23,AK$4),"")))</f>
        <v>87.8</v>
      </c>
      <c r="AL23" s="631">
        <f>IF(AL$4="","",CHOOSE(uxb_works!$B$47,IF(INDEX(aData,$B23,AL$4)="","-",TEXT(INDEX(aData,$B23,AL$4),$H23)),IFERROR(INDEX(aScoresRounded,$B23,AL$4),"")))</f>
        <v>59.7</v>
      </c>
      <c r="AM23" s="631">
        <f>IF(AM$4="","",CHOOSE(uxb_works!$B$47,IF(INDEX(aData,$B23,AM$4)="","-",TEXT(INDEX(aData,$B23,AM$4),$H23)),IFERROR(INDEX(aScoresRounded,$B23,AM$4),"")))</f>
        <v>66.599999999999994</v>
      </c>
      <c r="AN23" s="631">
        <f>IF(AN$4="","",CHOOSE(uxb_works!$B$47,IF(INDEX(aData,$B23,AN$4)="","-",TEXT(INDEX(aData,$B23,AN$4),$H23)),IFERROR(INDEX(aScoresRounded,$B23,AN$4),"")))</f>
        <v>92.5</v>
      </c>
      <c r="AO23" s="631">
        <f>IF(AO$4="","",CHOOSE(uxb_works!$B$47,IF(INDEX(aData,$B23,AO$4)="","-",TEXT(INDEX(aData,$B23,AO$4),$H23)),IFERROR(INDEX(aScoresRounded,$B23,AO$4),"")))</f>
        <v>88.2</v>
      </c>
      <c r="AP23" s="631">
        <f>IF(AP$4="","",CHOOSE(uxb_works!$B$47,IF(INDEX(aData,$B23,AP$4)="","-",TEXT(INDEX(aData,$B23,AP$4),$H23)),IFERROR(INDEX(aScoresRounded,$B23,AP$4),"")))</f>
        <v>71.5</v>
      </c>
      <c r="AQ23" s="631">
        <f>IF(AQ$4="","",CHOOSE(uxb_works!$B$47,IF(INDEX(aData,$B23,AQ$4)="","-",TEXT(INDEX(aData,$B23,AQ$4),$H23)),IFERROR(INDEX(aScoresRounded,$B23,AQ$4),"")))</f>
        <v>57.2</v>
      </c>
      <c r="AR23" s="631">
        <f>IF(AR$4="","",CHOOSE(uxb_works!$B$47,IF(INDEX(aData,$B23,AR$4)="","-",TEXT(INDEX(aData,$B23,AR$4),$H23)),IFERROR(INDEX(aScoresRounded,$B23,AR$4),"")))</f>
        <v>93.8</v>
      </c>
      <c r="AS23" s="631">
        <f>IF(AS$4="","",CHOOSE(uxb_works!$B$47,IF(INDEX(aData,$B23,AS$4)="","-",TEXT(INDEX(aData,$B23,AS$4),$H23)),IFERROR(INDEX(aScoresRounded,$B23,AS$4),"")))</f>
        <v>83.5</v>
      </c>
      <c r="AT23" s="570"/>
      <c r="AW23" s="157">
        <f>CHOOSE($AV$1,0,IF(AW$10=0,0,IF(P23&lt;=$AX$1,1,IF(P23&lt;=#REF!,2,3))),IF(AW$10=0,0,IF(P23&lt;=$AX$1,4,IF(P23&lt;=#REF!,5,6))))</f>
        <v>0</v>
      </c>
      <c r="AX23" s="157">
        <f>CHOOSE($AV$1,0,IF(AX$10=0,0,IF(#REF!&lt;=$AX$1,1,IF(#REF!&lt;=#REF!,2,3))),IF(AX$10=0,0,IF(#REF!&lt;=$AX$1,4,IF(#REF!&lt;=#REF!,5,6))))</f>
        <v>0</v>
      </c>
    </row>
    <row r="24" spans="1:50" ht="25" customHeight="1">
      <c r="A24" s="213"/>
      <c r="B24" s="218">
        <f>tblIndicators!A15</f>
        <v>14</v>
      </c>
      <c r="C24" s="218"/>
      <c r="D24" s="218"/>
      <c r="E24" s="218">
        <f>tblIndicators!B15</f>
        <v>0</v>
      </c>
      <c r="F24" s="218">
        <f>IF(AND(uxb_works!$B$47=2,E24=1),0,iScores!F19)</f>
        <v>3</v>
      </c>
      <c r="G24" s="218"/>
      <c r="H24" s="218" t="str">
        <f>tblIndicators!AC15</f>
        <v>#,##0.000</v>
      </c>
      <c r="I24" s="219"/>
      <c r="J24" s="218"/>
      <c r="K24" s="214">
        <f>IF(L24=0,0,IF(uxb_works!$B$46&gt;=L24,1,0))</f>
        <v>1</v>
      </c>
      <c r="L24" s="216">
        <f>IF(AND(uxb_works!$B$47=2,E24=1),0,tblIndicators!G15)</f>
        <v>3</v>
      </c>
      <c r="M24" s="218"/>
      <c r="N24" s="249" t="str">
        <f>iScores!N19</f>
        <v xml:space="preserve">   1.3.1) Mobile data affordability</v>
      </c>
      <c r="O24" s="407">
        <f>CHOOSE(uxb_works!$B$47,iData!I19,iScores!O19)</f>
        <v>0.52171644711099519</v>
      </c>
      <c r="P24" s="631">
        <f>IF(P$4="","",CHOOSE(uxb_works!$B$47,IF(INDEX(aData,$B24,P$4)="","-",TEXT(INDEX(aData,$B24,P$4),$H24)),IFERROR(INDEX(aScoresRounded,$B24,P$4),"")))</f>
        <v>80.599999999999994</v>
      </c>
      <c r="Q24" s="706">
        <f>IF(Q$4="","",CHOOSE(uxb_works!$B$47,IF(INDEX(aData,$B24,Q$4)="","-",TEXT(INDEX(aData,$B24,Q$4),$H24)),IFERROR(INDEX(aScoresRounded,$B24,Q$4),"")))</f>
        <v>33</v>
      </c>
      <c r="R24" s="706">
        <f>IF(R$4="","",CHOOSE(uxb_works!$B$47,IF(INDEX(aData,$B24,R$4)="","-",TEXT(INDEX(aData,$B24,R$4),$H24)),IFERROR(INDEX(aScoresRounded,$B24,R$4),"")))</f>
        <v>69.599999999999994</v>
      </c>
      <c r="S24" s="706">
        <f>IF(S$4="","",CHOOSE(uxb_works!$B$47,IF(INDEX(aData,$B24,S$4)="","-",TEXT(INDEX(aData,$B24,S$4),$H24)),IFERROR(INDEX(aScoresRounded,$B24,S$4),"")))</f>
        <v>88.7</v>
      </c>
      <c r="T24" s="706">
        <f>IF(T$4="","",CHOOSE(uxb_works!$B$47,IF(INDEX(aData,$B24,T$4)="","-",TEXT(INDEX(aData,$B24,T$4),$H24)),IFERROR(INDEX(aScoresRounded,$B24,T$4),"")))</f>
        <v>93.4</v>
      </c>
      <c r="U24" s="706">
        <f>IF(U$4="","",CHOOSE(uxb_works!$B$47,IF(INDEX(aData,$B24,U$4)="","-",TEXT(INDEX(aData,$B24,U$4),$H24)),IFERROR(INDEX(aScoresRounded,$B24,U$4),"")))</f>
        <v>69.599999999999994</v>
      </c>
      <c r="V24" s="706">
        <f>IF(V$4="","",CHOOSE(uxb_works!$B$47,IF(INDEX(aData,$B24,V$4)="","-",TEXT(INDEX(aData,$B24,V$4),$H24)),IFERROR(INDEX(aScoresRounded,$B24,V$4),"")))</f>
        <v>45</v>
      </c>
      <c r="W24" s="706">
        <f>IF(W$4="","",CHOOSE(uxb_works!$B$47,IF(INDEX(aData,$B24,W$4)="","-",TEXT(INDEX(aData,$B24,W$4),$H24)),IFERROR(INDEX(aScoresRounded,$B24,W$4),"")))</f>
        <v>97.2</v>
      </c>
      <c r="X24" s="706">
        <f>IF(X$4="","",CHOOSE(uxb_works!$B$47,IF(INDEX(aData,$B24,X$4)="","-",TEXT(INDEX(aData,$B24,X$4),$H24)),IFERROR(INDEX(aScoresRounded,$B24,X$4),"")))</f>
        <v>87.6</v>
      </c>
      <c r="Y24" s="631">
        <f>IF(Y$4="","",CHOOSE(uxb_works!$B$47,IF(INDEX(aData,$B24,Y$4)="","-",TEXT(INDEX(aData,$B24,Y$4),$H24)),IFERROR(INDEX(aScoresRounded,$B24,Y$4),"")))</f>
        <v>0</v>
      </c>
      <c r="Z24" s="631">
        <f>IF(Z$4="","",CHOOSE(uxb_works!$B$47,IF(INDEX(aData,$B24,Z$4)="","-",TEXT(INDEX(aData,$B24,Z$4),$H24)),IFERROR(INDEX(aScoresRounded,$B24,Z$4),"")))</f>
        <v>82.7</v>
      </c>
      <c r="AA24" s="631">
        <f>IF(AA$4="","",CHOOSE(uxb_works!$B$47,IF(INDEX(aData,$B24,AA$4)="","-",TEXT(INDEX(aData,$B24,AA$4),$H24)),IFERROR(INDEX(aScoresRounded,$B24,AA$4),"")))</f>
        <v>88.2</v>
      </c>
      <c r="AB24" s="631">
        <f>IF(AB$4="","",CHOOSE(uxb_works!$B$47,IF(INDEX(aData,$B24,AB$4)="","-",TEXT(INDEX(aData,$B24,AB$4),$H24)),IFERROR(INDEX(aScoresRounded,$B24,AB$4),"")))</f>
        <v>85.2</v>
      </c>
      <c r="AC24" s="631">
        <f>IF(AC$4="","",CHOOSE(uxb_works!$B$47,IF(INDEX(aData,$B24,AC$4)="","-",TEXT(INDEX(aData,$B24,AC$4),$H24)),IFERROR(INDEX(aScoresRounded,$B24,AC$4),"")))</f>
        <v>83.6</v>
      </c>
      <c r="AD24" s="631">
        <f>IF(AD$4="","",CHOOSE(uxb_works!$B$47,IF(INDEX(aData,$B24,AD$4)="","-",TEXT(INDEX(aData,$B24,AD$4),$H24)),IFERROR(INDEX(aScoresRounded,$B24,AD$4),"")))</f>
        <v>94.5</v>
      </c>
      <c r="AE24" s="631">
        <f>IF(AE$4="","",CHOOSE(uxb_works!$B$47,IF(INDEX(aData,$B24,AE$4)="","-",TEXT(INDEX(aData,$B24,AE$4),$H24)),IFERROR(INDEX(aScoresRounded,$B24,AE$4),"")))</f>
        <v>90.8</v>
      </c>
      <c r="AF24" s="631">
        <f>IF(AF$4="","",CHOOSE(uxb_works!$B$47,IF(INDEX(aData,$B24,AF$4)="","-",TEXT(INDEX(aData,$B24,AF$4),$H24)),IFERROR(INDEX(aScoresRounded,$B24,AF$4),"")))</f>
        <v>45.9</v>
      </c>
      <c r="AG24" s="631">
        <f>IF(AG$4="","",CHOOSE(uxb_works!$B$47,IF(INDEX(aData,$B24,AG$4)="","-",TEXT(INDEX(aData,$B24,AG$4),$H24)),IFERROR(INDEX(aScoresRounded,$B24,AG$4),"")))</f>
        <v>48.9</v>
      </c>
      <c r="AH24" s="631">
        <f>IF(AH$4="","",CHOOSE(uxb_works!$B$47,IF(INDEX(aData,$B24,AH$4)="","-",TEXT(INDEX(aData,$B24,AH$4),$H24)),IFERROR(INDEX(aScoresRounded,$B24,AH$4),"")))</f>
        <v>50.7</v>
      </c>
      <c r="AI24" s="631">
        <f>IF(AI$4="","",CHOOSE(uxb_works!$B$47,IF(INDEX(aData,$B24,AI$4)="","-",TEXT(INDEX(aData,$B24,AI$4),$H24)),IFERROR(INDEX(aScoresRounded,$B24,AI$4),"")))</f>
        <v>91.7</v>
      </c>
      <c r="AJ24" s="631">
        <f>IF(AJ$4="","",CHOOSE(uxb_works!$B$47,IF(INDEX(aData,$B24,AJ$4)="","-",TEXT(INDEX(aData,$B24,AJ$4),$H24)),IFERROR(INDEX(aScoresRounded,$B24,AJ$4),"")))</f>
        <v>100</v>
      </c>
      <c r="AK24" s="631">
        <f>IF(AK$4="","",CHOOSE(uxb_works!$B$47,IF(INDEX(aData,$B24,AK$4)="","-",TEXT(INDEX(aData,$B24,AK$4),$H24)),IFERROR(INDEX(aScoresRounded,$B24,AK$4),"")))</f>
        <v>100</v>
      </c>
      <c r="AL24" s="631">
        <f>IF(AL$4="","",CHOOSE(uxb_works!$B$47,IF(INDEX(aData,$B24,AL$4)="","-",TEXT(INDEX(aData,$B24,AL$4),$H24)),IFERROR(INDEX(aScoresRounded,$B24,AL$4),"")))</f>
        <v>74</v>
      </c>
      <c r="AM24" s="631">
        <f>IF(AM$4="","",CHOOSE(uxb_works!$B$47,IF(INDEX(aData,$B24,AM$4)="","-",TEXT(INDEX(aData,$B24,AM$4),$H24)),IFERROR(INDEX(aScoresRounded,$B24,AM$4),"")))</f>
        <v>43.5</v>
      </c>
      <c r="AN24" s="631">
        <f>IF(AN$4="","",CHOOSE(uxb_works!$B$47,IF(INDEX(aData,$B24,AN$4)="","-",TEXT(INDEX(aData,$B24,AN$4),$H24)),IFERROR(INDEX(aScoresRounded,$B24,AN$4),"")))</f>
        <v>94.8</v>
      </c>
      <c r="AO24" s="631">
        <f>IF(AO$4="","",CHOOSE(uxb_works!$B$47,IF(INDEX(aData,$B24,AO$4)="","-",TEXT(INDEX(aData,$B24,AO$4),$H24)),IFERROR(INDEX(aScoresRounded,$B24,AO$4),"")))</f>
        <v>97.4</v>
      </c>
      <c r="AP24" s="631">
        <f>IF(AP$4="","",CHOOSE(uxb_works!$B$47,IF(INDEX(aData,$B24,AP$4)="","-",TEXT(INDEX(aData,$B24,AP$4),$H24)),IFERROR(INDEX(aScoresRounded,$B24,AP$4),"")))</f>
        <v>72.5</v>
      </c>
      <c r="AQ24" s="631">
        <f>IF(AQ$4="","",CHOOSE(uxb_works!$B$47,IF(INDEX(aData,$B24,AQ$4)="","-",TEXT(INDEX(aData,$B24,AQ$4),$H24)),IFERROR(INDEX(aScoresRounded,$B24,AQ$4),"")))</f>
        <v>55.4</v>
      </c>
      <c r="AR24" s="631">
        <f>IF(AR$4="","",CHOOSE(uxb_works!$B$47,IF(INDEX(aData,$B24,AR$4)="","-",TEXT(INDEX(aData,$B24,AR$4),$H24)),IFERROR(INDEX(aScoresRounded,$B24,AR$4),"")))</f>
        <v>91.5</v>
      </c>
      <c r="AS24" s="631">
        <f>IF(AS$4="","",CHOOSE(uxb_works!$B$47,IF(INDEX(aData,$B24,AS$4)="","-",TEXT(INDEX(aData,$B24,AS$4),$H24)),IFERROR(INDEX(aScoresRounded,$B24,AS$4),"")))</f>
        <v>81.900000000000006</v>
      </c>
      <c r="AT24" s="570"/>
      <c r="AW24" s="157">
        <f>CHOOSE($AV$1,0,IF(AW$10=0,0,IF(P24&lt;=$AX$1,1,IF(P24&lt;=#REF!,2,3))),IF(AW$10=0,0,IF(P24&lt;=$AX$1,4,IF(P24&lt;=#REF!,5,6))))</f>
        <v>0</v>
      </c>
      <c r="AX24" s="157">
        <f>CHOOSE($AV$1,0,IF(AX$10=0,0,IF(#REF!&lt;=$AX$1,1,IF(#REF!&lt;=#REF!,2,3))),IF(AX$10=0,0,IF(#REF!&lt;=$AX$1,4,IF(#REF!&lt;=#REF!,5,6))))</f>
        <v>0</v>
      </c>
    </row>
    <row r="25" spans="1:50" ht="25" customHeight="1">
      <c r="A25" s="213"/>
      <c r="B25" s="218">
        <f>tblIndicators!A16</f>
        <v>15</v>
      </c>
      <c r="C25" s="218"/>
      <c r="D25" s="218"/>
      <c r="E25" s="218">
        <f>tblIndicators!B16</f>
        <v>0</v>
      </c>
      <c r="F25" s="218">
        <f>IF(AND(uxb_works!$B$47=2,E25=1),0,iScores!F20)</f>
        <v>3</v>
      </c>
      <c r="G25" s="218"/>
      <c r="H25" s="218" t="str">
        <f>tblIndicators!AC16</f>
        <v>#,##0.00</v>
      </c>
      <c r="I25" s="219"/>
      <c r="J25" s="218"/>
      <c r="K25" s="214">
        <f>IF(L25=0,0,IF(uxb_works!$B$46&gt;=L25,1,0))</f>
        <v>1</v>
      </c>
      <c r="L25" s="216">
        <f>IF(AND(uxb_works!$B$47=2,E25=1),0,tblIndicators!G16)</f>
        <v>3</v>
      </c>
      <c r="M25" s="218"/>
      <c r="N25" s="249" t="str">
        <f>iScores!N20</f>
        <v xml:space="preserve">   1.3.2) Fixed broadband affordability</v>
      </c>
      <c r="O25" s="407">
        <f>CHOOSE(uxb_works!$B$47,iData!I20,iScores!O20)</f>
        <v>0.47828355288900481</v>
      </c>
      <c r="P25" s="631">
        <f>IF(P$4="","",CHOOSE(uxb_works!$B$47,IF(INDEX(aData,$B25,P$4)="","-",TEXT(INDEX(aData,$B25,P$4),$H25)),IFERROR(INDEX(aScoresRounded,$B25,P$4),"")))</f>
        <v>67.900000000000006</v>
      </c>
      <c r="Q25" s="706">
        <f>IF(Q$4="","",CHOOSE(uxb_works!$B$47,IF(INDEX(aData,$B25,Q$4)="","-",TEXT(INDEX(aData,$B25,Q$4),$H25)),IFERROR(INDEX(aScoresRounded,$B25,Q$4),"")))</f>
        <v>61.9</v>
      </c>
      <c r="R25" s="706">
        <f>IF(R$4="","",CHOOSE(uxb_works!$B$47,IF(INDEX(aData,$B25,R$4)="","-",TEXT(INDEX(aData,$B25,R$4),$H25)),IFERROR(INDEX(aScoresRounded,$B25,R$4),"")))</f>
        <v>35.700000000000003</v>
      </c>
      <c r="S25" s="706">
        <f>IF(S$4="","",CHOOSE(uxb_works!$B$47,IF(INDEX(aData,$B25,S$4)="","-",TEXT(INDEX(aData,$B25,S$4),$H25)),IFERROR(INDEX(aScoresRounded,$B25,S$4),"")))</f>
        <v>49.9</v>
      </c>
      <c r="T25" s="706">
        <f>IF(T$4="","",CHOOSE(uxb_works!$B$47,IF(INDEX(aData,$B25,T$4)="","-",TEXT(INDEX(aData,$B25,T$4),$H25)),IFERROR(INDEX(aScoresRounded,$B25,T$4),"")))</f>
        <v>95.6</v>
      </c>
      <c r="U25" s="706">
        <f>IF(U$4="","",CHOOSE(uxb_works!$B$47,IF(INDEX(aData,$B25,U$4)="","-",TEXT(INDEX(aData,$B25,U$4),$H25)),IFERROR(INDEX(aScoresRounded,$B25,U$4),"")))</f>
        <v>73.099999999999994</v>
      </c>
      <c r="V25" s="706">
        <f>IF(V$4="","",CHOOSE(uxb_works!$B$47,IF(INDEX(aData,$B25,V$4)="","-",TEXT(INDEX(aData,$B25,V$4),$H25)),IFERROR(INDEX(aScoresRounded,$B25,V$4),"")))</f>
        <v>3.5</v>
      </c>
      <c r="W25" s="706">
        <f>IF(W$4="","",CHOOSE(uxb_works!$B$47,IF(INDEX(aData,$B25,W$4)="","-",TEXT(INDEX(aData,$B25,W$4),$H25)),IFERROR(INDEX(aScoresRounded,$B25,W$4),"")))</f>
        <v>90.2</v>
      </c>
      <c r="X25" s="706">
        <f>IF(X$4="","",CHOOSE(uxb_works!$B$47,IF(INDEX(aData,$B25,X$4)="","-",TEXT(INDEX(aData,$B25,X$4),$H25)),IFERROR(INDEX(aScoresRounded,$B25,X$4),"")))</f>
        <v>92.1</v>
      </c>
      <c r="Y25" s="631">
        <f>IF(Y$4="","",CHOOSE(uxb_works!$B$47,IF(INDEX(aData,$B25,Y$4)="","-",TEXT(INDEX(aData,$B25,Y$4),$H25)),IFERROR(INDEX(aScoresRounded,$B25,Y$4),"")))</f>
        <v>0.8</v>
      </c>
      <c r="Z25" s="631">
        <f>IF(Z$4="","",CHOOSE(uxb_works!$B$47,IF(INDEX(aData,$B25,Z$4)="","-",TEXT(INDEX(aData,$B25,Z$4),$H25)),IFERROR(INDEX(aScoresRounded,$B25,Z$4),"")))</f>
        <v>91.9</v>
      </c>
      <c r="AA25" s="631">
        <f>IF(AA$4="","",CHOOSE(uxb_works!$B$47,IF(INDEX(aData,$B25,AA$4)="","-",TEXT(INDEX(aData,$B25,AA$4),$H25)),IFERROR(INDEX(aScoresRounded,$B25,AA$4),"")))</f>
        <v>67.900000000000006</v>
      </c>
      <c r="AB25" s="631">
        <f>IF(AB$4="","",CHOOSE(uxb_works!$B$47,IF(INDEX(aData,$B25,AB$4)="","-",TEXT(INDEX(aData,$B25,AB$4),$H25)),IFERROR(INDEX(aScoresRounded,$B25,AB$4),"")))</f>
        <v>2.8</v>
      </c>
      <c r="AC25" s="631">
        <f>IF(AC$4="","",CHOOSE(uxb_works!$B$47,IF(INDEX(aData,$B25,AC$4)="","-",TEXT(INDEX(aData,$B25,AC$4),$H25)),IFERROR(INDEX(aScoresRounded,$B25,AC$4),"")))</f>
        <v>44.9</v>
      </c>
      <c r="AD25" s="631">
        <f>IF(AD$4="","",CHOOSE(uxb_works!$B$47,IF(INDEX(aData,$B25,AD$4)="","-",TEXT(INDEX(aData,$B25,AD$4),$H25)),IFERROR(INDEX(aScoresRounded,$B25,AD$4),"")))</f>
        <v>93.4</v>
      </c>
      <c r="AE25" s="631">
        <f>IF(AE$4="","",CHOOSE(uxb_works!$B$47,IF(INDEX(aData,$B25,AE$4)="","-",TEXT(INDEX(aData,$B25,AE$4),$H25)),IFERROR(INDEX(aScoresRounded,$B25,AE$4),"")))</f>
        <v>66.7</v>
      </c>
      <c r="AF25" s="631">
        <f>IF(AF$4="","",CHOOSE(uxb_works!$B$47,IF(INDEX(aData,$B25,AF$4)="","-",TEXT(INDEX(aData,$B25,AF$4),$H25)),IFERROR(INDEX(aScoresRounded,$B25,AF$4),"")))</f>
        <v>27.5</v>
      </c>
      <c r="AG25" s="631">
        <f>IF(AG$4="","",CHOOSE(uxb_works!$B$47,IF(INDEX(aData,$B25,AG$4)="","-",TEXT(INDEX(aData,$B25,AG$4),$H25)),IFERROR(INDEX(aScoresRounded,$B25,AG$4),"")))</f>
        <v>78.400000000000006</v>
      </c>
      <c r="AH25" s="631">
        <f>IF(AH$4="","",CHOOSE(uxb_works!$B$47,IF(INDEX(aData,$B25,AH$4)="","-",TEXT(INDEX(aData,$B25,AH$4),$H25)),IFERROR(INDEX(aScoresRounded,$B25,AH$4),"")))</f>
        <v>0</v>
      </c>
      <c r="AI25" s="631">
        <f>IF(AI$4="","",CHOOSE(uxb_works!$B$47,IF(INDEX(aData,$B25,AI$4)="","-",TEXT(INDEX(aData,$B25,AI$4),$H25)),IFERROR(INDEX(aScoresRounded,$B25,AI$4),"")))</f>
        <v>100</v>
      </c>
      <c r="AJ25" s="631">
        <f>IF(AJ$4="","",CHOOSE(uxb_works!$B$47,IF(INDEX(aData,$B25,AJ$4)="","-",TEXT(INDEX(aData,$B25,AJ$4),$H25)),IFERROR(INDEX(aScoresRounded,$B25,AJ$4),"")))</f>
        <v>74.2</v>
      </c>
      <c r="AK25" s="631">
        <f>IF(AK$4="","",CHOOSE(uxb_works!$B$47,IF(INDEX(aData,$B25,AK$4)="","-",TEXT(INDEX(aData,$B25,AK$4),$H25)),IFERROR(INDEX(aScoresRounded,$B25,AK$4),"")))</f>
        <v>74.599999999999994</v>
      </c>
      <c r="AL25" s="631">
        <f>IF(AL$4="","",CHOOSE(uxb_works!$B$47,IF(INDEX(aData,$B25,AL$4)="","-",TEXT(INDEX(aData,$B25,AL$4),$H25)),IFERROR(INDEX(aScoresRounded,$B25,AL$4),"")))</f>
        <v>44.1</v>
      </c>
      <c r="AM25" s="631">
        <f>IF(AM$4="","",CHOOSE(uxb_works!$B$47,IF(INDEX(aData,$B25,AM$4)="","-",TEXT(INDEX(aData,$B25,AM$4),$H25)),IFERROR(INDEX(aScoresRounded,$B25,AM$4),"")))</f>
        <v>91.8</v>
      </c>
      <c r="AN25" s="631">
        <f>IF(AN$4="","",CHOOSE(uxb_works!$B$47,IF(INDEX(aData,$B25,AN$4)="","-",TEXT(INDEX(aData,$B25,AN$4),$H25)),IFERROR(INDEX(aScoresRounded,$B25,AN$4),"")))</f>
        <v>90</v>
      </c>
      <c r="AO25" s="631">
        <f>IF(AO$4="","",CHOOSE(uxb_works!$B$47,IF(INDEX(aData,$B25,AO$4)="","-",TEXT(INDEX(aData,$B25,AO$4),$H25)),IFERROR(INDEX(aScoresRounded,$B25,AO$4),"")))</f>
        <v>78.2</v>
      </c>
      <c r="AP25" s="631">
        <f>IF(AP$4="","",CHOOSE(uxb_works!$B$47,IF(INDEX(aData,$B25,AP$4)="","-",TEXT(INDEX(aData,$B25,AP$4),$H25)),IFERROR(INDEX(aScoresRounded,$B25,AP$4),"")))</f>
        <v>70.5</v>
      </c>
      <c r="AQ25" s="631">
        <f>IF(AQ$4="","",CHOOSE(uxb_works!$B$47,IF(INDEX(aData,$B25,AQ$4)="","-",TEXT(INDEX(aData,$B25,AQ$4),$H25)),IFERROR(INDEX(aScoresRounded,$B25,AQ$4),"")))</f>
        <v>59.2</v>
      </c>
      <c r="AR25" s="631">
        <f>IF(AR$4="","",CHOOSE(uxb_works!$B$47,IF(INDEX(aData,$B25,AR$4)="","-",TEXT(INDEX(aData,$B25,AR$4),$H25)),IFERROR(INDEX(aScoresRounded,$B25,AR$4),"")))</f>
        <v>96.4</v>
      </c>
      <c r="AS25" s="631">
        <f>IF(AS$4="","",CHOOSE(uxb_works!$B$47,IF(INDEX(aData,$B25,AS$4)="","-",TEXT(INDEX(aData,$B25,AS$4),$H25)),IFERROR(INDEX(aScoresRounded,$B25,AS$4),"")))</f>
        <v>85.3</v>
      </c>
      <c r="AT25" s="570"/>
      <c r="AW25" s="157">
        <f>CHOOSE($AV$1,0,IF(AW$10=0,0,IF(P25&lt;=$AX$1,1,IF(P25&lt;=#REF!,2,3))),IF(AW$10=0,0,IF(P25&lt;=$AX$1,4,IF(P25&lt;=#REF!,5,6))))</f>
        <v>0</v>
      </c>
      <c r="AX25" s="157">
        <f>CHOOSE($AV$1,0,IF(AX$10=0,0,IF(#REF!&lt;=$AX$1,1,IF(#REF!&lt;=#REF!,2,3))),IF(AX$10=0,0,IF(#REF!&lt;=$AX$1,4,IF(#REF!&lt;=#REF!,5,6))))</f>
        <v>0</v>
      </c>
    </row>
    <row r="26" spans="1:50" ht="25" customHeight="1">
      <c r="A26" s="213"/>
      <c r="B26" s="218">
        <f>tblIndicators!A17</f>
        <v>16</v>
      </c>
      <c r="C26" s="218"/>
      <c r="D26" s="218"/>
      <c r="E26" s="218">
        <f>tblIndicators!B17</f>
        <v>0</v>
      </c>
      <c r="F26" s="218">
        <f>IF(AND(uxb_works!$B$47=2,E26=1),0,iScores!F21)</f>
        <v>1</v>
      </c>
      <c r="G26" s="218"/>
      <c r="H26" s="218" t="str">
        <f>tblIndicators!AC17</f>
        <v>#,##0.0</v>
      </c>
      <c r="I26" s="219"/>
      <c r="J26" s="218"/>
      <c r="K26" s="214">
        <f>IF(L26=0,0,IF(uxb_works!$B$46&gt;=L26,1,0))</f>
        <v>1</v>
      </c>
      <c r="L26" s="216">
        <f>IF(AND(uxb_works!$B$47=2,E26=1),0,tblIndicators!G17)</f>
        <v>1</v>
      </c>
      <c r="M26" s="218"/>
      <c r="N26" s="249" t="str">
        <f>iScores!N21</f>
        <v xml:space="preserve"> 2) SERVICES</v>
      </c>
      <c r="O26" s="407">
        <f>CHOOSE(uxb_works!$B$47,iData!I21,iScores!O21)</f>
        <v>0.28000000000000003</v>
      </c>
      <c r="P26" s="631">
        <f>IF(P$4="","",CHOOSE(uxb_works!$B$47,IF(INDEX(aData,$B26,P$4)="","-",TEXT(INDEX(aData,$B26,P$4),$H26)),IFERROR(INDEX(aScoresRounded,$B26,P$4),"")))</f>
        <v>73.2</v>
      </c>
      <c r="Q26" s="706">
        <f>IF(Q$4="","",CHOOSE(uxb_works!$B$47,IF(INDEX(aData,$B26,Q$4)="","-",TEXT(INDEX(aData,$B26,Q$4),$H26)),IFERROR(INDEX(aScoresRounded,$B26,Q$4),"")))</f>
        <v>49.5</v>
      </c>
      <c r="R26" s="706">
        <f>IF(R$4="","",CHOOSE(uxb_works!$B$47,IF(INDEX(aData,$B26,R$4)="","-",TEXT(INDEX(aData,$B26,R$4),$H26)),IFERROR(INDEX(aScoresRounded,$B26,R$4),"")))</f>
        <v>52.6</v>
      </c>
      <c r="S26" s="706">
        <f>IF(S$4="","",CHOOSE(uxb_works!$B$47,IF(INDEX(aData,$B26,S$4)="","-",TEXT(INDEX(aData,$B26,S$4),$H26)),IFERROR(INDEX(aScoresRounded,$B26,S$4),"")))</f>
        <v>72</v>
      </c>
      <c r="T26" s="706">
        <f>IF(T$4="","",CHOOSE(uxb_works!$B$47,IF(INDEX(aData,$B26,T$4)="","-",TEXT(INDEX(aData,$B26,T$4),$H26)),IFERROR(INDEX(aScoresRounded,$B26,T$4),"")))</f>
        <v>68.3</v>
      </c>
      <c r="U26" s="706">
        <f>IF(U$4="","",CHOOSE(uxb_works!$B$47,IF(INDEX(aData,$B26,U$4)="","-",TEXT(INDEX(aData,$B26,U$4),$H26)),IFERROR(INDEX(aScoresRounded,$B26,U$4),"")))</f>
        <v>73.8</v>
      </c>
      <c r="V26" s="706">
        <f>IF(V$4="","",CHOOSE(uxb_works!$B$47,IF(INDEX(aData,$B26,V$4)="","-",TEXT(INDEX(aData,$B26,V$4),$H26)),IFERROR(INDEX(aScoresRounded,$B26,V$4),"")))</f>
        <v>42.2</v>
      </c>
      <c r="W26" s="706">
        <f>IF(W$4="","",CHOOSE(uxb_works!$B$47,IF(INDEX(aData,$B26,W$4)="","-",TEXT(INDEX(aData,$B26,W$4),$H26)),IFERROR(INDEX(aScoresRounded,$B26,W$4),"")))</f>
        <v>79.3</v>
      </c>
      <c r="X26" s="706">
        <f>IF(X$4="","",CHOOSE(uxb_works!$B$47,IF(INDEX(aData,$B26,X$4)="","-",TEXT(INDEX(aData,$B26,X$4),$H26)),IFERROR(INDEX(aScoresRounded,$B26,X$4),"")))</f>
        <v>67.5</v>
      </c>
      <c r="Y26" s="631">
        <f>IF(Y$4="","",CHOOSE(uxb_works!$B$47,IF(INDEX(aData,$B26,Y$4)="","-",TEXT(INDEX(aData,$B26,Y$4),$H26)),IFERROR(INDEX(aScoresRounded,$B26,Y$4),"")))</f>
        <v>69.8</v>
      </c>
      <c r="Z26" s="631">
        <f>IF(Z$4="","",CHOOSE(uxb_works!$B$47,IF(INDEX(aData,$B26,Z$4)="","-",TEXT(INDEX(aData,$B26,Z$4),$H26)),IFERROR(INDEX(aScoresRounded,$B26,Z$4),"")))</f>
        <v>69.900000000000006</v>
      </c>
      <c r="AA26" s="631">
        <f>IF(AA$4="","",CHOOSE(uxb_works!$B$47,IF(INDEX(aData,$B26,AA$4)="","-",TEXT(INDEX(aData,$B26,AA$4),$H26)),IFERROR(INDEX(aScoresRounded,$B26,AA$4),"")))</f>
        <v>70.2</v>
      </c>
      <c r="AB26" s="631">
        <f>IF(AB$4="","",CHOOSE(uxb_works!$B$47,IF(INDEX(aData,$B26,AB$4)="","-",TEXT(INDEX(aData,$B26,AB$4),$H26)),IFERROR(INDEX(aScoresRounded,$B26,AB$4),"")))</f>
        <v>42.5</v>
      </c>
      <c r="AC26" s="631">
        <f>IF(AC$4="","",CHOOSE(uxb_works!$B$47,IF(INDEX(aData,$B26,AC$4)="","-",TEXT(INDEX(aData,$B26,AC$4),$H26)),IFERROR(INDEX(aScoresRounded,$B26,AC$4),"")))</f>
        <v>52.6</v>
      </c>
      <c r="AD26" s="631">
        <f>IF(AD$4="","",CHOOSE(uxb_works!$B$47,IF(INDEX(aData,$B26,AD$4)="","-",TEXT(INDEX(aData,$B26,AD$4),$H26)),IFERROR(INDEX(aScoresRounded,$B26,AD$4),"")))</f>
        <v>73.5</v>
      </c>
      <c r="AE26" s="631">
        <f>IF(AE$4="","",CHOOSE(uxb_works!$B$47,IF(INDEX(aData,$B26,AE$4)="","-",TEXT(INDEX(aData,$B26,AE$4),$H26)),IFERROR(INDEX(aScoresRounded,$B26,AE$4),"")))</f>
        <v>61.5</v>
      </c>
      <c r="AF26" s="631">
        <f>IF(AF$4="","",CHOOSE(uxb_works!$B$47,IF(INDEX(aData,$B26,AF$4)="","-",TEXT(INDEX(aData,$B26,AF$4),$H26)),IFERROR(INDEX(aScoresRounded,$B26,AF$4),"")))</f>
        <v>36.5</v>
      </c>
      <c r="AG26" s="631">
        <f>IF(AG$4="","",CHOOSE(uxb_works!$B$47,IF(INDEX(aData,$B26,AG$4)="","-",TEXT(INDEX(aData,$B26,AG$4),$H26)),IFERROR(INDEX(aScoresRounded,$B26,AG$4),"")))</f>
        <v>34.4</v>
      </c>
      <c r="AH26" s="631">
        <f>IF(AH$4="","",CHOOSE(uxb_works!$B$47,IF(INDEX(aData,$B26,AH$4)="","-",TEXT(INDEX(aData,$B26,AH$4),$H26)),IFERROR(INDEX(aScoresRounded,$B26,AH$4),"")))</f>
        <v>54.3</v>
      </c>
      <c r="AI26" s="631">
        <f>IF(AI$4="","",CHOOSE(uxb_works!$B$47,IF(INDEX(aData,$B26,AI$4)="","-",TEXT(INDEX(aData,$B26,AI$4),$H26)),IFERROR(INDEX(aScoresRounded,$B26,AI$4),"")))</f>
        <v>67.2</v>
      </c>
      <c r="AJ26" s="631">
        <f>IF(AJ$4="","",CHOOSE(uxb_works!$B$47,IF(INDEX(aData,$B26,AJ$4)="","-",TEXT(INDEX(aData,$B26,AJ$4),$H26)),IFERROR(INDEX(aScoresRounded,$B26,AJ$4),"")))</f>
        <v>72.5</v>
      </c>
      <c r="AK26" s="631">
        <f>IF(AK$4="","",CHOOSE(uxb_works!$B$47,IF(INDEX(aData,$B26,AK$4)="","-",TEXT(INDEX(aData,$B26,AK$4),$H26)),IFERROR(INDEX(aScoresRounded,$B26,AK$4),"")))</f>
        <v>65.3</v>
      </c>
      <c r="AL26" s="631">
        <f>IF(AL$4="","",CHOOSE(uxb_works!$B$47,IF(INDEX(aData,$B26,AL$4)="","-",TEXT(INDEX(aData,$B26,AL$4),$H26)),IFERROR(INDEX(aScoresRounded,$B26,AL$4),"")))</f>
        <v>41.3</v>
      </c>
      <c r="AM26" s="631">
        <f>IF(AM$4="","",CHOOSE(uxb_works!$B$47,IF(INDEX(aData,$B26,AM$4)="","-",TEXT(INDEX(aData,$B26,AM$4),$H26)),IFERROR(INDEX(aScoresRounded,$B26,AM$4),"")))</f>
        <v>62.5</v>
      </c>
      <c r="AN26" s="631">
        <f>IF(AN$4="","",CHOOSE(uxb_works!$B$47,IF(INDEX(aData,$B26,AN$4)="","-",TEXT(INDEX(aData,$B26,AN$4),$H26)),IFERROR(INDEX(aScoresRounded,$B26,AN$4),"")))</f>
        <v>72.7</v>
      </c>
      <c r="AO26" s="631">
        <f>IF(AO$4="","",CHOOSE(uxb_works!$B$47,IF(INDEX(aData,$B26,AO$4)="","-",TEXT(INDEX(aData,$B26,AO$4),$H26)),IFERROR(INDEX(aScoresRounded,$B26,AO$4),"")))</f>
        <v>70.8</v>
      </c>
      <c r="AP26" s="631">
        <f>IF(AP$4="","",CHOOSE(uxb_works!$B$47,IF(INDEX(aData,$B26,AP$4)="","-",TEXT(INDEX(aData,$B26,AP$4),$H26)),IFERROR(INDEX(aScoresRounded,$B26,AP$4),"")))</f>
        <v>52.8</v>
      </c>
      <c r="AQ26" s="631">
        <f>IF(AQ$4="","",CHOOSE(uxb_works!$B$47,IF(INDEX(aData,$B26,AQ$4)="","-",TEXT(INDEX(aData,$B26,AQ$4),$H26)),IFERROR(INDEX(aScoresRounded,$B26,AQ$4),"")))</f>
        <v>64</v>
      </c>
      <c r="AR26" s="631">
        <f>IF(AR$4="","",CHOOSE(uxb_works!$B$47,IF(INDEX(aData,$B26,AR$4)="","-",TEXT(INDEX(aData,$B26,AR$4),$H26)),IFERROR(INDEX(aScoresRounded,$B26,AR$4),"")))</f>
        <v>64.900000000000006</v>
      </c>
      <c r="AS26" s="631">
        <f>IF(AS$4="","",CHOOSE(uxb_works!$B$47,IF(INDEX(aData,$B26,AS$4)="","-",TEXT(INDEX(aData,$B26,AS$4),$H26)),IFERROR(INDEX(aScoresRounded,$B26,AS$4),"")))</f>
        <v>65.7</v>
      </c>
      <c r="AT26" s="570"/>
      <c r="AW26" s="157">
        <f>CHOOSE($AV$1,0,IF(AW$10=0,0,IF(P26&lt;=$AX$1,1,IF(P26&lt;=#REF!,2,3))),IF(AW$10=0,0,IF(P26&lt;=$AX$1,4,IF(P26&lt;=#REF!,5,6))))</f>
        <v>0</v>
      </c>
      <c r="AX26" s="157">
        <f>CHOOSE($AV$1,0,IF(AX$10=0,0,IF(#REF!&lt;=$AX$1,1,IF(#REF!&lt;=#REF!,2,3))),IF(AX$10=0,0,IF(#REF!&lt;=$AX$1,4,IF(#REF!&lt;=#REF!,5,6))))</f>
        <v>0</v>
      </c>
    </row>
    <row r="27" spans="1:50" ht="25" customHeight="1">
      <c r="A27" s="213"/>
      <c r="B27" s="218">
        <f>tblIndicators!A18</f>
        <v>17</v>
      </c>
      <c r="C27" s="218"/>
      <c r="D27" s="218"/>
      <c r="E27" s="218">
        <f>tblIndicators!B18</f>
        <v>0</v>
      </c>
      <c r="F27" s="218">
        <f>IF(AND(uxb_works!$B$47=2,E27=1),0,iScores!F22)</f>
        <v>2</v>
      </c>
      <c r="G27" s="218"/>
      <c r="H27" s="218" t="str">
        <f>tblIndicators!AC18</f>
        <v>#,##0.0</v>
      </c>
      <c r="I27" s="219"/>
      <c r="J27" s="218"/>
      <c r="K27" s="214">
        <f>IF(L27=0,0,IF(uxb_works!$B$46&gt;=L27,1,0))</f>
        <v>1</v>
      </c>
      <c r="L27" s="216">
        <f>IF(AND(uxb_works!$B$47=2,E27=1),0,tblIndicators!G18)</f>
        <v>2</v>
      </c>
      <c r="M27" s="218"/>
      <c r="N27" s="249" t="str">
        <f>iScores!N22</f>
        <v xml:space="preserve">  2.1) E-gov services for residents &amp; businesses</v>
      </c>
      <c r="O27" s="407">
        <f>CHOOSE(uxb_works!$B$47,iData!I22,iScores!O22)</f>
        <v>0.19230769230769232</v>
      </c>
      <c r="P27" s="631">
        <f>IF(P$4="","",CHOOSE(uxb_works!$B$47,IF(INDEX(aData,$B27,P$4)="","-",TEXT(INDEX(aData,$B27,P$4),$H27)),IFERROR(INDEX(aScoresRounded,$B27,P$4),"")))</f>
        <v>48.6</v>
      </c>
      <c r="Q27" s="706">
        <f>IF(Q$4="","",CHOOSE(uxb_works!$B$47,IF(INDEX(aData,$B27,Q$4)="","-",TEXT(INDEX(aData,$B27,Q$4),$H27)),IFERROR(INDEX(aScoresRounded,$B27,Q$4),"")))</f>
        <v>65.400000000000006</v>
      </c>
      <c r="R27" s="706">
        <f>IF(R$4="","",CHOOSE(uxb_works!$B$47,IF(INDEX(aData,$B27,R$4)="","-",TEXT(INDEX(aData,$B27,R$4),$H27)),IFERROR(INDEX(aScoresRounded,$B27,R$4),"")))</f>
        <v>60.4</v>
      </c>
      <c r="S27" s="706">
        <f>IF(S$4="","",CHOOSE(uxb_works!$B$47,IF(INDEX(aData,$B27,S$4)="","-",TEXT(INDEX(aData,$B27,S$4),$H27)),IFERROR(INDEX(aScoresRounded,$B27,S$4),"")))</f>
        <v>63.9</v>
      </c>
      <c r="T27" s="706">
        <f>IF(T$4="","",CHOOSE(uxb_works!$B$47,IF(INDEX(aData,$B27,T$4)="","-",TEXT(INDEX(aData,$B27,T$4),$H27)),IFERROR(INDEX(aScoresRounded,$B27,T$4),"")))</f>
        <v>64.599999999999994</v>
      </c>
      <c r="U27" s="706">
        <f>IF(U$4="","",CHOOSE(uxb_works!$B$47,IF(INDEX(aData,$B27,U$4)="","-",TEXT(INDEX(aData,$B27,U$4),$H27)),IFERROR(INDEX(aScoresRounded,$B27,U$4),"")))</f>
        <v>90.7</v>
      </c>
      <c r="V27" s="706">
        <f>IF(V$4="","",CHOOSE(uxb_works!$B$47,IF(INDEX(aData,$B27,V$4)="","-",TEXT(INDEX(aData,$B27,V$4),$H27)),IFERROR(INDEX(aScoresRounded,$B27,V$4),"")))</f>
        <v>46.4</v>
      </c>
      <c r="W27" s="706">
        <f>IF(W$4="","",CHOOSE(uxb_works!$B$47,IF(INDEX(aData,$B27,W$4)="","-",TEXT(INDEX(aData,$B27,W$4),$H27)),IFERROR(INDEX(aScoresRounded,$B27,W$4),"")))</f>
        <v>66.8</v>
      </c>
      <c r="X27" s="706">
        <f>IF(X$4="","",CHOOSE(uxb_works!$B$47,IF(INDEX(aData,$B27,X$4)="","-",TEXT(INDEX(aData,$B27,X$4),$H27)),IFERROR(INDEX(aScoresRounded,$B27,X$4),"")))</f>
        <v>66.099999999999994</v>
      </c>
      <c r="Y27" s="631">
        <f>IF(Y$4="","",CHOOSE(uxb_works!$B$47,IF(INDEX(aData,$B27,Y$4)="","-",TEXT(INDEX(aData,$B27,Y$4),$H27)),IFERROR(INDEX(aScoresRounded,$B27,Y$4),"")))</f>
        <v>64.3</v>
      </c>
      <c r="Z27" s="631">
        <f>IF(Z$4="","",CHOOSE(uxb_works!$B$47,IF(INDEX(aData,$B27,Z$4)="","-",TEXT(INDEX(aData,$B27,Z$4),$H27)),IFERROR(INDEX(aScoresRounded,$B27,Z$4),"")))</f>
        <v>90.7</v>
      </c>
      <c r="AA27" s="631">
        <f>IF(AA$4="","",CHOOSE(uxb_works!$B$47,IF(INDEX(aData,$B27,AA$4)="","-",TEXT(INDEX(aData,$B27,AA$4),$H27)),IFERROR(INDEX(aScoresRounded,$B27,AA$4),"")))</f>
        <v>65.7</v>
      </c>
      <c r="AB27" s="631">
        <f>IF(AB$4="","",CHOOSE(uxb_works!$B$47,IF(INDEX(aData,$B27,AB$4)="","-",TEXT(INDEX(aData,$B27,AB$4),$H27)),IFERROR(INDEX(aScoresRounded,$B27,AB$4),"")))</f>
        <v>56.4</v>
      </c>
      <c r="AC27" s="631">
        <f>IF(AC$4="","",CHOOSE(uxb_works!$B$47,IF(INDEX(aData,$B27,AC$4)="","-",TEXT(INDEX(aData,$B27,AC$4),$H27)),IFERROR(INDEX(aScoresRounded,$B27,AC$4),"")))</f>
        <v>62.5</v>
      </c>
      <c r="AD27" s="631">
        <f>IF(AD$4="","",CHOOSE(uxb_works!$B$47,IF(INDEX(aData,$B27,AD$4)="","-",TEXT(INDEX(aData,$B27,AD$4),$H27)),IFERROR(INDEX(aScoresRounded,$B27,AD$4),"")))</f>
        <v>66.400000000000006</v>
      </c>
      <c r="AE27" s="631">
        <f>IF(AE$4="","",CHOOSE(uxb_works!$B$47,IF(INDEX(aData,$B27,AE$4)="","-",TEXT(INDEX(aData,$B27,AE$4),$H27)),IFERROR(INDEX(aScoresRounded,$B27,AE$4),"")))</f>
        <v>63.9</v>
      </c>
      <c r="AF27" s="631">
        <f>IF(AF$4="","",CHOOSE(uxb_works!$B$47,IF(INDEX(aData,$B27,AF$4)="","-",TEXT(INDEX(aData,$B27,AF$4),$H27)),IFERROR(INDEX(aScoresRounded,$B27,AF$4),"")))</f>
        <v>58.2</v>
      </c>
      <c r="AG27" s="631">
        <f>IF(AG$4="","",CHOOSE(uxb_works!$B$47,IF(INDEX(aData,$B27,AG$4)="","-",TEXT(INDEX(aData,$B27,AG$4),$H27)),IFERROR(INDEX(aScoresRounded,$B27,AG$4),"")))</f>
        <v>61.4</v>
      </c>
      <c r="AH27" s="631">
        <f>IF(AH$4="","",CHOOSE(uxb_works!$B$47,IF(INDEX(aData,$B27,AH$4)="","-",TEXT(INDEX(aData,$B27,AH$4),$H27)),IFERROR(INDEX(aScoresRounded,$B27,AH$4),"")))</f>
        <v>94.6</v>
      </c>
      <c r="AI27" s="631">
        <f>IF(AI$4="","",CHOOSE(uxb_works!$B$47,IF(INDEX(aData,$B27,AI$4)="","-",TEXT(INDEX(aData,$B27,AI$4),$H27)),IFERROR(INDEX(aScoresRounded,$B27,AI$4),"")))</f>
        <v>66.099999999999994</v>
      </c>
      <c r="AJ27" s="631">
        <f>IF(AJ$4="","",CHOOSE(uxb_works!$B$47,IF(INDEX(aData,$B27,AJ$4)="","-",TEXT(INDEX(aData,$B27,AJ$4),$H27)),IFERROR(INDEX(aScoresRounded,$B27,AJ$4),"")))</f>
        <v>63.6</v>
      </c>
      <c r="AK27" s="631">
        <f>IF(AK$4="","",CHOOSE(uxb_works!$B$47,IF(INDEX(aData,$B27,AK$4)="","-",TEXT(INDEX(aData,$B27,AK$4),$H27)),IFERROR(INDEX(aScoresRounded,$B27,AK$4),"")))</f>
        <v>61.8</v>
      </c>
      <c r="AL27" s="631">
        <f>IF(AL$4="","",CHOOSE(uxb_works!$B$47,IF(INDEX(aData,$B27,AL$4)="","-",TEXT(INDEX(aData,$B27,AL$4),$H27)),IFERROR(INDEX(aScoresRounded,$B27,AL$4),"")))</f>
        <v>95.4</v>
      </c>
      <c r="AM27" s="631">
        <f>IF(AM$4="","",CHOOSE(uxb_works!$B$47,IF(INDEX(aData,$B27,AM$4)="","-",TEXT(INDEX(aData,$B27,AM$4),$H27)),IFERROR(INDEX(aScoresRounded,$B27,AM$4),"")))</f>
        <v>51.8</v>
      </c>
      <c r="AN27" s="631">
        <f>IF(AN$4="","",CHOOSE(uxb_works!$B$47,IF(INDEX(aData,$B27,AN$4)="","-",TEXT(INDEX(aData,$B27,AN$4),$H27)),IFERROR(INDEX(aScoresRounded,$B27,AN$4),"")))</f>
        <v>98.6</v>
      </c>
      <c r="AO27" s="631">
        <f>IF(AO$4="","",CHOOSE(uxb_works!$B$47,IF(INDEX(aData,$B27,AO$4)="","-",TEXT(INDEX(aData,$B27,AO$4),$H27)),IFERROR(INDEX(aScoresRounded,$B27,AO$4),"")))</f>
        <v>66.099999999999994</v>
      </c>
      <c r="AP27" s="631">
        <f>IF(AP$4="","",CHOOSE(uxb_works!$B$47,IF(INDEX(aData,$B27,AP$4)="","-",TEXT(INDEX(aData,$B27,AP$4),$H27)),IFERROR(INDEX(aScoresRounded,$B27,AP$4),"")))</f>
        <v>64.599999999999994</v>
      </c>
      <c r="AQ27" s="631">
        <f>IF(AQ$4="","",CHOOSE(uxb_works!$B$47,IF(INDEX(aData,$B27,AQ$4)="","-",TEXT(INDEX(aData,$B27,AQ$4),$H27)),IFERROR(INDEX(aScoresRounded,$B27,AQ$4),"")))</f>
        <v>94.3</v>
      </c>
      <c r="AR27" s="631">
        <f>IF(AR$4="","",CHOOSE(uxb_works!$B$47,IF(INDEX(aData,$B27,AR$4)="","-",TEXT(INDEX(aData,$B27,AR$4),$H27)),IFERROR(INDEX(aScoresRounded,$B27,AR$4),"")))</f>
        <v>66.099999999999994</v>
      </c>
      <c r="AS27" s="631">
        <f>IF(AS$4="","",CHOOSE(uxb_works!$B$47,IF(INDEX(aData,$B27,AS$4)="","-",TEXT(INDEX(aData,$B27,AS$4),$H27)),IFERROR(INDEX(aScoresRounded,$B27,AS$4),"")))</f>
        <v>61.8</v>
      </c>
      <c r="AT27" s="570"/>
      <c r="AW27" s="157">
        <f>CHOOSE($AV$1,0,IF(AW$10=0,0,IF(P27&lt;=$AX$1,1,IF(P27&lt;=#REF!,2,3))),IF(AW$10=0,0,IF(P27&lt;=$AX$1,4,IF(P27&lt;=#REF!,5,6))))</f>
        <v>0</v>
      </c>
      <c r="AX27" s="157">
        <f>CHOOSE($AV$1,0,IF(AX$10=0,0,IF(#REF!&lt;=$AX$1,1,IF(#REF!&lt;=#REF!,2,3))),IF(AX$10=0,0,IF(#REF!&lt;=$AX$1,4,IF(#REF!&lt;=#REF!,5,6))))</f>
        <v>0</v>
      </c>
    </row>
    <row r="28" spans="1:50" ht="25" customHeight="1">
      <c r="A28" s="213"/>
      <c r="B28" s="218">
        <f>tblIndicators!A19</f>
        <v>18</v>
      </c>
      <c r="C28" s="218"/>
      <c r="D28" s="218"/>
      <c r="E28" s="218">
        <f>tblIndicators!B19</f>
        <v>0</v>
      </c>
      <c r="F28" s="218">
        <f>IF(AND(uxb_works!$B$47=2,E28=1),0,iScores!F23)</f>
        <v>3</v>
      </c>
      <c r="G28" s="218"/>
      <c r="H28" s="218" t="str">
        <f>tblIndicators!AC19</f>
        <v>#,##0</v>
      </c>
      <c r="I28" s="219"/>
      <c r="J28" s="218"/>
      <c r="K28" s="214">
        <f>IF(L28=0,0,IF(uxb_works!$B$46&gt;=L28,1,0))</f>
        <v>1</v>
      </c>
      <c r="L28" s="216">
        <f>IF(AND(uxb_works!$B$47=2,E28=1),0,tblIndicators!G19)</f>
        <v>3</v>
      </c>
      <c r="M28" s="218"/>
      <c r="N28" s="249" t="str">
        <f>iScores!N23</f>
        <v xml:space="preserve">   2.1.1) Mobile digital national ID</v>
      </c>
      <c r="O28" s="407">
        <f>CHOOSE(uxb_works!$B$47,iData!I23,iScores!O23)</f>
        <v>0.32142857142857145</v>
      </c>
      <c r="P28" s="631">
        <f>IF(P$4="","",CHOOSE(uxb_works!$B$47,IF(INDEX(aData,$B28,P$4)="","-",TEXT(INDEX(aData,$B28,P$4),$H28)),IFERROR(INDEX(aScoresRounded,$B28,P$4),"")))</f>
        <v>0</v>
      </c>
      <c r="Q28" s="706">
        <f>IF(Q$4="","",CHOOSE(uxb_works!$B$47,IF(INDEX(aData,$B28,Q$4)="","-",TEXT(INDEX(aData,$B28,Q$4),$H28)),IFERROR(INDEX(aScoresRounded,$B28,Q$4),"")))</f>
        <v>0</v>
      </c>
      <c r="R28" s="706">
        <f>IF(R$4="","",CHOOSE(uxb_works!$B$47,IF(INDEX(aData,$B28,R$4)="","-",TEXT(INDEX(aData,$B28,R$4),$H28)),IFERROR(INDEX(aScoresRounded,$B28,R$4),"")))</f>
        <v>0</v>
      </c>
      <c r="S28" s="706">
        <f>IF(S$4="","",CHOOSE(uxb_works!$B$47,IF(INDEX(aData,$B28,S$4)="","-",TEXT(INDEX(aData,$B28,S$4),$H28)),IFERROR(INDEX(aScoresRounded,$B28,S$4),"")))</f>
        <v>0</v>
      </c>
      <c r="T28" s="706">
        <f>IF(T$4="","",CHOOSE(uxb_works!$B$47,IF(INDEX(aData,$B28,T$4)="","-",TEXT(INDEX(aData,$B28,T$4),$H28)),IFERROR(INDEX(aScoresRounded,$B28,T$4),"")))</f>
        <v>0</v>
      </c>
      <c r="U28" s="706">
        <f>IF(U$4="","",CHOOSE(uxb_works!$B$47,IF(INDEX(aData,$B28,U$4)="","-",TEXT(INDEX(aData,$B28,U$4),$H28)),IFERROR(INDEX(aScoresRounded,$B28,U$4),"")))</f>
        <v>100</v>
      </c>
      <c r="V28" s="706">
        <f>IF(V$4="","",CHOOSE(uxb_works!$B$47,IF(INDEX(aData,$B28,V$4)="","-",TEXT(INDEX(aData,$B28,V$4),$H28)),IFERROR(INDEX(aScoresRounded,$B28,V$4),"")))</f>
        <v>0</v>
      </c>
      <c r="W28" s="706">
        <f>IF(W$4="","",CHOOSE(uxb_works!$B$47,IF(INDEX(aData,$B28,W$4)="","-",TEXT(INDEX(aData,$B28,W$4),$H28)),IFERROR(INDEX(aScoresRounded,$B28,W$4),"")))</f>
        <v>0</v>
      </c>
      <c r="X28" s="706">
        <f>IF(X$4="","",CHOOSE(uxb_works!$B$47,IF(INDEX(aData,$B28,X$4)="","-",TEXT(INDEX(aData,$B28,X$4),$H28)),IFERROR(INDEX(aScoresRounded,$B28,X$4),"")))</f>
        <v>0</v>
      </c>
      <c r="Y28" s="631">
        <f>IF(Y$4="","",CHOOSE(uxb_works!$B$47,IF(INDEX(aData,$B28,Y$4)="","-",TEXT(INDEX(aData,$B28,Y$4),$H28)),IFERROR(INDEX(aScoresRounded,$B28,Y$4),"")))</f>
        <v>0</v>
      </c>
      <c r="Z28" s="631">
        <f>IF(Z$4="","",CHOOSE(uxb_works!$B$47,IF(INDEX(aData,$B28,Z$4)="","-",TEXT(INDEX(aData,$B28,Z$4),$H28)),IFERROR(INDEX(aScoresRounded,$B28,Z$4),"")))</f>
        <v>100</v>
      </c>
      <c r="AA28" s="631">
        <f>IF(AA$4="","",CHOOSE(uxb_works!$B$47,IF(INDEX(aData,$B28,AA$4)="","-",TEXT(INDEX(aData,$B28,AA$4),$H28)),IFERROR(INDEX(aScoresRounded,$B28,AA$4),"")))</f>
        <v>0</v>
      </c>
      <c r="AB28" s="631">
        <f>IF(AB$4="","",CHOOSE(uxb_works!$B$47,IF(INDEX(aData,$B28,AB$4)="","-",TEXT(INDEX(aData,$B28,AB$4),$H28)),IFERROR(INDEX(aScoresRounded,$B28,AB$4),"")))</f>
        <v>0</v>
      </c>
      <c r="AC28" s="631">
        <f>IF(AC$4="","",CHOOSE(uxb_works!$B$47,IF(INDEX(aData,$B28,AC$4)="","-",TEXT(INDEX(aData,$B28,AC$4),$H28)),IFERROR(INDEX(aScoresRounded,$B28,AC$4),"")))</f>
        <v>0</v>
      </c>
      <c r="AD28" s="631">
        <f>IF(AD$4="","",CHOOSE(uxb_works!$B$47,IF(INDEX(aData,$B28,AD$4)="","-",TEXT(INDEX(aData,$B28,AD$4),$H28)),IFERROR(INDEX(aScoresRounded,$B28,AD$4),"")))</f>
        <v>0</v>
      </c>
      <c r="AE28" s="631">
        <f>IF(AE$4="","",CHOOSE(uxb_works!$B$47,IF(INDEX(aData,$B28,AE$4)="","-",TEXT(INDEX(aData,$B28,AE$4),$H28)),IFERROR(INDEX(aScoresRounded,$B28,AE$4),"")))</f>
        <v>0</v>
      </c>
      <c r="AF28" s="631">
        <f>IF(AF$4="","",CHOOSE(uxb_works!$B$47,IF(INDEX(aData,$B28,AF$4)="","-",TEXT(INDEX(aData,$B28,AF$4),$H28)),IFERROR(INDEX(aScoresRounded,$B28,AF$4),"")))</f>
        <v>0</v>
      </c>
      <c r="AG28" s="631">
        <f>IF(AG$4="","",CHOOSE(uxb_works!$B$47,IF(INDEX(aData,$B28,AG$4)="","-",TEXT(INDEX(aData,$B28,AG$4),$H28)),IFERROR(INDEX(aScoresRounded,$B28,AG$4),"")))</f>
        <v>0</v>
      </c>
      <c r="AH28" s="631">
        <f>IF(AH$4="","",CHOOSE(uxb_works!$B$47,IF(INDEX(aData,$B28,AH$4)="","-",TEXT(INDEX(aData,$B28,AH$4),$H28)),IFERROR(INDEX(aScoresRounded,$B28,AH$4),"")))</f>
        <v>100</v>
      </c>
      <c r="AI28" s="631">
        <f>IF(AI$4="","",CHOOSE(uxb_works!$B$47,IF(INDEX(aData,$B28,AI$4)="","-",TEXT(INDEX(aData,$B28,AI$4),$H28)),IFERROR(INDEX(aScoresRounded,$B28,AI$4),"")))</f>
        <v>0</v>
      </c>
      <c r="AJ28" s="631">
        <f>IF(AJ$4="","",CHOOSE(uxb_works!$B$47,IF(INDEX(aData,$B28,AJ$4)="","-",TEXT(INDEX(aData,$B28,AJ$4),$H28)),IFERROR(INDEX(aScoresRounded,$B28,AJ$4),"")))</f>
        <v>0</v>
      </c>
      <c r="AK28" s="631">
        <f>IF(AK$4="","",CHOOSE(uxb_works!$B$47,IF(INDEX(aData,$B28,AK$4)="","-",TEXT(INDEX(aData,$B28,AK$4),$H28)),IFERROR(INDEX(aScoresRounded,$B28,AK$4),"")))</f>
        <v>0</v>
      </c>
      <c r="AL28" s="631">
        <f>IF(AL$4="","",CHOOSE(uxb_works!$B$47,IF(INDEX(aData,$B28,AL$4)="","-",TEXT(INDEX(aData,$B28,AL$4),$H28)),IFERROR(INDEX(aScoresRounded,$B28,AL$4),"")))</f>
        <v>100</v>
      </c>
      <c r="AM28" s="631">
        <f>IF(AM$4="","",CHOOSE(uxb_works!$B$47,IF(INDEX(aData,$B28,AM$4)="","-",TEXT(INDEX(aData,$B28,AM$4),$H28)),IFERROR(INDEX(aScoresRounded,$B28,AM$4),"")))</f>
        <v>0</v>
      </c>
      <c r="AN28" s="631">
        <f>IF(AN$4="","",CHOOSE(uxb_works!$B$47,IF(INDEX(aData,$B28,AN$4)="","-",TEXT(INDEX(aData,$B28,AN$4),$H28)),IFERROR(INDEX(aScoresRounded,$B28,AN$4),"")))</f>
        <v>100</v>
      </c>
      <c r="AO28" s="631">
        <f>IF(AO$4="","",CHOOSE(uxb_works!$B$47,IF(INDEX(aData,$B28,AO$4)="","-",TEXT(INDEX(aData,$B28,AO$4),$H28)),IFERROR(INDEX(aScoresRounded,$B28,AO$4),"")))</f>
        <v>0</v>
      </c>
      <c r="AP28" s="631">
        <f>IF(AP$4="","",CHOOSE(uxb_works!$B$47,IF(INDEX(aData,$B28,AP$4)="","-",TEXT(INDEX(aData,$B28,AP$4),$H28)),IFERROR(INDEX(aScoresRounded,$B28,AP$4),"")))</f>
        <v>0</v>
      </c>
      <c r="AQ28" s="631">
        <f>IF(AQ$4="","",CHOOSE(uxb_works!$B$47,IF(INDEX(aData,$B28,AQ$4)="","-",TEXT(INDEX(aData,$B28,AQ$4),$H28)),IFERROR(INDEX(aScoresRounded,$B28,AQ$4),"")))</f>
        <v>100</v>
      </c>
      <c r="AR28" s="631">
        <f>IF(AR$4="","",CHOOSE(uxb_works!$B$47,IF(INDEX(aData,$B28,AR$4)="","-",TEXT(INDEX(aData,$B28,AR$4),$H28)),IFERROR(INDEX(aScoresRounded,$B28,AR$4),"")))</f>
        <v>0</v>
      </c>
      <c r="AS28" s="631">
        <f>IF(AS$4="","",CHOOSE(uxb_works!$B$47,IF(INDEX(aData,$B28,AS$4)="","-",TEXT(INDEX(aData,$B28,AS$4),$H28)),IFERROR(INDEX(aScoresRounded,$B28,AS$4),"")))</f>
        <v>0</v>
      </c>
      <c r="AT28" s="570"/>
      <c r="AW28" s="157">
        <f>CHOOSE($AV$1,0,IF(AW$10=0,0,IF(P28&lt;=$AX$1,1,IF(P28&lt;=#REF!,2,3))),IF(AW$10=0,0,IF(P28&lt;=$AX$1,4,IF(P28&lt;=#REF!,5,6))))</f>
        <v>0</v>
      </c>
      <c r="AX28" s="157">
        <f>CHOOSE($AV$1,0,IF(AX$10=0,0,IF(#REF!&lt;=$AX$1,1,IF(#REF!&lt;=#REF!,2,3))),IF(AX$10=0,0,IF(#REF!&lt;=$AX$1,4,IF(#REF!&lt;=#REF!,5,6))))</f>
        <v>0</v>
      </c>
    </row>
    <row r="29" spans="1:50" ht="25" customHeight="1">
      <c r="A29" s="213"/>
      <c r="B29" s="218">
        <f>tblIndicators!A20</f>
        <v>19</v>
      </c>
      <c r="C29" s="218"/>
      <c r="D29" s="218"/>
      <c r="E29" s="218">
        <f>tblIndicators!B20</f>
        <v>0</v>
      </c>
      <c r="F29" s="218">
        <f>IF(AND(uxb_works!$B$47=2,E29=1),0,iScores!F24)</f>
        <v>3</v>
      </c>
      <c r="G29" s="218"/>
      <c r="H29" s="218" t="str">
        <f>tblIndicators!AC20</f>
        <v>#,##0.000</v>
      </c>
      <c r="I29" s="219"/>
      <c r="J29" s="218"/>
      <c r="K29" s="214">
        <f>IF(L29=0,0,IF(uxb_works!$B$46&gt;=L29,1,0))</f>
        <v>1</v>
      </c>
      <c r="L29" s="216">
        <f>IF(AND(uxb_works!$B$47=2,E29=1),0,tblIndicators!G20)</f>
        <v>3</v>
      </c>
      <c r="M29" s="218"/>
      <c r="N29" s="249" t="str">
        <f>iScores!N24</f>
        <v xml:space="preserve">   2.1.2) E-gov service portal for residents</v>
      </c>
      <c r="O29" s="407">
        <f>CHOOSE(uxb_works!$B$47,iData!I24,iScores!O24)</f>
        <v>0.35714285714285715</v>
      </c>
      <c r="P29" s="631">
        <f>IF(P$4="","",CHOOSE(uxb_works!$B$47,IF(INDEX(aData,$B29,P$4)="","-",TEXT(INDEX(aData,$B29,P$4),$H29)),IFERROR(INDEX(aScoresRounded,$B29,P$4),"")))</f>
        <v>91</v>
      </c>
      <c r="Q29" s="706">
        <f>IF(Q$4="","",CHOOSE(uxb_works!$B$47,IF(INDEX(aData,$B29,Q$4)="","-",TEXT(INDEX(aData,$B29,Q$4),$H29)),IFERROR(INDEX(aScoresRounded,$B29,Q$4),"")))</f>
        <v>93</v>
      </c>
      <c r="R29" s="706">
        <f>IF(R$4="","",CHOOSE(uxb_works!$B$47,IF(INDEX(aData,$B29,R$4)="","-",TEXT(INDEX(aData,$B29,R$4),$H29)),IFERROR(INDEX(aScoresRounded,$B29,R$4),"")))</f>
        <v>79</v>
      </c>
      <c r="S29" s="706">
        <f>IF(S$4="","",CHOOSE(uxb_works!$B$47,IF(INDEX(aData,$B29,S$4)="","-",TEXT(INDEX(aData,$B29,S$4),$H29)),IFERROR(INDEX(aScoresRounded,$B29,S$4),"")))</f>
        <v>89</v>
      </c>
      <c r="T29" s="706">
        <f>IF(T$4="","",CHOOSE(uxb_works!$B$47,IF(INDEX(aData,$B29,T$4)="","-",TEXT(INDEX(aData,$B29,T$4),$H29)),IFERROR(INDEX(aScoresRounded,$B29,T$4),"")))</f>
        <v>91</v>
      </c>
      <c r="U29" s="706">
        <f>IF(U$4="","",CHOOSE(uxb_works!$B$47,IF(INDEX(aData,$B29,U$4)="","-",TEXT(INDEX(aData,$B29,U$4),$H29)),IFERROR(INDEX(aScoresRounded,$B29,U$4),"")))</f>
        <v>74</v>
      </c>
      <c r="V29" s="706">
        <f>IF(V$4="","",CHOOSE(uxb_works!$B$47,IF(INDEX(aData,$B29,V$4)="","-",TEXT(INDEX(aData,$B29,V$4),$H29)),IFERROR(INDEX(aScoresRounded,$B29,V$4),"")))</f>
        <v>85</v>
      </c>
      <c r="W29" s="706">
        <f>IF(W$4="","",CHOOSE(uxb_works!$B$47,IF(INDEX(aData,$B29,W$4)="","-",TEXT(INDEX(aData,$B29,W$4),$H29)),IFERROR(INDEX(aScoresRounded,$B29,W$4),"")))</f>
        <v>97</v>
      </c>
      <c r="X29" s="706">
        <f>IF(X$4="","",CHOOSE(uxb_works!$B$47,IF(INDEX(aData,$B29,X$4)="","-",TEXT(INDEX(aData,$B29,X$4),$H29)),IFERROR(INDEX(aScoresRounded,$B29,X$4),"")))</f>
        <v>95</v>
      </c>
      <c r="Y29" s="631">
        <f>IF(Y$4="","",CHOOSE(uxb_works!$B$47,IF(INDEX(aData,$B29,Y$4)="","-",TEXT(INDEX(aData,$B29,Y$4),$H29)),IFERROR(INDEX(aScoresRounded,$B29,Y$4),"")))</f>
        <v>90</v>
      </c>
      <c r="Z29" s="631">
        <f>IF(Z$4="","",CHOOSE(uxb_works!$B$47,IF(INDEX(aData,$B29,Z$4)="","-",TEXT(INDEX(aData,$B29,Z$4),$H29)),IFERROR(INDEX(aScoresRounded,$B29,Z$4),"")))</f>
        <v>74</v>
      </c>
      <c r="AA29" s="631">
        <f>IF(AA$4="","",CHOOSE(uxb_works!$B$47,IF(INDEX(aData,$B29,AA$4)="","-",TEXT(INDEX(aData,$B29,AA$4),$H29)),IFERROR(INDEX(aScoresRounded,$B29,AA$4),"")))</f>
        <v>94</v>
      </c>
      <c r="AB29" s="631">
        <f>IF(AB$4="","",CHOOSE(uxb_works!$B$47,IF(INDEX(aData,$B29,AB$4)="","-",TEXT(INDEX(aData,$B29,AB$4),$H29)),IFERROR(INDEX(aScoresRounded,$B29,AB$4),"")))</f>
        <v>68</v>
      </c>
      <c r="AC29" s="631">
        <f>IF(AC$4="","",CHOOSE(uxb_works!$B$47,IF(INDEX(aData,$B29,AC$4)="","-",TEXT(INDEX(aData,$B29,AC$4),$H29)),IFERROR(INDEX(aScoresRounded,$B29,AC$4),"")))</f>
        <v>85</v>
      </c>
      <c r="AD29" s="631">
        <f>IF(AD$4="","",CHOOSE(uxb_works!$B$47,IF(INDEX(aData,$B29,AD$4)="","-",TEXT(INDEX(aData,$B29,AD$4),$H29)),IFERROR(INDEX(aScoresRounded,$B29,AD$4),"")))</f>
        <v>96</v>
      </c>
      <c r="AE29" s="631">
        <f>IF(AE$4="","",CHOOSE(uxb_works!$B$47,IF(INDEX(aData,$B29,AE$4)="","-",TEXT(INDEX(aData,$B29,AE$4),$H29)),IFERROR(INDEX(aScoresRounded,$B29,AE$4),"")))</f>
        <v>89</v>
      </c>
      <c r="AF29" s="631">
        <f>IF(AF$4="","",CHOOSE(uxb_works!$B$47,IF(INDEX(aData,$B29,AF$4)="","-",TEXT(INDEX(aData,$B29,AF$4),$H29)),IFERROR(INDEX(aScoresRounded,$B29,AF$4),"")))</f>
        <v>73</v>
      </c>
      <c r="AG29" s="631">
        <f>IF(AG$4="","",CHOOSE(uxb_works!$B$47,IF(INDEX(aData,$B29,AG$4)="","-",TEXT(INDEX(aData,$B29,AG$4),$H29)),IFERROR(INDEX(aScoresRounded,$B29,AG$4),"")))</f>
        <v>82</v>
      </c>
      <c r="AH29" s="631">
        <f>IF(AH$4="","",CHOOSE(uxb_works!$B$47,IF(INDEX(aData,$B29,AH$4)="","-",TEXT(INDEX(aData,$B29,AH$4),$H29)),IFERROR(INDEX(aScoresRounded,$B29,AH$4),"")))</f>
        <v>85</v>
      </c>
      <c r="AI29" s="631">
        <f>IF(AI$4="","",CHOOSE(uxb_works!$B$47,IF(INDEX(aData,$B29,AI$4)="","-",TEXT(INDEX(aData,$B29,AI$4),$H29)),IFERROR(INDEX(aScoresRounded,$B29,AI$4),"")))</f>
        <v>95</v>
      </c>
      <c r="AJ29" s="631">
        <f>IF(AJ$4="","",CHOOSE(uxb_works!$B$47,IF(INDEX(aData,$B29,AJ$4)="","-",TEXT(INDEX(aData,$B29,AJ$4),$H29)),IFERROR(INDEX(aScoresRounded,$B29,AJ$4),"")))</f>
        <v>88</v>
      </c>
      <c r="AK29" s="631">
        <f>IF(AK$4="","",CHOOSE(uxb_works!$B$47,IF(INDEX(aData,$B29,AK$4)="","-",TEXT(INDEX(aData,$B29,AK$4),$H29)),IFERROR(INDEX(aScoresRounded,$B29,AK$4),"")))</f>
        <v>83</v>
      </c>
      <c r="AL29" s="631">
        <f>IF(AL$4="","",CHOOSE(uxb_works!$B$47,IF(INDEX(aData,$B29,AL$4)="","-",TEXT(INDEX(aData,$B29,AL$4),$H29)),IFERROR(INDEX(aScoresRounded,$B29,AL$4),"")))</f>
        <v>87</v>
      </c>
      <c r="AM29" s="631">
        <f>IF(AM$4="","",CHOOSE(uxb_works!$B$47,IF(INDEX(aData,$B29,AM$4)="","-",TEXT(INDEX(aData,$B29,AM$4),$H29)),IFERROR(INDEX(aScoresRounded,$B29,AM$4),"")))</f>
        <v>100</v>
      </c>
      <c r="AN29" s="631">
        <f>IF(AN$4="","",CHOOSE(uxb_works!$B$47,IF(INDEX(aData,$B29,AN$4)="","-",TEXT(INDEX(aData,$B29,AN$4),$H29)),IFERROR(INDEX(aScoresRounded,$B29,AN$4),"")))</f>
        <v>96</v>
      </c>
      <c r="AO29" s="631">
        <f>IF(AO$4="","",CHOOSE(uxb_works!$B$47,IF(INDEX(aData,$B29,AO$4)="","-",TEXT(INDEX(aData,$B29,AO$4),$H29)),IFERROR(INDEX(aScoresRounded,$B29,AO$4),"")))</f>
        <v>95</v>
      </c>
      <c r="AP29" s="631">
        <f>IF(AP$4="","",CHOOSE(uxb_works!$B$47,IF(INDEX(aData,$B29,AP$4)="","-",TEXT(INDEX(aData,$B29,AP$4),$H29)),IFERROR(INDEX(aScoresRounded,$B29,AP$4),"")))</f>
        <v>91</v>
      </c>
      <c r="AQ29" s="631">
        <f>IF(AQ$4="","",CHOOSE(uxb_works!$B$47,IF(INDEX(aData,$B29,AQ$4)="","-",TEXT(INDEX(aData,$B29,AQ$4),$H29)),IFERROR(INDEX(aScoresRounded,$B29,AQ$4),"")))</f>
        <v>84</v>
      </c>
      <c r="AR29" s="631">
        <f>IF(AR$4="","",CHOOSE(uxb_works!$B$47,IF(INDEX(aData,$B29,AR$4)="","-",TEXT(INDEX(aData,$B29,AR$4),$H29)),IFERROR(INDEX(aScoresRounded,$B29,AR$4),"")))</f>
        <v>95</v>
      </c>
      <c r="AS29" s="631">
        <f>IF(AS$4="","",CHOOSE(uxb_works!$B$47,IF(INDEX(aData,$B29,AS$4)="","-",TEXT(INDEX(aData,$B29,AS$4),$H29)),IFERROR(INDEX(aScoresRounded,$B29,AS$4),"")))</f>
        <v>83</v>
      </c>
      <c r="AT29" s="570"/>
      <c r="AW29" s="157">
        <f>CHOOSE($AV$1,0,IF(AW$10=0,0,IF(P29&lt;=$AX$1,1,IF(P29&lt;=#REF!,2,3))),IF(AW$10=0,0,IF(P29&lt;=$AX$1,4,IF(P29&lt;=#REF!,5,6))))</f>
        <v>0</v>
      </c>
      <c r="AX29" s="157">
        <f>CHOOSE($AV$1,0,IF(AX$10=0,0,IF(#REF!&lt;=$AX$1,1,IF(#REF!&lt;=#REF!,2,3))),IF(AX$10=0,0,IF(#REF!&lt;=$AX$1,4,IF(#REF!&lt;=#REF!,5,6))))</f>
        <v>0</v>
      </c>
    </row>
    <row r="30" spans="1:50" ht="25" customHeight="1">
      <c r="A30" s="213"/>
      <c r="B30" s="218">
        <f>tblIndicators!A21</f>
        <v>20</v>
      </c>
      <c r="C30" s="218"/>
      <c r="D30" s="218"/>
      <c r="E30" s="218">
        <f>tblIndicators!B21</f>
        <v>0</v>
      </c>
      <c r="F30" s="218">
        <f>IF(AND(uxb_works!$B$47=2,E30=1),0,iScores!F25)</f>
        <v>3</v>
      </c>
      <c r="G30" s="218"/>
      <c r="H30" s="218" t="str">
        <f>tblIndicators!AC21</f>
        <v>#,##0</v>
      </c>
      <c r="I30" s="219"/>
      <c r="J30" s="218"/>
      <c r="K30" s="214">
        <f>IF(L30=0,0,IF(uxb_works!$B$46&gt;=L30,1,0))</f>
        <v>1</v>
      </c>
      <c r="L30" s="216">
        <f>IF(AND(uxb_works!$B$47=2,E30=1),0,tblIndicators!G21)</f>
        <v>3</v>
      </c>
      <c r="M30" s="218"/>
      <c r="N30" s="249" t="str">
        <f>iScores!N25</f>
        <v xml:space="preserve">   2.1.3) E-gov service portal for businesses</v>
      </c>
      <c r="O30" s="407">
        <f>CHOOSE(uxb_works!$B$47,iData!I25,iScores!O25)</f>
        <v>0.32142857142857145</v>
      </c>
      <c r="P30" s="631">
        <f>IF(P$4="","",CHOOSE(uxb_works!$B$47,IF(INDEX(aData,$B30,P$4)="","-",TEXT(INDEX(aData,$B30,P$4),$H30)),IFERROR(INDEX(aScoresRounded,$B30,P$4),"")))</f>
        <v>50</v>
      </c>
      <c r="Q30" s="706">
        <f>IF(Q$4="","",CHOOSE(uxb_works!$B$47,IF(INDEX(aData,$B30,Q$4)="","-",TEXT(INDEX(aData,$B30,Q$4),$H30)),IFERROR(INDEX(aScoresRounded,$B30,Q$4),"")))</f>
        <v>100</v>
      </c>
      <c r="R30" s="706">
        <f>IF(R$4="","",CHOOSE(uxb_works!$B$47,IF(INDEX(aData,$B30,R$4)="","-",TEXT(INDEX(aData,$B30,R$4),$H30)),IFERROR(INDEX(aScoresRounded,$B30,R$4),"")))</f>
        <v>100</v>
      </c>
      <c r="S30" s="706">
        <f>IF(S$4="","",CHOOSE(uxb_works!$B$47,IF(INDEX(aData,$B30,S$4)="","-",TEXT(INDEX(aData,$B30,S$4),$H30)),IFERROR(INDEX(aScoresRounded,$B30,S$4),"")))</f>
        <v>100</v>
      </c>
      <c r="T30" s="706">
        <f>IF(T$4="","",CHOOSE(uxb_works!$B$47,IF(INDEX(aData,$B30,T$4)="","-",TEXT(INDEX(aData,$B30,T$4),$H30)),IFERROR(INDEX(aScoresRounded,$B30,T$4),"")))</f>
        <v>100</v>
      </c>
      <c r="U30" s="706">
        <f>IF(U$4="","",CHOOSE(uxb_works!$B$47,IF(INDEX(aData,$B30,U$4)="","-",TEXT(INDEX(aData,$B30,U$4),$H30)),IFERROR(INDEX(aScoresRounded,$B30,U$4),"")))</f>
        <v>100</v>
      </c>
      <c r="V30" s="706">
        <f>IF(V$4="","",CHOOSE(uxb_works!$B$47,IF(INDEX(aData,$B30,V$4)="","-",TEXT(INDEX(aData,$B30,V$4),$H30)),IFERROR(INDEX(aScoresRounded,$B30,V$4),"")))</f>
        <v>50</v>
      </c>
      <c r="W30" s="706">
        <f>IF(W$4="","",CHOOSE(uxb_works!$B$47,IF(INDEX(aData,$B30,W$4)="","-",TEXT(INDEX(aData,$B30,W$4),$H30)),IFERROR(INDEX(aScoresRounded,$B30,W$4),"")))</f>
        <v>100</v>
      </c>
      <c r="X30" s="706">
        <f>IF(X$4="","",CHOOSE(uxb_works!$B$47,IF(INDEX(aData,$B30,X$4)="","-",TEXT(INDEX(aData,$B30,X$4),$H30)),IFERROR(INDEX(aScoresRounded,$B30,X$4),"")))</f>
        <v>100</v>
      </c>
      <c r="Y30" s="631">
        <f>IF(Y$4="","",CHOOSE(uxb_works!$B$47,IF(INDEX(aData,$B30,Y$4)="","-",TEXT(INDEX(aData,$B30,Y$4),$H30)),IFERROR(INDEX(aScoresRounded,$B30,Y$4),"")))</f>
        <v>100</v>
      </c>
      <c r="Z30" s="631">
        <f>IF(Z$4="","",CHOOSE(uxb_works!$B$47,IF(INDEX(aData,$B30,Z$4)="","-",TEXT(INDEX(aData,$B30,Z$4),$H30)),IFERROR(INDEX(aScoresRounded,$B30,Z$4),"")))</f>
        <v>100</v>
      </c>
      <c r="AA30" s="631">
        <f>IF(AA$4="","",CHOOSE(uxb_works!$B$47,IF(INDEX(aData,$B30,AA$4)="","-",TEXT(INDEX(aData,$B30,AA$4),$H30)),IFERROR(INDEX(aScoresRounded,$B30,AA$4),"")))</f>
        <v>100</v>
      </c>
      <c r="AB30" s="631">
        <f>IF(AB$4="","",CHOOSE(uxb_works!$B$47,IF(INDEX(aData,$B30,AB$4)="","-",TEXT(INDEX(aData,$B30,AB$4),$H30)),IFERROR(INDEX(aScoresRounded,$B30,AB$4),"")))</f>
        <v>100</v>
      </c>
      <c r="AC30" s="631">
        <f>IF(AC$4="","",CHOOSE(uxb_works!$B$47,IF(INDEX(aData,$B30,AC$4)="","-",TEXT(INDEX(aData,$B30,AC$4),$H30)),IFERROR(INDEX(aScoresRounded,$B30,AC$4),"")))</f>
        <v>100</v>
      </c>
      <c r="AD30" s="631">
        <f>IF(AD$4="","",CHOOSE(uxb_works!$B$47,IF(INDEX(aData,$B30,AD$4)="","-",TEXT(INDEX(aData,$B30,AD$4),$H30)),IFERROR(INDEX(aScoresRounded,$B30,AD$4),"")))</f>
        <v>100</v>
      </c>
      <c r="AE30" s="631">
        <f>IF(AE$4="","",CHOOSE(uxb_works!$B$47,IF(INDEX(aData,$B30,AE$4)="","-",TEXT(INDEX(aData,$B30,AE$4),$H30)),IFERROR(INDEX(aScoresRounded,$B30,AE$4),"")))</f>
        <v>100</v>
      </c>
      <c r="AF30" s="631">
        <f>IF(AF$4="","",CHOOSE(uxb_works!$B$47,IF(INDEX(aData,$B30,AF$4)="","-",TEXT(INDEX(aData,$B30,AF$4),$H30)),IFERROR(INDEX(aScoresRounded,$B30,AF$4),"")))</f>
        <v>100</v>
      </c>
      <c r="AG30" s="631">
        <f>IF(AG$4="","",CHOOSE(uxb_works!$B$47,IF(INDEX(aData,$B30,AG$4)="","-",TEXT(INDEX(aData,$B30,AG$4),$H30)),IFERROR(INDEX(aScoresRounded,$B30,AG$4),"")))</f>
        <v>100</v>
      </c>
      <c r="AH30" s="631">
        <f>IF(AH$4="","",CHOOSE(uxb_works!$B$47,IF(INDEX(aData,$B30,AH$4)="","-",TEXT(INDEX(aData,$B30,AH$4),$H30)),IFERROR(INDEX(aScoresRounded,$B30,AH$4),"")))</f>
        <v>100</v>
      </c>
      <c r="AI30" s="631">
        <f>IF(AI$4="","",CHOOSE(uxb_works!$B$47,IF(INDEX(aData,$B30,AI$4)="","-",TEXT(INDEX(aData,$B30,AI$4),$H30)),IFERROR(INDEX(aScoresRounded,$B30,AI$4),"")))</f>
        <v>100</v>
      </c>
      <c r="AJ30" s="631">
        <f>IF(AJ$4="","",CHOOSE(uxb_works!$B$47,IF(INDEX(aData,$B30,AJ$4)="","-",TEXT(INDEX(aData,$B30,AJ$4),$H30)),IFERROR(INDEX(aScoresRounded,$B30,AJ$4),"")))</f>
        <v>100</v>
      </c>
      <c r="AK30" s="631">
        <f>IF(AK$4="","",CHOOSE(uxb_works!$B$47,IF(INDEX(aData,$B30,AK$4)="","-",TEXT(INDEX(aData,$B30,AK$4),$H30)),IFERROR(INDEX(aScoresRounded,$B30,AK$4),"")))</f>
        <v>100</v>
      </c>
      <c r="AL30" s="631">
        <f>IF(AL$4="","",CHOOSE(uxb_works!$B$47,IF(INDEX(aData,$B30,AL$4)="","-",TEXT(INDEX(aData,$B30,AL$4),$H30)),IFERROR(INDEX(aScoresRounded,$B30,AL$4),"")))</f>
        <v>100</v>
      </c>
      <c r="AM30" s="631">
        <f>IF(AM$4="","",CHOOSE(uxb_works!$B$47,IF(INDEX(aData,$B30,AM$4)="","-",TEXT(INDEX(aData,$B30,AM$4),$H30)),IFERROR(INDEX(aScoresRounded,$B30,AM$4),"")))</f>
        <v>50</v>
      </c>
      <c r="AN30" s="631">
        <f>IF(AN$4="","",CHOOSE(uxb_works!$B$47,IF(INDEX(aData,$B30,AN$4)="","-",TEXT(INDEX(aData,$B30,AN$4),$H30)),IFERROR(INDEX(aScoresRounded,$B30,AN$4),"")))</f>
        <v>100</v>
      </c>
      <c r="AO30" s="631">
        <f>IF(AO$4="","",CHOOSE(uxb_works!$B$47,IF(INDEX(aData,$B30,AO$4)="","-",TEXT(INDEX(aData,$B30,AO$4),$H30)),IFERROR(INDEX(aScoresRounded,$B30,AO$4),"")))</f>
        <v>100</v>
      </c>
      <c r="AP30" s="631">
        <f>IF(AP$4="","",CHOOSE(uxb_works!$B$47,IF(INDEX(aData,$B30,AP$4)="","-",TEXT(INDEX(aData,$B30,AP$4),$H30)),IFERROR(INDEX(aScoresRounded,$B30,AP$4),"")))</f>
        <v>100</v>
      </c>
      <c r="AQ30" s="631">
        <f>IF(AQ$4="","",CHOOSE(uxb_works!$B$47,IF(INDEX(aData,$B30,AQ$4)="","-",TEXT(INDEX(aData,$B30,AQ$4),$H30)),IFERROR(INDEX(aScoresRounded,$B30,AQ$4),"")))</f>
        <v>100</v>
      </c>
      <c r="AR30" s="631">
        <f>IF(AR$4="","",CHOOSE(uxb_works!$B$47,IF(INDEX(aData,$B30,AR$4)="","-",TEXT(INDEX(aData,$B30,AR$4),$H30)),IFERROR(INDEX(aScoresRounded,$B30,AR$4),"")))</f>
        <v>100</v>
      </c>
      <c r="AS30" s="631">
        <f>IF(AS$4="","",CHOOSE(uxb_works!$B$47,IF(INDEX(aData,$B30,AS$4)="","-",TEXT(INDEX(aData,$B30,AS$4),$H30)),IFERROR(INDEX(aScoresRounded,$B30,AS$4),"")))</f>
        <v>100</v>
      </c>
      <c r="AT30" s="570"/>
      <c r="AW30" s="157">
        <f>CHOOSE($AV$1,0,IF(AW$10=0,0,IF(P30&lt;=$AX$1,1,IF(P30&lt;=#REF!,2,3))),IF(AW$10=0,0,IF(P30&lt;=$AX$1,4,IF(P30&lt;=#REF!,5,6))))</f>
        <v>0</v>
      </c>
      <c r="AX30" s="157">
        <f>CHOOSE($AV$1,0,IF(AX$10=0,0,IF(#REF!&lt;=$AX$1,1,IF(#REF!&lt;=#REF!,2,3))),IF(AX$10=0,0,IF(#REF!&lt;=$AX$1,4,IF(#REF!&lt;=#REF!,5,6))))</f>
        <v>0</v>
      </c>
    </row>
    <row r="31" spans="1:50" ht="25" customHeight="1">
      <c r="A31" s="213"/>
      <c r="B31" s="218">
        <f>tblIndicators!A22</f>
        <v>21</v>
      </c>
      <c r="C31" s="218"/>
      <c r="D31" s="218"/>
      <c r="E31" s="218">
        <f>tblIndicators!B22</f>
        <v>0</v>
      </c>
      <c r="F31" s="218">
        <f>IF(AND(uxb_works!$B$47=2,E31=1),0,iScores!F26)</f>
        <v>2</v>
      </c>
      <c r="G31" s="218"/>
      <c r="H31" s="218" t="str">
        <f>tblIndicators!AC22</f>
        <v>#,##0.0</v>
      </c>
      <c r="I31" s="219"/>
      <c r="J31" s="218"/>
      <c r="K31" s="214">
        <f>IF(L31=0,0,IF(uxb_works!$B$46&gt;=L31,1,0))</f>
        <v>1</v>
      </c>
      <c r="L31" s="216">
        <f>IF(AND(uxb_works!$B$47=2,E31=1),0,tblIndicators!G22)</f>
        <v>2</v>
      </c>
      <c r="M31" s="218"/>
      <c r="N31" s="249" t="str">
        <f>iScores!N26</f>
        <v xml:space="preserve">  2.2) Digital finance</v>
      </c>
      <c r="O31" s="407">
        <f>CHOOSE(uxb_works!$B$47,iData!I26,iScores!O26)</f>
        <v>0.15384615384615385</v>
      </c>
      <c r="P31" s="631">
        <f>IF(P$4="","",CHOOSE(uxb_works!$B$47,IF(INDEX(aData,$B31,P$4)="","-",TEXT(INDEX(aData,$B31,P$4),$H31)),IFERROR(INDEX(aScoresRounded,$B31,P$4),"")))</f>
        <v>58.5</v>
      </c>
      <c r="Q31" s="706">
        <f>IF(Q$4="","",CHOOSE(uxb_works!$B$47,IF(INDEX(aData,$B31,Q$4)="","-",TEXT(INDEX(aData,$B31,Q$4),$H31)),IFERROR(INDEX(aScoresRounded,$B31,Q$4),"")))</f>
        <v>65.599999999999994</v>
      </c>
      <c r="R31" s="706">
        <f>IF(R$4="","",CHOOSE(uxb_works!$B$47,IF(INDEX(aData,$B31,R$4)="","-",TEXT(INDEX(aData,$B31,R$4),$H31)),IFERROR(INDEX(aScoresRounded,$B31,R$4),"")))</f>
        <v>51.1</v>
      </c>
      <c r="S31" s="706">
        <f>IF(S$4="","",CHOOSE(uxb_works!$B$47,IF(INDEX(aData,$B31,S$4)="","-",TEXT(INDEX(aData,$B31,S$4),$H31)),IFERROR(INDEX(aScoresRounded,$B31,S$4),"")))</f>
        <v>37.799999999999997</v>
      </c>
      <c r="T31" s="706">
        <f>IF(T$4="","",CHOOSE(uxb_works!$B$47,IF(INDEX(aData,$B31,T$4)="","-",TEXT(INDEX(aData,$B31,T$4),$H31)),IFERROR(INDEX(aScoresRounded,$B31,T$4),"")))</f>
        <v>87.4</v>
      </c>
      <c r="U31" s="706">
        <f>IF(U$4="","",CHOOSE(uxb_works!$B$47,IF(INDEX(aData,$B31,U$4)="","-",TEXT(INDEX(aData,$B31,U$4),$H31)),IFERROR(INDEX(aScoresRounded,$B31,U$4),"")))</f>
        <v>29.6</v>
      </c>
      <c r="V31" s="706">
        <f>IF(V$4="","",CHOOSE(uxb_works!$B$47,IF(INDEX(aData,$B31,V$4)="","-",TEXT(INDEX(aData,$B31,V$4),$H31)),IFERROR(INDEX(aScoresRounded,$B31,V$4),"")))</f>
        <v>39.299999999999997</v>
      </c>
      <c r="W31" s="706">
        <f>IF(W$4="","",CHOOSE(uxb_works!$B$47,IF(INDEX(aData,$B31,W$4)="","-",TEXT(INDEX(aData,$B31,W$4),$H31)),IFERROR(INDEX(aScoresRounded,$B31,W$4),"")))</f>
        <v>66.2</v>
      </c>
      <c r="X31" s="706">
        <f>IF(X$4="","",CHOOSE(uxb_works!$B$47,IF(INDEX(aData,$B31,X$4)="","-",TEXT(INDEX(aData,$B31,X$4),$H31)),IFERROR(INDEX(aScoresRounded,$B31,X$4),"")))</f>
        <v>57.3</v>
      </c>
      <c r="Y31" s="631">
        <f>IF(Y$4="","",CHOOSE(uxb_works!$B$47,IF(INDEX(aData,$B31,Y$4)="","-",TEXT(INDEX(aData,$B31,Y$4),$H31)),IFERROR(INDEX(aScoresRounded,$B31,Y$4),"")))</f>
        <v>60.5</v>
      </c>
      <c r="Z31" s="631">
        <f>IF(Z$4="","",CHOOSE(uxb_works!$B$47,IF(INDEX(aData,$B31,Z$4)="","-",TEXT(INDEX(aData,$B31,Z$4),$H31)),IFERROR(INDEX(aScoresRounded,$B31,Z$4),"")))</f>
        <v>37</v>
      </c>
      <c r="AA31" s="631">
        <f>IF(AA$4="","",CHOOSE(uxb_works!$B$47,IF(INDEX(aData,$B31,AA$4)="","-",TEXT(INDEX(aData,$B31,AA$4),$H31)),IFERROR(INDEX(aScoresRounded,$B31,AA$4),"")))</f>
        <v>68.5</v>
      </c>
      <c r="AB31" s="631">
        <f>IF(AB$4="","",CHOOSE(uxb_works!$B$47,IF(INDEX(aData,$B31,AB$4)="","-",TEXT(INDEX(aData,$B31,AB$4),$H31)),IFERROR(INDEX(aScoresRounded,$B31,AB$4),"")))</f>
        <v>51.6</v>
      </c>
      <c r="AC31" s="631">
        <f>IF(AC$4="","",CHOOSE(uxb_works!$B$47,IF(INDEX(aData,$B31,AC$4)="","-",TEXT(INDEX(aData,$B31,AC$4),$H31)),IFERROR(INDEX(aScoresRounded,$B31,AC$4),"")))</f>
        <v>25.1</v>
      </c>
      <c r="AD31" s="631">
        <f>IF(AD$4="","",CHOOSE(uxb_works!$B$47,IF(INDEX(aData,$B31,AD$4)="","-",TEXT(INDEX(aData,$B31,AD$4),$H31)),IFERROR(INDEX(aScoresRounded,$B31,AD$4),"")))</f>
        <v>46.5</v>
      </c>
      <c r="AE31" s="631">
        <f>IF(AE$4="","",CHOOSE(uxb_works!$B$47,IF(INDEX(aData,$B31,AE$4)="","-",TEXT(INDEX(aData,$B31,AE$4),$H31)),IFERROR(INDEX(aScoresRounded,$B31,AE$4),"")))</f>
        <v>35.9</v>
      </c>
      <c r="AF31" s="631">
        <f>IF(AF$4="","",CHOOSE(uxb_works!$B$47,IF(INDEX(aData,$B31,AF$4)="","-",TEXT(INDEX(aData,$B31,AF$4),$H31)),IFERROR(INDEX(aScoresRounded,$B31,AF$4),"")))</f>
        <v>26</v>
      </c>
      <c r="AG31" s="631">
        <f>IF(AG$4="","",CHOOSE(uxb_works!$B$47,IF(INDEX(aData,$B31,AG$4)="","-",TEXT(INDEX(aData,$B31,AG$4),$H31)),IFERROR(INDEX(aScoresRounded,$B31,AG$4),"")))</f>
        <v>30.7</v>
      </c>
      <c r="AH31" s="631">
        <f>IF(AH$4="","",CHOOSE(uxb_works!$B$47,IF(INDEX(aData,$B31,AH$4)="","-",TEXT(INDEX(aData,$B31,AH$4),$H31)),IFERROR(INDEX(aScoresRounded,$B31,AH$4),"")))</f>
        <v>65.5</v>
      </c>
      <c r="AI31" s="631">
        <f>IF(AI$4="","",CHOOSE(uxb_works!$B$47,IF(INDEX(aData,$B31,AI$4)="","-",TEXT(INDEX(aData,$B31,AI$4),$H31)),IFERROR(INDEX(aScoresRounded,$B31,AI$4),"")))</f>
        <v>57</v>
      </c>
      <c r="AJ31" s="631">
        <f>IF(AJ$4="","",CHOOSE(uxb_works!$B$47,IF(INDEX(aData,$B31,AJ$4)="","-",TEXT(INDEX(aData,$B31,AJ$4),$H31)),IFERROR(INDEX(aScoresRounded,$B31,AJ$4),"")))</f>
        <v>62.9</v>
      </c>
      <c r="AK31" s="631">
        <f>IF(AK$4="","",CHOOSE(uxb_works!$B$47,IF(INDEX(aData,$B31,AK$4)="","-",TEXT(INDEX(aData,$B31,AK$4),$H31)),IFERROR(INDEX(aScoresRounded,$B31,AK$4),"")))</f>
        <v>37.700000000000003</v>
      </c>
      <c r="AL31" s="631">
        <f>IF(AL$4="","",CHOOSE(uxb_works!$B$47,IF(INDEX(aData,$B31,AL$4)="","-",TEXT(INDEX(aData,$B31,AL$4),$H31)),IFERROR(INDEX(aScoresRounded,$B31,AL$4),"")))</f>
        <v>47.7</v>
      </c>
      <c r="AM31" s="631">
        <f>IF(AM$4="","",CHOOSE(uxb_works!$B$47,IF(INDEX(aData,$B31,AM$4)="","-",TEXT(INDEX(aData,$B31,AM$4),$H31)),IFERROR(INDEX(aScoresRounded,$B31,AM$4),"")))</f>
        <v>83.3</v>
      </c>
      <c r="AN31" s="631">
        <f>IF(AN$4="","",CHOOSE(uxb_works!$B$47,IF(INDEX(aData,$B31,AN$4)="","-",TEXT(INDEX(aData,$B31,AN$4),$H31)),IFERROR(INDEX(aScoresRounded,$B31,AN$4),"")))</f>
        <v>60.3</v>
      </c>
      <c r="AO31" s="631">
        <f>IF(AO$4="","",CHOOSE(uxb_works!$B$47,IF(INDEX(aData,$B31,AO$4)="","-",TEXT(INDEX(aData,$B31,AO$4),$H31)),IFERROR(INDEX(aScoresRounded,$B31,AO$4),"")))</f>
        <v>49</v>
      </c>
      <c r="AP31" s="631">
        <f>IF(AP$4="","",CHOOSE(uxb_works!$B$47,IF(INDEX(aData,$B31,AP$4)="","-",TEXT(INDEX(aData,$B31,AP$4),$H31)),IFERROR(INDEX(aScoresRounded,$B31,AP$4),"")))</f>
        <v>6.9</v>
      </c>
      <c r="AQ31" s="631">
        <f>IF(AQ$4="","",CHOOSE(uxb_works!$B$47,IF(INDEX(aData,$B31,AQ$4)="","-",TEXT(INDEX(aData,$B31,AQ$4),$H31)),IFERROR(INDEX(aScoresRounded,$B31,AQ$4),"")))</f>
        <v>58.7</v>
      </c>
      <c r="AR31" s="631">
        <f>IF(AR$4="","",CHOOSE(uxb_works!$B$47,IF(INDEX(aData,$B31,AR$4)="","-",TEXT(INDEX(aData,$B31,AR$4),$H31)),IFERROR(INDEX(aScoresRounded,$B31,AR$4),"")))</f>
        <v>60.8</v>
      </c>
      <c r="AS31" s="631">
        <f>IF(AS$4="","",CHOOSE(uxb_works!$B$47,IF(INDEX(aData,$B31,AS$4)="","-",TEXT(INDEX(aData,$B31,AS$4),$H31)),IFERROR(INDEX(aScoresRounded,$B31,AS$4),"")))</f>
        <v>59</v>
      </c>
      <c r="AT31" s="570"/>
      <c r="AW31" s="157">
        <f>CHOOSE($AV$1,0,IF(AW$10=0,0,IF(P31&lt;=$AX$1,1,IF(P31&lt;=#REF!,2,3))),IF(AW$10=0,0,IF(P31&lt;=$AX$1,4,IF(P31&lt;=#REF!,5,6))))</f>
        <v>0</v>
      </c>
      <c r="AX31" s="157">
        <f>CHOOSE($AV$1,0,IF(AX$10=0,0,IF(#REF!&lt;=$AX$1,1,IF(#REF!&lt;=#REF!,2,3))),IF(AX$10=0,0,IF(#REF!&lt;=$AX$1,4,IF(#REF!&lt;=#REF!,5,6))))</f>
        <v>0</v>
      </c>
    </row>
    <row r="32" spans="1:50" ht="25" customHeight="1">
      <c r="A32" s="213"/>
      <c r="B32" s="218">
        <f>tblIndicators!A23</f>
        <v>22</v>
      </c>
      <c r="C32" s="218"/>
      <c r="D32" s="218"/>
      <c r="E32" s="218">
        <f>tblIndicators!B23</f>
        <v>0</v>
      </c>
      <c r="F32" s="218">
        <f>IF(AND(uxb_works!$B$47=2,E32=1),0,iScores!F27)</f>
        <v>3</v>
      </c>
      <c r="G32" s="218"/>
      <c r="H32" s="218" t="str">
        <f>tblIndicators!AC23</f>
        <v>#,##0</v>
      </c>
      <c r="I32" s="219"/>
      <c r="J32" s="218"/>
      <c r="K32" s="214">
        <f>IF(L32=0,0,IF(uxb_works!$B$46&gt;=L32,1,0))</f>
        <v>1</v>
      </c>
      <c r="L32" s="216">
        <f>IF(AND(uxb_works!$B$47=2,E32=1),0,tblIndicators!G23)</f>
        <v>3</v>
      </c>
      <c r="M32" s="218"/>
      <c r="N32" s="249" t="str">
        <f>iScores!N27</f>
        <v xml:space="preserve">   2.2.1) Digital platforms for banking and personal finance</v>
      </c>
      <c r="O32" s="407">
        <f>CHOOSE(uxb_works!$B$47,iData!I27,iScores!O27)</f>
        <v>0.34285714285714286</v>
      </c>
      <c r="P32" s="631">
        <f>IF(P$4="","",CHOOSE(uxb_works!$B$47,IF(INDEX(aData,$B32,P$4)="","-",TEXT(INDEX(aData,$B32,P$4),$H32)),IFERROR(INDEX(aScoresRounded,$B32,P$4),"")))</f>
        <v>56.5</v>
      </c>
      <c r="Q32" s="706">
        <f>IF(Q$4="","",CHOOSE(uxb_works!$B$47,IF(INDEX(aData,$B32,Q$4)="","-",TEXT(INDEX(aData,$B32,Q$4),$H32)),IFERROR(INDEX(aScoresRounded,$B32,Q$4),"")))</f>
        <v>69.599999999999994</v>
      </c>
      <c r="R32" s="706">
        <f>IF(R$4="","",CHOOSE(uxb_works!$B$47,IF(INDEX(aData,$B32,R$4)="","-",TEXT(INDEX(aData,$B32,R$4),$H32)),IFERROR(INDEX(aScoresRounded,$B32,R$4),"")))</f>
        <v>89.1</v>
      </c>
      <c r="S32" s="706">
        <f>IF(S$4="","",CHOOSE(uxb_works!$B$47,IF(INDEX(aData,$B32,S$4)="","-",TEXT(INDEX(aData,$B32,S$4),$H32)),IFERROR(INDEX(aScoresRounded,$B32,S$4),"")))</f>
        <v>54.3</v>
      </c>
      <c r="T32" s="706">
        <f>IF(T$4="","",CHOOSE(uxb_works!$B$47,IF(INDEX(aData,$B32,T$4)="","-",TEXT(INDEX(aData,$B32,T$4),$H32)),IFERROR(INDEX(aScoresRounded,$B32,T$4),"")))</f>
        <v>95.7</v>
      </c>
      <c r="U32" s="706">
        <f>IF(U$4="","",CHOOSE(uxb_works!$B$47,IF(INDEX(aData,$B32,U$4)="","-",TEXT(INDEX(aData,$B32,U$4),$H32)),IFERROR(INDEX(aScoresRounded,$B32,U$4),"")))</f>
        <v>45.7</v>
      </c>
      <c r="V32" s="706">
        <f>IF(V$4="","",CHOOSE(uxb_works!$B$47,IF(INDEX(aData,$B32,V$4)="","-",TEXT(INDEX(aData,$B32,V$4),$H32)),IFERROR(INDEX(aScoresRounded,$B32,V$4),"")))</f>
        <v>47.8</v>
      </c>
      <c r="W32" s="706">
        <f>IF(W$4="","",CHOOSE(uxb_works!$B$47,IF(INDEX(aData,$B32,W$4)="","-",TEXT(INDEX(aData,$B32,W$4),$H32)),IFERROR(INDEX(aScoresRounded,$B32,W$4),"")))</f>
        <v>69.599999999999994</v>
      </c>
      <c r="X32" s="706">
        <f>IF(X$4="","",CHOOSE(uxb_works!$B$47,IF(INDEX(aData,$B32,X$4)="","-",TEXT(INDEX(aData,$B32,X$4),$H32)),IFERROR(INDEX(aScoresRounded,$B32,X$4),"")))</f>
        <v>34.799999999999997</v>
      </c>
      <c r="Y32" s="631">
        <f>IF(Y$4="","",CHOOSE(uxb_works!$B$47,IF(INDEX(aData,$B32,Y$4)="","-",TEXT(INDEX(aData,$B32,Y$4),$H32)),IFERROR(INDEX(aScoresRounded,$B32,Y$4),"")))</f>
        <v>89.1</v>
      </c>
      <c r="Z32" s="631">
        <f>IF(Z$4="","",CHOOSE(uxb_works!$B$47,IF(INDEX(aData,$B32,Z$4)="","-",TEXT(INDEX(aData,$B32,Z$4),$H32)),IFERROR(INDEX(aScoresRounded,$B32,Z$4),"")))</f>
        <v>58.7</v>
      </c>
      <c r="AA32" s="631">
        <f>IF(AA$4="","",CHOOSE(uxb_works!$B$47,IF(INDEX(aData,$B32,AA$4)="","-",TEXT(INDEX(aData,$B32,AA$4),$H32)),IFERROR(INDEX(aScoresRounded,$B32,AA$4),"")))</f>
        <v>45.7</v>
      </c>
      <c r="AB32" s="631">
        <f>IF(AB$4="","",CHOOSE(uxb_works!$B$47,IF(INDEX(aData,$B32,AB$4)="","-",TEXT(INDEX(aData,$B32,AB$4),$H32)),IFERROR(INDEX(aScoresRounded,$B32,AB$4),"")))</f>
        <v>91.3</v>
      </c>
      <c r="AC32" s="631">
        <f>IF(AC$4="","",CHOOSE(uxb_works!$B$47,IF(INDEX(aData,$B32,AC$4)="","-",TEXT(INDEX(aData,$B32,AC$4),$H32)),IFERROR(INDEX(aScoresRounded,$B32,AC$4),"")))</f>
        <v>23.9</v>
      </c>
      <c r="AD32" s="631">
        <f>IF(AD$4="","",CHOOSE(uxb_works!$B$47,IF(INDEX(aData,$B32,AD$4)="","-",TEXT(INDEX(aData,$B32,AD$4),$H32)),IFERROR(INDEX(aScoresRounded,$B32,AD$4),"")))</f>
        <v>30.4</v>
      </c>
      <c r="AE32" s="631">
        <f>IF(AE$4="","",CHOOSE(uxb_works!$B$47,IF(INDEX(aData,$B32,AE$4)="","-",TEXT(INDEX(aData,$B32,AE$4),$H32)),IFERROR(INDEX(aScoresRounded,$B32,AE$4),"")))</f>
        <v>47.8</v>
      </c>
      <c r="AF32" s="631">
        <f>IF(AF$4="","",CHOOSE(uxb_works!$B$47,IF(INDEX(aData,$B32,AF$4)="","-",TEXT(INDEX(aData,$B32,AF$4),$H32)),IFERROR(INDEX(aScoresRounded,$B32,AF$4),"")))</f>
        <v>39.1</v>
      </c>
      <c r="AG32" s="631">
        <f>IF(AG$4="","",CHOOSE(uxb_works!$B$47,IF(INDEX(aData,$B32,AG$4)="","-",TEXT(INDEX(aData,$B32,AG$4),$H32)),IFERROR(INDEX(aScoresRounded,$B32,AG$4),"")))</f>
        <v>50</v>
      </c>
      <c r="AH32" s="631">
        <f>IF(AH$4="","",CHOOSE(uxb_works!$B$47,IF(INDEX(aData,$B32,AH$4)="","-",TEXT(INDEX(aData,$B32,AH$4),$H32)),IFERROR(INDEX(aScoresRounded,$B32,AH$4),"")))</f>
        <v>100</v>
      </c>
      <c r="AI32" s="631">
        <f>IF(AI$4="","",CHOOSE(uxb_works!$B$47,IF(INDEX(aData,$B32,AI$4)="","-",TEXT(INDEX(aData,$B32,AI$4),$H32)),IFERROR(INDEX(aScoresRounded,$B32,AI$4),"")))</f>
        <v>34.799999999999997</v>
      </c>
      <c r="AJ32" s="631">
        <f>IF(AJ$4="","",CHOOSE(uxb_works!$B$47,IF(INDEX(aData,$B32,AJ$4)="","-",TEXT(INDEX(aData,$B32,AJ$4),$H32)),IFERROR(INDEX(aScoresRounded,$B32,AJ$4),"")))</f>
        <v>73.900000000000006</v>
      </c>
      <c r="AK32" s="631">
        <f>IF(AK$4="","",CHOOSE(uxb_works!$B$47,IF(INDEX(aData,$B32,AK$4)="","-",TEXT(INDEX(aData,$B32,AK$4),$H32)),IFERROR(INDEX(aScoresRounded,$B32,AK$4),"")))</f>
        <v>56.5</v>
      </c>
      <c r="AL32" s="631">
        <f>IF(AL$4="","",CHOOSE(uxb_works!$B$47,IF(INDEX(aData,$B32,AL$4)="","-",TEXT(INDEX(aData,$B32,AL$4),$H32)),IFERROR(INDEX(aScoresRounded,$B32,AL$4),"")))</f>
        <v>58.7</v>
      </c>
      <c r="AM32" s="631">
        <f>IF(AM$4="","",CHOOSE(uxb_works!$B$47,IF(INDEX(aData,$B32,AM$4)="","-",TEXT(INDEX(aData,$B32,AM$4),$H32)),IFERROR(INDEX(aScoresRounded,$B32,AM$4),"")))</f>
        <v>89.1</v>
      </c>
      <c r="AN32" s="631">
        <f>IF(AN$4="","",CHOOSE(uxb_works!$B$47,IF(INDEX(aData,$B32,AN$4)="","-",TEXT(INDEX(aData,$B32,AN$4),$H32)),IFERROR(INDEX(aScoresRounded,$B32,AN$4),"")))</f>
        <v>71.7</v>
      </c>
      <c r="AO32" s="631">
        <f>IF(AO$4="","",CHOOSE(uxb_works!$B$47,IF(INDEX(aData,$B32,AO$4)="","-",TEXT(INDEX(aData,$B32,AO$4),$H32)),IFERROR(INDEX(aScoresRounded,$B32,AO$4),"")))</f>
        <v>23.9</v>
      </c>
      <c r="AP32" s="631">
        <f>IF(AP$4="","",CHOOSE(uxb_works!$B$47,IF(INDEX(aData,$B32,AP$4)="","-",TEXT(INDEX(aData,$B32,AP$4),$H32)),IFERROR(INDEX(aScoresRounded,$B32,AP$4),"")))</f>
        <v>0</v>
      </c>
      <c r="AQ32" s="631">
        <f>IF(AQ$4="","",CHOOSE(uxb_works!$B$47,IF(INDEX(aData,$B32,AQ$4)="","-",TEXT(INDEX(aData,$B32,AQ$4),$H32)),IFERROR(INDEX(aScoresRounded,$B32,AQ$4),"")))</f>
        <v>37</v>
      </c>
      <c r="AR32" s="631">
        <f>IF(AR$4="","",CHOOSE(uxb_works!$B$47,IF(INDEX(aData,$B32,AR$4)="","-",TEXT(INDEX(aData,$B32,AR$4),$H32)),IFERROR(INDEX(aScoresRounded,$B32,AR$4),"")))</f>
        <v>41.3</v>
      </c>
      <c r="AS32" s="631">
        <f>IF(AS$4="","",CHOOSE(uxb_works!$B$47,IF(INDEX(aData,$B32,AS$4)="","-",TEXT(INDEX(aData,$B32,AS$4),$H32)),IFERROR(INDEX(aScoresRounded,$B32,AS$4),"")))</f>
        <v>52.2</v>
      </c>
      <c r="AT32" s="570"/>
      <c r="AW32" s="157">
        <f>CHOOSE($AV$1,0,IF(AW$10=0,0,IF(P32&lt;=$AX$1,1,IF(P32&lt;=#REF!,2,3))),IF(AW$10=0,0,IF(P32&lt;=$AX$1,4,IF(P32&lt;=#REF!,5,6))))</f>
        <v>0</v>
      </c>
      <c r="AX32" s="157">
        <f>CHOOSE($AV$1,0,IF(AX$10=0,0,IF(#REF!&lt;=$AX$1,1,IF(#REF!&lt;=#REF!,2,3))),IF(AX$10=0,0,IF(#REF!&lt;=$AX$1,4,IF(#REF!&lt;=#REF!,5,6))))</f>
        <v>0</v>
      </c>
    </row>
    <row r="33" spans="1:50" ht="25" customHeight="1">
      <c r="A33" s="213"/>
      <c r="B33" s="218">
        <f>tblIndicators!A24</f>
        <v>23</v>
      </c>
      <c r="C33" s="218"/>
      <c r="D33" s="218"/>
      <c r="E33" s="218">
        <f>tblIndicators!B24</f>
        <v>0</v>
      </c>
      <c r="F33" s="218">
        <f>IF(AND(uxb_works!$B$47=2,E33=1),0,iScores!F28)</f>
        <v>3</v>
      </c>
      <c r="G33" s="218"/>
      <c r="H33" s="218" t="str">
        <f>tblIndicators!AC24</f>
        <v>#,##0</v>
      </c>
      <c r="I33" s="219"/>
      <c r="J33" s="218"/>
      <c r="K33" s="214">
        <f>IF(L33=0,0,IF(uxb_works!$B$46&gt;=L33,1,0))</f>
        <v>1</v>
      </c>
      <c r="L33" s="216">
        <f>IF(AND(uxb_works!$B$47=2,E33=1),0,tblIndicators!G24)</f>
        <v>3</v>
      </c>
      <c r="M33" s="218"/>
      <c r="N33" s="249" t="str">
        <f>iScores!N28</f>
        <v xml:space="preserve">   2.2.2) Digital investment management tools</v>
      </c>
      <c r="O33" s="407">
        <f>CHOOSE(uxb_works!$B$47,iData!I28,iScores!O28)</f>
        <v>0.22857142857142856</v>
      </c>
      <c r="P33" s="631">
        <f>IF(P$4="","",CHOOSE(uxb_works!$B$47,IF(INDEX(aData,$B33,P$4)="","-",TEXT(INDEX(aData,$B33,P$4),$H33)),IFERROR(INDEX(aScoresRounded,$B33,P$4),"")))</f>
        <v>5.6</v>
      </c>
      <c r="Q33" s="706">
        <f>IF(Q$4="","",CHOOSE(uxb_works!$B$47,IF(INDEX(aData,$B33,Q$4)="","-",TEXT(INDEX(aData,$B33,Q$4),$H33)),IFERROR(INDEX(aScoresRounded,$B33,Q$4),"")))</f>
        <v>19.7</v>
      </c>
      <c r="R33" s="706">
        <f>IF(R$4="","",CHOOSE(uxb_works!$B$47,IF(INDEX(aData,$B33,R$4)="","-",TEXT(INDEX(aData,$B33,R$4),$H33)),IFERROR(INDEX(aScoresRounded,$B33,R$4),"")))</f>
        <v>84.5</v>
      </c>
      <c r="S33" s="706">
        <f>IF(S$4="","",CHOOSE(uxb_works!$B$47,IF(INDEX(aData,$B33,S$4)="","-",TEXT(INDEX(aData,$B33,S$4),$H33)),IFERROR(INDEX(aScoresRounded,$B33,S$4),"")))</f>
        <v>26.8</v>
      </c>
      <c r="T33" s="706">
        <f>IF(T$4="","",CHOOSE(uxb_works!$B$47,IF(INDEX(aData,$B33,T$4)="","-",TEXT(INDEX(aData,$B33,T$4),$H33)),IFERROR(INDEX(aScoresRounded,$B33,T$4),"")))</f>
        <v>83.1</v>
      </c>
      <c r="U33" s="706">
        <f>IF(U$4="","",CHOOSE(uxb_works!$B$47,IF(INDEX(aData,$B33,U$4)="","-",TEXT(INDEX(aData,$B33,U$4),$H33)),IFERROR(INDEX(aScoresRounded,$B33,U$4),"")))</f>
        <v>0</v>
      </c>
      <c r="V33" s="706">
        <f>IF(V$4="","",CHOOSE(uxb_works!$B$47,IF(INDEX(aData,$B33,V$4)="","-",TEXT(INDEX(aData,$B33,V$4),$H33)),IFERROR(INDEX(aScoresRounded,$B33,V$4),"")))</f>
        <v>32.4</v>
      </c>
      <c r="W33" s="706">
        <f>IF(W$4="","",CHOOSE(uxb_works!$B$47,IF(INDEX(aData,$B33,W$4)="","-",TEXT(INDEX(aData,$B33,W$4),$H33)),IFERROR(INDEX(aScoresRounded,$B33,W$4),"")))</f>
        <v>11.3</v>
      </c>
      <c r="X33" s="706">
        <f>IF(X$4="","",CHOOSE(uxb_works!$B$47,IF(INDEX(aData,$B33,X$4)="","-",TEXT(INDEX(aData,$B33,X$4),$H33)),IFERROR(INDEX(aScoresRounded,$B33,X$4),"")))</f>
        <v>29.6</v>
      </c>
      <c r="Y33" s="631">
        <f>IF(Y$4="","",CHOOSE(uxb_works!$B$47,IF(INDEX(aData,$B33,Y$4)="","-",TEXT(INDEX(aData,$B33,Y$4),$H33)),IFERROR(INDEX(aScoresRounded,$B33,Y$4),"")))</f>
        <v>80.3</v>
      </c>
      <c r="Z33" s="631">
        <f>IF(Z$4="","",CHOOSE(uxb_works!$B$47,IF(INDEX(aData,$B33,Z$4)="","-",TEXT(INDEX(aData,$B33,Z$4),$H33)),IFERROR(INDEX(aScoresRounded,$B33,Z$4),"")))</f>
        <v>12.7</v>
      </c>
      <c r="AA33" s="631">
        <f>IF(AA$4="","",CHOOSE(uxb_works!$B$47,IF(INDEX(aData,$B33,AA$4)="","-",TEXT(INDEX(aData,$B33,AA$4),$H33)),IFERROR(INDEX(aScoresRounded,$B33,AA$4),"")))</f>
        <v>49.3</v>
      </c>
      <c r="AB33" s="631">
        <f>IF(AB$4="","",CHOOSE(uxb_works!$B$47,IF(INDEX(aData,$B33,AB$4)="","-",TEXT(INDEX(aData,$B33,AB$4),$H33)),IFERROR(INDEX(aScoresRounded,$B33,AB$4),"")))</f>
        <v>88.7</v>
      </c>
      <c r="AC33" s="631">
        <f>IF(AC$4="","",CHOOSE(uxb_works!$B$47,IF(INDEX(aData,$B33,AC$4)="","-",TEXT(INDEX(aData,$B33,AC$4),$H33)),IFERROR(INDEX(aScoresRounded,$B33,AC$4),"")))</f>
        <v>40.799999999999997</v>
      </c>
      <c r="AD33" s="631">
        <f>IF(AD$4="","",CHOOSE(uxb_works!$B$47,IF(INDEX(aData,$B33,AD$4)="","-",TEXT(INDEX(aData,$B33,AD$4),$H33)),IFERROR(INDEX(aScoresRounded,$B33,AD$4),"")))</f>
        <v>5.6</v>
      </c>
      <c r="AE33" s="631">
        <f>IF(AE$4="","",CHOOSE(uxb_works!$B$47,IF(INDEX(aData,$B33,AE$4)="","-",TEXT(INDEX(aData,$B33,AE$4),$H33)),IFERROR(INDEX(aScoresRounded,$B33,AE$4),"")))</f>
        <v>28.2</v>
      </c>
      <c r="AF33" s="631">
        <f>IF(AF$4="","",CHOOSE(uxb_works!$B$47,IF(INDEX(aData,$B33,AF$4)="","-",TEXT(INDEX(aData,$B33,AF$4),$H33)),IFERROR(INDEX(aScoresRounded,$B33,AF$4),"")))</f>
        <v>47.9</v>
      </c>
      <c r="AG33" s="631">
        <f>IF(AG$4="","",CHOOSE(uxb_works!$B$47,IF(INDEX(aData,$B33,AG$4)="","-",TEXT(INDEX(aData,$B33,AG$4),$H33)),IFERROR(INDEX(aScoresRounded,$B33,AG$4),"")))</f>
        <v>39.4</v>
      </c>
      <c r="AH33" s="631">
        <f>IF(AH$4="","",CHOOSE(uxb_works!$B$47,IF(INDEX(aData,$B33,AH$4)="","-",TEXT(INDEX(aData,$B33,AH$4),$H33)),IFERROR(INDEX(aScoresRounded,$B33,AH$4),"")))</f>
        <v>100</v>
      </c>
      <c r="AI33" s="631">
        <f>IF(AI$4="","",CHOOSE(uxb_works!$B$47,IF(INDEX(aData,$B33,AI$4)="","-",TEXT(INDEX(aData,$B33,AI$4),$H33)),IFERROR(INDEX(aScoresRounded,$B33,AI$4),"")))</f>
        <v>28.2</v>
      </c>
      <c r="AJ33" s="631">
        <f>IF(AJ$4="","",CHOOSE(uxb_works!$B$47,IF(INDEX(aData,$B33,AJ$4)="","-",TEXT(INDEX(aData,$B33,AJ$4),$H33)),IFERROR(INDEX(aScoresRounded,$B33,AJ$4),"")))</f>
        <v>16.899999999999999</v>
      </c>
      <c r="AK33" s="631">
        <f>IF(AK$4="","",CHOOSE(uxb_works!$B$47,IF(INDEX(aData,$B33,AK$4)="","-",TEXT(INDEX(aData,$B33,AK$4),$H33)),IFERROR(INDEX(aScoresRounded,$B33,AK$4),"")))</f>
        <v>16.899999999999999</v>
      </c>
      <c r="AL33" s="631">
        <f>IF(AL$4="","",CHOOSE(uxb_works!$B$47,IF(INDEX(aData,$B33,AL$4)="","-",TEXT(INDEX(aData,$B33,AL$4),$H33)),IFERROR(INDEX(aScoresRounded,$B33,AL$4),"")))</f>
        <v>46.5</v>
      </c>
      <c r="AM33" s="631">
        <f>IF(AM$4="","",CHOOSE(uxb_works!$B$47,IF(INDEX(aData,$B33,AM$4)="","-",TEXT(INDEX(aData,$B33,AM$4),$H33)),IFERROR(INDEX(aScoresRounded,$B33,AM$4),"")))</f>
        <v>67.599999999999994</v>
      </c>
      <c r="AN33" s="631">
        <f>IF(AN$4="","",CHOOSE(uxb_works!$B$47,IF(INDEX(aData,$B33,AN$4)="","-",TEXT(INDEX(aData,$B33,AN$4),$H33)),IFERROR(INDEX(aScoresRounded,$B33,AN$4),"")))</f>
        <v>46.5</v>
      </c>
      <c r="AO33" s="631">
        <f>IF(AO$4="","",CHOOSE(uxb_works!$B$47,IF(INDEX(aData,$B33,AO$4)="","-",TEXT(INDEX(aData,$B33,AO$4),$H33)),IFERROR(INDEX(aScoresRounded,$B33,AO$4),"")))</f>
        <v>7</v>
      </c>
      <c r="AP33" s="631">
        <f>IF(AP$4="","",CHOOSE(uxb_works!$B$47,IF(INDEX(aData,$B33,AP$4)="","-",TEXT(INDEX(aData,$B33,AP$4),$H33)),IFERROR(INDEX(aScoresRounded,$B33,AP$4),"")))</f>
        <v>15.5</v>
      </c>
      <c r="AQ33" s="631">
        <f>IF(AQ$4="","",CHOOSE(uxb_works!$B$47,IF(INDEX(aData,$B33,AQ$4)="","-",TEXT(INDEX(aData,$B33,AQ$4),$H33)),IFERROR(INDEX(aScoresRounded,$B33,AQ$4),"")))</f>
        <v>14.1</v>
      </c>
      <c r="AR33" s="631">
        <f>IF(AR$4="","",CHOOSE(uxb_works!$B$47,IF(INDEX(aData,$B33,AR$4)="","-",TEXT(INDEX(aData,$B33,AR$4),$H33)),IFERROR(INDEX(aScoresRounded,$B33,AR$4),"")))</f>
        <v>35.200000000000003</v>
      </c>
      <c r="AS33" s="631">
        <f>IF(AS$4="","",CHOOSE(uxb_works!$B$47,IF(INDEX(aData,$B33,AS$4)="","-",TEXT(INDEX(aData,$B33,AS$4),$H33)),IFERROR(INDEX(aScoresRounded,$B33,AS$4),"")))</f>
        <v>23.9</v>
      </c>
      <c r="AT33" s="570"/>
      <c r="AW33" s="157">
        <f>CHOOSE($AV$1,0,IF(AW$10=0,0,IF(P33&lt;=$AX$1,1,IF(P33&lt;=#REF!,2,3))),IF(AW$10=0,0,IF(P33&lt;=$AX$1,4,IF(P33&lt;=#REF!,5,6))))</f>
        <v>0</v>
      </c>
      <c r="AX33" s="157">
        <f>CHOOSE($AV$1,0,IF(AX$10=0,0,IF(#REF!&lt;=$AX$1,1,IF(#REF!&lt;=#REF!,2,3))),IF(AX$10=0,0,IF(#REF!&lt;=$AX$1,4,IF(#REF!&lt;=#REF!,5,6))))</f>
        <v>0</v>
      </c>
    </row>
    <row r="34" spans="1:50" ht="25" customHeight="1">
      <c r="A34" s="213"/>
      <c r="B34" s="218">
        <f>tblIndicators!A25</f>
        <v>24</v>
      </c>
      <c r="C34" s="218"/>
      <c r="D34" s="218"/>
      <c r="E34" s="218">
        <f>tblIndicators!B25</f>
        <v>0</v>
      </c>
      <c r="F34" s="218">
        <f>IF(AND(uxb_works!$B$47=2,E34=1),0,iScores!F29)</f>
        <v>3</v>
      </c>
      <c r="G34" s="218"/>
      <c r="H34" s="218" t="str">
        <f>tblIndicators!AC25</f>
        <v>#,##0.0</v>
      </c>
      <c r="I34" s="219"/>
      <c r="J34" s="218"/>
      <c r="K34" s="214">
        <f>IF(L34=0,0,IF(uxb_works!$B$46&gt;=L34,1,0))</f>
        <v>1</v>
      </c>
      <c r="L34" s="216">
        <f>IF(AND(uxb_works!$B$47=2,E34=1),0,tblIndicators!G25)</f>
        <v>3</v>
      </c>
      <c r="M34" s="218"/>
      <c r="N34" s="249" t="str">
        <f>iScores!N29</f>
        <v xml:space="preserve">   2.2.3) E-payments</v>
      </c>
      <c r="O34" s="407">
        <f>CHOOSE(uxb_works!$B$47,iData!I29,iScores!O29)</f>
        <v>0.4285714285714286</v>
      </c>
      <c r="P34" s="631">
        <f>IF(P$4="","",CHOOSE(uxb_works!$B$47,IF(INDEX(aData,$B34,P$4)="","-",TEXT(INDEX(aData,$B34,P$4),$H34)),IFERROR(INDEX(aScoresRounded,$B34,P$4),"")))</f>
        <v>88.3</v>
      </c>
      <c r="Q34" s="706">
        <f>IF(Q$4="","",CHOOSE(uxb_works!$B$47,IF(INDEX(aData,$B34,Q$4)="","-",TEXT(INDEX(aData,$B34,Q$4),$H34)),IFERROR(INDEX(aScoresRounded,$B34,Q$4),"")))</f>
        <v>86.8</v>
      </c>
      <c r="R34" s="706">
        <f>IF(R$4="","",CHOOSE(uxb_works!$B$47,IF(INDEX(aData,$B34,R$4)="","-",TEXT(INDEX(aData,$B34,R$4),$H34)),IFERROR(INDEX(aScoresRounded,$B34,R$4),"")))</f>
        <v>2.9</v>
      </c>
      <c r="S34" s="706">
        <f>IF(S$4="","",CHOOSE(uxb_works!$B$47,IF(INDEX(aData,$B34,S$4)="","-",TEXT(INDEX(aData,$B34,S$4),$H34)),IFERROR(INDEX(aScoresRounded,$B34,S$4),"")))</f>
        <v>30.5</v>
      </c>
      <c r="T34" s="706">
        <f>IF(T$4="","",CHOOSE(uxb_works!$B$47,IF(INDEX(aData,$B34,T$4)="","-",TEXT(INDEX(aData,$B34,T$4),$H34)),IFERROR(INDEX(aScoresRounded,$B34,T$4),"")))</f>
        <v>83.1</v>
      </c>
      <c r="U34" s="706">
        <f>IF(U$4="","",CHOOSE(uxb_works!$B$47,IF(INDEX(aData,$B34,U$4)="","-",TEXT(INDEX(aData,$B34,U$4),$H34)),IFERROR(INDEX(aScoresRounded,$B34,U$4),"")))</f>
        <v>32.700000000000003</v>
      </c>
      <c r="V34" s="706">
        <f>IF(V$4="","",CHOOSE(uxb_works!$B$47,IF(INDEX(aData,$B34,V$4)="","-",TEXT(INDEX(aData,$B34,V$4),$H34)),IFERROR(INDEX(aScoresRounded,$B34,V$4),"")))</f>
        <v>36.1</v>
      </c>
      <c r="W34" s="706">
        <f>IF(W$4="","",CHOOSE(uxb_works!$B$47,IF(INDEX(aData,$B34,W$4)="","-",TEXT(INDEX(aData,$B34,W$4),$H34)),IFERROR(INDEX(aScoresRounded,$B34,W$4),"")))</f>
        <v>92.8</v>
      </c>
      <c r="X34" s="706">
        <f>IF(X$4="","",CHOOSE(uxb_works!$B$47,IF(INDEX(aData,$B34,X$4)="","-",TEXT(INDEX(aData,$B34,X$4),$H34)),IFERROR(INDEX(aScoresRounded,$B34,X$4),"")))</f>
        <v>90.1</v>
      </c>
      <c r="Y34" s="631">
        <f>IF(Y$4="","",CHOOSE(uxb_works!$B$47,IF(INDEX(aData,$B34,Y$4)="","-",TEXT(INDEX(aData,$B34,Y$4),$H34)),IFERROR(INDEX(aScoresRounded,$B34,Y$4),"")))</f>
        <v>27.2</v>
      </c>
      <c r="Z34" s="631">
        <f>IF(Z$4="","",CHOOSE(uxb_works!$B$47,IF(INDEX(aData,$B34,Z$4)="","-",TEXT(INDEX(aData,$B34,Z$4),$H34)),IFERROR(INDEX(aScoresRounded,$B34,Z$4),"")))</f>
        <v>32.700000000000003</v>
      </c>
      <c r="AA34" s="631">
        <f>IF(AA$4="","",CHOOSE(uxb_works!$B$47,IF(INDEX(aData,$B34,AA$4)="","-",TEXT(INDEX(aData,$B34,AA$4),$H34)),IFERROR(INDEX(aScoresRounded,$B34,AA$4),"")))</f>
        <v>97.1</v>
      </c>
      <c r="AB34" s="631">
        <f>IF(AB$4="","",CHOOSE(uxb_works!$B$47,IF(INDEX(aData,$B34,AB$4)="","-",TEXT(INDEX(aData,$B34,AB$4),$H34)),IFERROR(INDEX(aScoresRounded,$B34,AB$4),"")))</f>
        <v>0</v>
      </c>
      <c r="AC34" s="631">
        <f>IF(AC$4="","",CHOOSE(uxb_works!$B$47,IF(INDEX(aData,$B34,AC$4)="","-",TEXT(INDEX(aData,$B34,AC$4),$H34)),IFERROR(INDEX(aScoresRounded,$B34,AC$4),"")))</f>
        <v>17.600000000000001</v>
      </c>
      <c r="AD34" s="631">
        <f>IF(AD$4="","",CHOOSE(uxb_works!$B$47,IF(INDEX(aData,$B34,AD$4)="","-",TEXT(INDEX(aData,$B34,AD$4),$H34)),IFERROR(INDEX(aScoresRounded,$B34,AD$4),"")))</f>
        <v>81.099999999999994</v>
      </c>
      <c r="AE34" s="631">
        <f>IF(AE$4="","",CHOOSE(uxb_works!$B$47,IF(INDEX(aData,$B34,AE$4)="","-",TEXT(INDEX(aData,$B34,AE$4),$H34)),IFERROR(INDEX(aScoresRounded,$B34,AE$4),"")))</f>
        <v>30.5</v>
      </c>
      <c r="AF34" s="631">
        <f>IF(AF$4="","",CHOOSE(uxb_works!$B$47,IF(INDEX(aData,$B34,AF$4)="","-",TEXT(INDEX(aData,$B34,AF$4),$H34)),IFERROR(INDEX(aScoresRounded,$B34,AF$4),"")))</f>
        <v>3.9</v>
      </c>
      <c r="AG34" s="631">
        <f>IF(AG$4="","",CHOOSE(uxb_works!$B$47,IF(INDEX(aData,$B34,AG$4)="","-",TEXT(INDEX(aData,$B34,AG$4),$H34)),IFERROR(INDEX(aScoresRounded,$B34,AG$4),"")))</f>
        <v>10.6</v>
      </c>
      <c r="AH34" s="631">
        <f>IF(AH$4="","",CHOOSE(uxb_works!$B$47,IF(INDEX(aData,$B34,AH$4)="","-",TEXT(INDEX(aData,$B34,AH$4),$H34)),IFERROR(INDEX(aScoresRounded,$B34,AH$4),"")))</f>
        <v>19.399999999999999</v>
      </c>
      <c r="AI34" s="631">
        <f>IF(AI$4="","",CHOOSE(uxb_works!$B$47,IF(INDEX(aData,$B34,AI$4)="","-",TEXT(INDEX(aData,$B34,AI$4),$H34)),IFERROR(INDEX(aScoresRounded,$B34,AI$4),"")))</f>
        <v>90.1</v>
      </c>
      <c r="AJ34" s="631">
        <f>IF(AJ$4="","",CHOOSE(uxb_works!$B$47,IF(INDEX(aData,$B34,AJ$4)="","-",TEXT(INDEX(aData,$B34,AJ$4),$H34)),IFERROR(INDEX(aScoresRounded,$B34,AJ$4),"")))</f>
        <v>78.5</v>
      </c>
      <c r="AK34" s="631">
        <f>IF(AK$4="","",CHOOSE(uxb_works!$B$47,IF(INDEX(aData,$B34,AK$4)="","-",TEXT(INDEX(aData,$B34,AK$4),$H34)),IFERROR(INDEX(aScoresRounded,$B34,AK$4),"")))</f>
        <v>33.799999999999997</v>
      </c>
      <c r="AL34" s="631">
        <f>IF(AL$4="","",CHOOSE(uxb_works!$B$47,IF(INDEX(aData,$B34,AL$4)="","-",TEXT(INDEX(aData,$B34,AL$4),$H34)),IFERROR(INDEX(aScoresRounded,$B34,AL$4),"")))</f>
        <v>39.4</v>
      </c>
      <c r="AM34" s="631">
        <f>IF(AM$4="","",CHOOSE(uxb_works!$B$47,IF(INDEX(aData,$B34,AM$4)="","-",TEXT(INDEX(aData,$B34,AM$4),$H34)),IFERROR(INDEX(aScoresRounded,$B34,AM$4),"")))</f>
        <v>87</v>
      </c>
      <c r="AN34" s="631">
        <f>IF(AN$4="","",CHOOSE(uxb_works!$B$47,IF(INDEX(aData,$B34,AN$4)="","-",TEXT(INDEX(aData,$B34,AN$4),$H34)),IFERROR(INDEX(aScoresRounded,$B34,AN$4),"")))</f>
        <v>58.5</v>
      </c>
      <c r="AO34" s="631">
        <f>IF(AO$4="","",CHOOSE(uxb_works!$B$47,IF(INDEX(aData,$B34,AO$4)="","-",TEXT(INDEX(aData,$B34,AO$4),$H34)),IFERROR(INDEX(aScoresRounded,$B34,AO$4),"")))</f>
        <v>91.4</v>
      </c>
      <c r="AP34" s="631">
        <f>IF(AP$4="","",CHOOSE(uxb_works!$B$47,IF(INDEX(aData,$B34,AP$4)="","-",TEXT(INDEX(aData,$B34,AP$4),$H34)),IFERROR(INDEX(aScoresRounded,$B34,AP$4),"")))</f>
        <v>7.9</v>
      </c>
      <c r="AQ34" s="631">
        <f>IF(AQ$4="","",CHOOSE(uxb_works!$B$47,IF(INDEX(aData,$B34,AQ$4)="","-",TEXT(INDEX(aData,$B34,AQ$4),$H34)),IFERROR(INDEX(aScoresRounded,$B34,AQ$4),"")))</f>
        <v>100</v>
      </c>
      <c r="AR34" s="631">
        <f>IF(AR$4="","",CHOOSE(uxb_works!$B$47,IF(INDEX(aData,$B34,AR$4)="","-",TEXT(INDEX(aData,$B34,AR$4),$H34)),IFERROR(INDEX(aScoresRounded,$B34,AR$4),"")))</f>
        <v>90.1</v>
      </c>
      <c r="AS34" s="631">
        <f>IF(AS$4="","",CHOOSE(uxb_works!$B$47,IF(INDEX(aData,$B34,AS$4)="","-",TEXT(INDEX(aData,$B34,AS$4),$H34)),IFERROR(INDEX(aScoresRounded,$B34,AS$4),"")))</f>
        <v>83.1</v>
      </c>
      <c r="AT34" s="570"/>
      <c r="AW34" s="157">
        <f>CHOOSE($AV$1,0,IF(AW$10=0,0,IF(P34&lt;=$AX$1,1,IF(P34&lt;=#REF!,2,3))),IF(AW$10=0,0,IF(P34&lt;=$AX$1,4,IF(P34&lt;=#REF!,5,6))))</f>
        <v>0</v>
      </c>
      <c r="AX34" s="157">
        <f>CHOOSE($AV$1,0,IF(AX$10=0,0,IF(#REF!&lt;=$AX$1,1,IF(#REF!&lt;=#REF!,2,3))),IF(AX$10=0,0,IF(#REF!&lt;=$AX$1,4,IF(#REF!&lt;=#REF!,5,6))))</f>
        <v>0</v>
      </c>
    </row>
    <row r="35" spans="1:50" ht="25" customHeight="1">
      <c r="A35" s="213"/>
      <c r="B35" s="218">
        <f>tblIndicators!A26</f>
        <v>25</v>
      </c>
      <c r="C35" s="218"/>
      <c r="D35" s="218"/>
      <c r="E35" s="218">
        <f>tblIndicators!B26</f>
        <v>0</v>
      </c>
      <c r="F35" s="218">
        <f>IF(AND(uxb_works!$B$47=2,E35=1),0,iScores!F30)</f>
        <v>2</v>
      </c>
      <c r="G35" s="218"/>
      <c r="H35" s="218" t="str">
        <f>tblIndicators!AC26</f>
        <v>#,##0.0</v>
      </c>
      <c r="I35" s="219"/>
      <c r="J35" s="218"/>
      <c r="K35" s="214">
        <f>IF(L35=0,0,IF(uxb_works!$B$46&gt;=L35,1,0))</f>
        <v>1</v>
      </c>
      <c r="L35" s="216">
        <f>IF(AND(uxb_works!$B$47=2,E35=1),0,tblIndicators!G26)</f>
        <v>2</v>
      </c>
      <c r="M35" s="218"/>
      <c r="N35" s="249" t="str">
        <f>iScores!N30</f>
        <v xml:space="preserve">  2.3) Transportation</v>
      </c>
      <c r="O35" s="407">
        <f>CHOOSE(uxb_works!$B$47,iData!I30,iScores!O30)</f>
        <v>0.19230769230769232</v>
      </c>
      <c r="P35" s="631">
        <f>IF(P$4="","",CHOOSE(uxb_works!$B$47,IF(INDEX(aData,$B35,P$4)="","-",TEXT(INDEX(aData,$B35,P$4),$H35)),IFERROR(INDEX(aScoresRounded,$B35,P$4),"")))</f>
        <v>100</v>
      </c>
      <c r="Q35" s="706">
        <f>IF(Q$4="","",CHOOSE(uxb_works!$B$47,IF(INDEX(aData,$B35,Q$4)="","-",TEXT(INDEX(aData,$B35,Q$4),$H35)),IFERROR(INDEX(aScoresRounded,$B35,Q$4),"")))</f>
        <v>41</v>
      </c>
      <c r="R35" s="706">
        <f>IF(R$4="","",CHOOSE(uxb_works!$B$47,IF(INDEX(aData,$B35,R$4)="","-",TEXT(INDEX(aData,$B35,R$4),$H35)),IFERROR(INDEX(aScoresRounded,$B35,R$4),"")))</f>
        <v>23.1</v>
      </c>
      <c r="S35" s="706">
        <f>IF(S$4="","",CHOOSE(uxb_works!$B$47,IF(INDEX(aData,$B35,S$4)="","-",TEXT(INDEX(aData,$B35,S$4),$H35)),IFERROR(INDEX(aScoresRounded,$B35,S$4),"")))</f>
        <v>100</v>
      </c>
      <c r="T35" s="706">
        <f>IF(T$4="","",CHOOSE(uxb_works!$B$47,IF(INDEX(aData,$B35,T$4)="","-",TEXT(INDEX(aData,$B35,T$4),$H35)),IFERROR(INDEX(aScoresRounded,$B35,T$4),"")))</f>
        <v>82.1</v>
      </c>
      <c r="U35" s="706">
        <f>IF(U$4="","",CHOOSE(uxb_works!$B$47,IF(INDEX(aData,$B35,U$4)="","-",TEXT(INDEX(aData,$B35,U$4),$H35)),IFERROR(INDEX(aScoresRounded,$B35,U$4),"")))</f>
        <v>76.900000000000006</v>
      </c>
      <c r="V35" s="706">
        <f>IF(V$4="","",CHOOSE(uxb_works!$B$47,IF(INDEX(aData,$B35,V$4)="","-",TEXT(INDEX(aData,$B35,V$4),$H35)),IFERROR(INDEX(aScoresRounded,$B35,V$4),"")))</f>
        <v>59</v>
      </c>
      <c r="W35" s="706">
        <f>IF(W$4="","",CHOOSE(uxb_works!$B$47,IF(INDEX(aData,$B35,W$4)="","-",TEXT(INDEX(aData,$B35,W$4),$H35)),IFERROR(INDEX(aScoresRounded,$B35,W$4),"")))</f>
        <v>59</v>
      </c>
      <c r="X35" s="706">
        <f>IF(X$4="","",CHOOSE(uxb_works!$B$47,IF(INDEX(aData,$B35,X$4)="","-",TEXT(INDEX(aData,$B35,X$4),$H35)),IFERROR(INDEX(aScoresRounded,$B35,X$4),"")))</f>
        <v>76.900000000000006</v>
      </c>
      <c r="Y35" s="631">
        <f>IF(Y$4="","",CHOOSE(uxb_works!$B$47,IF(INDEX(aData,$B35,Y$4)="","-",TEXT(INDEX(aData,$B35,Y$4),$H35)),IFERROR(INDEX(aScoresRounded,$B35,Y$4),"")))</f>
        <v>100</v>
      </c>
      <c r="Z35" s="631">
        <f>IF(Z$4="","",CHOOSE(uxb_works!$B$47,IF(INDEX(aData,$B35,Z$4)="","-",TEXT(INDEX(aData,$B35,Z$4),$H35)),IFERROR(INDEX(aScoresRounded,$B35,Z$4),"")))</f>
        <v>100</v>
      </c>
      <c r="AA35" s="631">
        <f>IF(AA$4="","",CHOOSE(uxb_works!$B$47,IF(INDEX(aData,$B35,AA$4)="","-",TEXT(INDEX(aData,$B35,AA$4),$H35)),IFERROR(INDEX(aScoresRounded,$B35,AA$4),"")))</f>
        <v>82.1</v>
      </c>
      <c r="AB35" s="631">
        <f>IF(AB$4="","",CHOOSE(uxb_works!$B$47,IF(INDEX(aData,$B35,AB$4)="","-",TEXT(INDEX(aData,$B35,AB$4),$H35)),IFERROR(INDEX(aScoresRounded,$B35,AB$4),"")))</f>
        <v>76.900000000000006</v>
      </c>
      <c r="AC35" s="631">
        <f>IF(AC$4="","",CHOOSE(uxb_works!$B$47,IF(INDEX(aData,$B35,AC$4)="","-",TEXT(INDEX(aData,$B35,AC$4),$H35)),IFERROR(INDEX(aScoresRounded,$B35,AC$4),"")))</f>
        <v>82.1</v>
      </c>
      <c r="AD35" s="631">
        <f>IF(AD$4="","",CHOOSE(uxb_works!$B$47,IF(INDEX(aData,$B35,AD$4)="","-",TEXT(INDEX(aData,$B35,AD$4),$H35)),IFERROR(INDEX(aScoresRounded,$B35,AD$4),"")))</f>
        <v>82.1</v>
      </c>
      <c r="AE35" s="631">
        <f>IF(AE$4="","",CHOOSE(uxb_works!$B$47,IF(INDEX(aData,$B35,AE$4)="","-",TEXT(INDEX(aData,$B35,AE$4),$H35)),IFERROR(INDEX(aScoresRounded,$B35,AE$4),"")))</f>
        <v>64.099999999999994</v>
      </c>
      <c r="AF35" s="631">
        <f>IF(AF$4="","",CHOOSE(uxb_works!$B$47,IF(INDEX(aData,$B35,AF$4)="","-",TEXT(INDEX(aData,$B35,AF$4),$H35)),IFERROR(INDEX(aScoresRounded,$B35,AF$4),"")))</f>
        <v>23.1</v>
      </c>
      <c r="AG35" s="631">
        <f>IF(AG$4="","",CHOOSE(uxb_works!$B$47,IF(INDEX(aData,$B35,AG$4)="","-",TEXT(INDEX(aData,$B35,AG$4),$H35)),IFERROR(INDEX(aScoresRounded,$B35,AG$4),"")))</f>
        <v>23.1</v>
      </c>
      <c r="AH35" s="631">
        <f>IF(AH$4="","",CHOOSE(uxb_works!$B$47,IF(INDEX(aData,$B35,AH$4)="","-",TEXT(INDEX(aData,$B35,AH$4),$H35)),IFERROR(INDEX(aScoresRounded,$B35,AH$4),"")))</f>
        <v>17.899999999999999</v>
      </c>
      <c r="AI35" s="631">
        <f>IF(AI$4="","",CHOOSE(uxb_works!$B$47,IF(INDEX(aData,$B35,AI$4)="","-",TEXT(INDEX(aData,$B35,AI$4),$H35)),IFERROR(INDEX(aScoresRounded,$B35,AI$4),"")))</f>
        <v>59</v>
      </c>
      <c r="AJ35" s="631">
        <f>IF(AJ$4="","",CHOOSE(uxb_works!$B$47,IF(INDEX(aData,$B35,AJ$4)="","-",TEXT(INDEX(aData,$B35,AJ$4),$H35)),IFERROR(INDEX(aScoresRounded,$B35,AJ$4),"")))</f>
        <v>100</v>
      </c>
      <c r="AK35" s="631">
        <f>IF(AK$4="","",CHOOSE(uxb_works!$B$47,IF(INDEX(aData,$B35,AK$4)="","-",TEXT(INDEX(aData,$B35,AK$4),$H35)),IFERROR(INDEX(aScoresRounded,$B35,AK$4),"")))</f>
        <v>100</v>
      </c>
      <c r="AL35" s="631">
        <f>IF(AL$4="","",CHOOSE(uxb_works!$B$47,IF(INDEX(aData,$B35,AL$4)="","-",TEXT(INDEX(aData,$B35,AL$4),$H35)),IFERROR(INDEX(aScoresRounded,$B35,AL$4),"")))</f>
        <v>0</v>
      </c>
      <c r="AM35" s="631">
        <f>IF(AM$4="","",CHOOSE(uxb_works!$B$47,IF(INDEX(aData,$B35,AM$4)="","-",TEXT(INDEX(aData,$B35,AM$4),$H35)),IFERROR(INDEX(aScoresRounded,$B35,AM$4),"")))</f>
        <v>82.1</v>
      </c>
      <c r="AN35" s="631">
        <f>IF(AN$4="","",CHOOSE(uxb_works!$B$47,IF(INDEX(aData,$B35,AN$4)="","-",TEXT(INDEX(aData,$B35,AN$4),$H35)),IFERROR(INDEX(aScoresRounded,$B35,AN$4),"")))</f>
        <v>82.1</v>
      </c>
      <c r="AO35" s="631">
        <f>IF(AO$4="","",CHOOSE(uxb_works!$B$47,IF(INDEX(aData,$B35,AO$4)="","-",TEXT(INDEX(aData,$B35,AO$4),$H35)),IFERROR(INDEX(aScoresRounded,$B35,AO$4),"")))</f>
        <v>100</v>
      </c>
      <c r="AP35" s="631">
        <f>IF(AP$4="","",CHOOSE(uxb_works!$B$47,IF(INDEX(aData,$B35,AP$4)="","-",TEXT(INDEX(aData,$B35,AP$4),$H35)),IFERROR(INDEX(aScoresRounded,$B35,AP$4),"")))</f>
        <v>64.099999999999994</v>
      </c>
      <c r="AQ35" s="631">
        <f>IF(AQ$4="","",CHOOSE(uxb_works!$B$47,IF(INDEX(aData,$B35,AQ$4)="","-",TEXT(INDEX(aData,$B35,AQ$4),$H35)),IFERROR(INDEX(aScoresRounded,$B35,AQ$4),"")))</f>
        <v>35.9</v>
      </c>
      <c r="AR35" s="631">
        <f>IF(AR$4="","",CHOOSE(uxb_works!$B$47,IF(INDEX(aData,$B35,AR$4)="","-",TEXT(INDEX(aData,$B35,AR$4),$H35)),IFERROR(INDEX(aScoresRounded,$B35,AR$4),"")))</f>
        <v>59</v>
      </c>
      <c r="AS35" s="631">
        <f>IF(AS$4="","",CHOOSE(uxb_works!$B$47,IF(INDEX(aData,$B35,AS$4)="","-",TEXT(INDEX(aData,$B35,AS$4),$H35)),IFERROR(INDEX(aScoresRounded,$B35,AS$4),"")))</f>
        <v>76.900000000000006</v>
      </c>
      <c r="AT35" s="570"/>
      <c r="AW35" s="157">
        <f>CHOOSE($AV$1,0,IF(AW$10=0,0,IF(P35&lt;=$AX$1,1,IF(P35&lt;=#REF!,2,3))),IF(AW$10=0,0,IF(P35&lt;=$AX$1,4,IF(P35&lt;=#REF!,5,6))))</f>
        <v>0</v>
      </c>
      <c r="AX35" s="157">
        <f>CHOOSE($AV$1,0,IF(AX$10=0,0,IF(#REF!&lt;=$AX$1,1,IF(#REF!&lt;=#REF!,2,3))),IF(AX$10=0,0,IF(#REF!&lt;=$AX$1,4,IF(#REF!&lt;=#REF!,5,6))))</f>
        <v>0</v>
      </c>
    </row>
    <row r="36" spans="1:50" ht="25" customHeight="1">
      <c r="A36" s="213"/>
      <c r="B36" s="218">
        <f>tblIndicators!A27</f>
        <v>26</v>
      </c>
      <c r="C36" s="218"/>
      <c r="D36" s="218"/>
      <c r="E36" s="218">
        <f>tblIndicators!B27</f>
        <v>0</v>
      </c>
      <c r="F36" s="218">
        <f>IF(AND(uxb_works!$B$47=2,E36=1),0,iScores!F31)</f>
        <v>3</v>
      </c>
      <c r="G36" s="218"/>
      <c r="H36" s="218" t="str">
        <f>tblIndicators!AC27</f>
        <v>#,##0</v>
      </c>
      <c r="I36" s="219"/>
      <c r="J36" s="218"/>
      <c r="K36" s="214">
        <f>IF(L36=0,0,IF(uxb_works!$B$46&gt;=L36,1,0))</f>
        <v>1</v>
      </c>
      <c r="L36" s="216">
        <f>IF(AND(uxb_works!$B$47=2,E36=1),0,tblIndicators!G27)</f>
        <v>3</v>
      </c>
      <c r="M36" s="218"/>
      <c r="N36" s="249" t="str">
        <f>iScores!N31</f>
        <v xml:space="preserve">   2.3.1) Integrated public transport apps</v>
      </c>
      <c r="O36" s="407">
        <f>CHOOSE(uxb_works!$B$47,iData!I31,iScores!O31)</f>
        <v>0.53846153846153844</v>
      </c>
      <c r="P36" s="631">
        <f>IF(P$4="","",CHOOSE(uxb_works!$B$47,IF(INDEX(aData,$B36,P$4)="","-",TEXT(INDEX(aData,$B36,P$4),$H36)),IFERROR(INDEX(aScoresRounded,$B36,P$4),"")))</f>
        <v>100</v>
      </c>
      <c r="Q36" s="706">
        <f>IF(Q$4="","",CHOOSE(uxb_works!$B$47,IF(INDEX(aData,$B36,Q$4)="","-",TEXT(INDEX(aData,$B36,Q$4),$H36)),IFERROR(INDEX(aScoresRounded,$B36,Q$4),"")))</f>
        <v>33.299999999999997</v>
      </c>
      <c r="R36" s="706">
        <f>IF(R$4="","",CHOOSE(uxb_works!$B$47,IF(INDEX(aData,$B36,R$4)="","-",TEXT(INDEX(aData,$B36,R$4),$H36)),IFERROR(INDEX(aScoresRounded,$B36,R$4),"")))</f>
        <v>0</v>
      </c>
      <c r="S36" s="706">
        <f>IF(S$4="","",CHOOSE(uxb_works!$B$47,IF(INDEX(aData,$B36,S$4)="","-",TEXT(INDEX(aData,$B36,S$4),$H36)),IFERROR(INDEX(aScoresRounded,$B36,S$4),"")))</f>
        <v>100</v>
      </c>
      <c r="T36" s="706">
        <f>IF(T$4="","",CHOOSE(uxb_works!$B$47,IF(INDEX(aData,$B36,T$4)="","-",TEXT(INDEX(aData,$B36,T$4),$H36)),IFERROR(INDEX(aScoresRounded,$B36,T$4),"")))</f>
        <v>66.7</v>
      </c>
      <c r="U36" s="706">
        <f>IF(U$4="","",CHOOSE(uxb_works!$B$47,IF(INDEX(aData,$B36,U$4)="","-",TEXT(INDEX(aData,$B36,U$4),$H36)),IFERROR(INDEX(aScoresRounded,$B36,U$4),"")))</f>
        <v>100</v>
      </c>
      <c r="V36" s="706">
        <f>IF(V$4="","",CHOOSE(uxb_works!$B$47,IF(INDEX(aData,$B36,V$4)="","-",TEXT(INDEX(aData,$B36,V$4),$H36)),IFERROR(INDEX(aScoresRounded,$B36,V$4),"")))</f>
        <v>66.7</v>
      </c>
      <c r="W36" s="706">
        <f>IF(W$4="","",CHOOSE(uxb_works!$B$47,IF(INDEX(aData,$B36,W$4)="","-",TEXT(INDEX(aData,$B36,W$4),$H36)),IFERROR(INDEX(aScoresRounded,$B36,W$4),"")))</f>
        <v>66.7</v>
      </c>
      <c r="X36" s="706">
        <f>IF(X$4="","",CHOOSE(uxb_works!$B$47,IF(INDEX(aData,$B36,X$4)="","-",TEXT(INDEX(aData,$B36,X$4),$H36)),IFERROR(INDEX(aScoresRounded,$B36,X$4),"")))</f>
        <v>100</v>
      </c>
      <c r="Y36" s="631">
        <f>IF(Y$4="","",CHOOSE(uxb_works!$B$47,IF(INDEX(aData,$B36,Y$4)="","-",TEXT(INDEX(aData,$B36,Y$4),$H36)),IFERROR(INDEX(aScoresRounded,$B36,Y$4),"")))</f>
        <v>100</v>
      </c>
      <c r="Z36" s="631">
        <f>IF(Z$4="","",CHOOSE(uxb_works!$B$47,IF(INDEX(aData,$B36,Z$4)="","-",TEXT(INDEX(aData,$B36,Z$4),$H36)),IFERROR(INDEX(aScoresRounded,$B36,Z$4),"")))</f>
        <v>100</v>
      </c>
      <c r="AA36" s="631">
        <f>IF(AA$4="","",CHOOSE(uxb_works!$B$47,IF(INDEX(aData,$B36,AA$4)="","-",TEXT(INDEX(aData,$B36,AA$4),$H36)),IFERROR(INDEX(aScoresRounded,$B36,AA$4),"")))</f>
        <v>66.7</v>
      </c>
      <c r="AB36" s="631">
        <f>IF(AB$4="","",CHOOSE(uxb_works!$B$47,IF(INDEX(aData,$B36,AB$4)="","-",TEXT(INDEX(aData,$B36,AB$4),$H36)),IFERROR(INDEX(aScoresRounded,$B36,AB$4),"")))</f>
        <v>100</v>
      </c>
      <c r="AC36" s="631">
        <f>IF(AC$4="","",CHOOSE(uxb_works!$B$47,IF(INDEX(aData,$B36,AC$4)="","-",TEXT(INDEX(aData,$B36,AC$4),$H36)),IFERROR(INDEX(aScoresRounded,$B36,AC$4),"")))</f>
        <v>66.7</v>
      </c>
      <c r="AD36" s="631">
        <f>IF(AD$4="","",CHOOSE(uxb_works!$B$47,IF(INDEX(aData,$B36,AD$4)="","-",TEXT(INDEX(aData,$B36,AD$4),$H36)),IFERROR(INDEX(aScoresRounded,$B36,AD$4),"")))</f>
        <v>66.7</v>
      </c>
      <c r="AE36" s="631">
        <f>IF(AE$4="","",CHOOSE(uxb_works!$B$47,IF(INDEX(aData,$B36,AE$4)="","-",TEXT(INDEX(aData,$B36,AE$4),$H36)),IFERROR(INDEX(aScoresRounded,$B36,AE$4),"")))</f>
        <v>33.299999999999997</v>
      </c>
      <c r="AF36" s="631">
        <f>IF(AF$4="","",CHOOSE(uxb_works!$B$47,IF(INDEX(aData,$B36,AF$4)="","-",TEXT(INDEX(aData,$B36,AF$4),$H36)),IFERROR(INDEX(aScoresRounded,$B36,AF$4),"")))</f>
        <v>0</v>
      </c>
      <c r="AG36" s="631">
        <f>IF(AG$4="","",CHOOSE(uxb_works!$B$47,IF(INDEX(aData,$B36,AG$4)="","-",TEXT(INDEX(aData,$B36,AG$4),$H36)),IFERROR(INDEX(aScoresRounded,$B36,AG$4),"")))</f>
        <v>0</v>
      </c>
      <c r="AH36" s="631">
        <f>IF(AH$4="","",CHOOSE(uxb_works!$B$47,IF(INDEX(aData,$B36,AH$4)="","-",TEXT(INDEX(aData,$B36,AH$4),$H36)),IFERROR(INDEX(aScoresRounded,$B36,AH$4),"")))</f>
        <v>33.299999999999997</v>
      </c>
      <c r="AI36" s="631">
        <f>IF(AI$4="","",CHOOSE(uxb_works!$B$47,IF(INDEX(aData,$B36,AI$4)="","-",TEXT(INDEX(aData,$B36,AI$4),$H36)),IFERROR(INDEX(aScoresRounded,$B36,AI$4),"")))</f>
        <v>66.7</v>
      </c>
      <c r="AJ36" s="631">
        <f>IF(AJ$4="","",CHOOSE(uxb_works!$B$47,IF(INDEX(aData,$B36,AJ$4)="","-",TEXT(INDEX(aData,$B36,AJ$4),$H36)),IFERROR(INDEX(aScoresRounded,$B36,AJ$4),"")))</f>
        <v>100</v>
      </c>
      <c r="AK36" s="631">
        <f>IF(AK$4="","",CHOOSE(uxb_works!$B$47,IF(INDEX(aData,$B36,AK$4)="","-",TEXT(INDEX(aData,$B36,AK$4),$H36)),IFERROR(INDEX(aScoresRounded,$B36,AK$4),"")))</f>
        <v>100</v>
      </c>
      <c r="AL36" s="631">
        <f>IF(AL$4="","",CHOOSE(uxb_works!$B$47,IF(INDEX(aData,$B36,AL$4)="","-",TEXT(INDEX(aData,$B36,AL$4),$H36)),IFERROR(INDEX(aScoresRounded,$B36,AL$4),"")))</f>
        <v>0</v>
      </c>
      <c r="AM36" s="631">
        <f>IF(AM$4="","",CHOOSE(uxb_works!$B$47,IF(INDEX(aData,$B36,AM$4)="","-",TEXT(INDEX(aData,$B36,AM$4),$H36)),IFERROR(INDEX(aScoresRounded,$B36,AM$4),"")))</f>
        <v>66.7</v>
      </c>
      <c r="AN36" s="631">
        <f>IF(AN$4="","",CHOOSE(uxb_works!$B$47,IF(INDEX(aData,$B36,AN$4)="","-",TEXT(INDEX(aData,$B36,AN$4),$H36)),IFERROR(INDEX(aScoresRounded,$B36,AN$4),"")))</f>
        <v>66.7</v>
      </c>
      <c r="AO36" s="631">
        <f>IF(AO$4="","",CHOOSE(uxb_works!$B$47,IF(INDEX(aData,$B36,AO$4)="","-",TEXT(INDEX(aData,$B36,AO$4),$H36)),IFERROR(INDEX(aScoresRounded,$B36,AO$4),"")))</f>
        <v>100</v>
      </c>
      <c r="AP36" s="631">
        <f>IF(AP$4="","",CHOOSE(uxb_works!$B$47,IF(INDEX(aData,$B36,AP$4)="","-",TEXT(INDEX(aData,$B36,AP$4),$H36)),IFERROR(INDEX(aScoresRounded,$B36,AP$4),"")))</f>
        <v>33.299999999999997</v>
      </c>
      <c r="AQ36" s="631">
        <f>IF(AQ$4="","",CHOOSE(uxb_works!$B$47,IF(INDEX(aData,$B36,AQ$4)="","-",TEXT(INDEX(aData,$B36,AQ$4),$H36)),IFERROR(INDEX(aScoresRounded,$B36,AQ$4),"")))</f>
        <v>66.7</v>
      </c>
      <c r="AR36" s="631">
        <f>IF(AR$4="","",CHOOSE(uxb_works!$B$47,IF(INDEX(aData,$B36,AR$4)="","-",TEXT(INDEX(aData,$B36,AR$4),$H36)),IFERROR(INDEX(aScoresRounded,$B36,AR$4),"")))</f>
        <v>66.7</v>
      </c>
      <c r="AS36" s="631">
        <f>IF(AS$4="","",CHOOSE(uxb_works!$B$47,IF(INDEX(aData,$B36,AS$4)="","-",TEXT(INDEX(aData,$B36,AS$4),$H36)),IFERROR(INDEX(aScoresRounded,$B36,AS$4),"")))</f>
        <v>100</v>
      </c>
      <c r="AT36" s="570"/>
      <c r="AW36" s="157">
        <f>CHOOSE($AV$1,0,IF(AW$10=0,0,IF(P36&lt;=$AX$1,1,IF(P36&lt;=#REF!,2,3))),IF(AW$10=0,0,IF(P36&lt;=$AX$1,4,IF(P36&lt;=#REF!,5,6))))</f>
        <v>0</v>
      </c>
      <c r="AX36" s="157">
        <f>CHOOSE($AV$1,0,IF(AX$10=0,0,IF(#REF!&lt;=$AX$1,1,IF(#REF!&lt;=#REF!,2,3))),IF(AX$10=0,0,IF(#REF!&lt;=$AX$1,4,IF(#REF!&lt;=#REF!,5,6))))</f>
        <v>0</v>
      </c>
    </row>
    <row r="37" spans="1:50" ht="25" customHeight="1">
      <c r="A37" s="213"/>
      <c r="B37" s="218">
        <f>tblIndicators!A28</f>
        <v>27</v>
      </c>
      <c r="C37" s="218"/>
      <c r="D37" s="218"/>
      <c r="E37" s="218">
        <f>tblIndicators!B28</f>
        <v>0</v>
      </c>
      <c r="F37" s="218">
        <f>IF(AND(uxb_works!$B$47=2,E37=1),0,iScores!F32)</f>
        <v>3</v>
      </c>
      <c r="G37" s="218"/>
      <c r="H37" s="218" t="str">
        <f>tblIndicators!AC28</f>
        <v>#,##0</v>
      </c>
      <c r="I37" s="219"/>
      <c r="J37" s="218"/>
      <c r="K37" s="214">
        <f>IF(L37=0,0,IF(uxb_works!$B$46&gt;=L37,1,0))</f>
        <v>1</v>
      </c>
      <c r="L37" s="216">
        <f>IF(AND(uxb_works!$B$47=2,E37=1),0,tblIndicators!G28)</f>
        <v>3</v>
      </c>
      <c r="M37" s="218"/>
      <c r="N37" s="249" t="str">
        <f>iScores!N32</f>
        <v xml:space="preserve">   2.3.2) Digital identification at airports</v>
      </c>
      <c r="O37" s="407">
        <f>CHOOSE(uxb_works!$B$47,iData!I32,iScores!O32)</f>
        <v>0.46153846153846145</v>
      </c>
      <c r="P37" s="631">
        <f>IF(P$4="","",CHOOSE(uxb_works!$B$47,IF(INDEX(aData,$B37,P$4)="","-",TEXT(INDEX(aData,$B37,P$4),$H37)),IFERROR(INDEX(aScoresRounded,$B37,P$4),"")))</f>
        <v>100</v>
      </c>
      <c r="Q37" s="706">
        <f>IF(Q$4="","",CHOOSE(uxb_works!$B$47,IF(INDEX(aData,$B37,Q$4)="","-",TEXT(INDEX(aData,$B37,Q$4),$H37)),IFERROR(INDEX(aScoresRounded,$B37,Q$4),"")))</f>
        <v>50</v>
      </c>
      <c r="R37" s="706">
        <f>IF(R$4="","",CHOOSE(uxb_works!$B$47,IF(INDEX(aData,$B37,R$4)="","-",TEXT(INDEX(aData,$B37,R$4),$H37)),IFERROR(INDEX(aScoresRounded,$B37,R$4),"")))</f>
        <v>50</v>
      </c>
      <c r="S37" s="706">
        <f>IF(S$4="","",CHOOSE(uxb_works!$B$47,IF(INDEX(aData,$B37,S$4)="","-",TEXT(INDEX(aData,$B37,S$4),$H37)),IFERROR(INDEX(aScoresRounded,$B37,S$4),"")))</f>
        <v>100</v>
      </c>
      <c r="T37" s="706">
        <f>IF(T$4="","",CHOOSE(uxb_works!$B$47,IF(INDEX(aData,$B37,T$4)="","-",TEXT(INDEX(aData,$B37,T$4),$H37)),IFERROR(INDEX(aScoresRounded,$B37,T$4),"")))</f>
        <v>100</v>
      </c>
      <c r="U37" s="706">
        <f>IF(U$4="","",CHOOSE(uxb_works!$B$47,IF(INDEX(aData,$B37,U$4)="","-",TEXT(INDEX(aData,$B37,U$4),$H37)),IFERROR(INDEX(aScoresRounded,$B37,U$4),"")))</f>
        <v>50</v>
      </c>
      <c r="V37" s="706">
        <f>IF(V$4="","",CHOOSE(uxb_works!$B$47,IF(INDEX(aData,$B37,V$4)="","-",TEXT(INDEX(aData,$B37,V$4),$H37)),IFERROR(INDEX(aScoresRounded,$B37,V$4),"")))</f>
        <v>50</v>
      </c>
      <c r="W37" s="706">
        <f>IF(W$4="","",CHOOSE(uxb_works!$B$47,IF(INDEX(aData,$B37,W$4)="","-",TEXT(INDEX(aData,$B37,W$4),$H37)),IFERROR(INDEX(aScoresRounded,$B37,W$4),"")))</f>
        <v>50</v>
      </c>
      <c r="X37" s="706">
        <f>IF(X$4="","",CHOOSE(uxb_works!$B$47,IF(INDEX(aData,$B37,X$4)="","-",TEXT(INDEX(aData,$B37,X$4),$H37)),IFERROR(INDEX(aScoresRounded,$B37,X$4),"")))</f>
        <v>50</v>
      </c>
      <c r="Y37" s="631">
        <f>IF(Y$4="","",CHOOSE(uxb_works!$B$47,IF(INDEX(aData,$B37,Y$4)="","-",TEXT(INDEX(aData,$B37,Y$4),$H37)),IFERROR(INDEX(aScoresRounded,$B37,Y$4),"")))</f>
        <v>100</v>
      </c>
      <c r="Z37" s="631">
        <f>IF(Z$4="","",CHOOSE(uxb_works!$B$47,IF(INDEX(aData,$B37,Z$4)="","-",TEXT(INDEX(aData,$B37,Z$4),$H37)),IFERROR(INDEX(aScoresRounded,$B37,Z$4),"")))</f>
        <v>100</v>
      </c>
      <c r="AA37" s="631">
        <f>IF(AA$4="","",CHOOSE(uxb_works!$B$47,IF(INDEX(aData,$B37,AA$4)="","-",TEXT(INDEX(aData,$B37,AA$4),$H37)),IFERROR(INDEX(aScoresRounded,$B37,AA$4),"")))</f>
        <v>100</v>
      </c>
      <c r="AB37" s="631">
        <f>IF(AB$4="","",CHOOSE(uxb_works!$B$47,IF(INDEX(aData,$B37,AB$4)="","-",TEXT(INDEX(aData,$B37,AB$4),$H37)),IFERROR(INDEX(aScoresRounded,$B37,AB$4),"")))</f>
        <v>50</v>
      </c>
      <c r="AC37" s="631">
        <f>IF(AC$4="","",CHOOSE(uxb_works!$B$47,IF(INDEX(aData,$B37,AC$4)="","-",TEXT(INDEX(aData,$B37,AC$4),$H37)),IFERROR(INDEX(aScoresRounded,$B37,AC$4),"")))</f>
        <v>100</v>
      </c>
      <c r="AD37" s="631">
        <f>IF(AD$4="","",CHOOSE(uxb_works!$B$47,IF(INDEX(aData,$B37,AD$4)="","-",TEXT(INDEX(aData,$B37,AD$4),$H37)),IFERROR(INDEX(aScoresRounded,$B37,AD$4),"")))</f>
        <v>100</v>
      </c>
      <c r="AE37" s="631">
        <f>IF(AE$4="","",CHOOSE(uxb_works!$B$47,IF(INDEX(aData,$B37,AE$4)="","-",TEXT(INDEX(aData,$B37,AE$4),$H37)),IFERROR(INDEX(aScoresRounded,$B37,AE$4),"")))</f>
        <v>100</v>
      </c>
      <c r="AF37" s="631">
        <f>IF(AF$4="","",CHOOSE(uxb_works!$B$47,IF(INDEX(aData,$B37,AF$4)="","-",TEXT(INDEX(aData,$B37,AF$4),$H37)),IFERROR(INDEX(aScoresRounded,$B37,AF$4),"")))</f>
        <v>50</v>
      </c>
      <c r="AG37" s="631">
        <f>IF(AG$4="","",CHOOSE(uxb_works!$B$47,IF(INDEX(aData,$B37,AG$4)="","-",TEXT(INDEX(aData,$B37,AG$4),$H37)),IFERROR(INDEX(aScoresRounded,$B37,AG$4),"")))</f>
        <v>50</v>
      </c>
      <c r="AH37" s="631">
        <f>IF(AH$4="","",CHOOSE(uxb_works!$B$47,IF(INDEX(aData,$B37,AH$4)="","-",TEXT(INDEX(aData,$B37,AH$4),$H37)),IFERROR(INDEX(aScoresRounded,$B37,AH$4),"")))</f>
        <v>0</v>
      </c>
      <c r="AI37" s="631">
        <f>IF(AI$4="","",CHOOSE(uxb_works!$B$47,IF(INDEX(aData,$B37,AI$4)="","-",TEXT(INDEX(aData,$B37,AI$4),$H37)),IFERROR(INDEX(aScoresRounded,$B37,AI$4),"")))</f>
        <v>50</v>
      </c>
      <c r="AJ37" s="631">
        <f>IF(AJ$4="","",CHOOSE(uxb_works!$B$47,IF(INDEX(aData,$B37,AJ$4)="","-",TEXT(INDEX(aData,$B37,AJ$4),$H37)),IFERROR(INDEX(aScoresRounded,$B37,AJ$4),"")))</f>
        <v>100</v>
      </c>
      <c r="AK37" s="631">
        <f>IF(AK$4="","",CHOOSE(uxb_works!$B$47,IF(INDEX(aData,$B37,AK$4)="","-",TEXT(INDEX(aData,$B37,AK$4),$H37)),IFERROR(INDEX(aScoresRounded,$B37,AK$4),"")))</f>
        <v>100</v>
      </c>
      <c r="AL37" s="631">
        <f>IF(AL$4="","",CHOOSE(uxb_works!$B$47,IF(INDEX(aData,$B37,AL$4)="","-",TEXT(INDEX(aData,$B37,AL$4),$H37)),IFERROR(INDEX(aScoresRounded,$B37,AL$4),"")))</f>
        <v>0</v>
      </c>
      <c r="AM37" s="631">
        <f>IF(AM$4="","",CHOOSE(uxb_works!$B$47,IF(INDEX(aData,$B37,AM$4)="","-",TEXT(INDEX(aData,$B37,AM$4),$H37)),IFERROR(INDEX(aScoresRounded,$B37,AM$4),"")))</f>
        <v>100</v>
      </c>
      <c r="AN37" s="631">
        <f>IF(AN$4="","",CHOOSE(uxb_works!$B$47,IF(INDEX(aData,$B37,AN$4)="","-",TEXT(INDEX(aData,$B37,AN$4),$H37)),IFERROR(INDEX(aScoresRounded,$B37,AN$4),"")))</f>
        <v>100</v>
      </c>
      <c r="AO37" s="631">
        <f>IF(AO$4="","",CHOOSE(uxb_works!$B$47,IF(INDEX(aData,$B37,AO$4)="","-",TEXT(INDEX(aData,$B37,AO$4),$H37)),IFERROR(INDEX(aScoresRounded,$B37,AO$4),"")))</f>
        <v>100</v>
      </c>
      <c r="AP37" s="631">
        <f>IF(AP$4="","",CHOOSE(uxb_works!$B$47,IF(INDEX(aData,$B37,AP$4)="","-",TEXT(INDEX(aData,$B37,AP$4),$H37)),IFERROR(INDEX(aScoresRounded,$B37,AP$4),"")))</f>
        <v>100</v>
      </c>
      <c r="AQ37" s="631">
        <f>IF(AQ$4="","",CHOOSE(uxb_works!$B$47,IF(INDEX(aData,$B37,AQ$4)="","-",TEXT(INDEX(aData,$B37,AQ$4),$H37)),IFERROR(INDEX(aScoresRounded,$B37,AQ$4),"")))</f>
        <v>0</v>
      </c>
      <c r="AR37" s="631">
        <f>IF(AR$4="","",CHOOSE(uxb_works!$B$47,IF(INDEX(aData,$B37,AR$4)="","-",TEXT(INDEX(aData,$B37,AR$4),$H37)),IFERROR(INDEX(aScoresRounded,$B37,AR$4),"")))</f>
        <v>50</v>
      </c>
      <c r="AS37" s="631">
        <f>IF(AS$4="","",CHOOSE(uxb_works!$B$47,IF(INDEX(aData,$B37,AS$4)="","-",TEXT(INDEX(aData,$B37,AS$4),$H37)),IFERROR(INDEX(aScoresRounded,$B37,AS$4),"")))</f>
        <v>50</v>
      </c>
      <c r="AT37" s="570"/>
      <c r="AW37" s="157">
        <f>CHOOSE($AV$1,0,IF(AW$10=0,0,IF(P37&lt;=$AX$1,1,IF(P37&lt;=#REF!,2,3))),IF(AW$10=0,0,IF(P37&lt;=$AX$1,4,IF(P37&lt;=#REF!,5,6))))</f>
        <v>0</v>
      </c>
      <c r="AX37" s="157">
        <f>CHOOSE($AV$1,0,IF(AX$10=0,0,IF(#REF!&lt;=$AX$1,1,IF(#REF!&lt;=#REF!,2,3))),IF(AX$10=0,0,IF(#REF!&lt;=$AX$1,4,IF(#REF!&lt;=#REF!,5,6))))</f>
        <v>0</v>
      </c>
    </row>
    <row r="38" spans="1:50" ht="25" customHeight="1">
      <c r="A38" s="213"/>
      <c r="B38" s="218">
        <f>tblIndicators!A29</f>
        <v>28</v>
      </c>
      <c r="C38" s="218"/>
      <c r="D38" s="218"/>
      <c r="E38" s="218">
        <f>tblIndicators!B29</f>
        <v>0</v>
      </c>
      <c r="F38" s="218">
        <f>IF(AND(uxb_works!$B$47=2,E38=1),0,iScores!F33)</f>
        <v>2</v>
      </c>
      <c r="G38" s="218"/>
      <c r="H38" s="218" t="str">
        <f>tblIndicators!AC29</f>
        <v>#,##0.0</v>
      </c>
      <c r="I38" s="219"/>
      <c r="J38" s="218"/>
      <c r="K38" s="214">
        <f>IF(L38=0,0,IF(uxb_works!$B$46&gt;=L38,1,0))</f>
        <v>1</v>
      </c>
      <c r="L38" s="216">
        <f>IF(AND(uxb_works!$B$47=2,E38=1),0,tblIndicators!G29)</f>
        <v>2</v>
      </c>
      <c r="M38" s="218"/>
      <c r="N38" s="249" t="str">
        <f>iScores!N33</f>
        <v xml:space="preserve">  2.4) Healthcare</v>
      </c>
      <c r="O38" s="407">
        <f>CHOOSE(uxb_works!$B$47,iData!I33,iScores!O33)</f>
        <v>0.15384615384615385</v>
      </c>
      <c r="P38" s="631">
        <f>IF(P$4="","",CHOOSE(uxb_works!$B$47,IF(INDEX(aData,$B38,P$4)="","-",TEXT(INDEX(aData,$B38,P$4),$H38)),IFERROR(INDEX(aScoresRounded,$B38,P$4),"")))</f>
        <v>91.6</v>
      </c>
      <c r="Q38" s="706">
        <f>IF(Q$4="","",CHOOSE(uxb_works!$B$47,IF(INDEX(aData,$B38,Q$4)="","-",TEXT(INDEX(aData,$B38,Q$4),$H38)),IFERROR(INDEX(aScoresRounded,$B38,Q$4),"")))</f>
        <v>54.1</v>
      </c>
      <c r="R38" s="706">
        <f>IF(R$4="","",CHOOSE(uxb_works!$B$47,IF(INDEX(aData,$B38,R$4)="","-",TEXT(INDEX(aData,$B38,R$4),$H38)),IFERROR(INDEX(aScoresRounded,$B38,R$4),"")))</f>
        <v>59.5</v>
      </c>
      <c r="S38" s="706">
        <f>IF(S$4="","",CHOOSE(uxb_works!$B$47,IF(INDEX(aData,$B38,S$4)="","-",TEXT(INDEX(aData,$B38,S$4),$H38)),IFERROR(INDEX(aScoresRounded,$B38,S$4),"")))</f>
        <v>97</v>
      </c>
      <c r="T38" s="706">
        <f>IF(T$4="","",CHOOSE(uxb_works!$B$47,IF(INDEX(aData,$B38,T$4)="","-",TEXT(INDEX(aData,$B38,T$4),$H38)),IFERROR(INDEX(aScoresRounded,$B38,T$4),"")))</f>
        <v>97.8</v>
      </c>
      <c r="U38" s="706">
        <f>IF(U$4="","",CHOOSE(uxb_works!$B$47,IF(INDEX(aData,$B38,U$4)="","-",TEXT(INDEX(aData,$B38,U$4),$H38)),IFERROR(INDEX(aScoresRounded,$B38,U$4),"")))</f>
        <v>68.3</v>
      </c>
      <c r="V38" s="706">
        <f>IF(V$4="","",CHOOSE(uxb_works!$B$47,IF(INDEX(aData,$B38,V$4)="","-",TEXT(INDEX(aData,$B38,V$4),$H38)),IFERROR(INDEX(aScoresRounded,$B38,V$4),"")))</f>
        <v>80.400000000000006</v>
      </c>
      <c r="W38" s="706">
        <f>IF(W$4="","",CHOOSE(uxb_works!$B$47,IF(INDEX(aData,$B38,W$4)="","-",TEXT(INDEX(aData,$B38,W$4),$H38)),IFERROR(INDEX(aScoresRounded,$B38,W$4),"")))</f>
        <v>92.2</v>
      </c>
      <c r="X38" s="706">
        <f>IF(X$4="","",CHOOSE(uxb_works!$B$47,IF(INDEX(aData,$B38,X$4)="","-",TEXT(INDEX(aData,$B38,X$4),$H38)),IFERROR(INDEX(aScoresRounded,$B38,X$4),"")))</f>
        <v>73.2</v>
      </c>
      <c r="Y38" s="631">
        <f>IF(Y$4="","",CHOOSE(uxb_works!$B$47,IF(INDEX(aData,$B38,Y$4)="","-",TEXT(INDEX(aData,$B38,Y$4),$H38)),IFERROR(INDEX(aScoresRounded,$B38,Y$4),"")))</f>
        <v>81.599999999999994</v>
      </c>
      <c r="Z38" s="631">
        <f>IF(Z$4="","",CHOOSE(uxb_works!$B$47,IF(INDEX(aData,$B38,Z$4)="","-",TEXT(INDEX(aData,$B38,Z$4),$H38)),IFERROR(INDEX(aScoresRounded,$B38,Z$4),"")))</f>
        <v>50</v>
      </c>
      <c r="AA38" s="631">
        <f>IF(AA$4="","",CHOOSE(uxb_works!$B$47,IF(INDEX(aData,$B38,AA$4)="","-",TEXT(INDEX(aData,$B38,AA$4),$H38)),IFERROR(INDEX(aScoresRounded,$B38,AA$4),"")))</f>
        <v>77.2</v>
      </c>
      <c r="AB38" s="631">
        <f>IF(AB$4="","",CHOOSE(uxb_works!$B$47,IF(INDEX(aData,$B38,AB$4)="","-",TEXT(INDEX(aData,$B38,AB$4),$H38)),IFERROR(INDEX(aScoresRounded,$B38,AB$4),"")))</f>
        <v>42.6</v>
      </c>
      <c r="AC38" s="631">
        <f>IF(AC$4="","",CHOOSE(uxb_works!$B$47,IF(INDEX(aData,$B38,AC$4)="","-",TEXT(INDEX(aData,$B38,AC$4),$H38)),IFERROR(INDEX(aScoresRounded,$B38,AC$4),"")))</f>
        <v>79.400000000000006</v>
      </c>
      <c r="AD38" s="631">
        <f>IF(AD$4="","",CHOOSE(uxb_works!$B$47,IF(INDEX(aData,$B38,AD$4)="","-",TEXT(INDEX(aData,$B38,AD$4),$H38)),IFERROR(INDEX(aScoresRounded,$B38,AD$4),"")))</f>
        <v>91.8</v>
      </c>
      <c r="AE38" s="631">
        <f>IF(AE$4="","",CHOOSE(uxb_works!$B$47,IF(INDEX(aData,$B38,AE$4)="","-",TEXT(INDEX(aData,$B38,AE$4),$H38)),IFERROR(INDEX(aScoresRounded,$B38,AE$4),"")))</f>
        <v>75.7</v>
      </c>
      <c r="AF38" s="631">
        <f>IF(AF$4="","",CHOOSE(uxb_works!$B$47,IF(INDEX(aData,$B38,AF$4)="","-",TEXT(INDEX(aData,$B38,AF$4),$H38)),IFERROR(INDEX(aScoresRounded,$B38,AF$4),"")))</f>
        <v>59.5</v>
      </c>
      <c r="AG38" s="631">
        <f>IF(AG$4="","",CHOOSE(uxb_works!$B$47,IF(INDEX(aData,$B38,AG$4)="","-",TEXT(INDEX(aData,$B38,AG$4),$H38)),IFERROR(INDEX(aScoresRounded,$B38,AG$4),"")))</f>
        <v>26.7</v>
      </c>
      <c r="AH38" s="631">
        <f>IF(AH$4="","",CHOOSE(uxb_works!$B$47,IF(INDEX(aData,$B38,AH$4)="","-",TEXT(INDEX(aData,$B38,AH$4),$H38)),IFERROR(INDEX(aScoresRounded,$B38,AH$4),"")))</f>
        <v>81.400000000000006</v>
      </c>
      <c r="AI38" s="631">
        <f>IF(AI$4="","",CHOOSE(uxb_works!$B$47,IF(INDEX(aData,$B38,AI$4)="","-",TEXT(INDEX(aData,$B38,AI$4),$H38)),IFERROR(INDEX(aScoresRounded,$B38,AI$4),"")))</f>
        <v>94.2</v>
      </c>
      <c r="AJ38" s="631">
        <f>IF(AJ$4="","",CHOOSE(uxb_works!$B$47,IF(INDEX(aData,$B38,AJ$4)="","-",TEXT(INDEX(aData,$B38,AJ$4),$H38)),IFERROR(INDEX(aScoresRounded,$B38,AJ$4),"")))</f>
        <v>75.900000000000006</v>
      </c>
      <c r="AK38" s="631">
        <f>IF(AK$4="","",CHOOSE(uxb_works!$B$47,IF(INDEX(aData,$B38,AK$4)="","-",TEXT(INDEX(aData,$B38,AK$4),$H38)),IFERROR(INDEX(aScoresRounded,$B38,AK$4),"")))</f>
        <v>72.8</v>
      </c>
      <c r="AL38" s="631">
        <f>IF(AL$4="","",CHOOSE(uxb_works!$B$47,IF(INDEX(aData,$B38,AL$4)="","-",TEXT(INDEX(aData,$B38,AL$4),$H38)),IFERROR(INDEX(aScoresRounded,$B38,AL$4),"")))</f>
        <v>44.5</v>
      </c>
      <c r="AM38" s="631">
        <f>IF(AM$4="","",CHOOSE(uxb_works!$B$47,IF(INDEX(aData,$B38,AM$4)="","-",TEXT(INDEX(aData,$B38,AM$4),$H38)),IFERROR(INDEX(aScoresRounded,$B38,AM$4),"")))</f>
        <v>43.9</v>
      </c>
      <c r="AN38" s="631">
        <f>IF(AN$4="","",CHOOSE(uxb_works!$B$47,IF(INDEX(aData,$B38,AN$4)="","-",TEXT(INDEX(aData,$B38,AN$4),$H38)),IFERROR(INDEX(aScoresRounded,$B38,AN$4),"")))</f>
        <v>75.900000000000006</v>
      </c>
      <c r="AO38" s="631">
        <f>IF(AO$4="","",CHOOSE(uxb_works!$B$47,IF(INDEX(aData,$B38,AO$4)="","-",TEXT(INDEX(aData,$B38,AO$4),$H38)),IFERROR(INDEX(aScoresRounded,$B38,AO$4),"")))</f>
        <v>92</v>
      </c>
      <c r="AP38" s="631">
        <f>IF(AP$4="","",CHOOSE(uxb_works!$B$47,IF(INDEX(aData,$B38,AP$4)="","-",TEXT(INDEX(aData,$B38,AP$4),$H38)),IFERROR(INDEX(aScoresRounded,$B38,AP$4),"")))</f>
        <v>51</v>
      </c>
      <c r="AQ38" s="631">
        <f>IF(AQ$4="","",CHOOSE(uxb_works!$B$47,IF(INDEX(aData,$B38,AQ$4)="","-",TEXT(INDEX(aData,$B38,AQ$4),$H38)),IFERROR(INDEX(aScoresRounded,$B38,AQ$4),"")))</f>
        <v>70.8</v>
      </c>
      <c r="AR38" s="631">
        <f>IF(AR$4="","",CHOOSE(uxb_works!$B$47,IF(INDEX(aData,$B38,AR$4)="","-",TEXT(INDEX(aData,$B38,AR$4),$H38)),IFERROR(INDEX(aScoresRounded,$B38,AR$4),"")))</f>
        <v>75.5</v>
      </c>
      <c r="AS38" s="631">
        <f>IF(AS$4="","",CHOOSE(uxb_works!$B$47,IF(INDEX(aData,$B38,AS$4)="","-",TEXT(INDEX(aData,$B38,AS$4),$H38)),IFERROR(INDEX(aScoresRounded,$B38,AS$4),"")))</f>
        <v>72.8</v>
      </c>
      <c r="AT38" s="570"/>
      <c r="AW38" s="157">
        <f>CHOOSE($AV$1,0,IF(AW$10=0,0,IF(P38&lt;=$AX$1,1,IF(P38&lt;=#REF!,2,3))),IF(AW$10=0,0,IF(P38&lt;=$AX$1,4,IF(P38&lt;=#REF!,5,6))))</f>
        <v>0</v>
      </c>
      <c r="AX38" s="157">
        <f>CHOOSE($AV$1,0,IF(AX$10=0,0,IF(#REF!&lt;=$AX$1,1,IF(#REF!&lt;=#REF!,2,3))),IF(AX$10=0,0,IF(#REF!&lt;=$AX$1,4,IF(#REF!&lt;=#REF!,5,6))))</f>
        <v>0</v>
      </c>
    </row>
    <row r="39" spans="1:50" ht="25" customHeight="1">
      <c r="A39" s="213"/>
      <c r="B39" s="218">
        <f>tblIndicators!A30</f>
        <v>29</v>
      </c>
      <c r="C39" s="218"/>
      <c r="D39" s="218"/>
      <c r="E39" s="218">
        <f>tblIndicators!B30</f>
        <v>0</v>
      </c>
      <c r="F39" s="218">
        <f>IF(AND(uxb_works!$B$47=2,E39=1),0,iScores!F34)</f>
        <v>3</v>
      </c>
      <c r="G39" s="218"/>
      <c r="H39" s="218" t="str">
        <f>tblIndicators!AC30</f>
        <v>#,##0.00</v>
      </c>
      <c r="I39" s="219"/>
      <c r="J39" s="218"/>
      <c r="K39" s="214">
        <f>IF(L39=0,0,IF(uxb_works!$B$46&gt;=L39,1,0))</f>
        <v>1</v>
      </c>
      <c r="L39" s="216">
        <f>IF(AND(uxb_works!$B$47=2,E39=1),0,tblIndicators!G30)</f>
        <v>3</v>
      </c>
      <c r="M39" s="218"/>
      <c r="N39" s="249" t="str">
        <f>iScores!N34</f>
        <v xml:space="preserve">   2.4.1) Telehealth &amp; telemedicine</v>
      </c>
      <c r="O39" s="407">
        <f>CHOOSE(uxb_works!$B$47,iData!I34,iScores!O34)</f>
        <v>0.31578947368421051</v>
      </c>
      <c r="P39" s="631">
        <f>IF(P$4="","",CHOOSE(uxb_works!$B$47,IF(INDEX(aData,$B39,P$4)="","-",TEXT(INDEX(aData,$B39,P$4),$H39)),IFERROR(INDEX(aScoresRounded,$B39,P$4),"")))</f>
        <v>73.2</v>
      </c>
      <c r="Q39" s="706">
        <f>IF(Q$4="","",CHOOSE(uxb_works!$B$47,IF(INDEX(aData,$B39,Q$4)="","-",TEXT(INDEX(aData,$B39,Q$4),$H39)),IFERROR(INDEX(aScoresRounded,$B39,Q$4),"")))</f>
        <v>71.3</v>
      </c>
      <c r="R39" s="706">
        <f>IF(R$4="","",CHOOSE(uxb_works!$B$47,IF(INDEX(aData,$B39,R$4)="","-",TEXT(INDEX(aData,$B39,R$4),$H39)),IFERROR(INDEX(aScoresRounded,$B39,R$4),"")))</f>
        <v>29.9</v>
      </c>
      <c r="S39" s="706">
        <f>IF(S$4="","",CHOOSE(uxb_works!$B$47,IF(INDEX(aData,$B39,S$4)="","-",TEXT(INDEX(aData,$B39,S$4),$H39)),IFERROR(INDEX(aScoresRounded,$B39,S$4),"")))</f>
        <v>90.4</v>
      </c>
      <c r="T39" s="706">
        <f>IF(T$4="","",CHOOSE(uxb_works!$B$47,IF(INDEX(aData,$B39,T$4)="","-",TEXT(INDEX(aData,$B39,T$4),$H39)),IFERROR(INDEX(aScoresRounded,$B39,T$4),"")))</f>
        <v>93</v>
      </c>
      <c r="U39" s="706">
        <f>IF(U$4="","",CHOOSE(uxb_works!$B$47,IF(INDEX(aData,$B39,U$4)="","-",TEXT(INDEX(aData,$B39,U$4),$H39)),IFERROR(INDEX(aScoresRounded,$B39,U$4),"")))</f>
        <v>58</v>
      </c>
      <c r="V39" s="706">
        <f>IF(V$4="","",CHOOSE(uxb_works!$B$47,IF(INDEX(aData,$B39,V$4)="","-",TEXT(INDEX(aData,$B39,V$4),$H39)),IFERROR(INDEX(aScoresRounded,$B39,V$4),"")))</f>
        <v>87.9</v>
      </c>
      <c r="W39" s="706">
        <f>IF(W$4="","",CHOOSE(uxb_works!$B$47,IF(INDEX(aData,$B39,W$4)="","-",TEXT(INDEX(aData,$B39,W$4),$H39)),IFERROR(INDEX(aScoresRounded,$B39,W$4),"")))</f>
        <v>75.2</v>
      </c>
      <c r="X39" s="706">
        <f>IF(X$4="","",CHOOSE(uxb_works!$B$47,IF(INDEX(aData,$B39,X$4)="","-",TEXT(INDEX(aData,$B39,X$4),$H39)),IFERROR(INDEX(aScoresRounded,$B39,X$4),"")))</f>
        <v>15.3</v>
      </c>
      <c r="Y39" s="631">
        <f>IF(Y$4="","",CHOOSE(uxb_works!$B$47,IF(INDEX(aData,$B39,Y$4)="","-",TEXT(INDEX(aData,$B39,Y$4),$H39)),IFERROR(INDEX(aScoresRounded,$B39,Y$4),"")))</f>
        <v>100</v>
      </c>
      <c r="Z39" s="631">
        <f>IF(Z$4="","",CHOOSE(uxb_works!$B$47,IF(INDEX(aData,$B39,Z$4)="","-",TEXT(INDEX(aData,$B39,Z$4),$H39)),IFERROR(INDEX(aScoresRounded,$B39,Z$4),"")))</f>
        <v>0</v>
      </c>
      <c r="AA39" s="631">
        <f>IF(AA$4="","",CHOOSE(uxb_works!$B$47,IF(INDEX(aData,$B39,AA$4)="","-",TEXT(INDEX(aData,$B39,AA$4),$H39)),IFERROR(INDEX(aScoresRounded,$B39,AA$4),"")))</f>
        <v>86</v>
      </c>
      <c r="AB39" s="631">
        <f>IF(AB$4="","",CHOOSE(uxb_works!$B$47,IF(INDEX(aData,$B39,AB$4)="","-",TEXT(INDEX(aData,$B39,AB$4),$H39)),IFERROR(INDEX(aScoresRounded,$B39,AB$4),"")))</f>
        <v>35</v>
      </c>
      <c r="AC39" s="631">
        <f>IF(AC$4="","",CHOOSE(uxb_works!$B$47,IF(INDEX(aData,$B39,AC$4)="","-",TEXT(INDEX(aData,$B39,AC$4),$H39)),IFERROR(INDEX(aScoresRounded,$B39,AC$4),"")))</f>
        <v>93</v>
      </c>
      <c r="AD39" s="631">
        <f>IF(AD$4="","",CHOOSE(uxb_works!$B$47,IF(INDEX(aData,$B39,AD$4)="","-",TEXT(INDEX(aData,$B39,AD$4),$H39)),IFERROR(INDEX(aScoresRounded,$B39,AD$4),"")))</f>
        <v>73.900000000000006</v>
      </c>
      <c r="AE39" s="631">
        <f>IF(AE$4="","",CHOOSE(uxb_works!$B$47,IF(INDEX(aData,$B39,AE$4)="","-",TEXT(INDEX(aData,$B39,AE$4),$H39)),IFERROR(INDEX(aScoresRounded,$B39,AE$4),"")))</f>
        <v>22.9</v>
      </c>
      <c r="AF39" s="631">
        <f>IF(AF$4="","",CHOOSE(uxb_works!$B$47,IF(INDEX(aData,$B39,AF$4)="","-",TEXT(INDEX(aData,$B39,AF$4),$H39)),IFERROR(INDEX(aScoresRounded,$B39,AF$4),"")))</f>
        <v>29.9</v>
      </c>
      <c r="AG39" s="631">
        <f>IF(AG$4="","",CHOOSE(uxb_works!$B$47,IF(INDEX(aData,$B39,AG$4)="","-",TEXT(INDEX(aData,$B39,AG$4),$H39)),IFERROR(INDEX(aScoresRounded,$B39,AG$4),"")))</f>
        <v>26.1</v>
      </c>
      <c r="AH39" s="631">
        <f>IF(AH$4="","",CHOOSE(uxb_works!$B$47,IF(INDEX(aData,$B39,AH$4)="","-",TEXT(INDEX(aData,$B39,AH$4),$H39)),IFERROR(INDEX(aScoresRounded,$B39,AH$4),"")))</f>
        <v>99.4</v>
      </c>
      <c r="AI39" s="631">
        <f>IF(AI$4="","",CHOOSE(uxb_works!$B$47,IF(INDEX(aData,$B39,AI$4)="","-",TEXT(INDEX(aData,$B39,AI$4),$H39)),IFERROR(INDEX(aScoresRounded,$B39,AI$4),"")))</f>
        <v>81.5</v>
      </c>
      <c r="AJ39" s="631">
        <f>IF(AJ$4="","",CHOOSE(uxb_works!$B$47,IF(INDEX(aData,$B39,AJ$4)="","-",TEXT(INDEX(aData,$B39,AJ$4),$H39)),IFERROR(INDEX(aScoresRounded,$B39,AJ$4),"")))</f>
        <v>82.2</v>
      </c>
      <c r="AK39" s="631">
        <f>IF(AK$4="","",CHOOSE(uxb_works!$B$47,IF(INDEX(aData,$B39,AK$4)="","-",TEXT(INDEX(aData,$B39,AK$4),$H39)),IFERROR(INDEX(aScoresRounded,$B39,AK$4),"")))</f>
        <v>14</v>
      </c>
      <c r="AL39" s="631">
        <f>IF(AL$4="","",CHOOSE(uxb_works!$B$47,IF(INDEX(aData,$B39,AL$4)="","-",TEXT(INDEX(aData,$B39,AL$4),$H39)),IFERROR(INDEX(aScoresRounded,$B39,AL$4),"")))</f>
        <v>24.2</v>
      </c>
      <c r="AM39" s="631">
        <f>IF(AM$4="","",CHOOSE(uxb_works!$B$47,IF(INDEX(aData,$B39,AM$4)="","-",TEXT(INDEX(aData,$B39,AM$4),$H39)),IFERROR(INDEX(aScoresRounded,$B39,AM$4),"")))</f>
        <v>22.3</v>
      </c>
      <c r="AN39" s="631">
        <f>IF(AN$4="","",CHOOSE(uxb_works!$B$47,IF(INDEX(aData,$B39,AN$4)="","-",TEXT(INDEX(aData,$B39,AN$4),$H39)),IFERROR(INDEX(aScoresRounded,$B39,AN$4),"")))</f>
        <v>82.2</v>
      </c>
      <c r="AO39" s="631">
        <f>IF(AO$4="","",CHOOSE(uxb_works!$B$47,IF(INDEX(aData,$B39,AO$4)="","-",TEXT(INDEX(aData,$B39,AO$4),$H39)),IFERROR(INDEX(aScoresRounded,$B39,AO$4),"")))</f>
        <v>74.5</v>
      </c>
      <c r="AP39" s="631">
        <f>IF(AP$4="","",CHOOSE(uxb_works!$B$47,IF(INDEX(aData,$B39,AP$4)="","-",TEXT(INDEX(aData,$B39,AP$4),$H39)),IFERROR(INDEX(aScoresRounded,$B39,AP$4),"")))</f>
        <v>3.2</v>
      </c>
      <c r="AQ39" s="631">
        <f>IF(AQ$4="","",CHOOSE(uxb_works!$B$47,IF(INDEX(aData,$B39,AQ$4)="","-",TEXT(INDEX(aData,$B39,AQ$4),$H39)),IFERROR(INDEX(aScoresRounded,$B39,AQ$4),"")))</f>
        <v>7.6</v>
      </c>
      <c r="AR39" s="631">
        <f>IF(AR$4="","",CHOOSE(uxb_works!$B$47,IF(INDEX(aData,$B39,AR$4)="","-",TEXT(INDEX(aData,$B39,AR$4),$H39)),IFERROR(INDEX(aScoresRounded,$B39,AR$4),"")))</f>
        <v>22.3</v>
      </c>
      <c r="AS39" s="631">
        <f>IF(AS$4="","",CHOOSE(uxb_works!$B$47,IF(INDEX(aData,$B39,AS$4)="","-",TEXT(INDEX(aData,$B39,AS$4),$H39)),IFERROR(INDEX(aScoresRounded,$B39,AS$4),"")))</f>
        <v>14</v>
      </c>
      <c r="AT39" s="570"/>
      <c r="AW39" s="157">
        <f>CHOOSE($AV$1,0,IF(AW$10=0,0,IF(P39&lt;=$AX$1,1,IF(P39&lt;=#REF!,2,3))),IF(AW$10=0,0,IF(P39&lt;=$AX$1,4,IF(P39&lt;=#REF!,5,6))))</f>
        <v>0</v>
      </c>
      <c r="AX39" s="157">
        <f>CHOOSE($AV$1,0,IF(AX$10=0,0,IF(#REF!&lt;=$AX$1,1,IF(#REF!&lt;=#REF!,2,3))),IF(AX$10=0,0,IF(#REF!&lt;=$AX$1,4,IF(#REF!&lt;=#REF!,5,6))))</f>
        <v>0</v>
      </c>
    </row>
    <row r="40" spans="1:50" ht="25" customHeight="1">
      <c r="A40" s="213"/>
      <c r="B40" s="218">
        <f>tblIndicators!A31</f>
        <v>30</v>
      </c>
      <c r="C40" s="218"/>
      <c r="D40" s="218"/>
      <c r="E40" s="218">
        <f>tblIndicators!B31</f>
        <v>0</v>
      </c>
      <c r="F40" s="218">
        <f>IF(AND(uxb_works!$B$47=2,E40=1),0,iScores!F35)</f>
        <v>3</v>
      </c>
      <c r="G40" s="218"/>
      <c r="H40" s="218" t="str">
        <f>tblIndicators!AC31</f>
        <v>#,##0</v>
      </c>
      <c r="I40" s="219"/>
      <c r="J40" s="218"/>
      <c r="K40" s="214">
        <f>IF(L40=0,0,IF(uxb_works!$B$46&gt;=L40,1,0))</f>
        <v>1</v>
      </c>
      <c r="L40" s="216">
        <f>IF(AND(uxb_works!$B$47=2,E40=1),0,tblIndicators!G31)</f>
        <v>3</v>
      </c>
      <c r="M40" s="218"/>
      <c r="N40" s="249" t="str">
        <f>iScores!N35</f>
        <v xml:space="preserve">   2.4.2) Electronic health records</v>
      </c>
      <c r="O40" s="407">
        <f>CHOOSE(uxb_works!$B$47,iData!I35,iScores!O35)</f>
        <v>0.36842105263157893</v>
      </c>
      <c r="P40" s="631">
        <f>IF(P$4="","",CHOOSE(uxb_works!$B$47,IF(INDEX(aData,$B40,P$4)="","-",TEXT(INDEX(aData,$B40,P$4),$H40)),IFERROR(INDEX(aScoresRounded,$B40,P$4),"")))</f>
        <v>100</v>
      </c>
      <c r="Q40" s="706">
        <f>IF(Q$4="","",CHOOSE(uxb_works!$B$47,IF(INDEX(aData,$B40,Q$4)="","-",TEXT(INDEX(aData,$B40,Q$4),$H40)),IFERROR(INDEX(aScoresRounded,$B40,Q$4),"")))</f>
        <v>0</v>
      </c>
      <c r="R40" s="706">
        <f>IF(R$4="","",CHOOSE(uxb_works!$B$47,IF(INDEX(aData,$B40,R$4)="","-",TEXT(INDEX(aData,$B40,R$4),$H40)),IFERROR(INDEX(aScoresRounded,$B40,R$4),"")))</f>
        <v>50</v>
      </c>
      <c r="S40" s="706">
        <f>IF(S$4="","",CHOOSE(uxb_works!$B$47,IF(INDEX(aData,$B40,S$4)="","-",TEXT(INDEX(aData,$B40,S$4),$H40)),IFERROR(INDEX(aScoresRounded,$B40,S$4),"")))</f>
        <v>100</v>
      </c>
      <c r="T40" s="706">
        <f>IF(T$4="","",CHOOSE(uxb_works!$B$47,IF(INDEX(aData,$B40,T$4)="","-",TEXT(INDEX(aData,$B40,T$4),$H40)),IFERROR(INDEX(aScoresRounded,$B40,T$4),"")))</f>
        <v>100</v>
      </c>
      <c r="U40" s="706">
        <f>IF(U$4="","",CHOOSE(uxb_works!$B$47,IF(INDEX(aData,$B40,U$4)="","-",TEXT(INDEX(aData,$B40,U$4),$H40)),IFERROR(INDEX(aScoresRounded,$B40,U$4),"")))</f>
        <v>50</v>
      </c>
      <c r="V40" s="706">
        <f>IF(V$4="","",CHOOSE(uxb_works!$B$47,IF(INDEX(aData,$B40,V$4)="","-",TEXT(INDEX(aData,$B40,V$4),$H40)),IFERROR(INDEX(aScoresRounded,$B40,V$4),"")))</f>
        <v>100</v>
      </c>
      <c r="W40" s="706">
        <f>IF(W$4="","",CHOOSE(uxb_works!$B$47,IF(INDEX(aData,$B40,W$4)="","-",TEXT(INDEX(aData,$B40,W$4),$H40)),IFERROR(INDEX(aScoresRounded,$B40,W$4),"")))</f>
        <v>100</v>
      </c>
      <c r="X40" s="706">
        <f>IF(X$4="","",CHOOSE(uxb_works!$B$47,IF(INDEX(aData,$B40,X$4)="","-",TEXT(INDEX(aData,$B40,X$4),$H40)),IFERROR(INDEX(aScoresRounded,$B40,X$4),"")))</f>
        <v>100</v>
      </c>
      <c r="Y40" s="631">
        <f>IF(Y$4="","",CHOOSE(uxb_works!$B$47,IF(INDEX(aData,$B40,Y$4)="","-",TEXT(INDEX(aData,$B40,Y$4),$H40)),IFERROR(INDEX(aScoresRounded,$B40,Y$4),"")))</f>
        <v>50</v>
      </c>
      <c r="Z40" s="631">
        <f>IF(Z$4="","",CHOOSE(uxb_works!$B$47,IF(INDEX(aData,$B40,Z$4)="","-",TEXT(INDEX(aData,$B40,Z$4),$H40)),IFERROR(INDEX(aScoresRounded,$B40,Z$4),"")))</f>
        <v>50</v>
      </c>
      <c r="AA40" s="631">
        <f>IF(AA$4="","",CHOOSE(uxb_works!$B$47,IF(INDEX(aData,$B40,AA$4)="","-",TEXT(INDEX(aData,$B40,AA$4),$H40)),IFERROR(INDEX(aScoresRounded,$B40,AA$4),"")))</f>
        <v>50</v>
      </c>
      <c r="AB40" s="631">
        <f>IF(AB$4="","",CHOOSE(uxb_works!$B$47,IF(INDEX(aData,$B40,AB$4)="","-",TEXT(INDEX(aData,$B40,AB$4),$H40)),IFERROR(INDEX(aScoresRounded,$B40,AB$4),"")))</f>
        <v>0</v>
      </c>
      <c r="AC40" s="631">
        <f>IF(AC$4="","",CHOOSE(uxb_works!$B$47,IF(INDEX(aData,$B40,AC$4)="","-",TEXT(INDEX(aData,$B40,AC$4),$H40)),IFERROR(INDEX(aScoresRounded,$B40,AC$4),"")))</f>
        <v>50</v>
      </c>
      <c r="AD40" s="631">
        <f>IF(AD$4="","",CHOOSE(uxb_works!$B$47,IF(INDEX(aData,$B40,AD$4)="","-",TEXT(INDEX(aData,$B40,AD$4),$H40)),IFERROR(INDEX(aScoresRounded,$B40,AD$4),"")))</f>
        <v>100</v>
      </c>
      <c r="AE40" s="631">
        <f>IF(AE$4="","",CHOOSE(uxb_works!$B$47,IF(INDEX(aData,$B40,AE$4)="","-",TEXT(INDEX(aData,$B40,AE$4),$H40)),IFERROR(INDEX(aScoresRounded,$B40,AE$4),"")))</f>
        <v>100</v>
      </c>
      <c r="AF40" s="631">
        <f>IF(AF$4="","",CHOOSE(uxb_works!$B$47,IF(INDEX(aData,$B40,AF$4)="","-",TEXT(INDEX(aData,$B40,AF$4),$H40)),IFERROR(INDEX(aScoresRounded,$B40,AF$4),"")))</f>
        <v>50</v>
      </c>
      <c r="AG40" s="631">
        <f>IF(AG$4="","",CHOOSE(uxb_works!$B$47,IF(INDEX(aData,$B40,AG$4)="","-",TEXT(INDEX(aData,$B40,AG$4),$H40)),IFERROR(INDEX(aScoresRounded,$B40,AG$4),"")))</f>
        <v>50</v>
      </c>
      <c r="AH40" s="631">
        <f>IF(AH$4="","",CHOOSE(uxb_works!$B$47,IF(INDEX(aData,$B40,AH$4)="","-",TEXT(INDEX(aData,$B40,AH$4),$H40)),IFERROR(INDEX(aScoresRounded,$B40,AH$4),"")))</f>
        <v>50</v>
      </c>
      <c r="AI40" s="631">
        <f>IF(AI$4="","",CHOOSE(uxb_works!$B$47,IF(INDEX(aData,$B40,AI$4)="","-",TEXT(INDEX(aData,$B40,AI$4),$H40)),IFERROR(INDEX(aScoresRounded,$B40,AI$4),"")))</f>
        <v>100</v>
      </c>
      <c r="AJ40" s="631">
        <f>IF(AJ$4="","",CHOOSE(uxb_works!$B$47,IF(INDEX(aData,$B40,AJ$4)="","-",TEXT(INDEX(aData,$B40,AJ$4),$H40)),IFERROR(INDEX(aScoresRounded,$B40,AJ$4),"")))</f>
        <v>50</v>
      </c>
      <c r="AK40" s="631">
        <f>IF(AK$4="","",CHOOSE(uxb_works!$B$47,IF(INDEX(aData,$B40,AK$4)="","-",TEXT(INDEX(aData,$B40,AK$4),$H40)),IFERROR(INDEX(aScoresRounded,$B40,AK$4),"")))</f>
        <v>100</v>
      </c>
      <c r="AL40" s="631">
        <f>IF(AL$4="","",CHOOSE(uxb_works!$B$47,IF(INDEX(aData,$B40,AL$4)="","-",TEXT(INDEX(aData,$B40,AL$4),$H40)),IFERROR(INDEX(aScoresRounded,$B40,AL$4),"")))</f>
        <v>100</v>
      </c>
      <c r="AM40" s="631">
        <f>IF(AM$4="","",CHOOSE(uxb_works!$B$47,IF(INDEX(aData,$B40,AM$4)="","-",TEXT(INDEX(aData,$B40,AM$4),$H40)),IFERROR(INDEX(aScoresRounded,$B40,AM$4),"")))</f>
        <v>100</v>
      </c>
      <c r="AN40" s="631">
        <f>IF(AN$4="","",CHOOSE(uxb_works!$B$47,IF(INDEX(aData,$B40,AN$4)="","-",TEXT(INDEX(aData,$B40,AN$4),$H40)),IFERROR(INDEX(aScoresRounded,$B40,AN$4),"")))</f>
        <v>50</v>
      </c>
      <c r="AO40" s="631">
        <f>IF(AO$4="","",CHOOSE(uxb_works!$B$47,IF(INDEX(aData,$B40,AO$4)="","-",TEXT(INDEX(aData,$B40,AO$4),$H40)),IFERROR(INDEX(aScoresRounded,$B40,AO$4),"")))</f>
        <v>100</v>
      </c>
      <c r="AP40" s="631">
        <f>IF(AP$4="","",CHOOSE(uxb_works!$B$47,IF(INDEX(aData,$B40,AP$4)="","-",TEXT(INDEX(aData,$B40,AP$4),$H40)),IFERROR(INDEX(aScoresRounded,$B40,AP$4),"")))</f>
        <v>50</v>
      </c>
      <c r="AQ40" s="631">
        <f>IF(AQ$4="","",CHOOSE(uxb_works!$B$47,IF(INDEX(aData,$B40,AQ$4)="","-",TEXT(INDEX(aData,$B40,AQ$4),$H40)),IFERROR(INDEX(aScoresRounded,$B40,AQ$4),"")))</f>
        <v>100</v>
      </c>
      <c r="AR40" s="631">
        <f>IF(AR$4="","",CHOOSE(uxb_works!$B$47,IF(INDEX(aData,$B40,AR$4)="","-",TEXT(INDEX(aData,$B40,AR$4),$H40)),IFERROR(INDEX(aScoresRounded,$B40,AR$4),"")))</f>
        <v>100</v>
      </c>
      <c r="AS40" s="631">
        <f>IF(AS$4="","",CHOOSE(uxb_works!$B$47,IF(INDEX(aData,$B40,AS$4)="","-",TEXT(INDEX(aData,$B40,AS$4),$H40)),IFERROR(INDEX(aScoresRounded,$B40,AS$4),"")))</f>
        <v>100</v>
      </c>
      <c r="AT40" s="570"/>
      <c r="AW40" s="157">
        <f>CHOOSE($AV$1,0,IF(AW$10=0,0,IF(P40&lt;=$AX$1,1,IF(P40&lt;=#REF!,2,3))),IF(AW$10=0,0,IF(P40&lt;=$AX$1,4,IF(P40&lt;=#REF!,5,6))))</f>
        <v>0</v>
      </c>
      <c r="AX40" s="157">
        <f>CHOOSE($AV$1,0,IF(AX$10=0,0,IF(#REF!&lt;=$AX$1,1,IF(#REF!&lt;=#REF!,2,3))),IF(AX$10=0,0,IF(#REF!&lt;=$AX$1,4,IF(#REF!&lt;=#REF!,5,6))))</f>
        <v>0</v>
      </c>
    </row>
    <row r="41" spans="1:50" ht="25" customHeight="1">
      <c r="A41" s="213"/>
      <c r="B41" s="218">
        <f>tblIndicators!A32</f>
        <v>31</v>
      </c>
      <c r="C41" s="218"/>
      <c r="D41" s="218"/>
      <c r="E41" s="218">
        <f>tblIndicators!B32</f>
        <v>0</v>
      </c>
      <c r="F41" s="218">
        <f>IF(AND(uxb_works!$B$47=2,E41=1),0,iScores!F36)</f>
        <v>3</v>
      </c>
      <c r="G41" s="218"/>
      <c r="H41" s="218" t="str">
        <f>tblIndicators!AC32</f>
        <v>#,##0</v>
      </c>
      <c r="I41" s="219"/>
      <c r="J41" s="218"/>
      <c r="K41" s="214">
        <f>IF(L41=0,0,IF(uxb_works!$B$46&gt;=L41,1,0))</f>
        <v>1</v>
      </c>
      <c r="L41" s="216">
        <f>IF(AND(uxb_works!$B$47=2,E41=1),0,tblIndicators!G32)</f>
        <v>3</v>
      </c>
      <c r="M41" s="218"/>
      <c r="N41" s="249" t="str">
        <f>iScores!N36</f>
        <v xml:space="preserve">   2.4.3) Pandemic-related applications</v>
      </c>
      <c r="O41" s="407">
        <f>CHOOSE(uxb_works!$B$47,iData!I36,iScores!O36)</f>
        <v>0.31578947368421051</v>
      </c>
      <c r="P41" s="631">
        <f>IF(P$4="","",CHOOSE(uxb_works!$B$47,IF(INDEX(aData,$B41,P$4)="","-",TEXT(INDEX(aData,$B41,P$4),$H41)),IFERROR(INDEX(aScoresRounded,$B41,P$4),"")))</f>
        <v>100</v>
      </c>
      <c r="Q41" s="706">
        <f>IF(Q$4="","",CHOOSE(uxb_works!$B$47,IF(INDEX(aData,$B41,Q$4)="","-",TEXT(INDEX(aData,$B41,Q$4),$H41)),IFERROR(INDEX(aScoresRounded,$B41,Q$4),"")))</f>
        <v>100</v>
      </c>
      <c r="R41" s="706">
        <f>IF(R$4="","",CHOOSE(uxb_works!$B$47,IF(INDEX(aData,$B41,R$4)="","-",TEXT(INDEX(aData,$B41,R$4),$H41)),IFERROR(INDEX(aScoresRounded,$B41,R$4),"")))</f>
        <v>100</v>
      </c>
      <c r="S41" s="706">
        <f>IF(S$4="","",CHOOSE(uxb_works!$B$47,IF(INDEX(aData,$B41,S$4)="","-",TEXT(INDEX(aData,$B41,S$4),$H41)),IFERROR(INDEX(aScoresRounded,$B41,S$4),"")))</f>
        <v>100</v>
      </c>
      <c r="T41" s="706">
        <f>IF(T$4="","",CHOOSE(uxb_works!$B$47,IF(INDEX(aData,$B41,T$4)="","-",TEXT(INDEX(aData,$B41,T$4),$H41)),IFERROR(INDEX(aScoresRounded,$B41,T$4),"")))</f>
        <v>100</v>
      </c>
      <c r="U41" s="706">
        <f>IF(U$4="","",CHOOSE(uxb_works!$B$47,IF(INDEX(aData,$B41,U$4)="","-",TEXT(INDEX(aData,$B41,U$4),$H41)),IFERROR(INDEX(aScoresRounded,$B41,U$4),"")))</f>
        <v>100</v>
      </c>
      <c r="V41" s="706">
        <f>IF(V$4="","",CHOOSE(uxb_works!$B$47,IF(INDEX(aData,$B41,V$4)="","-",TEXT(INDEX(aData,$B41,V$4),$H41)),IFERROR(INDEX(aScoresRounded,$B41,V$4),"")))</f>
        <v>50</v>
      </c>
      <c r="W41" s="706">
        <f>IF(W$4="","",CHOOSE(uxb_works!$B$47,IF(INDEX(aData,$B41,W$4)="","-",TEXT(INDEX(aData,$B41,W$4),$H41)),IFERROR(INDEX(aScoresRounded,$B41,W$4),"")))</f>
        <v>100</v>
      </c>
      <c r="X41" s="706">
        <f>IF(X$4="","",CHOOSE(uxb_works!$B$47,IF(INDEX(aData,$B41,X$4)="","-",TEXT(INDEX(aData,$B41,X$4),$H41)),IFERROR(INDEX(aScoresRounded,$B41,X$4),"")))</f>
        <v>100</v>
      </c>
      <c r="Y41" s="631">
        <f>IF(Y$4="","",CHOOSE(uxb_works!$B$47,IF(INDEX(aData,$B41,Y$4)="","-",TEXT(INDEX(aData,$B41,Y$4),$H41)),IFERROR(INDEX(aScoresRounded,$B41,Y$4),"")))</f>
        <v>100</v>
      </c>
      <c r="Z41" s="631">
        <f>IF(Z$4="","",CHOOSE(uxb_works!$B$47,IF(INDEX(aData,$B41,Z$4)="","-",TEXT(INDEX(aData,$B41,Z$4),$H41)),IFERROR(INDEX(aScoresRounded,$B41,Z$4),"")))</f>
        <v>100</v>
      </c>
      <c r="AA41" s="631">
        <f>IF(AA$4="","",CHOOSE(uxb_works!$B$47,IF(INDEX(aData,$B41,AA$4)="","-",TEXT(INDEX(aData,$B41,AA$4),$H41)),IFERROR(INDEX(aScoresRounded,$B41,AA$4),"")))</f>
        <v>100</v>
      </c>
      <c r="AB41" s="631">
        <f>IF(AB$4="","",CHOOSE(uxb_works!$B$47,IF(INDEX(aData,$B41,AB$4)="","-",TEXT(INDEX(aData,$B41,AB$4),$H41)),IFERROR(INDEX(aScoresRounded,$B41,AB$4),"")))</f>
        <v>100</v>
      </c>
      <c r="AC41" s="631">
        <f>IF(AC$4="","",CHOOSE(uxb_works!$B$47,IF(INDEX(aData,$B41,AC$4)="","-",TEXT(INDEX(aData,$B41,AC$4),$H41)),IFERROR(INDEX(aScoresRounded,$B41,AC$4),"")))</f>
        <v>100</v>
      </c>
      <c r="AD41" s="631">
        <f>IF(AD$4="","",CHOOSE(uxb_works!$B$47,IF(INDEX(aData,$B41,AD$4)="","-",TEXT(INDEX(aData,$B41,AD$4),$H41)),IFERROR(INDEX(aScoresRounded,$B41,AD$4),"")))</f>
        <v>100</v>
      </c>
      <c r="AE41" s="631">
        <f>IF(AE$4="","",CHOOSE(uxb_works!$B$47,IF(INDEX(aData,$B41,AE$4)="","-",TEXT(INDEX(aData,$B41,AE$4),$H41)),IFERROR(INDEX(aScoresRounded,$B41,AE$4),"")))</f>
        <v>100</v>
      </c>
      <c r="AF41" s="631">
        <f>IF(AF$4="","",CHOOSE(uxb_works!$B$47,IF(INDEX(aData,$B41,AF$4)="","-",TEXT(INDEX(aData,$B41,AF$4),$H41)),IFERROR(INDEX(aScoresRounded,$B41,AF$4),"")))</f>
        <v>100</v>
      </c>
      <c r="AG41" s="631">
        <f>IF(AG$4="","",CHOOSE(uxb_works!$B$47,IF(INDEX(aData,$B41,AG$4)="","-",TEXT(INDEX(aData,$B41,AG$4),$H41)),IFERROR(INDEX(aScoresRounded,$B41,AG$4),"")))</f>
        <v>0</v>
      </c>
      <c r="AH41" s="631">
        <f>IF(AH$4="","",CHOOSE(uxb_works!$B$47,IF(INDEX(aData,$B41,AH$4)="","-",TEXT(INDEX(aData,$B41,AH$4),$H41)),IFERROR(INDEX(aScoresRounded,$B41,AH$4),"")))</f>
        <v>100</v>
      </c>
      <c r="AI41" s="631">
        <f>IF(AI$4="","",CHOOSE(uxb_works!$B$47,IF(INDEX(aData,$B41,AI$4)="","-",TEXT(INDEX(aData,$B41,AI$4),$H41)),IFERROR(INDEX(aScoresRounded,$B41,AI$4),"")))</f>
        <v>100</v>
      </c>
      <c r="AJ41" s="631">
        <f>IF(AJ$4="","",CHOOSE(uxb_works!$B$47,IF(INDEX(aData,$B41,AJ$4)="","-",TEXT(INDEX(aData,$B41,AJ$4),$H41)),IFERROR(INDEX(aScoresRounded,$B41,AJ$4),"")))</f>
        <v>100</v>
      </c>
      <c r="AK41" s="631">
        <f>IF(AK$4="","",CHOOSE(uxb_works!$B$47,IF(INDEX(aData,$B41,AK$4)="","-",TEXT(INDEX(aData,$B41,AK$4),$H41)),IFERROR(INDEX(aScoresRounded,$B41,AK$4),"")))</f>
        <v>100</v>
      </c>
      <c r="AL41" s="631">
        <f>IF(AL$4="","",CHOOSE(uxb_works!$B$47,IF(INDEX(aData,$B41,AL$4)="","-",TEXT(INDEX(aData,$B41,AL$4),$H41)),IFERROR(INDEX(aScoresRounded,$B41,AL$4),"")))</f>
        <v>0</v>
      </c>
      <c r="AM41" s="631">
        <f>IF(AM$4="","",CHOOSE(uxb_works!$B$47,IF(INDEX(aData,$B41,AM$4)="","-",TEXT(INDEX(aData,$B41,AM$4),$H41)),IFERROR(INDEX(aScoresRounded,$B41,AM$4),"")))</f>
        <v>0</v>
      </c>
      <c r="AN41" s="631">
        <f>IF(AN$4="","",CHOOSE(uxb_works!$B$47,IF(INDEX(aData,$B41,AN$4)="","-",TEXT(INDEX(aData,$B41,AN$4),$H41)),IFERROR(INDEX(aScoresRounded,$B41,AN$4),"")))</f>
        <v>100</v>
      </c>
      <c r="AO41" s="631">
        <f>IF(AO$4="","",CHOOSE(uxb_works!$B$47,IF(INDEX(aData,$B41,AO$4)="","-",TEXT(INDEX(aData,$B41,AO$4),$H41)),IFERROR(INDEX(aScoresRounded,$B41,AO$4),"")))</f>
        <v>100</v>
      </c>
      <c r="AP41" s="631">
        <f>IF(AP$4="","",CHOOSE(uxb_works!$B$47,IF(INDEX(aData,$B41,AP$4)="","-",TEXT(INDEX(aData,$B41,AP$4),$H41)),IFERROR(INDEX(aScoresRounded,$B41,AP$4),"")))</f>
        <v>100</v>
      </c>
      <c r="AQ41" s="631">
        <f>IF(AQ$4="","",CHOOSE(uxb_works!$B$47,IF(INDEX(aData,$B41,AQ$4)="","-",TEXT(INDEX(aData,$B41,AQ$4),$H41)),IFERROR(INDEX(aScoresRounded,$B41,AQ$4),"")))</f>
        <v>100</v>
      </c>
      <c r="AR41" s="631">
        <f>IF(AR$4="","",CHOOSE(uxb_works!$B$47,IF(INDEX(aData,$B41,AR$4)="","-",TEXT(INDEX(aData,$B41,AR$4),$H41)),IFERROR(INDEX(aScoresRounded,$B41,AR$4),"")))</f>
        <v>100</v>
      </c>
      <c r="AS41" s="631">
        <f>IF(AS$4="","",CHOOSE(uxb_works!$B$47,IF(INDEX(aData,$B41,AS$4)="","-",TEXT(INDEX(aData,$B41,AS$4),$H41)),IFERROR(INDEX(aScoresRounded,$B41,AS$4),"")))</f>
        <v>100</v>
      </c>
      <c r="AT41" s="570"/>
      <c r="AW41" s="157">
        <f>CHOOSE($AV$1,0,IF(AW$10=0,0,IF(P41&lt;=$AX$1,1,IF(P41&lt;=#REF!,2,3))),IF(AW$10=0,0,IF(P41&lt;=$AX$1,4,IF(P41&lt;=#REF!,5,6))))</f>
        <v>0</v>
      </c>
      <c r="AX41" s="157">
        <f>CHOOSE($AV$1,0,IF(AX$10=0,0,IF(#REF!&lt;=$AX$1,1,IF(#REF!&lt;=#REF!,2,3))),IF(AX$10=0,0,IF(#REF!&lt;=$AX$1,4,IF(#REF!&lt;=#REF!,5,6))))</f>
        <v>0</v>
      </c>
    </row>
    <row r="42" spans="1:50" ht="25" customHeight="1">
      <c r="A42" s="213"/>
      <c r="B42" s="218">
        <f>tblIndicators!A33</f>
        <v>32</v>
      </c>
      <c r="C42" s="218"/>
      <c r="D42" s="218"/>
      <c r="E42" s="218">
        <f>tblIndicators!B33</f>
        <v>0</v>
      </c>
      <c r="F42" s="218">
        <f>IF(AND(uxb_works!$B$47=2,E42=1),0,iScores!F37)</f>
        <v>2</v>
      </c>
      <c r="G42" s="218"/>
      <c r="H42" s="218" t="str">
        <f>tblIndicators!AC33</f>
        <v>#,##0.0</v>
      </c>
      <c r="I42" s="219"/>
      <c r="J42" s="218"/>
      <c r="K42" s="214">
        <f>IF(L42=0,0,IF(uxb_works!$B$46&gt;=L42,1,0))</f>
        <v>1</v>
      </c>
      <c r="L42" s="216">
        <f>IF(AND(uxb_works!$B$47=2,E42=1),0,tblIndicators!G33)</f>
        <v>2</v>
      </c>
      <c r="M42" s="218"/>
      <c r="N42" s="249" t="str">
        <f>iScores!N37</f>
        <v xml:space="preserve">  2.5) Education</v>
      </c>
      <c r="O42" s="407">
        <f>CHOOSE(uxb_works!$B$47,iData!I37,iScores!O37)</f>
        <v>0.15384615384615385</v>
      </c>
      <c r="P42" s="631">
        <f>IF(P$4="","",CHOOSE(uxb_works!$B$47,IF(INDEX(aData,$B42,P$4)="","-",TEXT(INDEX(aData,$B42,P$4),$H42)),IFERROR(INDEX(aScoresRounded,$B42,P$4),"")))</f>
        <v>100</v>
      </c>
      <c r="Q42" s="706">
        <f>IF(Q$4="","",CHOOSE(uxb_works!$B$47,IF(INDEX(aData,$B42,Q$4)="","-",TEXT(INDEX(aData,$B42,Q$4),$H42)),IFERROR(INDEX(aScoresRounded,$B42,Q$4),"")))</f>
        <v>50</v>
      </c>
      <c r="R42" s="706">
        <f>IF(R$4="","",CHOOSE(uxb_works!$B$47,IF(INDEX(aData,$B42,R$4)="","-",TEXT(INDEX(aData,$B42,R$4),$H42)),IFERROR(INDEX(aScoresRounded,$B42,R$4),"")))</f>
        <v>50</v>
      </c>
      <c r="S42" s="706">
        <f>IF(S$4="","",CHOOSE(uxb_works!$B$47,IF(INDEX(aData,$B42,S$4)="","-",TEXT(INDEX(aData,$B42,S$4),$H42)),IFERROR(INDEX(aScoresRounded,$B42,S$4),"")))</f>
        <v>100</v>
      </c>
      <c r="T42" s="706">
        <f>IF(T$4="","",CHOOSE(uxb_works!$B$47,IF(INDEX(aData,$B42,T$4)="","-",TEXT(INDEX(aData,$B42,T$4),$H42)),IFERROR(INDEX(aScoresRounded,$B42,T$4),"")))</f>
        <v>50</v>
      </c>
      <c r="U42" s="706">
        <f>IF(U$4="","",CHOOSE(uxb_works!$B$47,IF(INDEX(aData,$B42,U$4)="","-",TEXT(INDEX(aData,$B42,U$4),$H42)),IFERROR(INDEX(aScoresRounded,$B42,U$4),"")))</f>
        <v>100</v>
      </c>
      <c r="V42" s="706">
        <f>IF(V$4="","",CHOOSE(uxb_works!$B$47,IF(INDEX(aData,$B42,V$4)="","-",TEXT(INDEX(aData,$B42,V$4),$H42)),IFERROR(INDEX(aScoresRounded,$B42,V$4),"")))</f>
        <v>0</v>
      </c>
      <c r="W42" s="706">
        <f>IF(W$4="","",CHOOSE(uxb_works!$B$47,IF(INDEX(aData,$B42,W$4)="","-",TEXT(INDEX(aData,$B42,W$4),$H42)),IFERROR(INDEX(aScoresRounded,$B42,W$4),"")))</f>
        <v>100</v>
      </c>
      <c r="X42" s="706">
        <f>IF(X$4="","",CHOOSE(uxb_works!$B$47,IF(INDEX(aData,$B42,X$4)="","-",TEXT(INDEX(aData,$B42,X$4),$H42)),IFERROR(INDEX(aScoresRounded,$B42,X$4),"")))</f>
        <v>100</v>
      </c>
      <c r="Y42" s="631">
        <f>IF(Y$4="","",CHOOSE(uxb_works!$B$47,IF(INDEX(aData,$B42,Y$4)="","-",TEXT(INDEX(aData,$B42,Y$4),$H42)),IFERROR(INDEX(aScoresRounded,$B42,Y$4),"")))</f>
        <v>50</v>
      </c>
      <c r="Z42" s="631">
        <f>IF(Z$4="","",CHOOSE(uxb_works!$B$47,IF(INDEX(aData,$B42,Z$4)="","-",TEXT(INDEX(aData,$B42,Z$4),$H42)),IFERROR(INDEX(aScoresRounded,$B42,Z$4),"")))</f>
        <v>100</v>
      </c>
      <c r="AA42" s="631">
        <f>IF(AA$4="","",CHOOSE(uxb_works!$B$47,IF(INDEX(aData,$B42,AA$4)="","-",TEXT(INDEX(aData,$B42,AA$4),$H42)),IFERROR(INDEX(aScoresRounded,$B42,AA$4),"")))</f>
        <v>100</v>
      </c>
      <c r="AB42" s="631">
        <f>IF(AB$4="","",CHOOSE(uxb_works!$B$47,IF(INDEX(aData,$B42,AB$4)="","-",TEXT(INDEX(aData,$B42,AB$4),$H42)),IFERROR(INDEX(aScoresRounded,$B42,AB$4),"")))</f>
        <v>0</v>
      </c>
      <c r="AC42" s="631">
        <f>IF(AC$4="","",CHOOSE(uxb_works!$B$47,IF(INDEX(aData,$B42,AC$4)="","-",TEXT(INDEX(aData,$B42,AC$4),$H42)),IFERROR(INDEX(aScoresRounded,$B42,AC$4),"")))</f>
        <v>50</v>
      </c>
      <c r="AD42" s="631">
        <f>IF(AD$4="","",CHOOSE(uxb_works!$B$47,IF(INDEX(aData,$B42,AD$4)="","-",TEXT(INDEX(aData,$B42,AD$4),$H42)),IFERROR(INDEX(aScoresRounded,$B42,AD$4),"")))</f>
        <v>100</v>
      </c>
      <c r="AE42" s="631">
        <f>IF(AE$4="","",CHOOSE(uxb_works!$B$47,IF(INDEX(aData,$B42,AE$4)="","-",TEXT(INDEX(aData,$B42,AE$4),$H42)),IFERROR(INDEX(aScoresRounded,$B42,AE$4),"")))</f>
        <v>100</v>
      </c>
      <c r="AF42" s="631">
        <f>IF(AF$4="","",CHOOSE(uxb_works!$B$47,IF(INDEX(aData,$B42,AF$4)="","-",TEXT(INDEX(aData,$B42,AF$4),$H42)),IFERROR(INDEX(aScoresRounded,$B42,AF$4),"")))</f>
        <v>50</v>
      </c>
      <c r="AG42" s="631">
        <f>IF(AG$4="","",CHOOSE(uxb_works!$B$47,IF(INDEX(aData,$B42,AG$4)="","-",TEXT(INDEX(aData,$B42,AG$4),$H42)),IFERROR(INDEX(aScoresRounded,$B42,AG$4),"")))</f>
        <v>50</v>
      </c>
      <c r="AH42" s="631">
        <f>IF(AH$4="","",CHOOSE(uxb_works!$B$47,IF(INDEX(aData,$B42,AH$4)="","-",TEXT(INDEX(aData,$B42,AH$4),$H42)),IFERROR(INDEX(aScoresRounded,$B42,AH$4),"")))</f>
        <v>50</v>
      </c>
      <c r="AI42" s="631">
        <f>IF(AI$4="","",CHOOSE(uxb_works!$B$47,IF(INDEX(aData,$B42,AI$4)="","-",TEXT(INDEX(aData,$B42,AI$4),$H42)),IFERROR(INDEX(aScoresRounded,$B42,AI$4),"")))</f>
        <v>100</v>
      </c>
      <c r="AJ42" s="631">
        <f>IF(AJ$4="","",CHOOSE(uxb_works!$B$47,IF(INDEX(aData,$B42,AJ$4)="","-",TEXT(INDEX(aData,$B42,AJ$4),$H42)),IFERROR(INDEX(aScoresRounded,$B42,AJ$4),"")))</f>
        <v>50</v>
      </c>
      <c r="AK42" s="631">
        <f>IF(AK$4="","",CHOOSE(uxb_works!$B$47,IF(INDEX(aData,$B42,AK$4)="","-",TEXT(INDEX(aData,$B42,AK$4),$H42)),IFERROR(INDEX(aScoresRounded,$B42,AK$4),"")))</f>
        <v>100</v>
      </c>
      <c r="AL42" s="631">
        <f>IF(AL$4="","",CHOOSE(uxb_works!$B$47,IF(INDEX(aData,$B42,AL$4)="","-",TEXT(INDEX(aData,$B42,AL$4),$H42)),IFERROR(INDEX(aScoresRounded,$B42,AL$4),"")))</f>
        <v>50</v>
      </c>
      <c r="AM42" s="631">
        <f>IF(AM$4="","",CHOOSE(uxb_works!$B$47,IF(INDEX(aData,$B42,AM$4)="","-",TEXT(INDEX(aData,$B42,AM$4),$H42)),IFERROR(INDEX(aScoresRounded,$B42,AM$4),"")))</f>
        <v>50</v>
      </c>
      <c r="AN42" s="631">
        <f>IF(AN$4="","",CHOOSE(uxb_works!$B$47,IF(INDEX(aData,$B42,AN$4)="","-",TEXT(INDEX(aData,$B42,AN$4),$H42)),IFERROR(INDEX(aScoresRounded,$B42,AN$4),"")))</f>
        <v>100</v>
      </c>
      <c r="AO42" s="631">
        <f>IF(AO$4="","",CHOOSE(uxb_works!$B$47,IF(INDEX(aData,$B42,AO$4)="","-",TEXT(INDEX(aData,$B42,AO$4),$H42)),IFERROR(INDEX(aScoresRounded,$B42,AO$4),"")))</f>
        <v>100</v>
      </c>
      <c r="AP42" s="631">
        <f>IF(AP$4="","",CHOOSE(uxb_works!$B$47,IF(INDEX(aData,$B42,AP$4)="","-",TEXT(INDEX(aData,$B42,AP$4),$H42)),IFERROR(INDEX(aScoresRounded,$B42,AP$4),"")))</f>
        <v>100</v>
      </c>
      <c r="AQ42" s="631">
        <f>IF(AQ$4="","",CHOOSE(uxb_works!$B$47,IF(INDEX(aData,$B42,AQ$4)="","-",TEXT(INDEX(aData,$B42,AQ$4),$H42)),IFERROR(INDEX(aScoresRounded,$B42,AQ$4),"")))</f>
        <v>100</v>
      </c>
      <c r="AR42" s="631">
        <f>IF(AR$4="","",CHOOSE(uxb_works!$B$47,IF(INDEX(aData,$B42,AR$4)="","-",TEXT(INDEX(aData,$B42,AR$4),$H42)),IFERROR(INDEX(aScoresRounded,$B42,AR$4),"")))</f>
        <v>100</v>
      </c>
      <c r="AS42" s="631">
        <f>IF(AS$4="","",CHOOSE(uxb_works!$B$47,IF(INDEX(aData,$B42,AS$4)="","-",TEXT(INDEX(aData,$B42,AS$4),$H42)),IFERROR(INDEX(aScoresRounded,$B42,AS$4),"")))</f>
        <v>50</v>
      </c>
      <c r="AT42" s="570"/>
      <c r="AW42" s="157">
        <f>CHOOSE($AV$1,0,IF(AW$10=0,0,IF(P42&lt;=$AX$1,1,IF(P42&lt;=#REF!,2,3))),IF(AW$10=0,0,IF(P42&lt;=$AX$1,4,IF(P42&lt;=#REF!,5,6))))</f>
        <v>0</v>
      </c>
      <c r="AX42" s="157">
        <f>CHOOSE($AV$1,0,IF(AX$10=0,0,IF(#REF!&lt;=$AX$1,1,IF(#REF!&lt;=#REF!,2,3))),IF(AX$10=0,0,IF(#REF!&lt;=$AX$1,4,IF(#REF!&lt;=#REF!,5,6))))</f>
        <v>0</v>
      </c>
    </row>
    <row r="43" spans="1:50" ht="25" customHeight="1">
      <c r="A43" s="213"/>
      <c r="B43" s="218">
        <f>tblIndicators!A34</f>
        <v>33</v>
      </c>
      <c r="C43" s="218"/>
      <c r="D43" s="218"/>
      <c r="E43" s="218">
        <f>tblIndicators!B34</f>
        <v>0</v>
      </c>
      <c r="F43" s="218">
        <f>IF(AND(uxb_works!$B$47=2,E43=1),0,iScores!F38)</f>
        <v>3</v>
      </c>
      <c r="G43" s="218"/>
      <c r="H43" s="218" t="str">
        <f>tblIndicators!AC34</f>
        <v>#,##0</v>
      </c>
      <c r="I43" s="219"/>
      <c r="J43" s="218"/>
      <c r="K43" s="214">
        <f>IF(L43=0,0,IF(uxb_works!$B$46&gt;=L43,1,0))</f>
        <v>1</v>
      </c>
      <c r="L43" s="216">
        <f>IF(AND(uxb_works!$B$47=2,E43=1),0,tblIndicators!G34)</f>
        <v>3</v>
      </c>
      <c r="M43" s="218"/>
      <c r="N43" s="249" t="str">
        <f>iScores!N38</f>
        <v xml:space="preserve">   2.5.1) Digital education</v>
      </c>
      <c r="O43" s="407">
        <f>CHOOSE(uxb_works!$B$47,iData!I38,iScores!O38)</f>
        <v>1</v>
      </c>
      <c r="P43" s="631">
        <f>IF(P$4="","",CHOOSE(uxb_works!$B$47,IF(INDEX(aData,$B43,P$4)="","-",TEXT(INDEX(aData,$B43,P$4),$H43)),IFERROR(INDEX(aScoresRounded,$B43,P$4),"")))</f>
        <v>100</v>
      </c>
      <c r="Q43" s="706">
        <f>IF(Q$4="","",CHOOSE(uxb_works!$B$47,IF(INDEX(aData,$B43,Q$4)="","-",TEXT(INDEX(aData,$B43,Q$4),$H43)),IFERROR(INDEX(aScoresRounded,$B43,Q$4),"")))</f>
        <v>50</v>
      </c>
      <c r="R43" s="706">
        <f>IF(R$4="","",CHOOSE(uxb_works!$B$47,IF(INDEX(aData,$B43,R$4)="","-",TEXT(INDEX(aData,$B43,R$4),$H43)),IFERROR(INDEX(aScoresRounded,$B43,R$4),"")))</f>
        <v>50</v>
      </c>
      <c r="S43" s="706">
        <f>IF(S$4="","",CHOOSE(uxb_works!$B$47,IF(INDEX(aData,$B43,S$4)="","-",TEXT(INDEX(aData,$B43,S$4),$H43)),IFERROR(INDEX(aScoresRounded,$B43,S$4),"")))</f>
        <v>100</v>
      </c>
      <c r="T43" s="706">
        <f>IF(T$4="","",CHOOSE(uxb_works!$B$47,IF(INDEX(aData,$B43,T$4)="","-",TEXT(INDEX(aData,$B43,T$4),$H43)),IFERROR(INDEX(aScoresRounded,$B43,T$4),"")))</f>
        <v>50</v>
      </c>
      <c r="U43" s="706">
        <f>IF(U$4="","",CHOOSE(uxb_works!$B$47,IF(INDEX(aData,$B43,U$4)="","-",TEXT(INDEX(aData,$B43,U$4),$H43)),IFERROR(INDEX(aScoresRounded,$B43,U$4),"")))</f>
        <v>100</v>
      </c>
      <c r="V43" s="706">
        <f>IF(V$4="","",CHOOSE(uxb_works!$B$47,IF(INDEX(aData,$B43,V$4)="","-",TEXT(INDEX(aData,$B43,V$4),$H43)),IFERROR(INDEX(aScoresRounded,$B43,V$4),"")))</f>
        <v>0</v>
      </c>
      <c r="W43" s="706">
        <f>IF(W$4="","",CHOOSE(uxb_works!$B$47,IF(INDEX(aData,$B43,W$4)="","-",TEXT(INDEX(aData,$B43,W$4),$H43)),IFERROR(INDEX(aScoresRounded,$B43,W$4),"")))</f>
        <v>100</v>
      </c>
      <c r="X43" s="706">
        <f>IF(X$4="","",CHOOSE(uxb_works!$B$47,IF(INDEX(aData,$B43,X$4)="","-",TEXT(INDEX(aData,$B43,X$4),$H43)),IFERROR(INDEX(aScoresRounded,$B43,X$4),"")))</f>
        <v>100</v>
      </c>
      <c r="Y43" s="631">
        <f>IF(Y$4="","",CHOOSE(uxb_works!$B$47,IF(INDEX(aData,$B43,Y$4)="","-",TEXT(INDEX(aData,$B43,Y$4),$H43)),IFERROR(INDEX(aScoresRounded,$B43,Y$4),"")))</f>
        <v>50</v>
      </c>
      <c r="Z43" s="631">
        <f>IF(Z$4="","",CHOOSE(uxb_works!$B$47,IF(INDEX(aData,$B43,Z$4)="","-",TEXT(INDEX(aData,$B43,Z$4),$H43)),IFERROR(INDEX(aScoresRounded,$B43,Z$4),"")))</f>
        <v>100</v>
      </c>
      <c r="AA43" s="631">
        <f>IF(AA$4="","",CHOOSE(uxb_works!$B$47,IF(INDEX(aData,$B43,AA$4)="","-",TEXT(INDEX(aData,$B43,AA$4),$H43)),IFERROR(INDEX(aScoresRounded,$B43,AA$4),"")))</f>
        <v>100</v>
      </c>
      <c r="AB43" s="631">
        <f>IF(AB$4="","",CHOOSE(uxb_works!$B$47,IF(INDEX(aData,$B43,AB$4)="","-",TEXT(INDEX(aData,$B43,AB$4),$H43)),IFERROR(INDEX(aScoresRounded,$B43,AB$4),"")))</f>
        <v>0</v>
      </c>
      <c r="AC43" s="631">
        <f>IF(AC$4="","",CHOOSE(uxb_works!$B$47,IF(INDEX(aData,$B43,AC$4)="","-",TEXT(INDEX(aData,$B43,AC$4),$H43)),IFERROR(INDEX(aScoresRounded,$B43,AC$4),"")))</f>
        <v>50</v>
      </c>
      <c r="AD43" s="631">
        <f>IF(AD$4="","",CHOOSE(uxb_works!$B$47,IF(INDEX(aData,$B43,AD$4)="","-",TEXT(INDEX(aData,$B43,AD$4),$H43)),IFERROR(INDEX(aScoresRounded,$B43,AD$4),"")))</f>
        <v>100</v>
      </c>
      <c r="AE43" s="631">
        <f>IF(AE$4="","",CHOOSE(uxb_works!$B$47,IF(INDEX(aData,$B43,AE$4)="","-",TEXT(INDEX(aData,$B43,AE$4),$H43)),IFERROR(INDEX(aScoresRounded,$B43,AE$4),"")))</f>
        <v>100</v>
      </c>
      <c r="AF43" s="631">
        <f>IF(AF$4="","",CHOOSE(uxb_works!$B$47,IF(INDEX(aData,$B43,AF$4)="","-",TEXT(INDEX(aData,$B43,AF$4),$H43)),IFERROR(INDEX(aScoresRounded,$B43,AF$4),"")))</f>
        <v>50</v>
      </c>
      <c r="AG43" s="631">
        <f>IF(AG$4="","",CHOOSE(uxb_works!$B$47,IF(INDEX(aData,$B43,AG$4)="","-",TEXT(INDEX(aData,$B43,AG$4),$H43)),IFERROR(INDEX(aScoresRounded,$B43,AG$4),"")))</f>
        <v>50</v>
      </c>
      <c r="AH43" s="631">
        <f>IF(AH$4="","",CHOOSE(uxb_works!$B$47,IF(INDEX(aData,$B43,AH$4)="","-",TEXT(INDEX(aData,$B43,AH$4),$H43)),IFERROR(INDEX(aScoresRounded,$B43,AH$4),"")))</f>
        <v>50</v>
      </c>
      <c r="AI43" s="631">
        <f>IF(AI$4="","",CHOOSE(uxb_works!$B$47,IF(INDEX(aData,$B43,AI$4)="","-",TEXT(INDEX(aData,$B43,AI$4),$H43)),IFERROR(INDEX(aScoresRounded,$B43,AI$4),"")))</f>
        <v>100</v>
      </c>
      <c r="AJ43" s="631">
        <f>IF(AJ$4="","",CHOOSE(uxb_works!$B$47,IF(INDEX(aData,$B43,AJ$4)="","-",TEXT(INDEX(aData,$B43,AJ$4),$H43)),IFERROR(INDEX(aScoresRounded,$B43,AJ$4),"")))</f>
        <v>50</v>
      </c>
      <c r="AK43" s="631">
        <f>IF(AK$4="","",CHOOSE(uxb_works!$B$47,IF(INDEX(aData,$B43,AK$4)="","-",TEXT(INDEX(aData,$B43,AK$4),$H43)),IFERROR(INDEX(aScoresRounded,$B43,AK$4),"")))</f>
        <v>100</v>
      </c>
      <c r="AL43" s="631">
        <f>IF(AL$4="","",CHOOSE(uxb_works!$B$47,IF(INDEX(aData,$B43,AL$4)="","-",TEXT(INDEX(aData,$B43,AL$4),$H43)),IFERROR(INDEX(aScoresRounded,$B43,AL$4),"")))</f>
        <v>50</v>
      </c>
      <c r="AM43" s="631">
        <f>IF(AM$4="","",CHOOSE(uxb_works!$B$47,IF(INDEX(aData,$B43,AM$4)="","-",TEXT(INDEX(aData,$B43,AM$4),$H43)),IFERROR(INDEX(aScoresRounded,$B43,AM$4),"")))</f>
        <v>50</v>
      </c>
      <c r="AN43" s="631">
        <f>IF(AN$4="","",CHOOSE(uxb_works!$B$47,IF(INDEX(aData,$B43,AN$4)="","-",TEXT(INDEX(aData,$B43,AN$4),$H43)),IFERROR(INDEX(aScoresRounded,$B43,AN$4),"")))</f>
        <v>100</v>
      </c>
      <c r="AO43" s="631">
        <f>IF(AO$4="","",CHOOSE(uxb_works!$B$47,IF(INDEX(aData,$B43,AO$4)="","-",TEXT(INDEX(aData,$B43,AO$4),$H43)),IFERROR(INDEX(aScoresRounded,$B43,AO$4),"")))</f>
        <v>100</v>
      </c>
      <c r="AP43" s="631">
        <f>IF(AP$4="","",CHOOSE(uxb_works!$B$47,IF(INDEX(aData,$B43,AP$4)="","-",TEXT(INDEX(aData,$B43,AP$4),$H43)),IFERROR(INDEX(aScoresRounded,$B43,AP$4),"")))</f>
        <v>100</v>
      </c>
      <c r="AQ43" s="631">
        <f>IF(AQ$4="","",CHOOSE(uxb_works!$B$47,IF(INDEX(aData,$B43,AQ$4)="","-",TEXT(INDEX(aData,$B43,AQ$4),$H43)),IFERROR(INDEX(aScoresRounded,$B43,AQ$4),"")))</f>
        <v>100</v>
      </c>
      <c r="AR43" s="631">
        <f>IF(AR$4="","",CHOOSE(uxb_works!$B$47,IF(INDEX(aData,$B43,AR$4)="","-",TEXT(INDEX(aData,$B43,AR$4),$H43)),IFERROR(INDEX(aScoresRounded,$B43,AR$4),"")))</f>
        <v>100</v>
      </c>
      <c r="AS43" s="631">
        <f>IF(AS$4="","",CHOOSE(uxb_works!$B$47,IF(INDEX(aData,$B43,AS$4)="","-",TEXT(INDEX(aData,$B43,AS$4),$H43)),IFERROR(INDEX(aScoresRounded,$B43,AS$4),"")))</f>
        <v>50</v>
      </c>
      <c r="AT43" s="570"/>
      <c r="AW43" s="157">
        <f>CHOOSE($AV$1,0,IF(AW$10=0,0,IF(P43&lt;=$AX$1,1,IF(P43&lt;=#REF!,2,3))),IF(AW$10=0,0,IF(P43&lt;=$AX$1,4,IF(P43&lt;=#REF!,5,6))))</f>
        <v>0</v>
      </c>
      <c r="AX43" s="157">
        <f>CHOOSE($AV$1,0,IF(AX$10=0,0,IF(#REF!&lt;=$AX$1,1,IF(#REF!&lt;=#REF!,2,3))),IF(AX$10=0,0,IF(#REF!&lt;=$AX$1,4,IF(#REF!&lt;=#REF!,5,6))))</f>
        <v>0</v>
      </c>
    </row>
    <row r="44" spans="1:50" ht="25" customHeight="1">
      <c r="A44" s="213"/>
      <c r="B44" s="218">
        <f>tblIndicators!A35</f>
        <v>34</v>
      </c>
      <c r="C44" s="218"/>
      <c r="D44" s="218"/>
      <c r="E44" s="218">
        <f>tblIndicators!B35</f>
        <v>0</v>
      </c>
      <c r="F44" s="218">
        <f>IF(AND(uxb_works!$B$47=2,E44=1),0,iScores!F39)</f>
        <v>2</v>
      </c>
      <c r="G44" s="218"/>
      <c r="H44" s="218" t="str">
        <f>tblIndicators!AC35</f>
        <v>#,##0.0</v>
      </c>
      <c r="I44" s="219"/>
      <c r="J44" s="218"/>
      <c r="K44" s="214">
        <f>IF(L44=0,0,IF(uxb_works!$B$46&gt;=L44,1,0))</f>
        <v>1</v>
      </c>
      <c r="L44" s="216">
        <f>IF(AND(uxb_works!$B$47=2,E44=1),0,tblIndicators!G35)</f>
        <v>2</v>
      </c>
      <c r="M44" s="218"/>
      <c r="N44" s="249" t="str">
        <f>iScores!N39</f>
        <v xml:space="preserve">  2.6) Retail and hospitality</v>
      </c>
      <c r="O44" s="407">
        <f>CHOOSE(uxb_works!$B$47,iData!I39,iScores!O39)</f>
        <v>0.15384615384615385</v>
      </c>
      <c r="P44" s="631">
        <f>IF(P$4="","",CHOOSE(uxb_works!$B$47,IF(INDEX(aData,$B44,P$4)="","-",TEXT(INDEX(aData,$B44,P$4),$H44)),IFERROR(INDEX(aScoresRounded,$B44,P$4),"")))</f>
        <v>40.299999999999997</v>
      </c>
      <c r="Q44" s="706">
        <f>IF(Q$4="","",CHOOSE(uxb_works!$B$47,IF(INDEX(aData,$B44,Q$4)="","-",TEXT(INDEX(aData,$B44,Q$4),$H44)),IFERROR(INDEX(aScoresRounded,$B44,Q$4),"")))</f>
        <v>19.2</v>
      </c>
      <c r="R44" s="706">
        <f>IF(R$4="","",CHOOSE(uxb_works!$B$47,IF(INDEX(aData,$B44,R$4)="","-",TEXT(INDEX(aData,$B44,R$4),$H44)),IFERROR(INDEX(aScoresRounded,$B44,R$4),"")))</f>
        <v>76.7</v>
      </c>
      <c r="S44" s="706">
        <f>IF(S$4="","",CHOOSE(uxb_works!$B$47,IF(INDEX(aData,$B44,S$4)="","-",TEXT(INDEX(aData,$B44,S$4),$H44)),IFERROR(INDEX(aScoresRounded,$B44,S$4),"")))</f>
        <v>28.4</v>
      </c>
      <c r="T44" s="706">
        <f>IF(T$4="","",CHOOSE(uxb_works!$B$47,IF(INDEX(aData,$B44,T$4)="","-",TEXT(INDEX(aData,$B44,T$4),$H44)),IFERROR(INDEX(aScoresRounded,$B44,T$4),"")))</f>
        <v>25.5</v>
      </c>
      <c r="U44" s="706">
        <f>IF(U$4="","",CHOOSE(uxb_works!$B$47,IF(INDEX(aData,$B44,U$4)="","-",TEXT(INDEX(aData,$B44,U$4),$H44)),IFERROR(INDEX(aScoresRounded,$B44,U$4),"")))</f>
        <v>72.3</v>
      </c>
      <c r="V44" s="706">
        <f>IF(V$4="","",CHOOSE(uxb_works!$B$47,IF(INDEX(aData,$B44,V$4)="","-",TEXT(INDEX(aData,$B44,V$4),$H44)),IFERROR(INDEX(aScoresRounded,$B44,V$4),"")))</f>
        <v>22.9</v>
      </c>
      <c r="W44" s="706">
        <f>IF(W$4="","",CHOOSE(uxb_works!$B$47,IF(INDEX(aData,$B44,W$4)="","-",TEXT(INDEX(aData,$B44,W$4),$H44)),IFERROR(INDEX(aScoresRounded,$B44,W$4),"")))</f>
        <v>100</v>
      </c>
      <c r="X44" s="706">
        <f>IF(X$4="","",CHOOSE(uxb_works!$B$47,IF(INDEX(aData,$B44,X$4)="","-",TEXT(INDEX(aData,$B44,X$4),$H44)),IFERROR(INDEX(aScoresRounded,$B44,X$4),"")))</f>
        <v>29.2</v>
      </c>
      <c r="Y44" s="631">
        <f>IF(Y$4="","",CHOOSE(uxb_works!$B$47,IF(INDEX(aData,$B44,Y$4)="","-",TEXT(INDEX(aData,$B44,Y$4),$H44)),IFERROR(INDEX(aScoresRounded,$B44,Y$4),"")))</f>
        <v>56.4</v>
      </c>
      <c r="Z44" s="631">
        <f>IF(Z$4="","",CHOOSE(uxb_works!$B$47,IF(INDEX(aData,$B44,Z$4)="","-",TEXT(INDEX(aData,$B44,Z$4),$H44)),IFERROR(INDEX(aScoresRounded,$B44,Z$4),"")))</f>
        <v>28.8</v>
      </c>
      <c r="AA44" s="631">
        <f>IF(AA$4="","",CHOOSE(uxb_works!$B$47,IF(INDEX(aData,$B44,AA$4)="","-",TEXT(INDEX(aData,$B44,AA$4),$H44)),IFERROR(INDEX(aScoresRounded,$B44,AA$4),"")))</f>
        <v>26.2</v>
      </c>
      <c r="AB44" s="631">
        <f>IF(AB$4="","",CHOOSE(uxb_works!$B$47,IF(INDEX(aData,$B44,AB$4)="","-",TEXT(INDEX(aData,$B44,AB$4),$H44)),IFERROR(INDEX(aScoresRounded,$B44,AB$4),"")))</f>
        <v>15.5</v>
      </c>
      <c r="AC44" s="631">
        <f>IF(AC$4="","",CHOOSE(uxb_works!$B$47,IF(INDEX(aData,$B44,AC$4)="","-",TEXT(INDEX(aData,$B44,AC$4),$H44)),IFERROR(INDEX(aScoresRounded,$B44,AC$4),"")))</f>
        <v>7</v>
      </c>
      <c r="AD44" s="631">
        <f>IF(AD$4="","",CHOOSE(uxb_works!$B$47,IF(INDEX(aData,$B44,AD$4)="","-",TEXT(INDEX(aData,$B44,AD$4),$H44)),IFERROR(INDEX(aScoresRounded,$B44,AD$4),"")))</f>
        <v>53.9</v>
      </c>
      <c r="AE44" s="631">
        <f>IF(AE$4="","",CHOOSE(uxb_works!$B$47,IF(INDEX(aData,$B44,AE$4)="","-",TEXT(INDEX(aData,$B44,AE$4),$H44)),IFERROR(INDEX(aScoresRounded,$B44,AE$4),"")))</f>
        <v>28.4</v>
      </c>
      <c r="AF44" s="631">
        <f>IF(AF$4="","",CHOOSE(uxb_works!$B$47,IF(INDEX(aData,$B44,AF$4)="","-",TEXT(INDEX(aData,$B44,AF$4),$H44)),IFERROR(INDEX(aScoresRounded,$B44,AF$4),"")))</f>
        <v>0</v>
      </c>
      <c r="AG44" s="631">
        <f>IF(AG$4="","",CHOOSE(uxb_works!$B$47,IF(INDEX(aData,$B44,AG$4)="","-",TEXT(INDEX(aData,$B44,AG$4),$H44)),IFERROR(INDEX(aScoresRounded,$B44,AG$4),"")))</f>
        <v>10.3</v>
      </c>
      <c r="AH44" s="631">
        <f>IF(AH$4="","",CHOOSE(uxb_works!$B$47,IF(INDEX(aData,$B44,AH$4)="","-",TEXT(INDEX(aData,$B44,AH$4),$H44)),IFERROR(INDEX(aScoresRounded,$B44,AH$4),"")))</f>
        <v>15.5</v>
      </c>
      <c r="AI44" s="631">
        <f>IF(AI$4="","",CHOOSE(uxb_works!$B$47,IF(INDEX(aData,$B44,AI$4)="","-",TEXT(INDEX(aData,$B44,AI$4),$H44)),IFERROR(INDEX(aScoresRounded,$B44,AI$4),"")))</f>
        <v>29.2</v>
      </c>
      <c r="AJ44" s="631">
        <f>IF(AJ$4="","",CHOOSE(uxb_works!$B$47,IF(INDEX(aData,$B44,AJ$4)="","-",TEXT(INDEX(aData,$B44,AJ$4),$H44)),IFERROR(INDEX(aScoresRounded,$B44,AJ$4),"")))</f>
        <v>78.2</v>
      </c>
      <c r="AK44" s="631">
        <f>IF(AK$4="","",CHOOSE(uxb_works!$B$47,IF(INDEX(aData,$B44,AK$4)="","-",TEXT(INDEX(aData,$B44,AK$4),$H44)),IFERROR(INDEX(aScoresRounded,$B44,AK$4),"")))</f>
        <v>11.8</v>
      </c>
      <c r="AL44" s="631">
        <f>IF(AL$4="","",CHOOSE(uxb_works!$B$47,IF(INDEX(aData,$B44,AL$4)="","-",TEXT(INDEX(aData,$B44,AL$4),$H44)),IFERROR(INDEX(aScoresRounded,$B44,AL$4),"")))</f>
        <v>7</v>
      </c>
      <c r="AM44" s="631">
        <f>IF(AM$4="","",CHOOSE(uxb_works!$B$47,IF(INDEX(aData,$B44,AM$4)="","-",TEXT(INDEX(aData,$B44,AM$4),$H44)),IFERROR(INDEX(aScoresRounded,$B44,AM$4),"")))</f>
        <v>61.9</v>
      </c>
      <c r="AN44" s="631">
        <f>IF(AN$4="","",CHOOSE(uxb_works!$B$47,IF(INDEX(aData,$B44,AN$4)="","-",TEXT(INDEX(aData,$B44,AN$4),$H44)),IFERROR(INDEX(aScoresRounded,$B44,AN$4),"")))</f>
        <v>10.3</v>
      </c>
      <c r="AO44" s="631">
        <f>IF(AO$4="","",CHOOSE(uxb_works!$B$47,IF(INDEX(aData,$B44,AO$4)="","-",TEXT(INDEX(aData,$B44,AO$4),$H44)),IFERROR(INDEX(aScoresRounded,$B44,AO$4),"")))</f>
        <v>11.5</v>
      </c>
      <c r="AP44" s="631">
        <f>IF(AP$4="","",CHOOSE(uxb_works!$B$47,IF(INDEX(aData,$B44,AP$4)="","-",TEXT(INDEX(aData,$B44,AP$4),$H44)),IFERROR(INDEX(aScoresRounded,$B44,AP$4),"")))</f>
        <v>24.4</v>
      </c>
      <c r="AQ44" s="631">
        <f>IF(AQ$4="","",CHOOSE(uxb_works!$B$47,IF(INDEX(aData,$B44,AQ$4)="","-",TEXT(INDEX(aData,$B44,AQ$4),$H44)),IFERROR(INDEX(aScoresRounded,$B44,AQ$4),"")))</f>
        <v>24</v>
      </c>
      <c r="AR44" s="631">
        <f>IF(AR$4="","",CHOOSE(uxb_works!$B$47,IF(INDEX(aData,$B44,AR$4)="","-",TEXT(INDEX(aData,$B44,AR$4),$H44)),IFERROR(INDEX(aScoresRounded,$B44,AR$4),"")))</f>
        <v>29.2</v>
      </c>
      <c r="AS44" s="631">
        <f>IF(AS$4="","",CHOOSE(uxb_works!$B$47,IF(INDEX(aData,$B44,AS$4)="","-",TEXT(INDEX(aData,$B44,AS$4),$H44)),IFERROR(INDEX(aScoresRounded,$B44,AS$4),"")))</f>
        <v>71.900000000000006</v>
      </c>
      <c r="AT44" s="570"/>
      <c r="AW44" s="157">
        <f>CHOOSE($AV$1,0,IF(AW$10=0,0,IF(P44&lt;=$AX$1,1,IF(P44&lt;=#REF!,2,3))),IF(AW$10=0,0,IF(P44&lt;=$AX$1,4,IF(P44&lt;=#REF!,5,6))))</f>
        <v>0</v>
      </c>
      <c r="AX44" s="157">
        <f>CHOOSE($AV$1,0,IF(AX$10=0,0,IF(#REF!&lt;=$AX$1,1,IF(#REF!&lt;=#REF!,2,3))),IF(AX$10=0,0,IF(#REF!&lt;=$AX$1,4,IF(#REF!&lt;=#REF!,5,6))))</f>
        <v>0</v>
      </c>
    </row>
    <row r="45" spans="1:50" ht="25" customHeight="1">
      <c r="A45" s="213"/>
      <c r="B45" s="218">
        <f>tblIndicators!A36</f>
        <v>35</v>
      </c>
      <c r="C45" s="218"/>
      <c r="D45" s="218"/>
      <c r="E45" s="218">
        <f>tblIndicators!B36</f>
        <v>0</v>
      </c>
      <c r="F45" s="218">
        <f>IF(AND(uxb_works!$B$47=2,E45=1),0,iScores!F40)</f>
        <v>3</v>
      </c>
      <c r="G45" s="218"/>
      <c r="H45" s="218" t="str">
        <f>tblIndicators!AC36</f>
        <v>#,##0.0</v>
      </c>
      <c r="I45" s="219"/>
      <c r="J45" s="218"/>
      <c r="K45" s="214">
        <f>IF(L45=0,0,IF(uxb_works!$B$46&gt;=L45,1,0))</f>
        <v>1</v>
      </c>
      <c r="L45" s="216">
        <f>IF(AND(uxb_works!$B$47=2,E45=1),0,tblIndicators!G36)</f>
        <v>3</v>
      </c>
      <c r="M45" s="218"/>
      <c r="N45" s="249" t="str">
        <f>iScores!N40</f>
        <v xml:space="preserve">   2.6.1) E-commerce penetration</v>
      </c>
      <c r="O45" s="407">
        <f>CHOOSE(uxb_works!$B$47,iData!I40,iScores!O40)</f>
        <v>0.56521739130434778</v>
      </c>
      <c r="P45" s="631">
        <f>IF(P$4="","",CHOOSE(uxb_works!$B$47,IF(INDEX(aData,$B45,P$4)="","-",TEXT(INDEX(aData,$B45,P$4),$H45)),IFERROR(INDEX(aScoresRounded,$B45,P$4),"")))</f>
        <v>71.2</v>
      </c>
      <c r="Q45" s="706">
        <f>IF(Q$4="","",CHOOSE(uxb_works!$B$47,IF(INDEX(aData,$B45,Q$4)="","-",TEXT(INDEX(aData,$B45,Q$4),$H45)),IFERROR(INDEX(aScoresRounded,$B45,Q$4),"")))</f>
        <v>34</v>
      </c>
      <c r="R45" s="706">
        <f>IF(R$4="","",CHOOSE(uxb_works!$B$47,IF(INDEX(aData,$B45,R$4)="","-",TEXT(INDEX(aData,$B45,R$4),$H45)),IFERROR(INDEX(aScoresRounded,$B45,R$4),"")))</f>
        <v>58.8</v>
      </c>
      <c r="S45" s="706">
        <f>IF(S$4="","",CHOOSE(uxb_works!$B$47,IF(INDEX(aData,$B45,S$4)="","-",TEXT(INDEX(aData,$B45,S$4),$H45)),IFERROR(INDEX(aScoresRounded,$B45,S$4),"")))</f>
        <v>50.3</v>
      </c>
      <c r="T45" s="706">
        <f>IF(T$4="","",CHOOSE(uxb_works!$B$47,IF(INDEX(aData,$B45,T$4)="","-",TEXT(INDEX(aData,$B45,T$4),$H45)),IFERROR(INDEX(aScoresRounded,$B45,T$4),"")))</f>
        <v>45.1</v>
      </c>
      <c r="U45" s="706">
        <f>IF(U$4="","",CHOOSE(uxb_works!$B$47,IF(INDEX(aData,$B45,U$4)="","-",TEXT(INDEX(aData,$B45,U$4),$H45)),IFERROR(INDEX(aScoresRounded,$B45,U$4),"")))</f>
        <v>51</v>
      </c>
      <c r="V45" s="706">
        <f>IF(V$4="","",CHOOSE(uxb_works!$B$47,IF(INDEX(aData,$B45,V$4)="","-",TEXT(INDEX(aData,$B45,V$4),$H45)),IFERROR(INDEX(aScoresRounded,$B45,V$4),"")))</f>
        <v>40.5</v>
      </c>
      <c r="W45" s="706">
        <f>IF(W$4="","",CHOOSE(uxb_works!$B$47,IF(INDEX(aData,$B45,W$4)="","-",TEXT(INDEX(aData,$B45,W$4),$H45)),IFERROR(INDEX(aScoresRounded,$B45,W$4),"")))</f>
        <v>100</v>
      </c>
      <c r="X45" s="706">
        <f>IF(X$4="","",CHOOSE(uxb_works!$B$47,IF(INDEX(aData,$B45,X$4)="","-",TEXT(INDEX(aData,$B45,X$4),$H45)),IFERROR(INDEX(aScoresRounded,$B45,X$4),"")))</f>
        <v>51.6</v>
      </c>
      <c r="Y45" s="631">
        <f>IF(Y$4="","",CHOOSE(uxb_works!$B$47,IF(INDEX(aData,$B45,Y$4)="","-",TEXT(INDEX(aData,$B45,Y$4),$H45)),IFERROR(INDEX(aScoresRounded,$B45,Y$4),"")))</f>
        <v>22.9</v>
      </c>
      <c r="Z45" s="631">
        <f>IF(Z$4="","",CHOOSE(uxb_works!$B$47,IF(INDEX(aData,$B45,Z$4)="","-",TEXT(INDEX(aData,$B45,Z$4),$H45)),IFERROR(INDEX(aScoresRounded,$B45,Z$4),"")))</f>
        <v>51</v>
      </c>
      <c r="AA45" s="631">
        <f>IF(AA$4="","",CHOOSE(uxb_works!$B$47,IF(INDEX(aData,$B45,AA$4)="","-",TEXT(INDEX(aData,$B45,AA$4),$H45)),IFERROR(INDEX(aScoresRounded,$B45,AA$4),"")))</f>
        <v>46.4</v>
      </c>
      <c r="AB45" s="631">
        <f>IF(AB$4="","",CHOOSE(uxb_works!$B$47,IF(INDEX(aData,$B45,AB$4)="","-",TEXT(INDEX(aData,$B45,AB$4),$H45)),IFERROR(INDEX(aScoresRounded,$B45,AB$4),"")))</f>
        <v>27.5</v>
      </c>
      <c r="AC45" s="631">
        <f>IF(AC$4="","",CHOOSE(uxb_works!$B$47,IF(INDEX(aData,$B45,AC$4)="","-",TEXT(INDEX(aData,$B45,AC$4),$H45)),IFERROR(INDEX(aScoresRounded,$B45,AC$4),"")))</f>
        <v>12.4</v>
      </c>
      <c r="AD45" s="631">
        <f>IF(AD$4="","",CHOOSE(uxb_works!$B$47,IF(INDEX(aData,$B45,AD$4)="","-",TEXT(INDEX(aData,$B45,AD$4),$H45)),IFERROR(INDEX(aScoresRounded,$B45,AD$4),"")))</f>
        <v>95.4</v>
      </c>
      <c r="AE45" s="631">
        <f>IF(AE$4="","",CHOOSE(uxb_works!$B$47,IF(INDEX(aData,$B45,AE$4)="","-",TEXT(INDEX(aData,$B45,AE$4),$H45)),IFERROR(INDEX(aScoresRounded,$B45,AE$4),"")))</f>
        <v>50.3</v>
      </c>
      <c r="AF45" s="631">
        <f>IF(AF$4="","",CHOOSE(uxb_works!$B$47,IF(INDEX(aData,$B45,AF$4)="","-",TEXT(INDEX(aData,$B45,AF$4),$H45)),IFERROR(INDEX(aScoresRounded,$B45,AF$4),"")))</f>
        <v>0</v>
      </c>
      <c r="AG45" s="631">
        <f>IF(AG$4="","",CHOOSE(uxb_works!$B$47,IF(INDEX(aData,$B45,AG$4)="","-",TEXT(INDEX(aData,$B45,AG$4),$H45)),IFERROR(INDEX(aScoresRounded,$B45,AG$4),"")))</f>
        <v>18.3</v>
      </c>
      <c r="AH45" s="631">
        <f>IF(AH$4="","",CHOOSE(uxb_works!$B$47,IF(INDEX(aData,$B45,AH$4)="","-",TEXT(INDEX(aData,$B45,AH$4),$H45)),IFERROR(INDEX(aScoresRounded,$B45,AH$4),"")))</f>
        <v>27.5</v>
      </c>
      <c r="AI45" s="631">
        <f>IF(AI$4="","",CHOOSE(uxb_works!$B$47,IF(INDEX(aData,$B45,AI$4)="","-",TEXT(INDEX(aData,$B45,AI$4),$H45)),IFERROR(INDEX(aScoresRounded,$B45,AI$4),"")))</f>
        <v>51.6</v>
      </c>
      <c r="AJ45" s="631">
        <f>IF(AJ$4="","",CHOOSE(uxb_works!$B$47,IF(INDEX(aData,$B45,AJ$4)="","-",TEXT(INDEX(aData,$B45,AJ$4),$H45)),IFERROR(INDEX(aScoresRounded,$B45,AJ$4),"")))</f>
        <v>61.4</v>
      </c>
      <c r="AK45" s="631">
        <f>IF(AK$4="","",CHOOSE(uxb_works!$B$47,IF(INDEX(aData,$B45,AK$4)="","-",TEXT(INDEX(aData,$B45,AK$4),$H45)),IFERROR(INDEX(aScoresRounded,$B45,AK$4),"")))</f>
        <v>20.9</v>
      </c>
      <c r="AL45" s="631">
        <f>IF(AL$4="","",CHOOSE(uxb_works!$B$47,IF(INDEX(aData,$B45,AL$4)="","-",TEXT(INDEX(aData,$B45,AL$4),$H45)),IFERROR(INDEX(aScoresRounded,$B45,AL$4),"")))</f>
        <v>12.4</v>
      </c>
      <c r="AM45" s="631">
        <f>IF(AM$4="","",CHOOSE(uxb_works!$B$47,IF(INDEX(aData,$B45,AM$4)="","-",TEXT(INDEX(aData,$B45,AM$4),$H45)),IFERROR(INDEX(aScoresRounded,$B45,AM$4),"")))</f>
        <v>32.700000000000003</v>
      </c>
      <c r="AN45" s="631">
        <f>IF(AN$4="","",CHOOSE(uxb_works!$B$47,IF(INDEX(aData,$B45,AN$4)="","-",TEXT(INDEX(aData,$B45,AN$4),$H45)),IFERROR(INDEX(aScoresRounded,$B45,AN$4),"")))</f>
        <v>18.3</v>
      </c>
      <c r="AO45" s="631">
        <f>IF(AO$4="","",CHOOSE(uxb_works!$B$47,IF(INDEX(aData,$B45,AO$4)="","-",TEXT(INDEX(aData,$B45,AO$4),$H45)),IFERROR(INDEX(aScoresRounded,$B45,AO$4),"")))</f>
        <v>20.3</v>
      </c>
      <c r="AP45" s="631">
        <f>IF(AP$4="","",CHOOSE(uxb_works!$B$47,IF(INDEX(aData,$B45,AP$4)="","-",TEXT(INDEX(aData,$B45,AP$4),$H45)),IFERROR(INDEX(aScoresRounded,$B45,AP$4),"")))</f>
        <v>43.1</v>
      </c>
      <c r="AQ45" s="631">
        <f>IF(AQ$4="","",CHOOSE(uxb_works!$B$47,IF(INDEX(aData,$B45,AQ$4)="","-",TEXT(INDEX(aData,$B45,AQ$4),$H45)),IFERROR(INDEX(aScoresRounded,$B45,AQ$4),"")))</f>
        <v>42.5</v>
      </c>
      <c r="AR45" s="631">
        <f>IF(AR$4="","",CHOOSE(uxb_works!$B$47,IF(INDEX(aData,$B45,AR$4)="","-",TEXT(INDEX(aData,$B45,AR$4),$H45)),IFERROR(INDEX(aScoresRounded,$B45,AR$4),"")))</f>
        <v>51.6</v>
      </c>
      <c r="AS45" s="631">
        <f>IF(AS$4="","",CHOOSE(uxb_works!$B$47,IF(INDEX(aData,$B45,AS$4)="","-",TEXT(INDEX(aData,$B45,AS$4),$H45)),IFERROR(INDEX(aScoresRounded,$B45,AS$4),"")))</f>
        <v>50.3</v>
      </c>
      <c r="AT45" s="570"/>
      <c r="AW45" s="157">
        <f>CHOOSE($AV$1,0,IF(AW$10=0,0,IF(P45&lt;=$AX$1,1,IF(P45&lt;=#REF!,2,3))),IF(AW$10=0,0,IF(P45&lt;=$AX$1,4,IF(P45&lt;=#REF!,5,6))))</f>
        <v>0</v>
      </c>
      <c r="AX45" s="157">
        <f>CHOOSE($AV$1,0,IF(AX$10=0,0,IF(#REF!&lt;=$AX$1,1,IF(#REF!&lt;=#REF!,2,3))),IF(AX$10=0,0,IF(#REF!&lt;=$AX$1,4,IF(#REF!&lt;=#REF!,5,6))))</f>
        <v>0</v>
      </c>
    </row>
    <row r="46" spans="1:50" ht="25" customHeight="1">
      <c r="A46" s="213"/>
      <c r="B46" s="218">
        <f>tblIndicators!A37</f>
        <v>36</v>
      </c>
      <c r="C46" s="218"/>
      <c r="D46" s="218"/>
      <c r="E46" s="218">
        <f>tblIndicators!B37</f>
        <v>0</v>
      </c>
      <c r="F46" s="218">
        <f>IF(AND(uxb_works!$B$47=2,E46=1),0,iScores!F41)</f>
        <v>3</v>
      </c>
      <c r="G46" s="218"/>
      <c r="H46" s="218" t="str">
        <f>tblIndicators!AC37</f>
        <v>#,##0</v>
      </c>
      <c r="I46" s="219"/>
      <c r="J46" s="218"/>
      <c r="K46" s="214">
        <f>IF(L46=0,0,IF(uxb_works!$B$46&gt;=L46,1,0))</f>
        <v>1</v>
      </c>
      <c r="L46" s="216">
        <f>IF(AND(uxb_works!$B$47=2,E46=1),0,tblIndicators!G37)</f>
        <v>3</v>
      </c>
      <c r="M46" s="218"/>
      <c r="N46" s="249" t="str">
        <f>iScores!N41</f>
        <v xml:space="preserve">   2.6.2) Digital tourist passes</v>
      </c>
      <c r="O46" s="407">
        <f>CHOOSE(uxb_works!$B$47,iData!I41,iScores!O41)</f>
        <v>0.43478260869565222</v>
      </c>
      <c r="P46" s="631">
        <f>IF(P$4="","",CHOOSE(uxb_works!$B$47,IF(INDEX(aData,$B46,P$4)="","-",TEXT(INDEX(aData,$B46,P$4),$H46)),IFERROR(INDEX(aScoresRounded,$B46,P$4),"")))</f>
        <v>0</v>
      </c>
      <c r="Q46" s="706">
        <f>IF(Q$4="","",CHOOSE(uxb_works!$B$47,IF(INDEX(aData,$B46,Q$4)="","-",TEXT(INDEX(aData,$B46,Q$4),$H46)),IFERROR(INDEX(aScoresRounded,$B46,Q$4),"")))</f>
        <v>0</v>
      </c>
      <c r="R46" s="706">
        <f>IF(R$4="","",CHOOSE(uxb_works!$B$47,IF(INDEX(aData,$B46,R$4)="","-",TEXT(INDEX(aData,$B46,R$4),$H46)),IFERROR(INDEX(aScoresRounded,$B46,R$4),"")))</f>
        <v>100</v>
      </c>
      <c r="S46" s="706">
        <f>IF(S$4="","",CHOOSE(uxb_works!$B$47,IF(INDEX(aData,$B46,S$4)="","-",TEXT(INDEX(aData,$B46,S$4),$H46)),IFERROR(INDEX(aScoresRounded,$B46,S$4),"")))</f>
        <v>0</v>
      </c>
      <c r="T46" s="706">
        <f>IF(T$4="","",CHOOSE(uxb_works!$B$47,IF(INDEX(aData,$B46,T$4)="","-",TEXT(INDEX(aData,$B46,T$4),$H46)),IFERROR(INDEX(aScoresRounded,$B46,T$4),"")))</f>
        <v>0</v>
      </c>
      <c r="U46" s="706">
        <f>IF(U$4="","",CHOOSE(uxb_works!$B$47,IF(INDEX(aData,$B46,U$4)="","-",TEXT(INDEX(aData,$B46,U$4),$H46)),IFERROR(INDEX(aScoresRounded,$B46,U$4),"")))</f>
        <v>100</v>
      </c>
      <c r="V46" s="706">
        <f>IF(V$4="","",CHOOSE(uxb_works!$B$47,IF(INDEX(aData,$B46,V$4)="","-",TEXT(INDEX(aData,$B46,V$4),$H46)),IFERROR(INDEX(aScoresRounded,$B46,V$4),"")))</f>
        <v>0</v>
      </c>
      <c r="W46" s="706">
        <f>IF(W$4="","",CHOOSE(uxb_works!$B$47,IF(INDEX(aData,$B46,W$4)="","-",TEXT(INDEX(aData,$B46,W$4),$H46)),IFERROR(INDEX(aScoresRounded,$B46,W$4),"")))</f>
        <v>100</v>
      </c>
      <c r="X46" s="706">
        <f>IF(X$4="","",CHOOSE(uxb_works!$B$47,IF(INDEX(aData,$B46,X$4)="","-",TEXT(INDEX(aData,$B46,X$4),$H46)),IFERROR(INDEX(aScoresRounded,$B46,X$4),"")))</f>
        <v>0</v>
      </c>
      <c r="Y46" s="631">
        <f>IF(Y$4="","",CHOOSE(uxb_works!$B$47,IF(INDEX(aData,$B46,Y$4)="","-",TEXT(INDEX(aData,$B46,Y$4),$H46)),IFERROR(INDEX(aScoresRounded,$B46,Y$4),"")))</f>
        <v>100</v>
      </c>
      <c r="Z46" s="631">
        <f>IF(Z$4="","",CHOOSE(uxb_works!$B$47,IF(INDEX(aData,$B46,Z$4)="","-",TEXT(INDEX(aData,$B46,Z$4),$H46)),IFERROR(INDEX(aScoresRounded,$B46,Z$4),"")))</f>
        <v>0</v>
      </c>
      <c r="AA46" s="631">
        <f>IF(AA$4="","",CHOOSE(uxb_works!$B$47,IF(INDEX(aData,$B46,AA$4)="","-",TEXT(INDEX(aData,$B46,AA$4),$H46)),IFERROR(INDEX(aScoresRounded,$B46,AA$4),"")))</f>
        <v>0</v>
      </c>
      <c r="AB46" s="631">
        <f>IF(AB$4="","",CHOOSE(uxb_works!$B$47,IF(INDEX(aData,$B46,AB$4)="","-",TEXT(INDEX(aData,$B46,AB$4),$H46)),IFERROR(INDEX(aScoresRounded,$B46,AB$4),"")))</f>
        <v>0</v>
      </c>
      <c r="AC46" s="631">
        <f>IF(AC$4="","",CHOOSE(uxb_works!$B$47,IF(INDEX(aData,$B46,AC$4)="","-",TEXT(INDEX(aData,$B46,AC$4),$H46)),IFERROR(INDEX(aScoresRounded,$B46,AC$4),"")))</f>
        <v>0</v>
      </c>
      <c r="AD46" s="631">
        <f>IF(AD$4="","",CHOOSE(uxb_works!$B$47,IF(INDEX(aData,$B46,AD$4)="","-",TEXT(INDEX(aData,$B46,AD$4),$H46)),IFERROR(INDEX(aScoresRounded,$B46,AD$4),"")))</f>
        <v>0</v>
      </c>
      <c r="AE46" s="631">
        <f>IF(AE$4="","",CHOOSE(uxb_works!$B$47,IF(INDEX(aData,$B46,AE$4)="","-",TEXT(INDEX(aData,$B46,AE$4),$H46)),IFERROR(INDEX(aScoresRounded,$B46,AE$4),"")))</f>
        <v>0</v>
      </c>
      <c r="AF46" s="631">
        <f>IF(AF$4="","",CHOOSE(uxb_works!$B$47,IF(INDEX(aData,$B46,AF$4)="","-",TEXT(INDEX(aData,$B46,AF$4),$H46)),IFERROR(INDEX(aScoresRounded,$B46,AF$4),"")))</f>
        <v>0</v>
      </c>
      <c r="AG46" s="631">
        <f>IF(AG$4="","",CHOOSE(uxb_works!$B$47,IF(INDEX(aData,$B46,AG$4)="","-",TEXT(INDEX(aData,$B46,AG$4),$H46)),IFERROR(INDEX(aScoresRounded,$B46,AG$4),"")))</f>
        <v>0</v>
      </c>
      <c r="AH46" s="631">
        <f>IF(AH$4="","",CHOOSE(uxb_works!$B$47,IF(INDEX(aData,$B46,AH$4)="","-",TEXT(INDEX(aData,$B46,AH$4),$H46)),IFERROR(INDEX(aScoresRounded,$B46,AH$4),"")))</f>
        <v>0</v>
      </c>
      <c r="AI46" s="631">
        <f>IF(AI$4="","",CHOOSE(uxb_works!$B$47,IF(INDEX(aData,$B46,AI$4)="","-",TEXT(INDEX(aData,$B46,AI$4),$H46)),IFERROR(INDEX(aScoresRounded,$B46,AI$4),"")))</f>
        <v>0</v>
      </c>
      <c r="AJ46" s="631">
        <f>IF(AJ$4="","",CHOOSE(uxb_works!$B$47,IF(INDEX(aData,$B46,AJ$4)="","-",TEXT(INDEX(aData,$B46,AJ$4),$H46)),IFERROR(INDEX(aScoresRounded,$B46,AJ$4),"")))</f>
        <v>100</v>
      </c>
      <c r="AK46" s="631">
        <f>IF(AK$4="","",CHOOSE(uxb_works!$B$47,IF(INDEX(aData,$B46,AK$4)="","-",TEXT(INDEX(aData,$B46,AK$4),$H46)),IFERROR(INDEX(aScoresRounded,$B46,AK$4),"")))</f>
        <v>0</v>
      </c>
      <c r="AL46" s="631">
        <f>IF(AL$4="","",CHOOSE(uxb_works!$B$47,IF(INDEX(aData,$B46,AL$4)="","-",TEXT(INDEX(aData,$B46,AL$4),$H46)),IFERROR(INDEX(aScoresRounded,$B46,AL$4),"")))</f>
        <v>0</v>
      </c>
      <c r="AM46" s="631">
        <f>IF(AM$4="","",CHOOSE(uxb_works!$B$47,IF(INDEX(aData,$B46,AM$4)="","-",TEXT(INDEX(aData,$B46,AM$4),$H46)),IFERROR(INDEX(aScoresRounded,$B46,AM$4),"")))</f>
        <v>100</v>
      </c>
      <c r="AN46" s="631">
        <f>IF(AN$4="","",CHOOSE(uxb_works!$B$47,IF(INDEX(aData,$B46,AN$4)="","-",TEXT(INDEX(aData,$B46,AN$4),$H46)),IFERROR(INDEX(aScoresRounded,$B46,AN$4),"")))</f>
        <v>0</v>
      </c>
      <c r="AO46" s="631">
        <f>IF(AO$4="","",CHOOSE(uxb_works!$B$47,IF(INDEX(aData,$B46,AO$4)="","-",TEXT(INDEX(aData,$B46,AO$4),$H46)),IFERROR(INDEX(aScoresRounded,$B46,AO$4),"")))</f>
        <v>0</v>
      </c>
      <c r="AP46" s="631">
        <f>IF(AP$4="","",CHOOSE(uxb_works!$B$47,IF(INDEX(aData,$B46,AP$4)="","-",TEXT(INDEX(aData,$B46,AP$4),$H46)),IFERROR(INDEX(aScoresRounded,$B46,AP$4),"")))</f>
        <v>0</v>
      </c>
      <c r="AQ46" s="631">
        <f>IF(AQ$4="","",CHOOSE(uxb_works!$B$47,IF(INDEX(aData,$B46,AQ$4)="","-",TEXT(INDEX(aData,$B46,AQ$4),$H46)),IFERROR(INDEX(aScoresRounded,$B46,AQ$4),"")))</f>
        <v>0</v>
      </c>
      <c r="AR46" s="631">
        <f>IF(AR$4="","",CHOOSE(uxb_works!$B$47,IF(INDEX(aData,$B46,AR$4)="","-",TEXT(INDEX(aData,$B46,AR$4),$H46)),IFERROR(INDEX(aScoresRounded,$B46,AR$4),"")))</f>
        <v>0</v>
      </c>
      <c r="AS46" s="631">
        <f>IF(AS$4="","",CHOOSE(uxb_works!$B$47,IF(INDEX(aData,$B46,AS$4)="","-",TEXT(INDEX(aData,$B46,AS$4),$H46)),IFERROR(INDEX(aScoresRounded,$B46,AS$4),"")))</f>
        <v>100</v>
      </c>
      <c r="AT46" s="570"/>
      <c r="AW46" s="157">
        <f>CHOOSE($AV$1,0,IF(AW$10=0,0,IF(P46&lt;=$AX$1,1,IF(P46&lt;=#REF!,2,3))),IF(AW$10=0,0,IF(P46&lt;=$AX$1,4,IF(P46&lt;=#REF!,5,6))))</f>
        <v>0</v>
      </c>
      <c r="AX46" s="157">
        <f>CHOOSE($AV$1,0,IF(AX$10=0,0,IF(#REF!&lt;=$AX$1,1,IF(#REF!&lt;=#REF!,2,3))),IF(AX$10=0,0,IF(#REF!&lt;=$AX$1,4,IF(#REF!&lt;=#REF!,5,6))))</f>
        <v>0</v>
      </c>
    </row>
    <row r="47" spans="1:50" ht="25" customHeight="1">
      <c r="A47" s="213"/>
      <c r="B47" s="218">
        <f>tblIndicators!A38</f>
        <v>37</v>
      </c>
      <c r="C47" s="218"/>
      <c r="D47" s="218"/>
      <c r="E47" s="218">
        <f>tblIndicators!B38</f>
        <v>0</v>
      </c>
      <c r="F47" s="218">
        <f>IF(AND(uxb_works!$B$47=2,E47=1),0,iScores!F42)</f>
        <v>1</v>
      </c>
      <c r="G47" s="218"/>
      <c r="H47" s="218" t="str">
        <f>tblIndicators!AC38</f>
        <v>#,##0.0</v>
      </c>
      <c r="I47" s="219"/>
      <c r="J47" s="218"/>
      <c r="K47" s="214">
        <f>IF(L47=0,0,IF(uxb_works!$B$46&gt;=L47,1,0))</f>
        <v>1</v>
      </c>
      <c r="L47" s="216">
        <f>IF(AND(uxb_works!$B$47=2,E47=1),0,tblIndicators!G38)</f>
        <v>1</v>
      </c>
      <c r="M47" s="218"/>
      <c r="N47" s="249" t="str">
        <f>iScores!N42</f>
        <v xml:space="preserve"> 3) CULTURE</v>
      </c>
      <c r="O47" s="407">
        <f>CHOOSE(uxb_works!$B$47,iData!I42,iScores!O42)</f>
        <v>0.21</v>
      </c>
      <c r="P47" s="631">
        <f>IF(P$4="","",CHOOSE(uxb_works!$B$47,IF(INDEX(aData,$B47,P$4)="","-",TEXT(INDEX(aData,$B47,P$4),$H47)),IFERROR(INDEX(aScoresRounded,$B47,P$4),"")))</f>
        <v>62.1</v>
      </c>
      <c r="Q47" s="706">
        <f>IF(Q$4="","",CHOOSE(uxb_works!$B$47,IF(INDEX(aData,$B47,Q$4)="","-",TEXT(INDEX(aData,$B47,Q$4),$H47)),IFERROR(INDEX(aScoresRounded,$B47,Q$4),"")))</f>
        <v>67</v>
      </c>
      <c r="R47" s="706">
        <f>IF(R$4="","",CHOOSE(uxb_works!$B$47,IF(INDEX(aData,$B47,R$4)="","-",TEXT(INDEX(aData,$B47,R$4),$H47)),IFERROR(INDEX(aScoresRounded,$B47,R$4),"")))</f>
        <v>43.4</v>
      </c>
      <c r="S47" s="706">
        <f>IF(S$4="","",CHOOSE(uxb_works!$B$47,IF(INDEX(aData,$B47,S$4)="","-",TEXT(INDEX(aData,$B47,S$4),$H47)),IFERROR(INDEX(aScoresRounded,$B47,S$4),"")))</f>
        <v>60.6</v>
      </c>
      <c r="T47" s="706">
        <f>IF(T$4="","",CHOOSE(uxb_works!$B$47,IF(INDEX(aData,$B47,T$4)="","-",TEXT(INDEX(aData,$B47,T$4),$H47)),IFERROR(INDEX(aScoresRounded,$B47,T$4),"")))</f>
        <v>57.9</v>
      </c>
      <c r="U47" s="706">
        <f>IF(U$4="","",CHOOSE(uxb_works!$B$47,IF(INDEX(aData,$B47,U$4)="","-",TEXT(INDEX(aData,$B47,U$4),$H47)),IFERROR(INDEX(aScoresRounded,$B47,U$4),"")))</f>
        <v>62.7</v>
      </c>
      <c r="V47" s="706">
        <f>IF(V$4="","",CHOOSE(uxb_works!$B$47,IF(INDEX(aData,$B47,V$4)="","-",TEXT(INDEX(aData,$B47,V$4),$H47)),IFERROR(INDEX(aScoresRounded,$B47,V$4),"")))</f>
        <v>48.7</v>
      </c>
      <c r="W47" s="706">
        <f>IF(W$4="","",CHOOSE(uxb_works!$B$47,IF(INDEX(aData,$B47,W$4)="","-",TEXT(INDEX(aData,$B47,W$4),$H47)),IFERROR(INDEX(aScoresRounded,$B47,W$4),"")))</f>
        <v>67.900000000000006</v>
      </c>
      <c r="X47" s="706">
        <f>IF(X$4="","",CHOOSE(uxb_works!$B$47,IF(INDEX(aData,$B47,X$4)="","-",TEXT(INDEX(aData,$B47,X$4),$H47)),IFERROR(INDEX(aScoresRounded,$B47,X$4),"")))</f>
        <v>67.5</v>
      </c>
      <c r="Y47" s="631">
        <f>IF(Y$4="","",CHOOSE(uxb_works!$B$47,IF(INDEX(aData,$B47,Y$4)="","-",TEXT(INDEX(aData,$B47,Y$4),$H47)),IFERROR(INDEX(aScoresRounded,$B47,Y$4),"")))</f>
        <v>65.2</v>
      </c>
      <c r="Z47" s="631">
        <f>IF(Z$4="","",CHOOSE(uxb_works!$B$47,IF(INDEX(aData,$B47,Z$4)="","-",TEXT(INDEX(aData,$B47,Z$4),$H47)),IFERROR(INDEX(aScoresRounded,$B47,Z$4),"")))</f>
        <v>62.7</v>
      </c>
      <c r="AA47" s="631">
        <f>IF(AA$4="","",CHOOSE(uxb_works!$B$47,IF(INDEX(aData,$B47,AA$4)="","-",TEXT(INDEX(aData,$B47,AA$4),$H47)),IFERROR(INDEX(aScoresRounded,$B47,AA$4),"")))</f>
        <v>48.3</v>
      </c>
      <c r="AB47" s="631">
        <f>IF(AB$4="","",CHOOSE(uxb_works!$B$47,IF(INDEX(aData,$B47,AB$4)="","-",TEXT(INDEX(aData,$B47,AB$4),$H47)),IFERROR(INDEX(aScoresRounded,$B47,AB$4),"")))</f>
        <v>47.2</v>
      </c>
      <c r="AC47" s="631">
        <f>IF(AC$4="","",CHOOSE(uxb_works!$B$47,IF(INDEX(aData,$B47,AC$4)="","-",TEXT(INDEX(aData,$B47,AC$4),$H47)),IFERROR(INDEX(aScoresRounded,$B47,AC$4),"")))</f>
        <v>56.9</v>
      </c>
      <c r="AD47" s="631">
        <f>IF(AD$4="","",CHOOSE(uxb_works!$B$47,IF(INDEX(aData,$B47,AD$4)="","-",TEXT(INDEX(aData,$B47,AD$4),$H47)),IFERROR(INDEX(aScoresRounded,$B47,AD$4),"")))</f>
        <v>65.400000000000006</v>
      </c>
      <c r="AE47" s="631">
        <f>IF(AE$4="","",CHOOSE(uxb_works!$B$47,IF(INDEX(aData,$B47,AE$4)="","-",TEXT(INDEX(aData,$B47,AE$4),$H47)),IFERROR(INDEX(aScoresRounded,$B47,AE$4),"")))</f>
        <v>56.9</v>
      </c>
      <c r="AF47" s="631">
        <f>IF(AF$4="","",CHOOSE(uxb_works!$B$47,IF(INDEX(aData,$B47,AF$4)="","-",TEXT(INDEX(aData,$B47,AF$4),$H47)),IFERROR(INDEX(aScoresRounded,$B47,AF$4),"")))</f>
        <v>46.8</v>
      </c>
      <c r="AG47" s="631">
        <f>IF(AG$4="","",CHOOSE(uxb_works!$B$47,IF(INDEX(aData,$B47,AG$4)="","-",TEXT(INDEX(aData,$B47,AG$4),$H47)),IFERROR(INDEX(aScoresRounded,$B47,AG$4),"")))</f>
        <v>48.3</v>
      </c>
      <c r="AH47" s="631">
        <f>IF(AH$4="","",CHOOSE(uxb_works!$B$47,IF(INDEX(aData,$B47,AH$4)="","-",TEXT(INDEX(aData,$B47,AH$4),$H47)),IFERROR(INDEX(aScoresRounded,$B47,AH$4),"")))</f>
        <v>46.1</v>
      </c>
      <c r="AI47" s="631">
        <f>IF(AI$4="","",CHOOSE(uxb_works!$B$47,IF(INDEX(aData,$B47,AI$4)="","-",TEXT(INDEX(aData,$B47,AI$4),$H47)),IFERROR(INDEX(aScoresRounded,$B47,AI$4),"")))</f>
        <v>73.599999999999994</v>
      </c>
      <c r="AJ47" s="631">
        <f>IF(AJ$4="","",CHOOSE(uxb_works!$B$47,IF(INDEX(aData,$B47,AJ$4)="","-",TEXT(INDEX(aData,$B47,AJ$4),$H47)),IFERROR(INDEX(aScoresRounded,$B47,AJ$4),"")))</f>
        <v>64.099999999999994</v>
      </c>
      <c r="AK47" s="631">
        <f>IF(AK$4="","",CHOOSE(uxb_works!$B$47,IF(INDEX(aData,$B47,AK$4)="","-",TEXT(INDEX(aData,$B47,AK$4),$H47)),IFERROR(INDEX(aScoresRounded,$B47,AK$4),"")))</f>
        <v>50</v>
      </c>
      <c r="AL47" s="631">
        <f>IF(AL$4="","",CHOOSE(uxb_works!$B$47,IF(INDEX(aData,$B47,AL$4)="","-",TEXT(INDEX(aData,$B47,AL$4),$H47)),IFERROR(INDEX(aScoresRounded,$B47,AL$4),"")))</f>
        <v>57</v>
      </c>
      <c r="AM47" s="631">
        <f>IF(AM$4="","",CHOOSE(uxb_works!$B$47,IF(INDEX(aData,$B47,AM$4)="","-",TEXT(INDEX(aData,$B47,AM$4),$H47)),IFERROR(INDEX(aScoresRounded,$B47,AM$4),"")))</f>
        <v>67.5</v>
      </c>
      <c r="AN47" s="631">
        <f>IF(AN$4="","",CHOOSE(uxb_works!$B$47,IF(INDEX(aData,$B47,AN$4)="","-",TEXT(INDEX(aData,$B47,AN$4),$H47)),IFERROR(INDEX(aScoresRounded,$B47,AN$4),"")))</f>
        <v>63.7</v>
      </c>
      <c r="AO47" s="631">
        <f>IF(AO$4="","",CHOOSE(uxb_works!$B$47,IF(INDEX(aData,$B47,AO$4)="","-",TEXT(INDEX(aData,$B47,AO$4),$H47)),IFERROR(INDEX(aScoresRounded,$B47,AO$4),"")))</f>
        <v>61.4</v>
      </c>
      <c r="AP47" s="631">
        <f>IF(AP$4="","",CHOOSE(uxb_works!$B$47,IF(INDEX(aData,$B47,AP$4)="","-",TEXT(INDEX(aData,$B47,AP$4),$H47)),IFERROR(INDEX(aScoresRounded,$B47,AP$4),"")))</f>
        <v>55.5</v>
      </c>
      <c r="AQ47" s="631">
        <f>IF(AQ$4="","",CHOOSE(uxb_works!$B$47,IF(INDEX(aData,$B47,AQ$4)="","-",TEXT(INDEX(aData,$B47,AQ$4),$H47)),IFERROR(INDEX(aScoresRounded,$B47,AQ$4),"")))</f>
        <v>68.400000000000006</v>
      </c>
      <c r="AR47" s="631">
        <f>IF(AR$4="","",CHOOSE(uxb_works!$B$47,IF(INDEX(aData,$B47,AR$4)="","-",TEXT(INDEX(aData,$B47,AR$4),$H47)),IFERROR(INDEX(aScoresRounded,$B47,AR$4),"")))</f>
        <v>69.2</v>
      </c>
      <c r="AS47" s="631">
        <f>IF(AS$4="","",CHOOSE(uxb_works!$B$47,IF(INDEX(aData,$B47,AS$4)="","-",TEXT(INDEX(aData,$B47,AS$4),$H47)),IFERROR(INDEX(aScoresRounded,$B47,AS$4),"")))</f>
        <v>64</v>
      </c>
      <c r="AT47" s="570"/>
      <c r="AW47" s="157">
        <f>CHOOSE($AV$1,0,IF(AW$10=0,0,IF(P47&lt;=$AX$1,1,IF(P47&lt;=#REF!,2,3))),IF(AW$10=0,0,IF(P47&lt;=$AX$1,4,IF(P47&lt;=#REF!,5,6))))</f>
        <v>0</v>
      </c>
      <c r="AX47" s="157">
        <f>CHOOSE($AV$1,0,IF(AX$10=0,0,IF(#REF!&lt;=$AX$1,1,IF(#REF!&lt;=#REF!,2,3))),IF(AX$10=0,0,IF(#REF!&lt;=$AX$1,4,IF(#REF!&lt;=#REF!,5,6))))</f>
        <v>0</v>
      </c>
    </row>
    <row r="48" spans="1:50" ht="25" customHeight="1">
      <c r="A48" s="213"/>
      <c r="B48" s="218">
        <f>tblIndicators!A39</f>
        <v>38</v>
      </c>
      <c r="C48" s="218"/>
      <c r="D48" s="218"/>
      <c r="E48" s="218">
        <f>tblIndicators!B39</f>
        <v>0</v>
      </c>
      <c r="F48" s="218">
        <f>IF(AND(uxb_works!$B$47=2,E48=1),0,iScores!F43)</f>
        <v>2</v>
      </c>
      <c r="G48" s="218"/>
      <c r="H48" s="218" t="str">
        <f>tblIndicators!AC39</f>
        <v>#,##0.0</v>
      </c>
      <c r="I48" s="219"/>
      <c r="J48" s="218"/>
      <c r="K48" s="214">
        <f>IF(L48=0,0,IF(uxb_works!$B$46&gt;=L48,1,0))</f>
        <v>1</v>
      </c>
      <c r="L48" s="216">
        <f>IF(AND(uxb_works!$B$47=2,E48=1),0,tblIndicators!G39)</f>
        <v>2</v>
      </c>
      <c r="M48" s="218"/>
      <c r="N48" s="249" t="str">
        <f>iScores!N43</f>
        <v xml:space="preserve">  3.1) Digital inclusion</v>
      </c>
      <c r="O48" s="407">
        <f>CHOOSE(uxb_works!$B$47,iData!I43,iScores!O43)</f>
        <v>0.1875</v>
      </c>
      <c r="P48" s="631">
        <f>IF(P$4="","",CHOOSE(uxb_works!$B$47,IF(INDEX(aData,$B48,P$4)="","-",TEXT(INDEX(aData,$B48,P$4),$H48)),IFERROR(INDEX(aScoresRounded,$B48,P$4),"")))</f>
        <v>65.8</v>
      </c>
      <c r="Q48" s="706">
        <f>IF(Q$4="","",CHOOSE(uxb_works!$B$47,IF(INDEX(aData,$B48,Q$4)="","-",TEXT(INDEX(aData,$B48,Q$4),$H48)),IFERROR(INDEX(aScoresRounded,$B48,Q$4),"")))</f>
        <v>69.400000000000006</v>
      </c>
      <c r="R48" s="706">
        <f>IF(R$4="","",CHOOSE(uxb_works!$B$47,IF(INDEX(aData,$B48,R$4)="","-",TEXT(INDEX(aData,$B48,R$4),$H48)),IFERROR(INDEX(aScoresRounded,$B48,R$4),"")))</f>
        <v>77.8</v>
      </c>
      <c r="S48" s="706">
        <f>IF(S$4="","",CHOOSE(uxb_works!$B$47,IF(INDEX(aData,$B48,S$4)="","-",TEXT(INDEX(aData,$B48,S$4),$H48)),IFERROR(INDEX(aScoresRounded,$B48,S$4),"")))</f>
        <v>74</v>
      </c>
      <c r="T48" s="706">
        <f>IF(T$4="","",CHOOSE(uxb_works!$B$47,IF(INDEX(aData,$B48,T$4)="","-",TEXT(INDEX(aData,$B48,T$4),$H48)),IFERROR(INDEX(aScoresRounded,$B48,T$4),"")))</f>
        <v>70.2</v>
      </c>
      <c r="U48" s="706">
        <f>IF(U$4="","",CHOOSE(uxb_works!$B$47,IF(INDEX(aData,$B48,U$4)="","-",TEXT(INDEX(aData,$B48,U$4),$H48)),IFERROR(INDEX(aScoresRounded,$B48,U$4),"")))</f>
        <v>62.2</v>
      </c>
      <c r="V48" s="706">
        <f>IF(V$4="","",CHOOSE(uxb_works!$B$47,IF(INDEX(aData,$B48,V$4)="","-",TEXT(INDEX(aData,$B48,V$4),$H48)),IFERROR(INDEX(aScoresRounded,$B48,V$4),"")))</f>
        <v>73.099999999999994</v>
      </c>
      <c r="W48" s="706">
        <f>IF(W$4="","",CHOOSE(uxb_works!$B$47,IF(INDEX(aData,$B48,W$4)="","-",TEXT(INDEX(aData,$B48,W$4),$H48)),IFERROR(INDEX(aScoresRounded,$B48,W$4),"")))</f>
        <v>76.400000000000006</v>
      </c>
      <c r="X48" s="706">
        <f>IF(X$4="","",CHOOSE(uxb_works!$B$47,IF(INDEX(aData,$B48,X$4)="","-",TEXT(INDEX(aData,$B48,X$4),$H48)),IFERROR(INDEX(aScoresRounded,$B48,X$4),"")))</f>
        <v>78</v>
      </c>
      <c r="Y48" s="631">
        <f>IF(Y$4="","",CHOOSE(uxb_works!$B$47,IF(INDEX(aData,$B48,Y$4)="","-",TEXT(INDEX(aData,$B48,Y$4),$H48)),IFERROR(INDEX(aScoresRounded,$B48,Y$4),"")))</f>
        <v>94.3</v>
      </c>
      <c r="Z48" s="631">
        <f>IF(Z$4="","",CHOOSE(uxb_works!$B$47,IF(INDEX(aData,$B48,Z$4)="","-",TEXT(INDEX(aData,$B48,Z$4),$H48)),IFERROR(INDEX(aScoresRounded,$B48,Z$4),"")))</f>
        <v>63.7</v>
      </c>
      <c r="AA48" s="631">
        <f>IF(AA$4="","",CHOOSE(uxb_works!$B$47,IF(INDEX(aData,$B48,AA$4)="","-",TEXT(INDEX(aData,$B48,AA$4),$H48)),IFERROR(INDEX(aScoresRounded,$B48,AA$4),"")))</f>
        <v>67.599999999999994</v>
      </c>
      <c r="AB48" s="631">
        <f>IF(AB$4="","",CHOOSE(uxb_works!$B$47,IF(INDEX(aData,$B48,AB$4)="","-",TEXT(INDEX(aData,$B48,AB$4),$H48)),IFERROR(INDEX(aScoresRounded,$B48,AB$4),"")))</f>
        <v>75.900000000000006</v>
      </c>
      <c r="AC48" s="631">
        <f>IF(AC$4="","",CHOOSE(uxb_works!$B$47,IF(INDEX(aData,$B48,AC$4)="","-",TEXT(INDEX(aData,$B48,AC$4),$H48)),IFERROR(INDEX(aScoresRounded,$B48,AC$4),"")))</f>
        <v>73.8</v>
      </c>
      <c r="AD48" s="631">
        <f>IF(AD$4="","",CHOOSE(uxb_works!$B$47,IF(INDEX(aData,$B48,AD$4)="","-",TEXT(INDEX(aData,$B48,AD$4),$H48)),IFERROR(INDEX(aScoresRounded,$B48,AD$4),"")))</f>
        <v>67.5</v>
      </c>
      <c r="AE48" s="631">
        <f>IF(AE$4="","",CHOOSE(uxb_works!$B$47,IF(INDEX(aData,$B48,AE$4)="","-",TEXT(INDEX(aData,$B48,AE$4),$H48)),IFERROR(INDEX(aScoresRounded,$B48,AE$4),"")))</f>
        <v>78.099999999999994</v>
      </c>
      <c r="AF48" s="631">
        <f>IF(AF$4="","",CHOOSE(uxb_works!$B$47,IF(INDEX(aData,$B48,AF$4)="","-",TEXT(INDEX(aData,$B48,AF$4),$H48)),IFERROR(INDEX(aScoresRounded,$B48,AF$4),"")))</f>
        <v>73.599999999999994</v>
      </c>
      <c r="AG48" s="631">
        <f>IF(AG$4="","",CHOOSE(uxb_works!$B$47,IF(INDEX(aData,$B48,AG$4)="","-",TEXT(INDEX(aData,$B48,AG$4),$H48)),IFERROR(INDEX(aScoresRounded,$B48,AG$4),"")))</f>
        <v>74.8</v>
      </c>
      <c r="AH48" s="631">
        <f>IF(AH$4="","",CHOOSE(uxb_works!$B$47,IF(INDEX(aData,$B48,AH$4)="","-",TEXT(INDEX(aData,$B48,AH$4),$H48)),IFERROR(INDEX(aScoresRounded,$B48,AH$4),"")))</f>
        <v>31.6</v>
      </c>
      <c r="AI48" s="631">
        <f>IF(AI$4="","",CHOOSE(uxb_works!$B$47,IF(INDEX(aData,$B48,AI$4)="","-",TEXT(INDEX(aData,$B48,AI$4),$H48)),IFERROR(INDEX(aScoresRounded,$B48,AI$4),"")))</f>
        <v>76.2</v>
      </c>
      <c r="AJ48" s="631">
        <f>IF(AJ$4="","",CHOOSE(uxb_works!$B$47,IF(INDEX(aData,$B48,AJ$4)="","-",TEXT(INDEX(aData,$B48,AJ$4),$H48)),IFERROR(INDEX(aScoresRounded,$B48,AJ$4),"")))</f>
        <v>60.5</v>
      </c>
      <c r="AK48" s="631">
        <f>IF(AK$4="","",CHOOSE(uxb_works!$B$47,IF(INDEX(aData,$B48,AK$4)="","-",TEXT(INDEX(aData,$B48,AK$4),$H48)),IFERROR(INDEX(aScoresRounded,$B48,AK$4),"")))</f>
        <v>59.8</v>
      </c>
      <c r="AL48" s="631">
        <f>IF(AL$4="","",CHOOSE(uxb_works!$B$47,IF(INDEX(aData,$B48,AL$4)="","-",TEXT(INDEX(aData,$B48,AL$4),$H48)),IFERROR(INDEX(aScoresRounded,$B48,AL$4),"")))</f>
        <v>68.099999999999994</v>
      </c>
      <c r="AM48" s="631">
        <f>IF(AM$4="","",CHOOSE(uxb_works!$B$47,IF(INDEX(aData,$B48,AM$4)="","-",TEXT(INDEX(aData,$B48,AM$4),$H48)),IFERROR(INDEX(aScoresRounded,$B48,AM$4),"")))</f>
        <v>76.7</v>
      </c>
      <c r="AN48" s="631">
        <f>IF(AN$4="","",CHOOSE(uxb_works!$B$47,IF(INDEX(aData,$B48,AN$4)="","-",TEXT(INDEX(aData,$B48,AN$4),$H48)),IFERROR(INDEX(aScoresRounded,$B48,AN$4),"")))</f>
        <v>60.8</v>
      </c>
      <c r="AO48" s="631">
        <f>IF(AO$4="","",CHOOSE(uxb_works!$B$47,IF(INDEX(aData,$B48,AO$4)="","-",TEXT(INDEX(aData,$B48,AO$4),$H48)),IFERROR(INDEX(aScoresRounded,$B48,AO$4),"")))</f>
        <v>61</v>
      </c>
      <c r="AP48" s="631">
        <f>IF(AP$4="","",CHOOSE(uxb_works!$B$47,IF(INDEX(aData,$B48,AP$4)="","-",TEXT(INDEX(aData,$B48,AP$4),$H48)),IFERROR(INDEX(aScoresRounded,$B48,AP$4),"")))</f>
        <v>64</v>
      </c>
      <c r="AQ48" s="631">
        <f>IF(AQ$4="","",CHOOSE(uxb_works!$B$47,IF(INDEX(aData,$B48,AQ$4)="","-",TEXT(INDEX(aData,$B48,AQ$4),$H48)),IFERROR(INDEX(aScoresRounded,$B48,AQ$4),"")))</f>
        <v>73.400000000000006</v>
      </c>
      <c r="AR48" s="631">
        <f>IF(AR$4="","",CHOOSE(uxb_works!$B$47,IF(INDEX(aData,$B48,AR$4)="","-",TEXT(INDEX(aData,$B48,AR$4),$H48)),IFERROR(INDEX(aScoresRounded,$B48,AR$4),"")))</f>
        <v>70.599999999999994</v>
      </c>
      <c r="AS48" s="631">
        <f>IF(AS$4="","",CHOOSE(uxb_works!$B$47,IF(INDEX(aData,$B48,AS$4)="","-",TEXT(INDEX(aData,$B48,AS$4),$H48)),IFERROR(INDEX(aScoresRounded,$B48,AS$4),"")))</f>
        <v>67.3</v>
      </c>
      <c r="AT48" s="570"/>
      <c r="AW48" s="157">
        <f>CHOOSE($AV$1,0,IF(AW$10=0,0,IF(P48&lt;=$AX$1,1,IF(P48&lt;=#REF!,2,3))),IF(AW$10=0,0,IF(P48&lt;=$AX$1,4,IF(P48&lt;=#REF!,5,6))))</f>
        <v>0</v>
      </c>
      <c r="AX48" s="157">
        <f>CHOOSE($AV$1,0,IF(AX$10=0,0,IF(#REF!&lt;=$AX$1,1,IF(#REF!&lt;=#REF!,2,3))),IF(AX$10=0,0,IF(#REF!&lt;=$AX$1,4,IF(#REF!&lt;=#REF!,5,6))))</f>
        <v>0</v>
      </c>
    </row>
    <row r="49" spans="1:50" ht="25" customHeight="1">
      <c r="A49" s="213"/>
      <c r="B49" s="218">
        <f>tblIndicators!A40</f>
        <v>39</v>
      </c>
      <c r="C49" s="218"/>
      <c r="D49" s="218"/>
      <c r="E49" s="218">
        <f>tblIndicators!B40</f>
        <v>0</v>
      </c>
      <c r="F49" s="218">
        <f>IF(AND(uxb_works!$B$47=2,E49=1),0,iScores!F44)</f>
        <v>3</v>
      </c>
      <c r="G49" s="218"/>
      <c r="H49" s="218" t="str">
        <f>tblIndicators!AC40</f>
        <v>#,##0.0</v>
      </c>
      <c r="I49" s="219"/>
      <c r="J49" s="218"/>
      <c r="K49" s="214">
        <f>IF(L49=0,0,IF(uxb_works!$B$46&gt;=L49,1,0))</f>
        <v>1</v>
      </c>
      <c r="L49" s="216">
        <f>IF(AND(uxb_works!$B$47=2,E49=1),0,tblIndicators!G40)</f>
        <v>3</v>
      </c>
      <c r="M49" s="218"/>
      <c r="N49" s="249" t="str">
        <f>iScores!N44</f>
        <v xml:space="preserve">   3.1.1) Internet usage</v>
      </c>
      <c r="O49" s="407">
        <f>CHOOSE(uxb_works!$B$47,iData!I44,iScores!O44)</f>
        <v>0.36842105263157893</v>
      </c>
      <c r="P49" s="631">
        <f>IF(P$4="","",CHOOSE(uxb_works!$B$47,IF(INDEX(aData,$B49,P$4)="","-",TEXT(INDEX(aData,$B49,P$4),$H49)),IFERROR(INDEX(aScoresRounded,$B49,P$4),"")))</f>
        <v>87</v>
      </c>
      <c r="Q49" s="706">
        <f>IF(Q$4="","",CHOOSE(uxb_works!$B$47,IF(INDEX(aData,$B49,Q$4)="","-",TEXT(INDEX(aData,$B49,Q$4),$H49)),IFERROR(INDEX(aScoresRounded,$B49,Q$4),"")))</f>
        <v>85.2</v>
      </c>
      <c r="R49" s="706">
        <f>IF(R$4="","",CHOOSE(uxb_works!$B$47,IF(INDEX(aData,$B49,R$4)="","-",TEXT(INDEX(aData,$B49,R$4),$H49)),IFERROR(INDEX(aScoresRounded,$B49,R$4),"")))</f>
        <v>75.7</v>
      </c>
      <c r="S49" s="706">
        <f>IF(S$4="","",CHOOSE(uxb_works!$B$47,IF(INDEX(aData,$B49,S$4)="","-",TEXT(INDEX(aData,$B49,S$4),$H49)),IFERROR(INDEX(aScoresRounded,$B49,S$4),"")))</f>
        <v>84.1</v>
      </c>
      <c r="T49" s="706">
        <f>IF(T$4="","",CHOOSE(uxb_works!$B$47,IF(INDEX(aData,$B49,T$4)="","-",TEXT(INDEX(aData,$B49,T$4),$H49)),IFERROR(INDEX(aScoresRounded,$B49,T$4),"")))</f>
        <v>49.5</v>
      </c>
      <c r="U49" s="706">
        <f>IF(U$4="","",CHOOSE(uxb_works!$B$47,IF(INDEX(aData,$B49,U$4)="","-",TEXT(INDEX(aData,$B49,U$4),$H49)),IFERROR(INDEX(aScoresRounded,$B49,U$4),"")))</f>
        <v>79.099999999999994</v>
      </c>
      <c r="V49" s="706">
        <f>IF(V$4="","",CHOOSE(uxb_works!$B$47,IF(INDEX(aData,$B49,V$4)="","-",TEXT(INDEX(aData,$B49,V$4),$H49)),IFERROR(INDEX(aScoresRounded,$B49,V$4),"")))</f>
        <v>71.8</v>
      </c>
      <c r="W49" s="706">
        <f>IF(W$4="","",CHOOSE(uxb_works!$B$47,IF(INDEX(aData,$B49,W$4)="","-",TEXT(INDEX(aData,$B49,W$4),$H49)),IFERROR(INDEX(aScoresRounded,$B49,W$4),"")))</f>
        <v>95.7</v>
      </c>
      <c r="X49" s="706">
        <f>IF(X$4="","",CHOOSE(uxb_works!$B$47,IF(INDEX(aData,$B49,X$4)="","-",TEXT(INDEX(aData,$B49,X$4),$H49)),IFERROR(INDEX(aScoresRounded,$B49,X$4),"")))</f>
        <v>80.7</v>
      </c>
      <c r="Y49" s="631">
        <f>IF(Y$4="","",CHOOSE(uxb_works!$B$47,IF(INDEX(aData,$B49,Y$4)="","-",TEXT(INDEX(aData,$B49,Y$4),$H49)),IFERROR(INDEX(aScoresRounded,$B49,Y$4),"")))</f>
        <v>100</v>
      </c>
      <c r="Z49" s="631">
        <f>IF(Z$4="","",CHOOSE(uxb_works!$B$47,IF(INDEX(aData,$B49,Z$4)="","-",TEXT(INDEX(aData,$B49,Z$4),$H49)),IFERROR(INDEX(aScoresRounded,$B49,Z$4),"")))</f>
        <v>79.099999999999994</v>
      </c>
      <c r="AA49" s="631">
        <f>IF(AA$4="","",CHOOSE(uxb_works!$B$47,IF(INDEX(aData,$B49,AA$4)="","-",TEXT(INDEX(aData,$B49,AA$4),$H49)),IFERROR(INDEX(aScoresRounded,$B49,AA$4),"")))</f>
        <v>83.6</v>
      </c>
      <c r="AB49" s="631">
        <f>IF(AB$4="","",CHOOSE(uxb_works!$B$47,IF(INDEX(aData,$B49,AB$4)="","-",TEXT(INDEX(aData,$B49,AB$4),$H49)),IFERROR(INDEX(aScoresRounded,$B49,AB$4),"")))</f>
        <v>65.900000000000006</v>
      </c>
      <c r="AC49" s="631">
        <f>IF(AC$4="","",CHOOSE(uxb_works!$B$47,IF(INDEX(aData,$B49,AC$4)="","-",TEXT(INDEX(aData,$B49,AC$4),$H49)),IFERROR(INDEX(aScoresRounded,$B49,AC$4),"")))</f>
        <v>83.6</v>
      </c>
      <c r="AD49" s="631">
        <f>IF(AD$4="","",CHOOSE(uxb_works!$B$47,IF(INDEX(aData,$B49,AD$4)="","-",TEXT(INDEX(aData,$B49,AD$4),$H49)),IFERROR(INDEX(aScoresRounded,$B49,AD$4),"")))</f>
        <v>91.1</v>
      </c>
      <c r="AE49" s="631">
        <f>IF(AE$4="","",CHOOSE(uxb_works!$B$47,IF(INDEX(aData,$B49,AE$4)="","-",TEXT(INDEX(aData,$B49,AE$4),$H49)),IFERROR(INDEX(aScoresRounded,$B49,AE$4),"")))</f>
        <v>90.9</v>
      </c>
      <c r="AF49" s="631">
        <f>IF(AF$4="","",CHOOSE(uxb_works!$B$47,IF(INDEX(aData,$B49,AF$4)="","-",TEXT(INDEX(aData,$B49,AF$4),$H49)),IFERROR(INDEX(aScoresRounded,$B49,AF$4),"")))</f>
        <v>63.6</v>
      </c>
      <c r="AG49" s="631">
        <f>IF(AG$4="","",CHOOSE(uxb_works!$B$47,IF(INDEX(aData,$B49,AG$4)="","-",TEXT(INDEX(aData,$B49,AG$4),$H49)),IFERROR(INDEX(aScoresRounded,$B49,AG$4),"")))</f>
        <v>64.5</v>
      </c>
      <c r="AH49" s="631">
        <f>IF(AH$4="","",CHOOSE(uxb_works!$B$47,IF(INDEX(aData,$B49,AH$4)="","-",TEXT(INDEX(aData,$B49,AH$4),$H49)),IFERROR(INDEX(aScoresRounded,$B49,AH$4),"")))</f>
        <v>0</v>
      </c>
      <c r="AI49" s="631">
        <f>IF(AI$4="","",CHOOSE(uxb_works!$B$47,IF(INDEX(aData,$B49,AI$4)="","-",TEXT(INDEX(aData,$B49,AI$4),$H49)),IFERROR(INDEX(aScoresRounded,$B49,AI$4),"")))</f>
        <v>96.4</v>
      </c>
      <c r="AJ49" s="631">
        <f>IF(AJ$4="","",CHOOSE(uxb_works!$B$47,IF(INDEX(aData,$B49,AJ$4)="","-",TEXT(INDEX(aData,$B49,AJ$4),$H49)),IFERROR(INDEX(aScoresRounded,$B49,AJ$4),"")))</f>
        <v>68.599999999999994</v>
      </c>
      <c r="AK49" s="631">
        <f>IF(AK$4="","",CHOOSE(uxb_works!$B$47,IF(INDEX(aData,$B49,AK$4)="","-",TEXT(INDEX(aData,$B49,AK$4),$H49)),IFERROR(INDEX(aScoresRounded,$B49,AK$4),"")))</f>
        <v>51.1</v>
      </c>
      <c r="AL49" s="631">
        <f>IF(AL$4="","",CHOOSE(uxb_works!$B$47,IF(INDEX(aData,$B49,AL$4)="","-",TEXT(INDEX(aData,$B49,AL$4),$H49)),IFERROR(INDEX(aScoresRounded,$B49,AL$4),"")))</f>
        <v>55.5</v>
      </c>
      <c r="AM49" s="631">
        <f>IF(AM$4="","",CHOOSE(uxb_works!$B$47,IF(INDEX(aData,$B49,AM$4)="","-",TEXT(INDEX(aData,$B49,AM$4),$H49)),IFERROR(INDEX(aScoresRounded,$B49,AM$4),"")))</f>
        <v>95.5</v>
      </c>
      <c r="AN49" s="631">
        <f>IF(AN$4="","",CHOOSE(uxb_works!$B$47,IF(INDEX(aData,$B49,AN$4)="","-",TEXT(INDEX(aData,$B49,AN$4),$H49)),IFERROR(INDEX(aScoresRounded,$B49,AN$4),"")))</f>
        <v>55.5</v>
      </c>
      <c r="AO49" s="631">
        <f>IF(AO$4="","",CHOOSE(uxb_works!$B$47,IF(INDEX(aData,$B49,AO$4)="","-",TEXT(INDEX(aData,$B49,AO$4),$H49)),IFERROR(INDEX(aScoresRounded,$B49,AO$4),"")))</f>
        <v>81.099999999999994</v>
      </c>
      <c r="AP49" s="631">
        <f>IF(AP$4="","",CHOOSE(uxb_works!$B$47,IF(INDEX(aData,$B49,AP$4)="","-",TEXT(INDEX(aData,$B49,AP$4),$H49)),IFERROR(INDEX(aScoresRounded,$B49,AP$4),"")))</f>
        <v>86.1</v>
      </c>
      <c r="AQ49" s="631">
        <f>IF(AQ$4="","",CHOOSE(uxb_works!$B$47,IF(INDEX(aData,$B49,AQ$4)="","-",TEXT(INDEX(aData,$B49,AQ$4),$H49)),IFERROR(INDEX(aScoresRounded,$B49,AQ$4),"")))</f>
        <v>95.5</v>
      </c>
      <c r="AR49" s="631">
        <f>IF(AR$4="","",CHOOSE(uxb_works!$B$47,IF(INDEX(aData,$B49,AR$4)="","-",TEXT(INDEX(aData,$B49,AR$4),$H49)),IFERROR(INDEX(aScoresRounded,$B49,AR$4),"")))</f>
        <v>80.7</v>
      </c>
      <c r="AS49" s="631">
        <f>IF(AS$4="","",CHOOSE(uxb_works!$B$47,IF(INDEX(aData,$B49,AS$4)="","-",TEXT(INDEX(aData,$B49,AS$4),$H49)),IFERROR(INDEX(aScoresRounded,$B49,AS$4),"")))</f>
        <v>89.8</v>
      </c>
      <c r="AT49" s="570"/>
      <c r="AW49" s="157">
        <f>CHOOSE($AV$1,0,IF(AW$10=0,0,IF(P49&lt;=$AX$1,1,IF(P49&lt;=#REF!,2,3))),IF(AW$10=0,0,IF(P49&lt;=$AX$1,4,IF(P49&lt;=#REF!,5,6))))</f>
        <v>0</v>
      </c>
      <c r="AX49" s="157">
        <f>CHOOSE($AV$1,0,IF(AX$10=0,0,IF(#REF!&lt;=$AX$1,1,IF(#REF!&lt;=#REF!,2,3))),IF(AX$10=0,0,IF(#REF!&lt;=$AX$1,4,IF(#REF!&lt;=#REF!,5,6))))</f>
        <v>0</v>
      </c>
    </row>
    <row r="50" spans="1:50" ht="25" customHeight="1">
      <c r="A50" s="213"/>
      <c r="B50" s="218">
        <f>tblIndicators!A41</f>
        <v>40</v>
      </c>
      <c r="C50" s="218"/>
      <c r="D50" s="218"/>
      <c r="E50" s="218">
        <f>tblIndicators!B41</f>
        <v>0</v>
      </c>
      <c r="F50" s="218">
        <f>IF(AND(uxb_works!$B$47=2,E50=1),0,iScores!F45)</f>
        <v>3</v>
      </c>
      <c r="G50" s="218"/>
      <c r="H50" s="218" t="str">
        <f>tblIndicators!AC41</f>
        <v>#,##0.0</v>
      </c>
      <c r="I50" s="219"/>
      <c r="J50" s="218"/>
      <c r="K50" s="214">
        <f>IF(L50=0,0,IF(uxb_works!$B$46&gt;=L50,1,0))</f>
        <v>1</v>
      </c>
      <c r="L50" s="216">
        <f>IF(AND(uxb_works!$B$47=2,E50=1),0,tblIndicators!G41)</f>
        <v>3</v>
      </c>
      <c r="M50" s="218"/>
      <c r="N50" s="249" t="str">
        <f>iScores!N45</f>
        <v xml:space="preserve">   3.1.2) Gap between female and male access to the internet</v>
      </c>
      <c r="O50" s="407">
        <f>CHOOSE(uxb_works!$B$47,iData!I45,iScores!O45)</f>
        <v>0.31578947368421051</v>
      </c>
      <c r="P50" s="631">
        <f>IF(P$4="","",CHOOSE(uxb_works!$B$47,IF(INDEX(aData,$B50,P$4)="","-",TEXT(INDEX(aData,$B50,P$4),$H50)),IFERROR(INDEX(aScoresRounded,$B50,P$4),"")))</f>
        <v>94</v>
      </c>
      <c r="Q50" s="706">
        <f>IF(Q$4="","",CHOOSE(uxb_works!$B$47,IF(INDEX(aData,$B50,Q$4)="","-",TEXT(INDEX(aData,$B50,Q$4),$H50)),IFERROR(INDEX(aScoresRounded,$B50,Q$4),"")))</f>
        <v>96.9</v>
      </c>
      <c r="R50" s="706">
        <f>IF(R$4="","",CHOOSE(uxb_works!$B$47,IF(INDEX(aData,$B50,R$4)="","-",TEXT(INDEX(aData,$B50,R$4),$H50)),IFERROR(INDEX(aScoresRounded,$B50,R$4),"")))</f>
        <v>95.7</v>
      </c>
      <c r="S50" s="706">
        <f>IF(S$4="","",CHOOSE(uxb_works!$B$47,IF(INDEX(aData,$B50,S$4)="","-",TEXT(INDEX(aData,$B50,S$4),$H50)),IFERROR(INDEX(aScoresRounded,$B50,S$4),"")))</f>
        <v>100</v>
      </c>
      <c r="T50" s="706">
        <f>IF(T$4="","",CHOOSE(uxb_works!$B$47,IF(INDEX(aData,$B50,T$4)="","-",TEXT(INDEX(aData,$B50,T$4),$H50)),IFERROR(INDEX(aScoresRounded,$B50,T$4),"")))</f>
        <v>100</v>
      </c>
      <c r="U50" s="706">
        <f>IF(U$4="","",CHOOSE(uxb_works!$B$47,IF(INDEX(aData,$B50,U$4)="","-",TEXT(INDEX(aData,$B50,U$4),$H50)),IFERROR(INDEX(aScoresRounded,$B50,U$4),"")))</f>
        <v>91.4</v>
      </c>
      <c r="V50" s="706">
        <f>IF(V$4="","",CHOOSE(uxb_works!$B$47,IF(INDEX(aData,$B50,V$4)="","-",TEXT(INDEX(aData,$B50,V$4),$H50)),IFERROR(INDEX(aScoresRounded,$B50,V$4),"")))</f>
        <v>96.6</v>
      </c>
      <c r="W50" s="706">
        <f>IF(W$4="","",CHOOSE(uxb_works!$B$47,IF(INDEX(aData,$B50,W$4)="","-",TEXT(INDEX(aData,$B50,W$4),$H50)),IFERROR(INDEX(aScoresRounded,$B50,W$4),"")))</f>
        <v>97.3</v>
      </c>
      <c r="X50" s="706">
        <f>IF(X$4="","",CHOOSE(uxb_works!$B$47,IF(INDEX(aData,$B50,X$4)="","-",TEXT(INDEX(aData,$B50,X$4),$H50)),IFERROR(INDEX(aScoresRounded,$B50,X$4),"")))</f>
        <v>100</v>
      </c>
      <c r="Y50" s="631">
        <f>IF(Y$4="","",CHOOSE(uxb_works!$B$47,IF(INDEX(aData,$B50,Y$4)="","-",TEXT(INDEX(aData,$B50,Y$4),$H50)),IFERROR(INDEX(aScoresRounded,$B50,Y$4),"")))</f>
        <v>100</v>
      </c>
      <c r="Z50" s="631">
        <f>IF(Z$4="","",CHOOSE(uxb_works!$B$47,IF(INDEX(aData,$B50,Z$4)="","-",TEXT(INDEX(aData,$B50,Z$4),$H50)),IFERROR(INDEX(aScoresRounded,$B50,Z$4),"")))</f>
        <v>91.4</v>
      </c>
      <c r="AA50" s="631">
        <f>IF(AA$4="","",CHOOSE(uxb_works!$B$47,IF(INDEX(aData,$B50,AA$4)="","-",TEXT(INDEX(aData,$B50,AA$4),$H50)),IFERROR(INDEX(aScoresRounded,$B50,AA$4),"")))</f>
        <v>96.2</v>
      </c>
      <c r="AB50" s="631">
        <f>IF(AB$4="","",CHOOSE(uxb_works!$B$47,IF(INDEX(aData,$B50,AB$4)="","-",TEXT(INDEX(aData,$B50,AB$4),$H50)),IFERROR(INDEX(aScoresRounded,$B50,AB$4),"")))</f>
        <v>82.9</v>
      </c>
      <c r="AC50" s="631">
        <f>IF(AC$4="","",CHOOSE(uxb_works!$B$47,IF(INDEX(aData,$B50,AC$4)="","-",TEXT(INDEX(aData,$B50,AC$4),$H50)),IFERROR(INDEX(aScoresRounded,$B50,AC$4),"")))</f>
        <v>94</v>
      </c>
      <c r="AD50" s="631">
        <f>IF(AD$4="","",CHOOSE(uxb_works!$B$47,IF(INDEX(aData,$B50,AD$4)="","-",TEXT(INDEX(aData,$B50,AD$4),$H50)),IFERROR(INDEX(aScoresRounded,$B50,AD$4),"")))</f>
        <v>98.7</v>
      </c>
      <c r="AE50" s="631">
        <f>IF(AE$4="","",CHOOSE(uxb_works!$B$47,IF(INDEX(aData,$B50,AE$4)="","-",TEXT(INDEX(aData,$B50,AE$4),$H50)),IFERROR(INDEX(aScoresRounded,$B50,AE$4),"")))</f>
        <v>100</v>
      </c>
      <c r="AF50" s="631">
        <f>IF(AF$4="","",CHOOSE(uxb_works!$B$47,IF(INDEX(aData,$B50,AF$4)="","-",TEXT(INDEX(aData,$B50,AF$4),$H50)),IFERROR(INDEX(aScoresRounded,$B50,AF$4),"")))</f>
        <v>96.3</v>
      </c>
      <c r="AG50" s="631">
        <f>IF(AG$4="","",CHOOSE(uxb_works!$B$47,IF(INDEX(aData,$B50,AG$4)="","-",TEXT(INDEX(aData,$B50,AG$4),$H50)),IFERROR(INDEX(aScoresRounded,$B50,AG$4),"")))</f>
        <v>97.1</v>
      </c>
      <c r="AH50" s="631">
        <f>IF(AH$4="","",CHOOSE(uxb_works!$B$47,IF(INDEX(aData,$B50,AH$4)="","-",TEXT(INDEX(aData,$B50,AH$4),$H50)),IFERROR(INDEX(aScoresRounded,$B50,AH$4),"")))</f>
        <v>0</v>
      </c>
      <c r="AI50" s="631">
        <f>IF(AI$4="","",CHOOSE(uxb_works!$B$47,IF(INDEX(aData,$B50,AI$4)="","-",TEXT(INDEX(aData,$B50,AI$4),$H50)),IFERROR(INDEX(aScoresRounded,$B50,AI$4),"")))</f>
        <v>100</v>
      </c>
      <c r="AJ50" s="631">
        <f>IF(AJ$4="","",CHOOSE(uxb_works!$B$47,IF(INDEX(aData,$B50,AJ$4)="","-",TEXT(INDEX(aData,$B50,AJ$4),$H50)),IFERROR(INDEX(aScoresRounded,$B50,AJ$4),"")))</f>
        <v>95.7</v>
      </c>
      <c r="AK50" s="631">
        <f>IF(AK$4="","",CHOOSE(uxb_works!$B$47,IF(INDEX(aData,$B50,AK$4)="","-",TEXT(INDEX(aData,$B50,AK$4),$H50)),IFERROR(INDEX(aScoresRounded,$B50,AK$4),"")))</f>
        <v>89.1</v>
      </c>
      <c r="AL50" s="631">
        <f>IF(AL$4="","",CHOOSE(uxb_works!$B$47,IF(INDEX(aData,$B50,AL$4)="","-",TEXT(INDEX(aData,$B50,AL$4),$H50)),IFERROR(INDEX(aScoresRounded,$B50,AL$4),"")))</f>
        <v>98.2</v>
      </c>
      <c r="AM50" s="631">
        <f>IF(AM$4="","",CHOOSE(uxb_works!$B$47,IF(INDEX(aData,$B50,AM$4)="","-",TEXT(INDEX(aData,$B50,AM$4),$H50)),IFERROR(INDEX(aScoresRounded,$B50,AM$4),"")))</f>
        <v>97.5</v>
      </c>
      <c r="AN50" s="631">
        <f>IF(AN$4="","",CHOOSE(uxb_works!$B$47,IF(INDEX(aData,$B50,AN$4)="","-",TEXT(INDEX(aData,$B50,AN$4),$H50)),IFERROR(INDEX(aScoresRounded,$B50,AN$4),"")))</f>
        <v>100</v>
      </c>
      <c r="AO50" s="631">
        <f>IF(AO$4="","",CHOOSE(uxb_works!$B$47,IF(INDEX(aData,$B50,AO$4)="","-",TEXT(INDEX(aData,$B50,AO$4),$H50)),IFERROR(INDEX(aScoresRounded,$B50,AO$4),"")))</f>
        <v>98.4</v>
      </c>
      <c r="AP50" s="631">
        <f>IF(AP$4="","",CHOOSE(uxb_works!$B$47,IF(INDEX(aData,$B50,AP$4)="","-",TEXT(INDEX(aData,$B50,AP$4),$H50)),IFERROR(INDEX(aScoresRounded,$B50,AP$4),"")))</f>
        <v>94.1</v>
      </c>
      <c r="AQ50" s="631">
        <f>IF(AQ$4="","",CHOOSE(uxb_works!$B$47,IF(INDEX(aData,$B50,AQ$4)="","-",TEXT(INDEX(aData,$B50,AQ$4),$H50)),IFERROR(INDEX(aScoresRounded,$B50,AQ$4),"")))</f>
        <v>100</v>
      </c>
      <c r="AR50" s="631">
        <f>IF(AR$4="","",CHOOSE(uxb_works!$B$47,IF(INDEX(aData,$B50,AR$4)="","-",TEXT(INDEX(aData,$B50,AR$4),$H50)),IFERROR(INDEX(aScoresRounded,$B50,AR$4),"")))</f>
        <v>100</v>
      </c>
      <c r="AS50" s="631">
        <f>IF(AS$4="","",CHOOSE(uxb_works!$B$47,IF(INDEX(aData,$B50,AS$4)="","-",TEXT(INDEX(aData,$B50,AS$4),$H50)),IFERROR(INDEX(aScoresRounded,$B50,AS$4),"")))</f>
        <v>93.8</v>
      </c>
      <c r="AT50" s="570"/>
      <c r="AW50" s="157">
        <f>CHOOSE($AV$1,0,IF(AW$10=0,0,IF(P50&lt;=$AX$1,1,IF(P50&lt;=#REF!,2,3))),IF(AW$10=0,0,IF(P50&lt;=$AX$1,4,IF(P50&lt;=#REF!,5,6))))</f>
        <v>0</v>
      </c>
      <c r="AX50" s="157">
        <f>CHOOSE($AV$1,0,IF(AX$10=0,0,IF(#REF!&lt;=$AX$1,1,IF(#REF!&lt;=#REF!,2,3))),IF(AX$10=0,0,IF(#REF!&lt;=$AX$1,4,IF(#REF!&lt;=#REF!,5,6))))</f>
        <v>0</v>
      </c>
    </row>
    <row r="51" spans="1:50" ht="25" customHeight="1">
      <c r="A51" s="213"/>
      <c r="B51" s="218">
        <f>tblIndicators!A42</f>
        <v>41</v>
      </c>
      <c r="C51" s="218"/>
      <c r="D51" s="218"/>
      <c r="E51" s="218">
        <f>tblIndicators!B42</f>
        <v>0</v>
      </c>
      <c r="F51" s="218">
        <f>IF(AND(uxb_works!$B$47=2,E51=1),0,iScores!F46)</f>
        <v>3</v>
      </c>
      <c r="G51" s="218"/>
      <c r="H51" s="218" t="str">
        <f>tblIndicators!AC42</f>
        <v>#,##0.0</v>
      </c>
      <c r="I51" s="219"/>
      <c r="J51" s="218"/>
      <c r="K51" s="214">
        <f>IF(L51=0,0,IF(uxb_works!$B$46&gt;=L51,1,0))</f>
        <v>1</v>
      </c>
      <c r="L51" s="216">
        <f>IF(AND(uxb_works!$B$47=2,E51=1),0,tblIndicators!G42)</f>
        <v>3</v>
      </c>
      <c r="M51" s="218"/>
      <c r="N51" s="249" t="str">
        <f>iScores!N46</f>
        <v xml:space="preserve">   3.1.3) Digital skills</v>
      </c>
      <c r="O51" s="407">
        <f>CHOOSE(uxb_works!$B$47,iData!I46,iScores!O46)</f>
        <v>0.31578947368421051</v>
      </c>
      <c r="P51" s="631">
        <f>IF(P$4="","",CHOOSE(uxb_works!$B$47,IF(INDEX(aData,$B51,P$4)="","-",TEXT(INDEX(aData,$B51,P$4),$H51)),IFERROR(INDEX(aScoresRounded,$B51,P$4),"")))</f>
        <v>12.8</v>
      </c>
      <c r="Q51" s="706">
        <f>IF(Q$4="","",CHOOSE(uxb_works!$B$47,IF(INDEX(aData,$B51,Q$4)="","-",TEXT(INDEX(aData,$B51,Q$4),$H51)),IFERROR(INDEX(aScoresRounded,$B51,Q$4),"")))</f>
        <v>23.3</v>
      </c>
      <c r="R51" s="706">
        <f>IF(R$4="","",CHOOSE(uxb_works!$B$47,IF(INDEX(aData,$B51,R$4)="","-",TEXT(INDEX(aData,$B51,R$4),$H51)),IFERROR(INDEX(aScoresRounded,$B51,R$4),"")))</f>
        <v>62.3</v>
      </c>
      <c r="S51" s="706">
        <f>IF(S$4="","",CHOOSE(uxb_works!$B$47,IF(INDEX(aData,$B51,S$4)="","-",TEXT(INDEX(aData,$B51,S$4),$H51)),IFERROR(INDEX(aScoresRounded,$B51,S$4),"")))</f>
        <v>36.299999999999997</v>
      </c>
      <c r="T51" s="706">
        <f>IF(T$4="","",CHOOSE(uxb_works!$B$47,IF(INDEX(aData,$B51,T$4)="","-",TEXT(INDEX(aData,$B51,T$4),$H51)),IFERROR(INDEX(aScoresRounded,$B51,T$4),"")))</f>
        <v>64.599999999999994</v>
      </c>
      <c r="U51" s="706">
        <f>IF(U$4="","",CHOOSE(uxb_works!$B$47,IF(INDEX(aData,$B51,U$4)="","-",TEXT(INDEX(aData,$B51,U$4),$H51)),IFERROR(INDEX(aScoresRounded,$B51,U$4),"")))</f>
        <v>13.2</v>
      </c>
      <c r="V51" s="706">
        <f>IF(V$4="","",CHOOSE(uxb_works!$B$47,IF(INDEX(aData,$B51,V$4)="","-",TEXT(INDEX(aData,$B51,V$4),$H51)),IFERROR(INDEX(aScoresRounded,$B51,V$4),"")))</f>
        <v>51.2</v>
      </c>
      <c r="W51" s="706">
        <f>IF(W$4="","",CHOOSE(uxb_works!$B$47,IF(INDEX(aData,$B51,W$4)="","-",TEXT(INDEX(aData,$B51,W$4),$H51)),IFERROR(INDEX(aScoresRounded,$B51,W$4),"")))</f>
        <v>33.1</v>
      </c>
      <c r="X51" s="706">
        <f>IF(X$4="","",CHOOSE(uxb_works!$B$47,IF(INDEX(aData,$B51,X$4)="","-",TEXT(INDEX(aData,$B51,X$4),$H51)),IFERROR(INDEX(aScoresRounded,$B51,X$4),"")))</f>
        <v>52.8</v>
      </c>
      <c r="Y51" s="631">
        <f>IF(Y$4="","",CHOOSE(uxb_works!$B$47,IF(INDEX(aData,$B51,Y$4)="","-",TEXT(INDEX(aData,$B51,Y$4),$H51)),IFERROR(INDEX(aScoresRounded,$B51,Y$4),"")))</f>
        <v>81.8</v>
      </c>
      <c r="Z51" s="631">
        <f>IF(Z$4="","",CHOOSE(uxb_works!$B$47,IF(INDEX(aData,$B51,Z$4)="","-",TEXT(INDEX(aData,$B51,Z$4),$H51)),IFERROR(INDEX(aScoresRounded,$B51,Z$4),"")))</f>
        <v>18</v>
      </c>
      <c r="AA51" s="631">
        <f>IF(AA$4="","",CHOOSE(uxb_works!$B$47,IF(INDEX(aData,$B51,AA$4)="","-",TEXT(INDEX(aData,$B51,AA$4),$H51)),IFERROR(INDEX(aScoresRounded,$B51,AA$4),"")))</f>
        <v>20.5</v>
      </c>
      <c r="AB51" s="631">
        <f>IF(AB$4="","",CHOOSE(uxb_works!$B$47,IF(INDEX(aData,$B51,AB$4)="","-",TEXT(INDEX(aData,$B51,AB$4),$H51)),IFERROR(INDEX(aScoresRounded,$B51,AB$4),"")))</f>
        <v>80.5</v>
      </c>
      <c r="AC51" s="631">
        <f>IF(AC$4="","",CHOOSE(uxb_works!$B$47,IF(INDEX(aData,$B51,AC$4)="","-",TEXT(INDEX(aData,$B51,AC$4),$H51)),IFERROR(INDEX(aScoresRounded,$B51,AC$4),"")))</f>
        <v>42.3</v>
      </c>
      <c r="AD51" s="631">
        <f>IF(AD$4="","",CHOOSE(uxb_works!$B$47,IF(INDEX(aData,$B51,AD$4)="","-",TEXT(INDEX(aData,$B51,AD$4),$H51)),IFERROR(INDEX(aScoresRounded,$B51,AD$4),"")))</f>
        <v>8.8000000000000007</v>
      </c>
      <c r="AE51" s="631">
        <f>IF(AE$4="","",CHOOSE(uxb_works!$B$47,IF(INDEX(aData,$B51,AE$4)="","-",TEXT(INDEX(aData,$B51,AE$4),$H51)),IFERROR(INDEX(aScoresRounded,$B51,AE$4),"")))</f>
        <v>41.3</v>
      </c>
      <c r="AF51" s="631">
        <f>IF(AF$4="","",CHOOSE(uxb_works!$B$47,IF(INDEX(aData,$B51,AF$4)="","-",TEXT(INDEX(aData,$B51,AF$4),$H51)),IFERROR(INDEX(aScoresRounded,$B51,AF$4),"")))</f>
        <v>62.5</v>
      </c>
      <c r="AG51" s="631">
        <f>IF(AG$4="","",CHOOSE(uxb_works!$B$47,IF(INDEX(aData,$B51,AG$4)="","-",TEXT(INDEX(aData,$B51,AG$4),$H51)),IFERROR(INDEX(aScoresRounded,$B51,AG$4),"")))</f>
        <v>64.599999999999994</v>
      </c>
      <c r="AH51" s="631">
        <f>IF(AH$4="","",CHOOSE(uxb_works!$B$47,IF(INDEX(aData,$B51,AH$4)="","-",TEXT(INDEX(aData,$B51,AH$4),$H51)),IFERROR(INDEX(aScoresRounded,$B51,AH$4),"")))</f>
        <v>100</v>
      </c>
      <c r="AI51" s="631">
        <f>IF(AI$4="","",CHOOSE(uxb_works!$B$47,IF(INDEX(aData,$B51,AI$4)="","-",TEXT(INDEX(aData,$B51,AI$4),$H51)),IFERROR(INDEX(aScoresRounded,$B51,AI$4),"")))</f>
        <v>28.9</v>
      </c>
      <c r="AJ51" s="631">
        <f>IF(AJ$4="","",CHOOSE(uxb_works!$B$47,IF(INDEX(aData,$B51,AJ$4)="","-",TEXT(INDEX(aData,$B51,AJ$4),$H51)),IFERROR(INDEX(aScoresRounded,$B51,AJ$4),"")))</f>
        <v>15.9</v>
      </c>
      <c r="AK51" s="631">
        <f>IF(AK$4="","",CHOOSE(uxb_works!$B$47,IF(INDEX(aData,$B51,AK$4)="","-",TEXT(INDEX(aData,$B51,AK$4),$H51)),IFERROR(INDEX(aScoresRounded,$B51,AK$4),"")))</f>
        <v>40.5</v>
      </c>
      <c r="AL51" s="631">
        <f>IF(AL$4="","",CHOOSE(uxb_works!$B$47,IF(INDEX(aData,$B51,AL$4)="","-",TEXT(INDEX(aData,$B51,AL$4),$H51)),IFERROR(INDEX(aScoresRounded,$B51,AL$4),"")))</f>
        <v>52.8</v>
      </c>
      <c r="AM51" s="631">
        <f>IF(AM$4="","",CHOOSE(uxb_works!$B$47,IF(INDEX(aData,$B51,AM$4)="","-",TEXT(INDEX(aData,$B51,AM$4),$H51)),IFERROR(INDEX(aScoresRounded,$B51,AM$4),"")))</f>
        <v>34</v>
      </c>
      <c r="AN51" s="631">
        <f>IF(AN$4="","",CHOOSE(uxb_works!$B$47,IF(INDEX(aData,$B51,AN$4)="","-",TEXT(INDEX(aData,$B51,AN$4),$H51)),IFERROR(INDEX(aScoresRounded,$B51,AN$4),"")))</f>
        <v>27.9</v>
      </c>
      <c r="AO51" s="631">
        <f>IF(AO$4="","",CHOOSE(uxb_works!$B$47,IF(INDEX(aData,$B51,AO$4)="","-",TEXT(INDEX(aData,$B51,AO$4),$H51)),IFERROR(INDEX(aScoresRounded,$B51,AO$4),"")))</f>
        <v>0</v>
      </c>
      <c r="AP51" s="631">
        <f>IF(AP$4="","",CHOOSE(uxb_works!$B$47,IF(INDEX(aData,$B51,AP$4)="","-",TEXT(INDEX(aData,$B51,AP$4),$H51)),IFERROR(INDEX(aScoresRounded,$B51,AP$4),"")))</f>
        <v>8</v>
      </c>
      <c r="AQ51" s="631">
        <f>IF(AQ$4="","",CHOOSE(uxb_works!$B$47,IF(INDEX(aData,$B51,AQ$4)="","-",TEXT(INDEX(aData,$B51,AQ$4),$H51)),IFERROR(INDEX(aScoresRounded,$B51,AQ$4),"")))</f>
        <v>21.2</v>
      </c>
      <c r="AR51" s="631">
        <f>IF(AR$4="","",CHOOSE(uxb_works!$B$47,IF(INDEX(aData,$B51,AR$4)="","-",TEXT(INDEX(aData,$B51,AR$4),$H51)),IFERROR(INDEX(aScoresRounded,$B51,AR$4),"")))</f>
        <v>29.4</v>
      </c>
      <c r="AS51" s="631">
        <f>IF(AS$4="","",CHOOSE(uxb_works!$B$47,IF(INDEX(aData,$B51,AS$4)="","-",TEXT(INDEX(aData,$B51,AS$4),$H51)),IFERROR(INDEX(aScoresRounded,$B51,AS$4),"")))</f>
        <v>14.7</v>
      </c>
      <c r="AT51" s="570"/>
      <c r="AW51" s="157">
        <f>CHOOSE($AV$1,0,IF(AW$10=0,0,IF(P51&lt;=$AX$1,1,IF(P51&lt;=#REF!,2,3))),IF(AW$10=0,0,IF(P51&lt;=$AX$1,4,IF(P51&lt;=#REF!,5,6))))</f>
        <v>0</v>
      </c>
      <c r="AX51" s="157">
        <f>CHOOSE($AV$1,0,IF(AX$10=0,0,IF(#REF!&lt;=$AX$1,1,IF(#REF!&lt;=#REF!,2,3))),IF(AX$10=0,0,IF(#REF!&lt;=$AX$1,4,IF(#REF!&lt;=#REF!,5,6))))</f>
        <v>0</v>
      </c>
    </row>
    <row r="52" spans="1:50" ht="25" customHeight="1">
      <c r="A52" s="213"/>
      <c r="B52" s="218">
        <f>tblIndicators!A43</f>
        <v>42</v>
      </c>
      <c r="C52" s="218"/>
      <c r="D52" s="218"/>
      <c r="E52" s="218">
        <f>tblIndicators!B43</f>
        <v>0</v>
      </c>
      <c r="F52" s="218">
        <f>IF(AND(uxb_works!$B$47=2,E52=1),0,iScores!F47)</f>
        <v>2</v>
      </c>
      <c r="G52" s="218"/>
      <c r="H52" s="218" t="str">
        <f>tblIndicators!AC43</f>
        <v>#,##0.0</v>
      </c>
      <c r="I52" s="219"/>
      <c r="J52" s="218"/>
      <c r="K52" s="214">
        <f>IF(L52=0,0,IF(uxb_works!$B$46&gt;=L52,1,0))</f>
        <v>1</v>
      </c>
      <c r="L52" s="216">
        <f>IF(AND(uxb_works!$B$47=2,E52=1),0,tblIndicators!G43)</f>
        <v>2</v>
      </c>
      <c r="M52" s="218"/>
      <c r="N52" s="249" t="str">
        <f>iScores!N47</f>
        <v xml:space="preserve">  3.2) Government support</v>
      </c>
      <c r="O52" s="407">
        <f>CHOOSE(uxb_works!$B$47,iData!I47,iScores!O47)</f>
        <v>0.3125</v>
      </c>
      <c r="P52" s="631">
        <f>IF(P$4="","",CHOOSE(uxb_works!$B$47,IF(INDEX(aData,$B52,P$4)="","-",TEXT(INDEX(aData,$B52,P$4),$H52)),IFERROR(INDEX(aScoresRounded,$B52,P$4),"")))</f>
        <v>76</v>
      </c>
      <c r="Q52" s="706">
        <f>IF(Q$4="","",CHOOSE(uxb_works!$B$47,IF(INDEX(aData,$B52,Q$4)="","-",TEXT(INDEX(aData,$B52,Q$4),$H52)),IFERROR(INDEX(aScoresRounded,$B52,Q$4),"")))</f>
        <v>81.099999999999994</v>
      </c>
      <c r="R52" s="706">
        <f>IF(R$4="","",CHOOSE(uxb_works!$B$47,IF(INDEX(aData,$B52,R$4)="","-",TEXT(INDEX(aData,$B52,R$4),$H52)),IFERROR(INDEX(aScoresRounded,$B52,R$4),"")))</f>
        <v>38.6</v>
      </c>
      <c r="S52" s="706">
        <f>IF(S$4="","",CHOOSE(uxb_works!$B$47,IF(INDEX(aData,$B52,S$4)="","-",TEXT(INDEX(aData,$B52,S$4),$H52)),IFERROR(INDEX(aScoresRounded,$B52,S$4),"")))</f>
        <v>74.3</v>
      </c>
      <c r="T52" s="706">
        <f>IF(T$4="","",CHOOSE(uxb_works!$B$47,IF(INDEX(aData,$B52,T$4)="","-",TEXT(INDEX(aData,$B52,T$4),$H52)),IFERROR(INDEX(aScoresRounded,$B52,T$4),"")))</f>
        <v>50</v>
      </c>
      <c r="U52" s="706">
        <f>IF(U$4="","",CHOOSE(uxb_works!$B$47,IF(INDEX(aData,$B52,U$4)="","-",TEXT(INDEX(aData,$B52,U$4),$H52)),IFERROR(INDEX(aScoresRounded,$B52,U$4),"")))</f>
        <v>79.900000000000006</v>
      </c>
      <c r="V52" s="706">
        <f>IF(V$4="","",CHOOSE(uxb_works!$B$47,IF(INDEX(aData,$B52,V$4)="","-",TEXT(INDEX(aData,$B52,V$4),$H52)),IFERROR(INDEX(aScoresRounded,$B52,V$4),"")))</f>
        <v>64.900000000000006</v>
      </c>
      <c r="W52" s="706">
        <f>IF(W$4="","",CHOOSE(uxb_works!$B$47,IF(INDEX(aData,$B52,W$4)="","-",TEXT(INDEX(aData,$B52,W$4),$H52)),IFERROR(INDEX(aScoresRounded,$B52,W$4),"")))</f>
        <v>82.8</v>
      </c>
      <c r="X52" s="706">
        <f>IF(X$4="","",CHOOSE(uxb_works!$B$47,IF(INDEX(aData,$B52,X$4)="","-",TEXT(INDEX(aData,$B52,X$4),$H52)),IFERROR(INDEX(aScoresRounded,$B52,X$4),"")))</f>
        <v>76.900000000000006</v>
      </c>
      <c r="Y52" s="631">
        <f>IF(Y$4="","",CHOOSE(uxb_works!$B$47,IF(INDEX(aData,$B52,Y$4)="","-",TEXT(INDEX(aData,$B52,Y$4),$H52)),IFERROR(INDEX(aScoresRounded,$B52,Y$4),"")))</f>
        <v>40.799999999999997</v>
      </c>
      <c r="Z52" s="631">
        <f>IF(Z$4="","",CHOOSE(uxb_works!$B$47,IF(INDEX(aData,$B52,Z$4)="","-",TEXT(INDEX(aData,$B52,Z$4),$H52)),IFERROR(INDEX(aScoresRounded,$B52,Z$4),"")))</f>
        <v>79.900000000000006</v>
      </c>
      <c r="AA52" s="631">
        <f>IF(AA$4="","",CHOOSE(uxb_works!$B$47,IF(INDEX(aData,$B52,AA$4)="","-",TEXT(INDEX(aData,$B52,AA$4),$H52)),IFERROR(INDEX(aScoresRounded,$B52,AA$4),"")))</f>
        <v>60.1</v>
      </c>
      <c r="AB52" s="631">
        <f>IF(AB$4="","",CHOOSE(uxb_works!$B$47,IF(INDEX(aData,$B52,AB$4)="","-",TEXT(INDEX(aData,$B52,AB$4),$H52)),IFERROR(INDEX(aScoresRounded,$B52,AB$4),"")))</f>
        <v>44.1</v>
      </c>
      <c r="AC52" s="631">
        <f>IF(AC$4="","",CHOOSE(uxb_works!$B$47,IF(INDEX(aData,$B52,AC$4)="","-",TEXT(INDEX(aData,$B52,AC$4),$H52)),IFERROR(INDEX(aScoresRounded,$B52,AC$4),"")))</f>
        <v>69.099999999999994</v>
      </c>
      <c r="AD52" s="631">
        <f>IF(AD$4="","",CHOOSE(uxb_works!$B$47,IF(INDEX(aData,$B52,AD$4)="","-",TEXT(INDEX(aData,$B52,AD$4),$H52)),IFERROR(INDEX(aScoresRounded,$B52,AD$4),"")))</f>
        <v>87.2</v>
      </c>
      <c r="AE52" s="631">
        <f>IF(AE$4="","",CHOOSE(uxb_works!$B$47,IF(INDEX(aData,$B52,AE$4)="","-",TEXT(INDEX(aData,$B52,AE$4),$H52)),IFERROR(INDEX(aScoresRounded,$B52,AE$4),"")))</f>
        <v>74.3</v>
      </c>
      <c r="AF52" s="631">
        <f>IF(AF$4="","",CHOOSE(uxb_works!$B$47,IF(INDEX(aData,$B52,AF$4)="","-",TEXT(INDEX(aData,$B52,AF$4),$H52)),IFERROR(INDEX(aScoresRounded,$B52,AF$4),"")))</f>
        <v>67.599999999999994</v>
      </c>
      <c r="AG52" s="631">
        <f>IF(AG$4="","",CHOOSE(uxb_works!$B$47,IF(INDEX(aData,$B52,AG$4)="","-",TEXT(INDEX(aData,$B52,AG$4),$H52)),IFERROR(INDEX(aScoresRounded,$B52,AG$4),"")))</f>
        <v>65.900000000000006</v>
      </c>
      <c r="AH52" s="631">
        <f>IF(AH$4="","",CHOOSE(uxb_works!$B$47,IF(INDEX(aData,$B52,AH$4)="","-",TEXT(INDEX(aData,$B52,AH$4),$H52)),IFERROR(INDEX(aScoresRounded,$B52,AH$4),"")))</f>
        <v>50.6</v>
      </c>
      <c r="AI52" s="631">
        <f>IF(AI$4="","",CHOOSE(uxb_works!$B$47,IF(INDEX(aData,$B52,AI$4)="","-",TEXT(INDEX(aData,$B52,AI$4),$H52)),IFERROR(INDEX(aScoresRounded,$B52,AI$4),"")))</f>
        <v>76.900000000000006</v>
      </c>
      <c r="AJ52" s="631">
        <f>IF(AJ$4="","",CHOOSE(uxb_works!$B$47,IF(INDEX(aData,$B52,AJ$4)="","-",TEXT(INDEX(aData,$B52,AJ$4),$H52)),IFERROR(INDEX(aScoresRounded,$B52,AJ$4),"")))</f>
        <v>83.4</v>
      </c>
      <c r="AK52" s="631">
        <f>IF(AK$4="","",CHOOSE(uxb_works!$B$47,IF(INDEX(aData,$B52,AK$4)="","-",TEXT(INDEX(aData,$B52,AK$4),$H52)),IFERROR(INDEX(aScoresRounded,$B52,AK$4),"")))</f>
        <v>70.599999999999994</v>
      </c>
      <c r="AL52" s="631">
        <f>IF(AL$4="","",CHOOSE(uxb_works!$B$47,IF(INDEX(aData,$B52,AL$4)="","-",TEXT(INDEX(aData,$B52,AL$4),$H52)),IFERROR(INDEX(aScoresRounded,$B52,AL$4),"")))</f>
        <v>73.400000000000006</v>
      </c>
      <c r="AM52" s="631">
        <f>IF(AM$4="","",CHOOSE(uxb_works!$B$47,IF(INDEX(aData,$B52,AM$4)="","-",TEXT(INDEX(aData,$B52,AM$4),$H52)),IFERROR(INDEX(aScoresRounded,$B52,AM$4),"")))</f>
        <v>79.599999999999994</v>
      </c>
      <c r="AN52" s="631">
        <f>IF(AN$4="","",CHOOSE(uxb_works!$B$47,IF(INDEX(aData,$B52,AN$4)="","-",TEXT(INDEX(aData,$B52,AN$4),$H52)),IFERROR(INDEX(aScoresRounded,$B52,AN$4),"")))</f>
        <v>74.3</v>
      </c>
      <c r="AO52" s="631">
        <f>IF(AO$4="","",CHOOSE(uxb_works!$B$47,IF(INDEX(aData,$B52,AO$4)="","-",TEXT(INDEX(aData,$B52,AO$4),$H52)),IFERROR(INDEX(aScoresRounded,$B52,AO$4),"")))</f>
        <v>81.599999999999994</v>
      </c>
      <c r="AP52" s="631">
        <f>IF(AP$4="","",CHOOSE(uxb_works!$B$47,IF(INDEX(aData,$B52,AP$4)="","-",TEXT(INDEX(aData,$B52,AP$4),$H52)),IFERROR(INDEX(aScoresRounded,$B52,AP$4),"")))</f>
        <v>80.400000000000006</v>
      </c>
      <c r="AQ52" s="631">
        <f>IF(AQ$4="","",CHOOSE(uxb_works!$B$47,IF(INDEX(aData,$B52,AQ$4)="","-",TEXT(INDEX(aData,$B52,AQ$4),$H52)),IFERROR(INDEX(aScoresRounded,$B52,AQ$4),"")))</f>
        <v>96.9</v>
      </c>
      <c r="AR52" s="631">
        <f>IF(AR$4="","",CHOOSE(uxb_works!$B$47,IF(INDEX(aData,$B52,AR$4)="","-",TEXT(INDEX(aData,$B52,AR$4),$H52)),IFERROR(INDEX(aScoresRounded,$B52,AR$4),"")))</f>
        <v>86.9</v>
      </c>
      <c r="AS52" s="631">
        <f>IF(AS$4="","",CHOOSE(uxb_works!$B$47,IF(INDEX(aData,$B52,AS$4)="","-",TEXT(INDEX(aData,$B52,AS$4),$H52)),IFERROR(INDEX(aScoresRounded,$B52,AS$4),"")))</f>
        <v>81.8</v>
      </c>
      <c r="AT52" s="570"/>
      <c r="AW52" s="157">
        <f>CHOOSE($AV$1,0,IF(AW$10=0,0,IF(P52&lt;=$AX$1,1,IF(P52&lt;=#REF!,2,3))),IF(AW$10=0,0,IF(P52&lt;=$AX$1,4,IF(P52&lt;=#REF!,5,6))))</f>
        <v>0</v>
      </c>
      <c r="AX52" s="157">
        <f>CHOOSE($AV$1,0,IF(AX$10=0,0,IF(#REF!&lt;=$AX$1,1,IF(#REF!&lt;=#REF!,2,3))),IF(AX$10=0,0,IF(#REF!&lt;=$AX$1,4,IF(#REF!&lt;=#REF!,5,6))))</f>
        <v>0</v>
      </c>
    </row>
    <row r="53" spans="1:50" ht="25" customHeight="1">
      <c r="A53" s="213"/>
      <c r="B53" s="218">
        <f>tblIndicators!A44</f>
        <v>43</v>
      </c>
      <c r="C53" s="218"/>
      <c r="D53" s="218"/>
      <c r="E53" s="218">
        <f>tblIndicators!B44</f>
        <v>0</v>
      </c>
      <c r="F53" s="218">
        <f>IF(AND(uxb_works!$B$47=2,E53=1),0,iScores!F48)</f>
        <v>3</v>
      </c>
      <c r="G53" s="218"/>
      <c r="H53" s="218" t="str">
        <f>tblIndicators!AC44</f>
        <v>#,##0</v>
      </c>
      <c r="I53" s="219"/>
      <c r="J53" s="218"/>
      <c r="K53" s="214">
        <f>IF(L53=0,0,IF(uxb_works!$B$46&gt;=L53,1,0))</f>
        <v>1</v>
      </c>
      <c r="L53" s="216">
        <f>IF(AND(uxb_works!$B$47=2,E53=1),0,tblIndicators!G44)</f>
        <v>3</v>
      </c>
      <c r="M53" s="218"/>
      <c r="N53" s="249" t="str">
        <f>iScores!N48</f>
        <v xml:space="preserve">   3.2.1) Data protection law</v>
      </c>
      <c r="O53" s="407">
        <f>CHOOSE(uxb_works!$B$47,iData!I48,iScores!O48)</f>
        <v>0.2</v>
      </c>
      <c r="P53" s="631">
        <f>IF(P$4="","",CHOOSE(uxb_works!$B$47,IF(INDEX(aData,$B53,P$4)="","-",TEXT(INDEX(aData,$B53,P$4),$H53)),IFERROR(INDEX(aScoresRounded,$B53,P$4),"")))</f>
        <v>100</v>
      </c>
      <c r="Q53" s="706">
        <f>IF(Q$4="","",CHOOSE(uxb_works!$B$47,IF(INDEX(aData,$B53,Q$4)="","-",TEXT(INDEX(aData,$B53,Q$4),$H53)),IFERROR(INDEX(aScoresRounded,$B53,Q$4),"")))</f>
        <v>100</v>
      </c>
      <c r="R53" s="706">
        <f>IF(R$4="","",CHOOSE(uxb_works!$B$47,IF(INDEX(aData,$B53,R$4)="","-",TEXT(INDEX(aData,$B53,R$4),$H53)),IFERROR(INDEX(aScoresRounded,$B53,R$4),"")))</f>
        <v>50</v>
      </c>
      <c r="S53" s="706">
        <f>IF(S$4="","",CHOOSE(uxb_works!$B$47,IF(INDEX(aData,$B53,S$4)="","-",TEXT(INDEX(aData,$B53,S$4),$H53)),IFERROR(INDEX(aScoresRounded,$B53,S$4),"")))</f>
        <v>100</v>
      </c>
      <c r="T53" s="706">
        <f>IF(T$4="","",CHOOSE(uxb_works!$B$47,IF(INDEX(aData,$B53,T$4)="","-",TEXT(INDEX(aData,$B53,T$4),$H53)),IFERROR(INDEX(aScoresRounded,$B53,T$4),"")))</f>
        <v>100</v>
      </c>
      <c r="U53" s="706">
        <f>IF(U$4="","",CHOOSE(uxb_works!$B$47,IF(INDEX(aData,$B53,U$4)="","-",TEXT(INDEX(aData,$B53,U$4),$H53)),IFERROR(INDEX(aScoresRounded,$B53,U$4),"")))</f>
        <v>100</v>
      </c>
      <c r="V53" s="706">
        <f>IF(V$4="","",CHOOSE(uxb_works!$B$47,IF(INDEX(aData,$B53,V$4)="","-",TEXT(INDEX(aData,$B53,V$4),$H53)),IFERROR(INDEX(aScoresRounded,$B53,V$4),"")))</f>
        <v>100</v>
      </c>
      <c r="W53" s="706">
        <f>IF(W$4="","",CHOOSE(uxb_works!$B$47,IF(INDEX(aData,$B53,W$4)="","-",TEXT(INDEX(aData,$B53,W$4),$H53)),IFERROR(INDEX(aScoresRounded,$B53,W$4),"")))</f>
        <v>100</v>
      </c>
      <c r="X53" s="706">
        <f>IF(X$4="","",CHOOSE(uxb_works!$B$47,IF(INDEX(aData,$B53,X$4)="","-",TEXT(INDEX(aData,$B53,X$4),$H53)),IFERROR(INDEX(aScoresRounded,$B53,X$4),"")))</f>
        <v>50</v>
      </c>
      <c r="Y53" s="631">
        <f>IF(Y$4="","",CHOOSE(uxb_works!$B$47,IF(INDEX(aData,$B53,Y$4)="","-",TEXT(INDEX(aData,$B53,Y$4),$H53)),IFERROR(INDEX(aScoresRounded,$B53,Y$4),"")))</f>
        <v>50</v>
      </c>
      <c r="Z53" s="631">
        <f>IF(Z$4="","",CHOOSE(uxb_works!$B$47,IF(INDEX(aData,$B53,Z$4)="","-",TEXT(INDEX(aData,$B53,Z$4),$H53)),IFERROR(INDEX(aScoresRounded,$B53,Z$4),"")))</f>
        <v>100</v>
      </c>
      <c r="AA53" s="631">
        <f>IF(AA$4="","",CHOOSE(uxb_works!$B$47,IF(INDEX(aData,$B53,AA$4)="","-",TEXT(INDEX(aData,$B53,AA$4),$H53)),IFERROR(INDEX(aScoresRounded,$B53,AA$4),"")))</f>
        <v>100</v>
      </c>
      <c r="AB53" s="631">
        <f>IF(AB$4="","",CHOOSE(uxb_works!$B$47,IF(INDEX(aData,$B53,AB$4)="","-",TEXT(INDEX(aData,$B53,AB$4),$H53)),IFERROR(INDEX(aScoresRounded,$B53,AB$4),"")))</f>
        <v>50</v>
      </c>
      <c r="AC53" s="631">
        <f>IF(AC$4="","",CHOOSE(uxb_works!$B$47,IF(INDEX(aData,$B53,AC$4)="","-",TEXT(INDEX(aData,$B53,AC$4),$H53)),IFERROR(INDEX(aScoresRounded,$B53,AC$4),"")))</f>
        <v>100</v>
      </c>
      <c r="AD53" s="631">
        <f>IF(AD$4="","",CHOOSE(uxb_works!$B$47,IF(INDEX(aData,$B53,AD$4)="","-",TEXT(INDEX(aData,$B53,AD$4),$H53)),IFERROR(INDEX(aScoresRounded,$B53,AD$4),"")))</f>
        <v>100</v>
      </c>
      <c r="AE53" s="631">
        <f>IF(AE$4="","",CHOOSE(uxb_works!$B$47,IF(INDEX(aData,$B53,AE$4)="","-",TEXT(INDEX(aData,$B53,AE$4),$H53)),IFERROR(INDEX(aScoresRounded,$B53,AE$4),"")))</f>
        <v>100</v>
      </c>
      <c r="AF53" s="631">
        <f>IF(AF$4="","",CHOOSE(uxb_works!$B$47,IF(INDEX(aData,$B53,AF$4)="","-",TEXT(INDEX(aData,$B53,AF$4),$H53)),IFERROR(INDEX(aScoresRounded,$B53,AF$4),"")))</f>
        <v>100</v>
      </c>
      <c r="AG53" s="631">
        <f>IF(AG$4="","",CHOOSE(uxb_works!$B$47,IF(INDEX(aData,$B53,AG$4)="","-",TEXT(INDEX(aData,$B53,AG$4),$H53)),IFERROR(INDEX(aScoresRounded,$B53,AG$4),"")))</f>
        <v>100</v>
      </c>
      <c r="AH53" s="631">
        <f>IF(AH$4="","",CHOOSE(uxb_works!$B$47,IF(INDEX(aData,$B53,AH$4)="","-",TEXT(INDEX(aData,$B53,AH$4),$H53)),IFERROR(INDEX(aScoresRounded,$B53,AH$4),"")))</f>
        <v>50</v>
      </c>
      <c r="AI53" s="631">
        <f>IF(AI$4="","",CHOOSE(uxb_works!$B$47,IF(INDEX(aData,$B53,AI$4)="","-",TEXT(INDEX(aData,$B53,AI$4),$H53)),IFERROR(INDEX(aScoresRounded,$B53,AI$4),"")))</f>
        <v>50</v>
      </c>
      <c r="AJ53" s="631">
        <f>IF(AJ$4="","",CHOOSE(uxb_works!$B$47,IF(INDEX(aData,$B53,AJ$4)="","-",TEXT(INDEX(aData,$B53,AJ$4),$H53)),IFERROR(INDEX(aScoresRounded,$B53,AJ$4),"")))</f>
        <v>100</v>
      </c>
      <c r="AK53" s="631">
        <f>IF(AK$4="","",CHOOSE(uxb_works!$B$47,IF(INDEX(aData,$B53,AK$4)="","-",TEXT(INDEX(aData,$B53,AK$4),$H53)),IFERROR(INDEX(aScoresRounded,$B53,AK$4),"")))</f>
        <v>100</v>
      </c>
      <c r="AL53" s="631">
        <f>IF(AL$4="","",CHOOSE(uxb_works!$B$47,IF(INDEX(aData,$B53,AL$4)="","-",TEXT(INDEX(aData,$B53,AL$4),$H53)),IFERROR(INDEX(aScoresRounded,$B53,AL$4),"")))</f>
        <v>100</v>
      </c>
      <c r="AM53" s="631">
        <f>IF(AM$4="","",CHOOSE(uxb_works!$B$47,IF(INDEX(aData,$B53,AM$4)="","-",TEXT(INDEX(aData,$B53,AM$4),$H53)),IFERROR(INDEX(aScoresRounded,$B53,AM$4),"")))</f>
        <v>100</v>
      </c>
      <c r="AN53" s="631">
        <f>IF(AN$4="","",CHOOSE(uxb_works!$B$47,IF(INDEX(aData,$B53,AN$4)="","-",TEXT(INDEX(aData,$B53,AN$4),$H53)),IFERROR(INDEX(aScoresRounded,$B53,AN$4),"")))</f>
        <v>100</v>
      </c>
      <c r="AO53" s="631">
        <f>IF(AO$4="","",CHOOSE(uxb_works!$B$47,IF(INDEX(aData,$B53,AO$4)="","-",TEXT(INDEX(aData,$B53,AO$4),$H53)),IFERROR(INDEX(aScoresRounded,$B53,AO$4),"")))</f>
        <v>100</v>
      </c>
      <c r="AP53" s="631">
        <f>IF(AP$4="","",CHOOSE(uxb_works!$B$47,IF(INDEX(aData,$B53,AP$4)="","-",TEXT(INDEX(aData,$B53,AP$4),$H53)),IFERROR(INDEX(aScoresRounded,$B53,AP$4),"")))</f>
        <v>100</v>
      </c>
      <c r="AQ53" s="631">
        <f>IF(AQ$4="","",CHOOSE(uxb_works!$B$47,IF(INDEX(aData,$B53,AQ$4)="","-",TEXT(INDEX(aData,$B53,AQ$4),$H53)),IFERROR(INDEX(aScoresRounded,$B53,AQ$4),"")))</f>
        <v>100</v>
      </c>
      <c r="AR53" s="631">
        <f>IF(AR$4="","",CHOOSE(uxb_works!$B$47,IF(INDEX(aData,$B53,AR$4)="","-",TEXT(INDEX(aData,$B53,AR$4),$H53)),IFERROR(INDEX(aScoresRounded,$B53,AR$4),"")))</f>
        <v>100</v>
      </c>
      <c r="AS53" s="631">
        <f>IF(AS$4="","",CHOOSE(uxb_works!$B$47,IF(INDEX(aData,$B53,AS$4)="","-",TEXT(INDEX(aData,$B53,AS$4),$H53)),IFERROR(INDEX(aScoresRounded,$B53,AS$4),"")))</f>
        <v>100</v>
      </c>
      <c r="AT53" s="570"/>
      <c r="AW53" s="157">
        <f>CHOOSE($AV$1,0,IF(AW$10=0,0,IF(P53&lt;=$AX$1,1,IF(P53&lt;=#REF!,2,3))),IF(AW$10=0,0,IF(P53&lt;=$AX$1,4,IF(P53&lt;=#REF!,5,6))))</f>
        <v>0</v>
      </c>
      <c r="AX53" s="157">
        <f>CHOOSE($AV$1,0,IF(AX$10=0,0,IF(#REF!&lt;=$AX$1,1,IF(#REF!&lt;=#REF!,2,3))),IF(AX$10=0,0,IF(#REF!&lt;=$AX$1,4,IF(#REF!&lt;=#REF!,5,6))))</f>
        <v>0</v>
      </c>
    </row>
    <row r="54" spans="1:50" ht="25" customHeight="1">
      <c r="A54" s="213"/>
      <c r="B54" s="218">
        <f>tblIndicators!A45</f>
        <v>44</v>
      </c>
      <c r="C54" s="218"/>
      <c r="D54" s="218"/>
      <c r="E54" s="218">
        <f>tblIndicators!B45</f>
        <v>0</v>
      </c>
      <c r="F54" s="218">
        <f>IF(AND(uxb_works!$B$47=2,E54=1),0,iScores!F49)</f>
        <v>3</v>
      </c>
      <c r="G54" s="218"/>
      <c r="H54" s="218" t="str">
        <f>tblIndicators!AC45</f>
        <v>#,##0</v>
      </c>
      <c r="I54" s="219"/>
      <c r="J54" s="218"/>
      <c r="K54" s="214">
        <f>IF(L54=0,0,IF(uxb_works!$B$46&gt;=L54,1,0))</f>
        <v>1</v>
      </c>
      <c r="L54" s="216">
        <f>IF(AND(uxb_works!$B$47=2,E54=1),0,tblIndicators!G45)</f>
        <v>3</v>
      </c>
      <c r="M54" s="218"/>
      <c r="N54" s="249" t="str">
        <f>iScores!N49</f>
        <v xml:space="preserve">   3.2.2) Cyber security preparedness</v>
      </c>
      <c r="O54" s="407">
        <f>CHOOSE(uxb_works!$B$47,iData!I49,iScores!O49)</f>
        <v>0.2</v>
      </c>
      <c r="P54" s="631">
        <f>IF(P$4="","",CHOOSE(uxb_works!$B$47,IF(INDEX(aData,$B54,P$4)="","-",TEXT(INDEX(aData,$B54,P$4),$H54)),IFERROR(INDEX(aScoresRounded,$B54,P$4),"")))</f>
        <v>75</v>
      </c>
      <c r="Q54" s="706">
        <f>IF(Q$4="","",CHOOSE(uxb_works!$B$47,IF(INDEX(aData,$B54,Q$4)="","-",TEXT(INDEX(aData,$B54,Q$4),$H54)),IFERROR(INDEX(aScoresRounded,$B54,Q$4),"")))</f>
        <v>100</v>
      </c>
      <c r="R54" s="706">
        <f>IF(R$4="","",CHOOSE(uxb_works!$B$47,IF(INDEX(aData,$B54,R$4)="","-",TEXT(INDEX(aData,$B54,R$4),$H54)),IFERROR(INDEX(aScoresRounded,$B54,R$4),"")))</f>
        <v>50</v>
      </c>
      <c r="S54" s="706">
        <f>IF(S$4="","",CHOOSE(uxb_works!$B$47,IF(INDEX(aData,$B54,S$4)="","-",TEXT(INDEX(aData,$B54,S$4),$H54)),IFERROR(INDEX(aScoresRounded,$B54,S$4),"")))</f>
        <v>75</v>
      </c>
      <c r="T54" s="706">
        <f>IF(T$4="","",CHOOSE(uxb_works!$B$47,IF(INDEX(aData,$B54,T$4)="","-",TEXT(INDEX(aData,$B54,T$4),$H54)),IFERROR(INDEX(aScoresRounded,$B54,T$4),"")))</f>
        <v>75</v>
      </c>
      <c r="U54" s="706">
        <f>IF(U$4="","",CHOOSE(uxb_works!$B$47,IF(INDEX(aData,$B54,U$4)="","-",TEXT(INDEX(aData,$B54,U$4),$H54)),IFERROR(INDEX(aScoresRounded,$B54,U$4),"")))</f>
        <v>75</v>
      </c>
      <c r="V54" s="706">
        <f>IF(V$4="","",CHOOSE(uxb_works!$B$47,IF(INDEX(aData,$B54,V$4)="","-",TEXT(INDEX(aData,$B54,V$4),$H54)),IFERROR(INDEX(aScoresRounded,$B54,V$4),"")))</f>
        <v>75</v>
      </c>
      <c r="W54" s="706">
        <f>IF(W$4="","",CHOOSE(uxb_works!$B$47,IF(INDEX(aData,$B54,W$4)="","-",TEXT(INDEX(aData,$B54,W$4),$H54)),IFERROR(INDEX(aScoresRounded,$B54,W$4),"")))</f>
        <v>100</v>
      </c>
      <c r="X54" s="706">
        <f>IF(X$4="","",CHOOSE(uxb_works!$B$47,IF(INDEX(aData,$B54,X$4)="","-",TEXT(INDEX(aData,$B54,X$4),$H54)),IFERROR(INDEX(aScoresRounded,$B54,X$4),"")))</f>
        <v>100</v>
      </c>
      <c r="Y54" s="631">
        <f>IF(Y$4="","",CHOOSE(uxb_works!$B$47,IF(INDEX(aData,$B54,Y$4)="","-",TEXT(INDEX(aData,$B54,Y$4),$H54)),IFERROR(INDEX(aScoresRounded,$B54,Y$4),"")))</f>
        <v>75</v>
      </c>
      <c r="Z54" s="631">
        <f>IF(Z$4="","",CHOOSE(uxb_works!$B$47,IF(INDEX(aData,$B54,Z$4)="","-",TEXT(INDEX(aData,$B54,Z$4),$H54)),IFERROR(INDEX(aScoresRounded,$B54,Z$4),"")))</f>
        <v>75</v>
      </c>
      <c r="AA54" s="631">
        <f>IF(AA$4="","",CHOOSE(uxb_works!$B$47,IF(INDEX(aData,$B54,AA$4)="","-",TEXT(INDEX(aData,$B54,AA$4),$H54)),IFERROR(INDEX(aScoresRounded,$B54,AA$4),"")))</f>
        <v>50</v>
      </c>
      <c r="AB54" s="631">
        <f>IF(AB$4="","",CHOOSE(uxb_works!$B$47,IF(INDEX(aData,$B54,AB$4)="","-",TEXT(INDEX(aData,$B54,AB$4),$H54)),IFERROR(INDEX(aScoresRounded,$B54,AB$4),"")))</f>
        <v>75</v>
      </c>
      <c r="AC54" s="631">
        <f>IF(AC$4="","",CHOOSE(uxb_works!$B$47,IF(INDEX(aData,$B54,AC$4)="","-",TEXT(INDEX(aData,$B54,AC$4),$H54)),IFERROR(INDEX(aScoresRounded,$B54,AC$4),"")))</f>
        <v>100</v>
      </c>
      <c r="AD54" s="631">
        <f>IF(AD$4="","",CHOOSE(uxb_works!$B$47,IF(INDEX(aData,$B54,AD$4)="","-",TEXT(INDEX(aData,$B54,AD$4),$H54)),IFERROR(INDEX(aScoresRounded,$B54,AD$4),"")))</f>
        <v>75</v>
      </c>
      <c r="AE54" s="631">
        <f>IF(AE$4="","",CHOOSE(uxb_works!$B$47,IF(INDEX(aData,$B54,AE$4)="","-",TEXT(INDEX(aData,$B54,AE$4),$H54)),IFERROR(INDEX(aScoresRounded,$B54,AE$4),"")))</f>
        <v>75</v>
      </c>
      <c r="AF54" s="631">
        <f>IF(AF$4="","",CHOOSE(uxb_works!$B$47,IF(INDEX(aData,$B54,AF$4)="","-",TEXT(INDEX(aData,$B54,AF$4),$H54)),IFERROR(INDEX(aScoresRounded,$B54,AF$4),"")))</f>
        <v>50</v>
      </c>
      <c r="AG54" s="631">
        <f>IF(AG$4="","",CHOOSE(uxb_works!$B$47,IF(INDEX(aData,$B54,AG$4)="","-",TEXT(INDEX(aData,$B54,AG$4),$H54)),IFERROR(INDEX(aScoresRounded,$B54,AG$4),"")))</f>
        <v>50</v>
      </c>
      <c r="AH54" s="631">
        <f>IF(AH$4="","",CHOOSE(uxb_works!$B$47,IF(INDEX(aData,$B54,AH$4)="","-",TEXT(INDEX(aData,$B54,AH$4),$H54)),IFERROR(INDEX(aScoresRounded,$B54,AH$4),"")))</f>
        <v>50</v>
      </c>
      <c r="AI54" s="631">
        <f>IF(AI$4="","",CHOOSE(uxb_works!$B$47,IF(INDEX(aData,$B54,AI$4)="","-",TEXT(INDEX(aData,$B54,AI$4),$H54)),IFERROR(INDEX(aScoresRounded,$B54,AI$4),"")))</f>
        <v>100</v>
      </c>
      <c r="AJ54" s="631">
        <f>IF(AJ$4="","",CHOOSE(uxb_works!$B$47,IF(INDEX(aData,$B54,AJ$4)="","-",TEXT(INDEX(aData,$B54,AJ$4),$H54)),IFERROR(INDEX(aScoresRounded,$B54,AJ$4),"")))</f>
        <v>75</v>
      </c>
      <c r="AK54" s="631">
        <f>IF(AK$4="","",CHOOSE(uxb_works!$B$47,IF(INDEX(aData,$B54,AK$4)="","-",TEXT(INDEX(aData,$B54,AK$4),$H54)),IFERROR(INDEX(aScoresRounded,$B54,AK$4),"")))</f>
        <v>50</v>
      </c>
      <c r="AL54" s="631">
        <f>IF(AL$4="","",CHOOSE(uxb_works!$B$47,IF(INDEX(aData,$B54,AL$4)="","-",TEXT(INDEX(aData,$B54,AL$4),$H54)),IFERROR(INDEX(aScoresRounded,$B54,AL$4),"")))</f>
        <v>75</v>
      </c>
      <c r="AM54" s="631">
        <f>IF(AM$4="","",CHOOSE(uxb_works!$B$47,IF(INDEX(aData,$B54,AM$4)="","-",TEXT(INDEX(aData,$B54,AM$4),$H54)),IFERROR(INDEX(aScoresRounded,$B54,AM$4),"")))</f>
        <v>100</v>
      </c>
      <c r="AN54" s="631">
        <f>IF(AN$4="","",CHOOSE(uxb_works!$B$47,IF(INDEX(aData,$B54,AN$4)="","-",TEXT(INDEX(aData,$B54,AN$4),$H54)),IFERROR(INDEX(aScoresRounded,$B54,AN$4),"")))</f>
        <v>75</v>
      </c>
      <c r="AO54" s="631">
        <f>IF(AO$4="","",CHOOSE(uxb_works!$B$47,IF(INDEX(aData,$B54,AO$4)="","-",TEXT(INDEX(aData,$B54,AO$4),$H54)),IFERROR(INDEX(aScoresRounded,$B54,AO$4),"")))</f>
        <v>75</v>
      </c>
      <c r="AP54" s="631">
        <f>IF(AP$4="","",CHOOSE(uxb_works!$B$47,IF(INDEX(aData,$B54,AP$4)="","-",TEXT(INDEX(aData,$B54,AP$4),$H54)),IFERROR(INDEX(aScoresRounded,$B54,AP$4),"")))</f>
        <v>75</v>
      </c>
      <c r="AQ54" s="631">
        <f>IF(AQ$4="","",CHOOSE(uxb_works!$B$47,IF(INDEX(aData,$B54,AQ$4)="","-",TEXT(INDEX(aData,$B54,AQ$4),$H54)),IFERROR(INDEX(aScoresRounded,$B54,AQ$4),"")))</f>
        <v>100</v>
      </c>
      <c r="AR54" s="631">
        <f>IF(AR$4="","",CHOOSE(uxb_works!$B$47,IF(INDEX(aData,$B54,AR$4)="","-",TEXT(INDEX(aData,$B54,AR$4),$H54)),IFERROR(INDEX(aScoresRounded,$B54,AR$4),"")))</f>
        <v>100</v>
      </c>
      <c r="AS54" s="631">
        <f>IF(AS$4="","",CHOOSE(uxb_works!$B$47,IF(INDEX(aData,$B54,AS$4)="","-",TEXT(INDEX(aData,$B54,AS$4),$H54)),IFERROR(INDEX(aScoresRounded,$B54,AS$4),"")))</f>
        <v>100</v>
      </c>
      <c r="AT54" s="570"/>
      <c r="AW54" s="157">
        <f>CHOOSE($AV$1,0,IF(AW$10=0,0,IF(P54&lt;=$AX$1,1,IF(P54&lt;=#REF!,2,3))),IF(AW$10=0,0,IF(P54&lt;=$AX$1,4,IF(P54&lt;=#REF!,5,6))))</f>
        <v>0</v>
      </c>
      <c r="AX54" s="157">
        <f>CHOOSE($AV$1,0,IF(AX$10=0,0,IF(#REF!&lt;=$AX$1,1,IF(#REF!&lt;=#REF!,2,3))),IF(AX$10=0,0,IF(#REF!&lt;=$AX$1,4,IF(#REF!&lt;=#REF!,5,6))))</f>
        <v>0</v>
      </c>
    </row>
    <row r="55" spans="1:50" ht="25" customHeight="1">
      <c r="A55" s="213"/>
      <c r="B55" s="218">
        <f>tblIndicators!A46</f>
        <v>45</v>
      </c>
      <c r="C55" s="218"/>
      <c r="D55" s="218"/>
      <c r="E55" s="218">
        <f>tblIndicators!B46</f>
        <v>0</v>
      </c>
      <c r="F55" s="218">
        <f>IF(AND(uxb_works!$B$47=2,E55=1),0,iScores!F50)</f>
        <v>3</v>
      </c>
      <c r="G55" s="218"/>
      <c r="H55" s="218" t="str">
        <f>tblIndicators!AC46</f>
        <v>#,##0</v>
      </c>
      <c r="I55" s="219"/>
      <c r="J55" s="218"/>
      <c r="K55" s="214">
        <f>IF(L55=0,0,IF(uxb_works!$B$46&gt;=L55,1,0))</f>
        <v>1</v>
      </c>
      <c r="L55" s="216">
        <f>IF(AND(uxb_works!$B$47=2,E55=1),0,tblIndicators!G46)</f>
        <v>3</v>
      </c>
      <c r="M55" s="218"/>
      <c r="N55" s="249" t="str">
        <f>iScores!N50</f>
        <v xml:space="preserve">   3.2.3) Cyber security risk awareness</v>
      </c>
      <c r="O55" s="407">
        <f>CHOOSE(uxb_works!$B$47,iData!I50,iScores!O50)</f>
        <v>0.2</v>
      </c>
      <c r="P55" s="631">
        <f>IF(P$4="","",CHOOSE(uxb_works!$B$47,IF(INDEX(aData,$B55,P$4)="","-",TEXT(INDEX(aData,$B55,P$4),$H55)),IFERROR(INDEX(aScoresRounded,$B55,P$4),"")))</f>
        <v>50</v>
      </c>
      <c r="Q55" s="706">
        <f>IF(Q$4="","",CHOOSE(uxb_works!$B$47,IF(INDEX(aData,$B55,Q$4)="","-",TEXT(INDEX(aData,$B55,Q$4),$H55)),IFERROR(INDEX(aScoresRounded,$B55,Q$4),"")))</f>
        <v>50</v>
      </c>
      <c r="R55" s="706">
        <f>IF(R$4="","",CHOOSE(uxb_works!$B$47,IF(INDEX(aData,$B55,R$4)="","-",TEXT(INDEX(aData,$B55,R$4),$H55)),IFERROR(INDEX(aScoresRounded,$B55,R$4),"")))</f>
        <v>50</v>
      </c>
      <c r="S55" s="706">
        <f>IF(S$4="","",CHOOSE(uxb_works!$B$47,IF(INDEX(aData,$B55,S$4)="","-",TEXT(INDEX(aData,$B55,S$4),$H55)),IFERROR(INDEX(aScoresRounded,$B55,S$4),"")))</f>
        <v>50</v>
      </c>
      <c r="T55" s="706">
        <f>IF(T$4="","",CHOOSE(uxb_works!$B$47,IF(INDEX(aData,$B55,T$4)="","-",TEXT(INDEX(aData,$B55,T$4),$H55)),IFERROR(INDEX(aScoresRounded,$B55,T$4),"")))</f>
        <v>75</v>
      </c>
      <c r="U55" s="706">
        <f>IF(U$4="","",CHOOSE(uxb_works!$B$47,IF(INDEX(aData,$B55,U$4)="","-",TEXT(INDEX(aData,$B55,U$4),$H55)),IFERROR(INDEX(aScoresRounded,$B55,U$4),"")))</f>
        <v>75</v>
      </c>
      <c r="V55" s="706">
        <f>IF(V$4="","",CHOOSE(uxb_works!$B$47,IF(INDEX(aData,$B55,V$4)="","-",TEXT(INDEX(aData,$B55,V$4),$H55)),IFERROR(INDEX(aScoresRounded,$B55,V$4),"")))</f>
        <v>50</v>
      </c>
      <c r="W55" s="706">
        <f>IF(W$4="","",CHOOSE(uxb_works!$B$47,IF(INDEX(aData,$B55,W$4)="","-",TEXT(INDEX(aData,$B55,W$4),$H55)),IFERROR(INDEX(aScoresRounded,$B55,W$4),"")))</f>
        <v>50</v>
      </c>
      <c r="X55" s="706">
        <f>IF(X$4="","",CHOOSE(uxb_works!$B$47,IF(INDEX(aData,$B55,X$4)="","-",TEXT(INDEX(aData,$B55,X$4),$H55)),IFERROR(INDEX(aScoresRounded,$B55,X$4),"")))</f>
        <v>75</v>
      </c>
      <c r="Y55" s="631">
        <f>IF(Y$4="","",CHOOSE(uxb_works!$B$47,IF(INDEX(aData,$B55,Y$4)="","-",TEXT(INDEX(aData,$B55,Y$4),$H55)),IFERROR(INDEX(aScoresRounded,$B55,Y$4),"")))</f>
        <v>50</v>
      </c>
      <c r="Z55" s="631">
        <f>IF(Z$4="","",CHOOSE(uxb_works!$B$47,IF(INDEX(aData,$B55,Z$4)="","-",TEXT(INDEX(aData,$B55,Z$4),$H55)),IFERROR(INDEX(aScoresRounded,$B55,Z$4),"")))</f>
        <v>75</v>
      </c>
      <c r="AA55" s="631">
        <f>IF(AA$4="","",CHOOSE(uxb_works!$B$47,IF(INDEX(aData,$B55,AA$4)="","-",TEXT(INDEX(aData,$B55,AA$4),$H55)),IFERROR(INDEX(aScoresRounded,$B55,AA$4),"")))</f>
        <v>50</v>
      </c>
      <c r="AB55" s="631">
        <f>IF(AB$4="","",CHOOSE(uxb_works!$B$47,IF(INDEX(aData,$B55,AB$4)="","-",TEXT(INDEX(aData,$B55,AB$4),$H55)),IFERROR(INDEX(aScoresRounded,$B55,AB$4),"")))</f>
        <v>25</v>
      </c>
      <c r="AC55" s="631">
        <f>IF(AC$4="","",CHOOSE(uxb_works!$B$47,IF(INDEX(aData,$B55,AC$4)="","-",TEXT(INDEX(aData,$B55,AC$4),$H55)),IFERROR(INDEX(aScoresRounded,$B55,AC$4),"")))</f>
        <v>75</v>
      </c>
      <c r="AD55" s="631">
        <f>IF(AD$4="","",CHOOSE(uxb_works!$B$47,IF(INDEX(aData,$B55,AD$4)="","-",TEXT(INDEX(aData,$B55,AD$4),$H55)),IFERROR(INDEX(aScoresRounded,$B55,AD$4),"")))</f>
        <v>75</v>
      </c>
      <c r="AE55" s="631">
        <f>IF(AE$4="","",CHOOSE(uxb_works!$B$47,IF(INDEX(aData,$B55,AE$4)="","-",TEXT(INDEX(aData,$B55,AE$4),$H55)),IFERROR(INDEX(aScoresRounded,$B55,AE$4),"")))</f>
        <v>50</v>
      </c>
      <c r="AF55" s="631">
        <f>IF(AF$4="","",CHOOSE(uxb_works!$B$47,IF(INDEX(aData,$B55,AF$4)="","-",TEXT(INDEX(aData,$B55,AF$4),$H55)),IFERROR(INDEX(aScoresRounded,$B55,AF$4),"")))</f>
        <v>75</v>
      </c>
      <c r="AG55" s="631">
        <f>IF(AG$4="","",CHOOSE(uxb_works!$B$47,IF(INDEX(aData,$B55,AG$4)="","-",TEXT(INDEX(aData,$B55,AG$4),$H55)),IFERROR(INDEX(aScoresRounded,$B55,AG$4),"")))</f>
        <v>50</v>
      </c>
      <c r="AH55" s="631">
        <f>IF(AH$4="","",CHOOSE(uxb_works!$B$47,IF(INDEX(aData,$B55,AH$4)="","-",TEXT(INDEX(aData,$B55,AH$4),$H55)),IFERROR(INDEX(aScoresRounded,$B55,AH$4),"")))</f>
        <v>75</v>
      </c>
      <c r="AI55" s="631">
        <f>IF(AI$4="","",CHOOSE(uxb_works!$B$47,IF(INDEX(aData,$B55,AI$4)="","-",TEXT(INDEX(aData,$B55,AI$4),$H55)),IFERROR(INDEX(aScoresRounded,$B55,AI$4),"")))</f>
        <v>75</v>
      </c>
      <c r="AJ55" s="631">
        <f>IF(AJ$4="","",CHOOSE(uxb_works!$B$47,IF(INDEX(aData,$B55,AJ$4)="","-",TEXT(INDEX(aData,$B55,AJ$4),$H55)),IFERROR(INDEX(aScoresRounded,$B55,AJ$4),"")))</f>
        <v>75</v>
      </c>
      <c r="AK55" s="631">
        <f>IF(AK$4="","",CHOOSE(uxb_works!$B$47,IF(INDEX(aData,$B55,AK$4)="","-",TEXT(INDEX(aData,$B55,AK$4),$H55)),IFERROR(INDEX(aScoresRounded,$B55,AK$4),"")))</f>
        <v>75</v>
      </c>
      <c r="AL55" s="631">
        <f>IF(AL$4="","",CHOOSE(uxb_works!$B$47,IF(INDEX(aData,$B55,AL$4)="","-",TEXT(INDEX(aData,$B55,AL$4),$H55)),IFERROR(INDEX(aScoresRounded,$B55,AL$4),"")))</f>
        <v>75</v>
      </c>
      <c r="AM55" s="631">
        <f>IF(AM$4="","",CHOOSE(uxb_works!$B$47,IF(INDEX(aData,$B55,AM$4)="","-",TEXT(INDEX(aData,$B55,AM$4),$H55)),IFERROR(INDEX(aScoresRounded,$B55,AM$4),"")))</f>
        <v>50</v>
      </c>
      <c r="AN55" s="631">
        <f>IF(AN$4="","",CHOOSE(uxb_works!$B$47,IF(INDEX(aData,$B55,AN$4)="","-",TEXT(INDEX(aData,$B55,AN$4),$H55)),IFERROR(INDEX(aScoresRounded,$B55,AN$4),"")))</f>
        <v>100</v>
      </c>
      <c r="AO55" s="631">
        <f>IF(AO$4="","",CHOOSE(uxb_works!$B$47,IF(INDEX(aData,$B55,AO$4)="","-",TEXT(INDEX(aData,$B55,AO$4),$H55)),IFERROR(INDEX(aScoresRounded,$B55,AO$4),"")))</f>
        <v>75</v>
      </c>
      <c r="AP55" s="631">
        <f>IF(AP$4="","",CHOOSE(uxb_works!$B$47,IF(INDEX(aData,$B55,AP$4)="","-",TEXT(INDEX(aData,$B55,AP$4),$H55)),IFERROR(INDEX(aScoresRounded,$B55,AP$4),"")))</f>
        <v>75</v>
      </c>
      <c r="AQ55" s="631">
        <f>IF(AQ$4="","",CHOOSE(uxb_works!$B$47,IF(INDEX(aData,$B55,AQ$4)="","-",TEXT(INDEX(aData,$B55,AQ$4),$H55)),IFERROR(INDEX(aScoresRounded,$B55,AQ$4),"")))</f>
        <v>100</v>
      </c>
      <c r="AR55" s="631">
        <f>IF(AR$4="","",CHOOSE(uxb_works!$B$47,IF(INDEX(aData,$B55,AR$4)="","-",TEXT(INDEX(aData,$B55,AR$4),$H55)),IFERROR(INDEX(aScoresRounded,$B55,AR$4),"")))</f>
        <v>75</v>
      </c>
      <c r="AS55" s="631">
        <f>IF(AS$4="","",CHOOSE(uxb_works!$B$47,IF(INDEX(aData,$B55,AS$4)="","-",TEXT(INDEX(aData,$B55,AS$4),$H55)),IFERROR(INDEX(aScoresRounded,$B55,AS$4),"")))</f>
        <v>75</v>
      </c>
      <c r="AT55" s="570"/>
      <c r="AW55" s="157">
        <f>CHOOSE($AV$1,0,IF(AW$10=0,0,IF(P55&lt;=$AX$1,1,IF(P55&lt;=#REF!,2,3))),IF(AW$10=0,0,IF(P55&lt;=$AX$1,4,IF(P55&lt;=#REF!,5,6))))</f>
        <v>0</v>
      </c>
      <c r="AX55" s="157">
        <f>CHOOSE($AV$1,0,IF(AX$10=0,0,IF(#REF!&lt;=$AX$1,1,IF(#REF!&lt;=#REF!,2,3))),IF(AX$10=0,0,IF(#REF!&lt;=$AX$1,4,IF(#REF!&lt;=#REF!,5,6))))</f>
        <v>0</v>
      </c>
    </row>
    <row r="56" spans="1:50" ht="25" customHeight="1">
      <c r="A56" s="213"/>
      <c r="B56" s="218">
        <f>tblIndicators!A47</f>
        <v>46</v>
      </c>
      <c r="C56" s="218"/>
      <c r="D56" s="218"/>
      <c r="E56" s="218">
        <f>tblIndicators!B47</f>
        <v>0</v>
      </c>
      <c r="F56" s="218">
        <f>IF(AND(uxb_works!$B$47=2,E56=1),0,iScores!F51)</f>
        <v>3</v>
      </c>
      <c r="G56" s="218"/>
      <c r="H56" s="218" t="str">
        <f>tblIndicators!AC47</f>
        <v>#,##0</v>
      </c>
      <c r="I56" s="219"/>
      <c r="J56" s="218"/>
      <c r="K56" s="214">
        <f>IF(L56=0,0,IF(uxb_works!$B$46&gt;=L56,1,0))</f>
        <v>1</v>
      </c>
      <c r="L56" s="216">
        <f>IF(AND(uxb_works!$B$47=2,E56=1),0,tblIndicators!G47)</f>
        <v>3</v>
      </c>
      <c r="M56" s="218"/>
      <c r="N56" s="249" t="str">
        <f>iScores!N51</f>
        <v xml:space="preserve">   3.2.4) Open data access and use</v>
      </c>
      <c r="O56" s="407">
        <f>CHOOSE(uxb_works!$B$47,iData!I51,iScores!O51)</f>
        <v>0.2</v>
      </c>
      <c r="P56" s="631">
        <f>IF(P$4="","",CHOOSE(uxb_works!$B$47,IF(INDEX(aData,$B56,P$4)="","-",TEXT(INDEX(aData,$B56,P$4),$H56)),IFERROR(INDEX(aScoresRounded,$B56,P$4),"")))</f>
        <v>68.8</v>
      </c>
      <c r="Q56" s="706">
        <f>IF(Q$4="","",CHOOSE(uxb_works!$B$47,IF(INDEX(aData,$B56,Q$4)="","-",TEXT(INDEX(aData,$B56,Q$4),$H56)),IFERROR(INDEX(aScoresRounded,$B56,Q$4),"")))</f>
        <v>73.8</v>
      </c>
      <c r="R56" s="706">
        <f>IF(R$4="","",CHOOSE(uxb_works!$B$47,IF(INDEX(aData,$B56,R$4)="","-",TEXT(INDEX(aData,$B56,R$4),$H56)),IFERROR(INDEX(aScoresRounded,$B56,R$4),"")))</f>
        <v>10</v>
      </c>
      <c r="S56" s="706">
        <f>IF(S$4="","",CHOOSE(uxb_works!$B$47,IF(INDEX(aData,$B56,S$4)="","-",TEXT(INDEX(aData,$B56,S$4),$H56)),IFERROR(INDEX(aScoresRounded,$B56,S$4),"")))</f>
        <v>66.3</v>
      </c>
      <c r="T56" s="706">
        <f>IF(T$4="","",CHOOSE(uxb_works!$B$47,IF(INDEX(aData,$B56,T$4)="","-",TEXT(INDEX(aData,$B56,T$4),$H56)),IFERROR(INDEX(aScoresRounded,$B56,T$4),"")))</f>
        <v>0</v>
      </c>
      <c r="U56" s="706">
        <f>IF(U$4="","",CHOOSE(uxb_works!$B$47,IF(INDEX(aData,$B56,U$4)="","-",TEXT(INDEX(aData,$B56,U$4),$H56)),IFERROR(INDEX(aScoresRounded,$B56,U$4),"")))</f>
        <v>62.5</v>
      </c>
      <c r="V56" s="706">
        <f>IF(V$4="","",CHOOSE(uxb_works!$B$47,IF(INDEX(aData,$B56,V$4)="","-",TEXT(INDEX(aData,$B56,V$4),$H56)),IFERROR(INDEX(aScoresRounded,$B56,V$4),"")))</f>
        <v>22.5</v>
      </c>
      <c r="W56" s="706">
        <f>IF(W$4="","",CHOOSE(uxb_works!$B$47,IF(INDEX(aData,$B56,W$4)="","-",TEXT(INDEX(aData,$B56,W$4),$H56)),IFERROR(INDEX(aScoresRounded,$B56,W$4),"")))</f>
        <v>63.8</v>
      </c>
      <c r="X56" s="706">
        <f>IF(X$4="","",CHOOSE(uxb_works!$B$47,IF(INDEX(aData,$B56,X$4)="","-",TEXT(INDEX(aData,$B56,X$4),$H56)),IFERROR(INDEX(aScoresRounded,$B56,X$4),"")))</f>
        <v>77.5</v>
      </c>
      <c r="Y56" s="631">
        <f>IF(Y$4="","",CHOOSE(uxb_works!$B$47,IF(INDEX(aData,$B56,Y$4)="","-",TEXT(INDEX(aData,$B56,Y$4),$H56)),IFERROR(INDEX(aScoresRounded,$B56,Y$4),"")))</f>
        <v>7.5</v>
      </c>
      <c r="Z56" s="631">
        <f>IF(Z$4="","",CHOOSE(uxb_works!$B$47,IF(INDEX(aData,$B56,Z$4)="","-",TEXT(INDEX(aData,$B56,Z$4),$H56)),IFERROR(INDEX(aScoresRounded,$B56,Z$4),"")))</f>
        <v>62.5</v>
      </c>
      <c r="AA56" s="631">
        <f>IF(AA$4="","",CHOOSE(uxb_works!$B$47,IF(INDEX(aData,$B56,AA$4)="","-",TEXT(INDEX(aData,$B56,AA$4),$H56)),IFERROR(INDEX(aScoresRounded,$B56,AA$4),"")))</f>
        <v>48.8</v>
      </c>
      <c r="AB56" s="631">
        <f>IF(AB$4="","",CHOOSE(uxb_works!$B$47,IF(INDEX(aData,$B56,AB$4)="","-",TEXT(INDEX(aData,$B56,AB$4),$H56)),IFERROR(INDEX(aScoresRounded,$B56,AB$4),"")))</f>
        <v>22.5</v>
      </c>
      <c r="AC56" s="631">
        <f>IF(AC$4="","",CHOOSE(uxb_works!$B$47,IF(INDEX(aData,$B56,AC$4)="","-",TEXT(INDEX(aData,$B56,AC$4),$H56)),IFERROR(INDEX(aScoresRounded,$B56,AC$4),"")))</f>
        <v>10</v>
      </c>
      <c r="AD56" s="631">
        <f>IF(AD$4="","",CHOOSE(uxb_works!$B$47,IF(INDEX(aData,$B56,AD$4)="","-",TEXT(INDEX(aData,$B56,AD$4),$H56)),IFERROR(INDEX(aScoresRounded,$B56,AD$4),"")))</f>
        <v>100</v>
      </c>
      <c r="AE56" s="631">
        <f>IF(AE$4="","",CHOOSE(uxb_works!$B$47,IF(INDEX(aData,$B56,AE$4)="","-",TEXT(INDEX(aData,$B56,AE$4),$H56)),IFERROR(INDEX(aScoresRounded,$B56,AE$4),"")))</f>
        <v>66.3</v>
      </c>
      <c r="AF56" s="631">
        <f>IF(AF$4="","",CHOOSE(uxb_works!$B$47,IF(INDEX(aData,$B56,AF$4)="","-",TEXT(INDEX(aData,$B56,AF$4),$H56)),IFERROR(INDEX(aScoresRounded,$B56,AF$4),"")))</f>
        <v>43.8</v>
      </c>
      <c r="AG56" s="631">
        <f>IF(AG$4="","",CHOOSE(uxb_works!$B$47,IF(INDEX(aData,$B56,AG$4)="","-",TEXT(INDEX(aData,$B56,AG$4),$H56)),IFERROR(INDEX(aScoresRounded,$B56,AG$4),"")))</f>
        <v>66.3</v>
      </c>
      <c r="AH56" s="631">
        <f>IF(AH$4="","",CHOOSE(uxb_works!$B$47,IF(INDEX(aData,$B56,AH$4)="","-",TEXT(INDEX(aData,$B56,AH$4),$H56)),IFERROR(INDEX(aScoresRounded,$B56,AH$4),"")))</f>
        <v>28.8</v>
      </c>
      <c r="AI56" s="631">
        <f>IF(AI$4="","",CHOOSE(uxb_works!$B$47,IF(INDEX(aData,$B56,AI$4)="","-",TEXT(INDEX(aData,$B56,AI$4),$H56)),IFERROR(INDEX(aScoresRounded,$B56,AI$4),"")))</f>
        <v>77.5</v>
      </c>
      <c r="AJ56" s="631">
        <f>IF(AJ$4="","",CHOOSE(uxb_works!$B$47,IF(INDEX(aData,$B56,AJ$4)="","-",TEXT(INDEX(aData,$B56,AJ$4),$H56)),IFERROR(INDEX(aScoresRounded,$B56,AJ$4),"")))</f>
        <v>81.3</v>
      </c>
      <c r="AK56" s="631">
        <f>IF(AK$4="","",CHOOSE(uxb_works!$B$47,IF(INDEX(aData,$B56,AK$4)="","-",TEXT(INDEX(aData,$B56,AK$4),$H56)),IFERROR(INDEX(aScoresRounded,$B56,AK$4),"")))</f>
        <v>45</v>
      </c>
      <c r="AL56" s="631">
        <f>IF(AL$4="","",CHOOSE(uxb_works!$B$47,IF(INDEX(aData,$B56,AL$4)="","-",TEXT(INDEX(aData,$B56,AL$4),$H56)),IFERROR(INDEX(aScoresRounded,$B56,AL$4),"")))</f>
        <v>48.8</v>
      </c>
      <c r="AM56" s="631">
        <f>IF(AM$4="","",CHOOSE(uxb_works!$B$47,IF(INDEX(aData,$B56,AM$4)="","-",TEXT(INDEX(aData,$B56,AM$4),$H56)),IFERROR(INDEX(aScoresRounded,$B56,AM$4),"")))</f>
        <v>76.3</v>
      </c>
      <c r="AN56" s="631">
        <f>IF(AN$4="","",CHOOSE(uxb_works!$B$47,IF(INDEX(aData,$B56,AN$4)="","-",TEXT(INDEX(aData,$B56,AN$4),$H56)),IFERROR(INDEX(aScoresRounded,$B56,AN$4),"")))</f>
        <v>41.3</v>
      </c>
      <c r="AO56" s="631">
        <f>IF(AO$4="","",CHOOSE(uxb_works!$B$47,IF(INDEX(aData,$B56,AO$4)="","-",TEXT(INDEX(aData,$B56,AO$4),$H56)),IFERROR(INDEX(aScoresRounded,$B56,AO$4),"")))</f>
        <v>76.3</v>
      </c>
      <c r="AP56" s="631">
        <f>IF(AP$4="","",CHOOSE(uxb_works!$B$47,IF(INDEX(aData,$B56,AP$4)="","-",TEXT(INDEX(aData,$B56,AP$4),$H56)),IFERROR(INDEX(aScoresRounded,$B56,AP$4),"")))</f>
        <v>68.8</v>
      </c>
      <c r="AQ56" s="631">
        <f>IF(AQ$4="","",CHOOSE(uxb_works!$B$47,IF(INDEX(aData,$B56,AQ$4)="","-",TEXT(INDEX(aData,$B56,AQ$4),$H56)),IFERROR(INDEX(aScoresRounded,$B56,AQ$4),"")))</f>
        <v>87.5</v>
      </c>
      <c r="AR56" s="631">
        <f>IF(AR$4="","",CHOOSE(uxb_works!$B$47,IF(INDEX(aData,$B56,AR$4)="","-",TEXT(INDEX(aData,$B56,AR$4),$H56)),IFERROR(INDEX(aScoresRounded,$B56,AR$4),"")))</f>
        <v>77.5</v>
      </c>
      <c r="AS56" s="631">
        <f>IF(AS$4="","",CHOOSE(uxb_works!$B$47,IF(INDEX(aData,$B56,AS$4)="","-",TEXT(INDEX(aData,$B56,AS$4),$H56)),IFERROR(INDEX(aScoresRounded,$B56,AS$4),"")))</f>
        <v>47.5</v>
      </c>
      <c r="AT56" s="570"/>
      <c r="AW56" s="157">
        <f>CHOOSE($AV$1,0,IF(AW$10=0,0,IF(P56&lt;=$AX$1,1,IF(P56&lt;=#REF!,2,3))),IF(AW$10=0,0,IF(P56&lt;=$AX$1,4,IF(P56&lt;=#REF!,5,6))))</f>
        <v>0</v>
      </c>
      <c r="AX56" s="157">
        <f>CHOOSE($AV$1,0,IF(AX$10=0,0,IF(#REF!&lt;=$AX$1,1,IF(#REF!&lt;=#REF!,2,3))),IF(AX$10=0,0,IF(#REF!&lt;=$AX$1,4,IF(#REF!&lt;=#REF!,5,6))))</f>
        <v>0</v>
      </c>
    </row>
    <row r="57" spans="1:50" ht="25" customHeight="1">
      <c r="A57" s="213"/>
      <c r="B57" s="218">
        <f>tblIndicators!A48</f>
        <v>47</v>
      </c>
      <c r="C57" s="218"/>
      <c r="D57" s="218"/>
      <c r="E57" s="218">
        <f>tblIndicators!B48</f>
        <v>0</v>
      </c>
      <c r="F57" s="218">
        <f>IF(AND(uxb_works!$B$47=2,E57=1),0,iScores!F52)</f>
        <v>3</v>
      </c>
      <c r="G57" s="218"/>
      <c r="H57" s="218" t="str">
        <f>tblIndicators!AC48</f>
        <v>#,##0.0</v>
      </c>
      <c r="I57" s="219"/>
      <c r="J57" s="218"/>
      <c r="K57" s="214">
        <f>IF(L57=0,0,IF(uxb_works!$B$46&gt;=L57,1,0))</f>
        <v>1</v>
      </c>
      <c r="L57" s="216">
        <f>IF(AND(uxb_works!$B$47=2,E57=1),0,tblIndicators!G48)</f>
        <v>3</v>
      </c>
      <c r="M57" s="218"/>
      <c r="N57" s="249" t="str">
        <f>iScores!N52</f>
        <v xml:space="preserve">   3.2.5) Internet freedom</v>
      </c>
      <c r="O57" s="407">
        <f>CHOOSE(uxb_works!$B$47,iData!I52,iScores!O52)</f>
        <v>0.2</v>
      </c>
      <c r="P57" s="631">
        <f>IF(P$4="","",CHOOSE(uxb_works!$B$47,IF(INDEX(aData,$B57,P$4)="","-",TEXT(INDEX(aData,$B57,P$4),$H57)),IFERROR(INDEX(aScoresRounded,$B57,P$4),"")))</f>
        <v>86.4</v>
      </c>
      <c r="Q57" s="706">
        <f>IF(Q$4="","",CHOOSE(uxb_works!$B$47,IF(INDEX(aData,$B57,Q$4)="","-",TEXT(INDEX(aData,$B57,Q$4),$H57)),IFERROR(INDEX(aScoresRounded,$B57,Q$4),"")))</f>
        <v>82</v>
      </c>
      <c r="R57" s="706">
        <f>IF(R$4="","",CHOOSE(uxb_works!$B$47,IF(INDEX(aData,$B57,R$4)="","-",TEXT(INDEX(aData,$B57,R$4),$H57)),IFERROR(INDEX(aScoresRounded,$B57,R$4),"")))</f>
        <v>32.799999999999997</v>
      </c>
      <c r="S57" s="706">
        <f>IF(S$4="","",CHOOSE(uxb_works!$B$47,IF(INDEX(aData,$B57,S$4)="","-",TEXT(INDEX(aData,$B57,S$4),$H57)),IFERROR(INDEX(aScoresRounded,$B57,S$4),"")))</f>
        <v>80.099999999999994</v>
      </c>
      <c r="T57" s="706">
        <f>IF(T$4="","",CHOOSE(uxb_works!$B$47,IF(INDEX(aData,$B57,T$4)="","-",TEXT(INDEX(aData,$B57,T$4),$H57)),IFERROR(INDEX(aScoresRounded,$B57,T$4),"")))</f>
        <v>0</v>
      </c>
      <c r="U57" s="706">
        <f>IF(U$4="","",CHOOSE(uxb_works!$B$47,IF(INDEX(aData,$B57,U$4)="","-",TEXT(INDEX(aData,$B57,U$4),$H57)),IFERROR(INDEX(aScoresRounded,$B57,U$4),"")))</f>
        <v>87</v>
      </c>
      <c r="V57" s="706">
        <f>IF(V$4="","",CHOOSE(uxb_works!$B$47,IF(INDEX(aData,$B57,V$4)="","-",TEXT(INDEX(aData,$B57,V$4),$H57)),IFERROR(INDEX(aScoresRounded,$B57,V$4),"")))</f>
        <v>76.900000000000006</v>
      </c>
      <c r="W57" s="706">
        <f>IF(W$4="","",CHOOSE(uxb_works!$B$47,IF(INDEX(aData,$B57,W$4)="","-",TEXT(INDEX(aData,$B57,W$4),$H57)),IFERROR(INDEX(aScoresRounded,$B57,W$4),"")))</f>
        <v>100</v>
      </c>
      <c r="X57" s="706">
        <f>IF(X$4="","",CHOOSE(uxb_works!$B$47,IF(INDEX(aData,$B57,X$4)="","-",TEXT(INDEX(aData,$B57,X$4),$H57)),IFERROR(INDEX(aScoresRounded,$B57,X$4),"")))</f>
        <v>82</v>
      </c>
      <c r="Y57" s="631">
        <f>IF(Y$4="","",CHOOSE(uxb_works!$B$47,IF(INDEX(aData,$B57,Y$4)="","-",TEXT(INDEX(aData,$B57,Y$4),$H57)),IFERROR(INDEX(aScoresRounded,$B57,Y$4),"")))</f>
        <v>21.4</v>
      </c>
      <c r="Z57" s="631">
        <f>IF(Z$4="","",CHOOSE(uxb_works!$B$47,IF(INDEX(aData,$B57,Z$4)="","-",TEXT(INDEX(aData,$B57,Z$4),$H57)),IFERROR(INDEX(aScoresRounded,$B57,Z$4),"")))</f>
        <v>87</v>
      </c>
      <c r="AA57" s="631">
        <f>IF(AA$4="","",CHOOSE(uxb_works!$B$47,IF(INDEX(aData,$B57,AA$4)="","-",TEXT(INDEX(aData,$B57,AA$4),$H57)),IFERROR(INDEX(aScoresRounded,$B57,AA$4),"")))</f>
        <v>51.7</v>
      </c>
      <c r="AB57" s="631">
        <f>IF(AB$4="","",CHOOSE(uxb_works!$B$47,IF(INDEX(aData,$B57,AB$4)="","-",TEXT(INDEX(aData,$B57,AB$4),$H57)),IFERROR(INDEX(aScoresRounded,$B57,AB$4),"")))</f>
        <v>47.9</v>
      </c>
      <c r="AC57" s="631">
        <f>IF(AC$4="","",CHOOSE(uxb_works!$B$47,IF(INDEX(aData,$B57,AC$4)="","-",TEXT(INDEX(aData,$B57,AC$4),$H57)),IFERROR(INDEX(aScoresRounded,$B57,AC$4),"")))</f>
        <v>60.5</v>
      </c>
      <c r="AD57" s="631">
        <f>IF(AD$4="","",CHOOSE(uxb_works!$B$47,IF(INDEX(aData,$B57,AD$4)="","-",TEXT(INDEX(aData,$B57,AD$4),$H57)),IFERROR(INDEX(aScoresRounded,$B57,AD$4),"")))</f>
        <v>85.8</v>
      </c>
      <c r="AE57" s="631">
        <f>IF(AE$4="","",CHOOSE(uxb_works!$B$47,IF(INDEX(aData,$B57,AE$4)="","-",TEXT(INDEX(aData,$B57,AE$4),$H57)),IFERROR(INDEX(aScoresRounded,$B57,AE$4),"")))</f>
        <v>80.099999999999994</v>
      </c>
      <c r="AF57" s="631">
        <f>IF(AF$4="","",CHOOSE(uxb_works!$B$47,IF(INDEX(aData,$B57,AF$4)="","-",TEXT(INDEX(aData,$B57,AF$4),$H57)),IFERROR(INDEX(aScoresRounded,$B57,AF$4),"")))</f>
        <v>69.400000000000006</v>
      </c>
      <c r="AG57" s="631">
        <f>IF(AG$4="","",CHOOSE(uxb_works!$B$47,IF(INDEX(aData,$B57,AG$4)="","-",TEXT(INDEX(aData,$B57,AG$4),$H57)),IFERROR(INDEX(aScoresRounded,$B57,AG$4),"")))</f>
        <v>63.1</v>
      </c>
      <c r="AH57" s="631">
        <f>IF(AH$4="","",CHOOSE(uxb_works!$B$47,IF(INDEX(aData,$B57,AH$4)="","-",TEXT(INDEX(aData,$B57,AH$4),$H57)),IFERROR(INDEX(aScoresRounded,$B57,AH$4),"")))</f>
        <v>49.2</v>
      </c>
      <c r="AI57" s="631">
        <f>IF(AI$4="","",CHOOSE(uxb_works!$B$47,IF(INDEX(aData,$B57,AI$4)="","-",TEXT(INDEX(aData,$B57,AI$4),$H57)),IFERROR(INDEX(aScoresRounded,$B57,AI$4),"")))</f>
        <v>82</v>
      </c>
      <c r="AJ57" s="631">
        <f>IF(AJ$4="","",CHOOSE(uxb_works!$B$47,IF(INDEX(aData,$B57,AJ$4)="","-",TEXT(INDEX(aData,$B57,AJ$4),$H57)),IFERROR(INDEX(aScoresRounded,$B57,AJ$4),"")))</f>
        <v>85.8</v>
      </c>
      <c r="AK57" s="631">
        <f>IF(AK$4="","",CHOOSE(uxb_works!$B$47,IF(INDEX(aData,$B57,AK$4)="","-",TEXT(INDEX(aData,$B57,AK$4),$H57)),IFERROR(INDEX(aScoresRounded,$B57,AK$4),"")))</f>
        <v>83.2</v>
      </c>
      <c r="AL57" s="631">
        <f>IF(AL$4="","",CHOOSE(uxb_works!$B$47,IF(INDEX(aData,$B57,AL$4)="","-",TEXT(INDEX(aData,$B57,AL$4),$H57)),IFERROR(INDEX(aScoresRounded,$B57,AL$4),"")))</f>
        <v>68.099999999999994</v>
      </c>
      <c r="AM57" s="631">
        <f>IF(AM$4="","",CHOOSE(uxb_works!$B$47,IF(INDEX(aData,$B57,AM$4)="","-",TEXT(INDEX(aData,$B57,AM$4),$H57)),IFERROR(INDEX(aScoresRounded,$B57,AM$4),"")))</f>
        <v>71.900000000000006</v>
      </c>
      <c r="AN57" s="631">
        <f>IF(AN$4="","",CHOOSE(uxb_works!$B$47,IF(INDEX(aData,$B57,AN$4)="","-",TEXT(INDEX(aData,$B57,AN$4),$H57)),IFERROR(INDEX(aScoresRounded,$B57,AN$4),"")))</f>
        <v>55.5</v>
      </c>
      <c r="AO57" s="631">
        <f>IF(AO$4="","",CHOOSE(uxb_works!$B$47,IF(INDEX(aData,$B57,AO$4)="","-",TEXT(INDEX(aData,$B57,AO$4),$H57)),IFERROR(INDEX(aScoresRounded,$B57,AO$4),"")))</f>
        <v>82</v>
      </c>
      <c r="AP57" s="631">
        <f>IF(AP$4="","",CHOOSE(uxb_works!$B$47,IF(INDEX(aData,$B57,AP$4)="","-",TEXT(INDEX(aData,$B57,AP$4),$H57)),IFERROR(INDEX(aScoresRounded,$B57,AP$4),"")))</f>
        <v>83.2</v>
      </c>
      <c r="AQ57" s="631">
        <f>IF(AQ$4="","",CHOOSE(uxb_works!$B$47,IF(INDEX(aData,$B57,AQ$4)="","-",TEXT(INDEX(aData,$B57,AQ$4),$H57)),IFERROR(INDEX(aScoresRounded,$B57,AQ$4),"")))</f>
        <v>97.1</v>
      </c>
      <c r="AR57" s="631">
        <f>IF(AR$4="","",CHOOSE(uxb_works!$B$47,IF(INDEX(aData,$B57,AR$4)="","-",TEXT(INDEX(aData,$B57,AR$4),$H57)),IFERROR(INDEX(aScoresRounded,$B57,AR$4),"")))</f>
        <v>82</v>
      </c>
      <c r="AS57" s="631">
        <f>IF(AS$4="","",CHOOSE(uxb_works!$B$47,IF(INDEX(aData,$B57,AS$4)="","-",TEXT(INDEX(aData,$B57,AS$4),$H57)),IFERROR(INDEX(aScoresRounded,$B57,AS$4),"")))</f>
        <v>86.4</v>
      </c>
      <c r="AT57" s="570"/>
      <c r="AW57" s="157">
        <f>CHOOSE($AV$1,0,IF(AW$10=0,0,IF(P57&lt;=$AX$1,1,IF(P57&lt;=#REF!,2,3))),IF(AW$10=0,0,IF(P57&lt;=$AX$1,4,IF(P57&lt;=#REF!,5,6))))</f>
        <v>0</v>
      </c>
      <c r="AX57" s="157">
        <f>CHOOSE($AV$1,0,IF(AX$10=0,0,IF(#REF!&lt;=$AX$1,1,IF(#REF!&lt;=#REF!,2,3))),IF(AX$10=0,0,IF(#REF!&lt;=$AX$1,4,IF(#REF!&lt;=#REF!,5,6))))</f>
        <v>0</v>
      </c>
    </row>
    <row r="58" spans="1:50" ht="25" customHeight="1">
      <c r="A58" s="213"/>
      <c r="B58" s="218">
        <f>tblIndicators!A49</f>
        <v>48</v>
      </c>
      <c r="C58" s="218"/>
      <c r="D58" s="218"/>
      <c r="E58" s="218">
        <f>tblIndicators!B49</f>
        <v>0</v>
      </c>
      <c r="F58" s="218">
        <f>IF(AND(uxb_works!$B$47=2,E58=1),0,iScores!F53)</f>
        <v>2</v>
      </c>
      <c r="G58" s="218"/>
      <c r="H58" s="218" t="str">
        <f>tblIndicators!AC49</f>
        <v>#,##0.0</v>
      </c>
      <c r="I58" s="219"/>
      <c r="J58" s="218"/>
      <c r="K58" s="214">
        <f>IF(L58=0,0,IF(uxb_works!$B$46&gt;=L58,1,0))</f>
        <v>1</v>
      </c>
      <c r="L58" s="216">
        <f>IF(AND(uxb_works!$B$47=2,E58=1),0,tblIndicators!G49)</f>
        <v>2</v>
      </c>
      <c r="M58" s="218"/>
      <c r="N58" s="249" t="str">
        <f>iScores!N53</f>
        <v xml:space="preserve">  3.3) Innovation ecosystem</v>
      </c>
      <c r="O58" s="407">
        <f>CHOOSE(uxb_works!$B$47,iData!I53,iScores!O53)</f>
        <v>0.3125</v>
      </c>
      <c r="P58" s="631">
        <f>IF(P$4="","",CHOOSE(uxb_works!$B$47,IF(INDEX(aData,$B58,P$4)="","-",TEXT(INDEX(aData,$B58,P$4),$H58)),IFERROR(INDEX(aScoresRounded,$B58,P$4),"")))</f>
        <v>62</v>
      </c>
      <c r="Q58" s="706">
        <f>IF(Q$4="","",CHOOSE(uxb_works!$B$47,IF(INDEX(aData,$B58,Q$4)="","-",TEXT(INDEX(aData,$B58,Q$4),$H58)),IFERROR(INDEX(aScoresRounded,$B58,Q$4),"")))</f>
        <v>49.1</v>
      </c>
      <c r="R58" s="706">
        <f>IF(R$4="","",CHOOSE(uxb_works!$B$47,IF(INDEX(aData,$B58,R$4)="","-",TEXT(INDEX(aData,$B58,R$4),$H58)),IFERROR(INDEX(aScoresRounded,$B58,R$4),"")))</f>
        <v>19</v>
      </c>
      <c r="S58" s="706">
        <f>IF(S$4="","",CHOOSE(uxb_works!$B$47,IF(INDEX(aData,$B58,S$4)="","-",TEXT(INDEX(aData,$B58,S$4),$H58)),IFERROR(INDEX(aScoresRounded,$B58,S$4),"")))</f>
        <v>51.3</v>
      </c>
      <c r="T58" s="706">
        <f>IF(T$4="","",CHOOSE(uxb_works!$B$47,IF(INDEX(aData,$B58,T$4)="","-",TEXT(INDEX(aData,$B58,T$4),$H58)),IFERROR(INDEX(aScoresRounded,$B58,T$4),"")))</f>
        <v>49.8</v>
      </c>
      <c r="U58" s="706">
        <f>IF(U$4="","",CHOOSE(uxb_works!$B$47,IF(INDEX(aData,$B58,U$4)="","-",TEXT(INDEX(aData,$B58,U$4),$H58)),IFERROR(INDEX(aScoresRounded,$B58,U$4),"")))</f>
        <v>67</v>
      </c>
      <c r="V58" s="706">
        <f>IF(V$4="","",CHOOSE(uxb_works!$B$47,IF(INDEX(aData,$B58,V$4)="","-",TEXT(INDEX(aData,$B58,V$4),$H58)),IFERROR(INDEX(aScoresRounded,$B58,V$4),"")))</f>
        <v>14.6</v>
      </c>
      <c r="W58" s="706">
        <f>IF(W$4="","",CHOOSE(uxb_works!$B$47,IF(INDEX(aData,$B58,W$4)="","-",TEXT(INDEX(aData,$B58,W$4),$H58)),IFERROR(INDEX(aScoresRounded,$B58,W$4),"")))</f>
        <v>60.6</v>
      </c>
      <c r="X58" s="706">
        <f>IF(X$4="","",CHOOSE(uxb_works!$B$47,IF(INDEX(aData,$B58,X$4)="","-",TEXT(INDEX(aData,$B58,X$4),$H58)),IFERROR(INDEX(aScoresRounded,$B58,X$4),"")))</f>
        <v>66.2</v>
      </c>
      <c r="Y58" s="631">
        <f>IF(Y$4="","",CHOOSE(uxb_works!$B$47,IF(INDEX(aData,$B58,Y$4)="","-",TEXT(INDEX(aData,$B58,Y$4),$H58)),IFERROR(INDEX(aScoresRounded,$B58,Y$4),"")))</f>
        <v>57.4</v>
      </c>
      <c r="Z58" s="631">
        <f>IF(Z$4="","",CHOOSE(uxb_works!$B$47,IF(INDEX(aData,$B58,Z$4)="","-",TEXT(INDEX(aData,$B58,Z$4),$H58)),IFERROR(INDEX(aScoresRounded,$B58,Z$4),"")))</f>
        <v>62.8</v>
      </c>
      <c r="AA58" s="631">
        <f>IF(AA$4="","",CHOOSE(uxb_works!$B$47,IF(INDEX(aData,$B58,AA$4)="","-",TEXT(INDEX(aData,$B58,AA$4),$H58)),IFERROR(INDEX(aScoresRounded,$B58,AA$4),"")))</f>
        <v>46.7</v>
      </c>
      <c r="AB58" s="631">
        <f>IF(AB$4="","",CHOOSE(uxb_works!$B$47,IF(INDEX(aData,$B58,AB$4)="","-",TEXT(INDEX(aData,$B58,AB$4),$H58)),IFERROR(INDEX(aScoresRounded,$B58,AB$4),"")))</f>
        <v>14.5</v>
      </c>
      <c r="AC58" s="631">
        <f>IF(AC$4="","",CHOOSE(uxb_works!$B$47,IF(INDEX(aData,$B58,AC$4)="","-",TEXT(INDEX(aData,$B58,AC$4),$H58)),IFERROR(INDEX(aScoresRounded,$B58,AC$4),"")))</f>
        <v>31.7</v>
      </c>
      <c r="AD58" s="631">
        <f>IF(AD$4="","",CHOOSE(uxb_works!$B$47,IF(INDEX(aData,$B58,AD$4)="","-",TEXT(INDEX(aData,$B58,AD$4),$H58)),IFERROR(INDEX(aScoresRounded,$B58,AD$4),"")))</f>
        <v>70</v>
      </c>
      <c r="AE58" s="631">
        <f>IF(AE$4="","",CHOOSE(uxb_works!$B$47,IF(INDEX(aData,$B58,AE$4)="","-",TEXT(INDEX(aData,$B58,AE$4),$H58)),IFERROR(INDEX(aScoresRounded,$B58,AE$4),"")))</f>
        <v>42.7</v>
      </c>
      <c r="AF58" s="631">
        <f>IF(AF$4="","",CHOOSE(uxb_works!$B$47,IF(INDEX(aData,$B58,AF$4)="","-",TEXT(INDEX(aData,$B58,AF$4),$H58)),IFERROR(INDEX(aScoresRounded,$B58,AF$4),"")))</f>
        <v>10.3</v>
      </c>
      <c r="AG58" s="631">
        <f>IF(AG$4="","",CHOOSE(uxb_works!$B$47,IF(INDEX(aData,$B58,AG$4)="","-",TEXT(INDEX(aData,$B58,AG$4),$H58)),IFERROR(INDEX(aScoresRounded,$B58,AG$4),"")))</f>
        <v>19.8</v>
      </c>
      <c r="AH58" s="631">
        <f>IF(AH$4="","",CHOOSE(uxb_works!$B$47,IF(INDEX(aData,$B58,AH$4)="","-",TEXT(INDEX(aData,$B58,AH$4),$H58)),IFERROR(INDEX(aScoresRounded,$B58,AH$4),"")))</f>
        <v>30.7</v>
      </c>
      <c r="AI58" s="631">
        <f>IF(AI$4="","",CHOOSE(uxb_works!$B$47,IF(INDEX(aData,$B58,AI$4)="","-",TEXT(INDEX(aData,$B58,AI$4),$H58)),IFERROR(INDEX(aScoresRounded,$B58,AI$4),"")))</f>
        <v>87.9</v>
      </c>
      <c r="AJ58" s="631">
        <f>IF(AJ$4="","",CHOOSE(uxb_works!$B$47,IF(INDEX(aData,$B58,AJ$4)="","-",TEXT(INDEX(aData,$B58,AJ$4),$H58)),IFERROR(INDEX(aScoresRounded,$B58,AJ$4),"")))</f>
        <v>58.1</v>
      </c>
      <c r="AK58" s="631">
        <f>IF(AK$4="","",CHOOSE(uxb_works!$B$47,IF(INDEX(aData,$B58,AK$4)="","-",TEXT(INDEX(aData,$B58,AK$4),$H58)),IFERROR(INDEX(aScoresRounded,$B58,AK$4),"")))</f>
        <v>37.6</v>
      </c>
      <c r="AL58" s="631">
        <f>IF(AL$4="","",CHOOSE(uxb_works!$B$47,IF(INDEX(aData,$B58,AL$4)="","-",TEXT(INDEX(aData,$B58,AL$4),$H58)),IFERROR(INDEX(aScoresRounded,$B58,AL$4),"")))</f>
        <v>36.5</v>
      </c>
      <c r="AM58" s="631">
        <f>IF(AM$4="","",CHOOSE(uxb_works!$B$47,IF(INDEX(aData,$B58,AM$4)="","-",TEXT(INDEX(aData,$B58,AM$4),$H58)),IFERROR(INDEX(aScoresRounded,$B58,AM$4),"")))</f>
        <v>55.9</v>
      </c>
      <c r="AN58" s="631">
        <f>IF(AN$4="","",CHOOSE(uxb_works!$B$47,IF(INDEX(aData,$B58,AN$4)="","-",TEXT(INDEX(aData,$B58,AN$4),$H58)),IFERROR(INDEX(aScoresRounded,$B58,AN$4),"")))</f>
        <v>74</v>
      </c>
      <c r="AO58" s="631">
        <f>IF(AO$4="","",CHOOSE(uxb_works!$B$47,IF(INDEX(aData,$B58,AO$4)="","-",TEXT(INDEX(aData,$B58,AO$4),$H58)),IFERROR(INDEX(aScoresRounded,$B58,AO$4),"")))</f>
        <v>66.3</v>
      </c>
      <c r="AP58" s="631">
        <f>IF(AP$4="","",CHOOSE(uxb_works!$B$47,IF(INDEX(aData,$B58,AP$4)="","-",TEXT(INDEX(aData,$B58,AP$4),$H58)),IFERROR(INDEX(aScoresRounded,$B58,AP$4),"")))</f>
        <v>46.6</v>
      </c>
      <c r="AQ58" s="631">
        <f>IF(AQ$4="","",CHOOSE(uxb_works!$B$47,IF(INDEX(aData,$B58,AQ$4)="","-",TEXT(INDEX(aData,$B58,AQ$4),$H58)),IFERROR(INDEX(aScoresRounded,$B58,AQ$4),"")))</f>
        <v>59</v>
      </c>
      <c r="AR58" s="631">
        <f>IF(AR$4="","",CHOOSE(uxb_works!$B$47,IF(INDEX(aData,$B58,AR$4)="","-",TEXT(INDEX(aData,$B58,AR$4),$H58)),IFERROR(INDEX(aScoresRounded,$B58,AR$4),"")))</f>
        <v>66.8</v>
      </c>
      <c r="AS58" s="631">
        <f>IF(AS$4="","",CHOOSE(uxb_works!$B$47,IF(INDEX(aData,$B58,AS$4)="","-",TEXT(INDEX(aData,$B58,AS$4),$H58)),IFERROR(INDEX(aScoresRounded,$B58,AS$4),"")))</f>
        <v>58.9</v>
      </c>
      <c r="AT58" s="570"/>
      <c r="AW58" s="157">
        <f>CHOOSE($AV$1,0,IF(AW$10=0,0,IF(P58&lt;=$AX$1,1,IF(P58&lt;=#REF!,2,3))),IF(AW$10=0,0,IF(P58&lt;=$AX$1,4,IF(P58&lt;=#REF!,5,6))))</f>
        <v>0</v>
      </c>
      <c r="AX58" s="157">
        <f>CHOOSE($AV$1,0,IF(AX$10=0,0,IF(#REF!&lt;=$AX$1,1,IF(#REF!&lt;=#REF!,2,3))),IF(AX$10=0,0,IF(#REF!&lt;=$AX$1,4,IF(#REF!&lt;=#REF!,5,6))))</f>
        <v>0</v>
      </c>
    </row>
    <row r="59" spans="1:50" ht="25" customHeight="1">
      <c r="A59" s="213"/>
      <c r="B59" s="218">
        <f>tblIndicators!A50</f>
        <v>49</v>
      </c>
      <c r="C59" s="218"/>
      <c r="D59" s="218"/>
      <c r="E59" s="218">
        <f>tblIndicators!B50</f>
        <v>0</v>
      </c>
      <c r="F59" s="218">
        <f>IF(AND(uxb_works!$B$47=2,E59=1),0,iScores!F54)</f>
        <v>3</v>
      </c>
      <c r="G59" s="218"/>
      <c r="H59" s="218" t="str">
        <f>tblIndicators!AC50</f>
        <v>#,##0.0</v>
      </c>
      <c r="I59" s="219"/>
      <c r="J59" s="218"/>
      <c r="K59" s="214">
        <f>IF(L59=0,0,IF(uxb_works!$B$46&gt;=L59,1,0))</f>
        <v>1</v>
      </c>
      <c r="L59" s="216">
        <f>IF(AND(uxb_works!$B$47=2,E59=1),0,tblIndicators!G50)</f>
        <v>3</v>
      </c>
      <c r="M59" s="218"/>
      <c r="N59" s="249" t="str">
        <f>iScores!N54</f>
        <v xml:space="preserve">   3.3.1) AI readiness of government</v>
      </c>
      <c r="O59" s="407">
        <f>CHOOSE(uxb_works!$B$47,iData!I54,iScores!O54)</f>
        <v>0.22417658216933956</v>
      </c>
      <c r="P59" s="631">
        <f>IF(P$4="","",CHOOSE(uxb_works!$B$47,IF(INDEX(aData,$B59,P$4)="","-",TEXT(INDEX(aData,$B59,P$4),$H59)),IFERROR(INDEX(aScoresRounded,$B59,P$4),"")))</f>
        <v>76.099999999999994</v>
      </c>
      <c r="Q59" s="706">
        <f>IF(Q$4="","",CHOOSE(uxb_works!$B$47,IF(INDEX(aData,$B59,Q$4)="","-",TEXT(INDEX(aData,$B59,Q$4),$H59)),IFERROR(INDEX(aScoresRounded,$B59,Q$4),"")))</f>
        <v>59.2</v>
      </c>
      <c r="R59" s="706">
        <f>IF(R$4="","",CHOOSE(uxb_works!$B$47,IF(INDEX(aData,$B59,R$4)="","-",TEXT(INDEX(aData,$B59,R$4),$H59)),IFERROR(INDEX(aScoresRounded,$B59,R$4),"")))</f>
        <v>12.4</v>
      </c>
      <c r="S59" s="706">
        <f>IF(S$4="","",CHOOSE(uxb_works!$B$47,IF(INDEX(aData,$B59,S$4)="","-",TEXT(INDEX(aData,$B59,S$4),$H59)),IFERROR(INDEX(aScoresRounded,$B59,S$4),"")))</f>
        <v>58.9</v>
      </c>
      <c r="T59" s="706">
        <f>IF(T$4="","",CHOOSE(uxb_works!$B$47,IF(INDEX(aData,$B59,T$4)="","-",TEXT(INDEX(aData,$B59,T$4),$H59)),IFERROR(INDEX(aScoresRounded,$B59,T$4),"")))</f>
        <v>61.5</v>
      </c>
      <c r="U59" s="706">
        <f>IF(U$4="","",CHOOSE(uxb_works!$B$47,IF(INDEX(aData,$B59,U$4)="","-",TEXT(INDEX(aData,$B59,U$4),$H59)),IFERROR(INDEX(aScoresRounded,$B59,U$4),"")))</f>
        <v>84.7</v>
      </c>
      <c r="V59" s="706">
        <f>IF(V$4="","",CHOOSE(uxb_works!$B$47,IF(INDEX(aData,$B59,V$4)="","-",TEXT(INDEX(aData,$B59,V$4),$H59)),IFERROR(INDEX(aScoresRounded,$B59,V$4),"")))</f>
        <v>18.5</v>
      </c>
      <c r="W59" s="706">
        <f>IF(W$4="","",CHOOSE(uxb_works!$B$47,IF(INDEX(aData,$B59,W$4)="","-",TEXT(INDEX(aData,$B59,W$4),$H59)),IFERROR(INDEX(aScoresRounded,$B59,W$4),"")))</f>
        <v>76.8</v>
      </c>
      <c r="X59" s="706">
        <f>IF(X$4="","",CHOOSE(uxb_works!$B$47,IF(INDEX(aData,$B59,X$4)="","-",TEXT(INDEX(aData,$B59,X$4),$H59)),IFERROR(INDEX(aScoresRounded,$B59,X$4),"")))</f>
        <v>100</v>
      </c>
      <c r="Y59" s="631">
        <f>IF(Y$4="","",CHOOSE(uxb_works!$B$47,IF(INDEX(aData,$B59,Y$4)="","-",TEXT(INDEX(aData,$B59,Y$4),$H59)),IFERROR(INDEX(aScoresRounded,$B59,Y$4),"")))</f>
        <v>69.2</v>
      </c>
      <c r="Z59" s="631">
        <f>IF(Z$4="","",CHOOSE(uxb_works!$B$47,IF(INDEX(aData,$B59,Z$4)="","-",TEXT(INDEX(aData,$B59,Z$4),$H59)),IFERROR(INDEX(aScoresRounded,$B59,Z$4),"")))</f>
        <v>84.7</v>
      </c>
      <c r="AA59" s="631">
        <f>IF(AA$4="","",CHOOSE(uxb_works!$B$47,IF(INDEX(aData,$B59,AA$4)="","-",TEXT(INDEX(aData,$B59,AA$4),$H59)),IFERROR(INDEX(aScoresRounded,$B59,AA$4),"")))</f>
        <v>60.8</v>
      </c>
      <c r="AB59" s="631">
        <f>IF(AB$4="","",CHOOSE(uxb_works!$B$47,IF(INDEX(aData,$B59,AB$4)="","-",TEXT(INDEX(aData,$B59,AB$4),$H59)),IFERROR(INDEX(aScoresRounded,$B59,AB$4),"")))</f>
        <v>10.8</v>
      </c>
      <c r="AC59" s="631">
        <f>IF(AC$4="","",CHOOSE(uxb_works!$B$47,IF(INDEX(aData,$B59,AC$4)="","-",TEXT(INDEX(aData,$B59,AC$4),$H59)),IFERROR(INDEX(aScoresRounded,$B59,AC$4),"")))</f>
        <v>48.8</v>
      </c>
      <c r="AD59" s="631">
        <f>IF(AD$4="","",CHOOSE(uxb_works!$B$47,IF(INDEX(aData,$B59,AD$4)="","-",TEXT(INDEX(aData,$B59,AD$4),$H59)),IFERROR(INDEX(aScoresRounded,$B59,AD$4),"")))</f>
        <v>89.7</v>
      </c>
      <c r="AE59" s="631">
        <f>IF(AE$4="","",CHOOSE(uxb_works!$B$47,IF(INDEX(aData,$B59,AE$4)="","-",TEXT(INDEX(aData,$B59,AE$4),$H59)),IFERROR(INDEX(aScoresRounded,$B59,AE$4),"")))</f>
        <v>58.9</v>
      </c>
      <c r="AF59" s="631">
        <f>IF(AF$4="","",CHOOSE(uxb_works!$B$47,IF(INDEX(aData,$B59,AF$4)="","-",TEXT(INDEX(aData,$B59,AF$4),$H59)),IFERROR(INDEX(aScoresRounded,$B59,AF$4),"")))</f>
        <v>0</v>
      </c>
      <c r="AG59" s="631">
        <f>IF(AG$4="","",CHOOSE(uxb_works!$B$47,IF(INDEX(aData,$B59,AG$4)="","-",TEXT(INDEX(aData,$B59,AG$4),$H59)),IFERROR(INDEX(aScoresRounded,$B59,AG$4),"")))</f>
        <v>15.3</v>
      </c>
      <c r="AH59" s="631">
        <f>IF(AH$4="","",CHOOSE(uxb_works!$B$47,IF(INDEX(aData,$B59,AH$4)="","-",TEXT(INDEX(aData,$B59,AH$4),$H59)),IFERROR(INDEX(aScoresRounded,$B59,AH$4),"")))</f>
        <v>30.8</v>
      </c>
      <c r="AI59" s="631">
        <f>IF(AI$4="","",CHOOSE(uxb_works!$B$47,IF(INDEX(aData,$B59,AI$4)="","-",TEXT(INDEX(aData,$B59,AI$4),$H59)),IFERROR(INDEX(aScoresRounded,$B59,AI$4),"")))</f>
        <v>100</v>
      </c>
      <c r="AJ59" s="631">
        <f>IF(AJ$4="","",CHOOSE(uxb_works!$B$47,IF(INDEX(aData,$B59,AJ$4)="","-",TEXT(INDEX(aData,$B59,AJ$4),$H59)),IFERROR(INDEX(aScoresRounded,$B59,AJ$4),"")))</f>
        <v>72.5</v>
      </c>
      <c r="AK59" s="631">
        <f>IF(AK$4="","",CHOOSE(uxb_works!$B$47,IF(INDEX(aData,$B59,AK$4)="","-",TEXT(INDEX(aData,$B59,AK$4),$H59)),IFERROR(INDEX(aScoresRounded,$B59,AK$4),"")))</f>
        <v>52.8</v>
      </c>
      <c r="AL59" s="631">
        <f>IF(AL$4="","",CHOOSE(uxb_works!$B$47,IF(INDEX(aData,$B59,AL$4)="","-",TEXT(INDEX(aData,$B59,AL$4),$H59)),IFERROR(INDEX(aScoresRounded,$B59,AL$4),"")))</f>
        <v>10.8</v>
      </c>
      <c r="AM59" s="631">
        <f>IF(AM$4="","",CHOOSE(uxb_works!$B$47,IF(INDEX(aData,$B59,AM$4)="","-",TEXT(INDEX(aData,$B59,AM$4),$H59)),IFERROR(INDEX(aScoresRounded,$B59,AM$4),"")))</f>
        <v>81.7</v>
      </c>
      <c r="AN59" s="631">
        <f>IF(AN$4="","",CHOOSE(uxb_works!$B$47,IF(INDEX(aData,$B59,AN$4)="","-",TEXT(INDEX(aData,$B59,AN$4),$H59)),IFERROR(INDEX(aScoresRounded,$B59,AN$4),"")))</f>
        <v>84</v>
      </c>
      <c r="AO59" s="631">
        <f>IF(AO$4="","",CHOOSE(uxb_works!$B$47,IF(INDEX(aData,$B59,AO$4)="","-",TEXT(INDEX(aData,$B59,AO$4),$H59)),IFERROR(INDEX(aScoresRounded,$B59,AO$4),"")))</f>
        <v>72.099999999999994</v>
      </c>
      <c r="AP59" s="631">
        <f>IF(AP$4="","",CHOOSE(uxb_works!$B$47,IF(INDEX(aData,$B59,AP$4)="","-",TEXT(INDEX(aData,$B59,AP$4),$H59)),IFERROR(INDEX(aScoresRounded,$B59,AP$4),"")))</f>
        <v>71.400000000000006</v>
      </c>
      <c r="AQ59" s="631">
        <f>IF(AQ$4="","",CHOOSE(uxb_works!$B$47,IF(INDEX(aData,$B59,AQ$4)="","-",TEXT(INDEX(aData,$B59,AQ$4),$H59)),IFERROR(INDEX(aScoresRounded,$B59,AQ$4),"")))</f>
        <v>71.099999999999994</v>
      </c>
      <c r="AR59" s="631">
        <f>IF(AR$4="","",CHOOSE(uxb_works!$B$47,IF(INDEX(aData,$B59,AR$4)="","-",TEXT(INDEX(aData,$B59,AR$4),$H59)),IFERROR(INDEX(aScoresRounded,$B59,AR$4),"")))</f>
        <v>100</v>
      </c>
      <c r="AS59" s="631">
        <f>IF(AS$4="","",CHOOSE(uxb_works!$B$47,IF(INDEX(aData,$B59,AS$4)="","-",TEXT(INDEX(aData,$B59,AS$4),$H59)),IFERROR(INDEX(aScoresRounded,$B59,AS$4),"")))</f>
        <v>61.7</v>
      </c>
      <c r="AT59" s="570"/>
      <c r="AW59" s="157">
        <f>CHOOSE($AV$1,0,IF(AW$10=0,0,IF(P59&lt;=$AX$1,1,IF(P59&lt;=#REF!,2,3))),IF(AW$10=0,0,IF(P59&lt;=$AX$1,4,IF(P59&lt;=#REF!,5,6))))</f>
        <v>0</v>
      </c>
      <c r="AX59" s="157">
        <f>CHOOSE($AV$1,0,IF(AX$10=0,0,IF(#REF!&lt;=$AX$1,1,IF(#REF!&lt;=#REF!,2,3))),IF(AX$10=0,0,IF(#REF!&lt;=$AX$1,4,IF(#REF!&lt;=#REF!,5,6))))</f>
        <v>0</v>
      </c>
    </row>
    <row r="60" spans="1:50" ht="25" customHeight="1">
      <c r="A60" s="213"/>
      <c r="B60" s="218">
        <f>tblIndicators!A51</f>
        <v>50</v>
      </c>
      <c r="C60" s="218"/>
      <c r="D60" s="218"/>
      <c r="E60" s="218">
        <f>tblIndicators!B51</f>
        <v>0</v>
      </c>
      <c r="F60" s="218">
        <f>IF(AND(uxb_works!$B$47=2,E60=1),0,iScores!F55)</f>
        <v>3</v>
      </c>
      <c r="G60" s="218"/>
      <c r="H60" s="218" t="str">
        <f>tblIndicators!AC51</f>
        <v>#,##0</v>
      </c>
      <c r="I60" s="219"/>
      <c r="J60" s="218"/>
      <c r="K60" s="214">
        <f>IF(L60=0,0,IF(uxb_works!$B$46&gt;=L60,1,0))</f>
        <v>1</v>
      </c>
      <c r="L60" s="216">
        <f>IF(AND(uxb_works!$B$47=2,E60=1),0,tblIndicators!G51)</f>
        <v>3</v>
      </c>
      <c r="M60" s="218"/>
      <c r="N60" s="249" t="str">
        <f>iScores!N55</f>
        <v xml:space="preserve">   3.3.2) Blockchain technology strategy</v>
      </c>
      <c r="O60" s="407">
        <f>CHOOSE(uxb_works!$B$47,iData!I55,iScores!O55)</f>
        <v>0.12071046732195208</v>
      </c>
      <c r="P60" s="631">
        <f>IF(P$4="","",CHOOSE(uxb_works!$B$47,IF(INDEX(aData,$B60,P$4)="","-",TEXT(INDEX(aData,$B60,P$4),$H60)),IFERROR(INDEX(aScoresRounded,$B60,P$4),"")))</f>
        <v>33.299999999999997</v>
      </c>
      <c r="Q60" s="706">
        <f>IF(Q$4="","",CHOOSE(uxb_works!$B$47,IF(INDEX(aData,$B60,Q$4)="","-",TEXT(INDEX(aData,$B60,Q$4),$H60)),IFERROR(INDEX(aScoresRounded,$B60,Q$4),"")))</f>
        <v>0</v>
      </c>
      <c r="R60" s="706">
        <f>IF(R$4="","",CHOOSE(uxb_works!$B$47,IF(INDEX(aData,$B60,R$4)="","-",TEXT(INDEX(aData,$B60,R$4),$H60)),IFERROR(INDEX(aScoresRounded,$B60,R$4),"")))</f>
        <v>0</v>
      </c>
      <c r="S60" s="706">
        <f>IF(S$4="","",CHOOSE(uxb_works!$B$47,IF(INDEX(aData,$B60,S$4)="","-",TEXT(INDEX(aData,$B60,S$4),$H60)),IFERROR(INDEX(aScoresRounded,$B60,S$4),"")))</f>
        <v>66.7</v>
      </c>
      <c r="T60" s="706">
        <f>IF(T$4="","",CHOOSE(uxb_works!$B$47,IF(INDEX(aData,$B60,T$4)="","-",TEXT(INDEX(aData,$B60,T$4),$H60)),IFERROR(INDEX(aScoresRounded,$B60,T$4),"")))</f>
        <v>100</v>
      </c>
      <c r="U60" s="706">
        <f>IF(U$4="","",CHOOSE(uxb_works!$B$47,IF(INDEX(aData,$B60,U$4)="","-",TEXT(INDEX(aData,$B60,U$4),$H60)),IFERROR(INDEX(aScoresRounded,$B60,U$4),"")))</f>
        <v>66.7</v>
      </c>
      <c r="V60" s="706">
        <f>IF(V$4="","",CHOOSE(uxb_works!$B$47,IF(INDEX(aData,$B60,V$4)="","-",TEXT(INDEX(aData,$B60,V$4),$H60)),IFERROR(INDEX(aScoresRounded,$B60,V$4),"")))</f>
        <v>0</v>
      </c>
      <c r="W60" s="706">
        <f>IF(W$4="","",CHOOSE(uxb_works!$B$47,IF(INDEX(aData,$B60,W$4)="","-",TEXT(INDEX(aData,$B60,W$4),$H60)),IFERROR(INDEX(aScoresRounded,$B60,W$4),"")))</f>
        <v>33.299999999999997</v>
      </c>
      <c r="X60" s="706">
        <f>IF(X$4="","",CHOOSE(uxb_works!$B$47,IF(INDEX(aData,$B60,X$4)="","-",TEXT(INDEX(aData,$B60,X$4),$H60)),IFERROR(INDEX(aScoresRounded,$B60,X$4),"")))</f>
        <v>0</v>
      </c>
      <c r="Y60" s="631">
        <f>IF(Y$4="","",CHOOSE(uxb_works!$B$47,IF(INDEX(aData,$B60,Y$4)="","-",TEXT(INDEX(aData,$B60,Y$4),$H60)),IFERROR(INDEX(aScoresRounded,$B60,Y$4),"")))</f>
        <v>100</v>
      </c>
      <c r="Z60" s="631">
        <f>IF(Z$4="","",CHOOSE(uxb_works!$B$47,IF(INDEX(aData,$B60,Z$4)="","-",TEXT(INDEX(aData,$B60,Z$4),$H60)),IFERROR(INDEX(aScoresRounded,$B60,Z$4),"")))</f>
        <v>66.7</v>
      </c>
      <c r="AA60" s="631">
        <f>IF(AA$4="","",CHOOSE(uxb_works!$B$47,IF(INDEX(aData,$B60,AA$4)="","-",TEXT(INDEX(aData,$B60,AA$4),$H60)),IFERROR(INDEX(aScoresRounded,$B60,AA$4),"")))</f>
        <v>0</v>
      </c>
      <c r="AB60" s="631">
        <f>IF(AB$4="","",CHOOSE(uxb_works!$B$47,IF(INDEX(aData,$B60,AB$4)="","-",TEXT(INDEX(aData,$B60,AB$4),$H60)),IFERROR(INDEX(aScoresRounded,$B60,AB$4),"")))</f>
        <v>0</v>
      </c>
      <c r="AC60" s="631">
        <f>IF(AC$4="","",CHOOSE(uxb_works!$B$47,IF(INDEX(aData,$B60,AC$4)="","-",TEXT(INDEX(aData,$B60,AC$4),$H60)),IFERROR(INDEX(aScoresRounded,$B60,AC$4),"")))</f>
        <v>0</v>
      </c>
      <c r="AD60" s="631">
        <f>IF(AD$4="","",CHOOSE(uxb_works!$B$47,IF(INDEX(aData,$B60,AD$4)="","-",TEXT(INDEX(aData,$B60,AD$4),$H60)),IFERROR(INDEX(aScoresRounded,$B60,AD$4),"")))</f>
        <v>0</v>
      </c>
      <c r="AE60" s="631">
        <f>IF(AE$4="","",CHOOSE(uxb_works!$B$47,IF(INDEX(aData,$B60,AE$4)="","-",TEXT(INDEX(aData,$B60,AE$4),$H60)),IFERROR(INDEX(aScoresRounded,$B60,AE$4),"")))</f>
        <v>0</v>
      </c>
      <c r="AF60" s="631">
        <f>IF(AF$4="","",CHOOSE(uxb_works!$B$47,IF(INDEX(aData,$B60,AF$4)="","-",TEXT(INDEX(aData,$B60,AF$4),$H60)),IFERROR(INDEX(aScoresRounded,$B60,AF$4),"")))</f>
        <v>0</v>
      </c>
      <c r="AG60" s="631">
        <f>IF(AG$4="","",CHOOSE(uxb_works!$B$47,IF(INDEX(aData,$B60,AG$4)="","-",TEXT(INDEX(aData,$B60,AG$4),$H60)),IFERROR(INDEX(aScoresRounded,$B60,AG$4),"")))</f>
        <v>0</v>
      </c>
      <c r="AH60" s="631">
        <f>IF(AH$4="","",CHOOSE(uxb_works!$B$47,IF(INDEX(aData,$B60,AH$4)="","-",TEXT(INDEX(aData,$B60,AH$4),$H60)),IFERROR(INDEX(aScoresRounded,$B60,AH$4),"")))</f>
        <v>100</v>
      </c>
      <c r="AI60" s="631">
        <f>IF(AI$4="","",CHOOSE(uxb_works!$B$47,IF(INDEX(aData,$B60,AI$4)="","-",TEXT(INDEX(aData,$B60,AI$4),$H60)),IFERROR(INDEX(aScoresRounded,$B60,AI$4),"")))</f>
        <v>0</v>
      </c>
      <c r="AJ60" s="631">
        <f>IF(AJ$4="","",CHOOSE(uxb_works!$B$47,IF(INDEX(aData,$B60,AJ$4)="","-",TEXT(INDEX(aData,$B60,AJ$4),$H60)),IFERROR(INDEX(aScoresRounded,$B60,AJ$4),"")))</f>
        <v>33.299999999999997</v>
      </c>
      <c r="AK60" s="631">
        <f>IF(AK$4="","",CHOOSE(uxb_works!$B$47,IF(INDEX(aData,$B60,AK$4)="","-",TEXT(INDEX(aData,$B60,AK$4),$H60)),IFERROR(INDEX(aScoresRounded,$B60,AK$4),"")))</f>
        <v>33.299999999999997</v>
      </c>
      <c r="AL60" s="631">
        <f>IF(AL$4="","",CHOOSE(uxb_works!$B$47,IF(INDEX(aData,$B60,AL$4)="","-",TEXT(INDEX(aData,$B60,AL$4),$H60)),IFERROR(INDEX(aScoresRounded,$B60,AL$4),"")))</f>
        <v>66.7</v>
      </c>
      <c r="AM60" s="631">
        <f>IF(AM$4="","",CHOOSE(uxb_works!$B$47,IF(INDEX(aData,$B60,AM$4)="","-",TEXT(INDEX(aData,$B60,AM$4),$H60)),IFERROR(INDEX(aScoresRounded,$B60,AM$4),"")))</f>
        <v>100</v>
      </c>
      <c r="AN60" s="631">
        <f>IF(AN$4="","",CHOOSE(uxb_works!$B$47,IF(INDEX(aData,$B60,AN$4)="","-",TEXT(INDEX(aData,$B60,AN$4),$H60)),IFERROR(INDEX(aScoresRounded,$B60,AN$4),"")))</f>
        <v>100</v>
      </c>
      <c r="AO60" s="631">
        <f>IF(AO$4="","",CHOOSE(uxb_works!$B$47,IF(INDEX(aData,$B60,AO$4)="","-",TEXT(INDEX(aData,$B60,AO$4),$H60)),IFERROR(INDEX(aScoresRounded,$B60,AO$4),"")))</f>
        <v>100</v>
      </c>
      <c r="AP60" s="631">
        <f>IF(AP$4="","",CHOOSE(uxb_works!$B$47,IF(INDEX(aData,$B60,AP$4)="","-",TEXT(INDEX(aData,$B60,AP$4),$H60)),IFERROR(INDEX(aScoresRounded,$B60,AP$4),"")))</f>
        <v>0</v>
      </c>
      <c r="AQ60" s="631">
        <f>IF(AQ$4="","",CHOOSE(uxb_works!$B$47,IF(INDEX(aData,$B60,AQ$4)="","-",TEXT(INDEX(aData,$B60,AQ$4),$H60)),IFERROR(INDEX(aScoresRounded,$B60,AQ$4),"")))</f>
        <v>0</v>
      </c>
      <c r="AR60" s="631">
        <f>IF(AR$4="","",CHOOSE(uxb_works!$B$47,IF(INDEX(aData,$B60,AR$4)="","-",TEXT(INDEX(aData,$B60,AR$4),$H60)),IFERROR(INDEX(aScoresRounded,$B60,AR$4),"")))</f>
        <v>0</v>
      </c>
      <c r="AS60" s="631">
        <f>IF(AS$4="","",CHOOSE(uxb_works!$B$47,IF(INDEX(aData,$B60,AS$4)="","-",TEXT(INDEX(aData,$B60,AS$4),$H60)),IFERROR(INDEX(aScoresRounded,$B60,AS$4),"")))</f>
        <v>66.7</v>
      </c>
      <c r="AT60" s="570"/>
      <c r="AW60" s="157">
        <f>CHOOSE($AV$1,0,IF(AW$10=0,0,IF(P60&lt;=$AX$1,1,IF(P60&lt;=#REF!,2,3))),IF(AW$10=0,0,IF(P60&lt;=$AX$1,4,IF(P60&lt;=#REF!,5,6))))</f>
        <v>0</v>
      </c>
      <c r="AX60" s="157">
        <f>CHOOSE($AV$1,0,IF(AX$10=0,0,IF(#REF!&lt;=$AX$1,1,IF(#REF!&lt;=#REF!,2,3))),IF(AX$10=0,0,IF(#REF!&lt;=$AX$1,4,IF(#REF!&lt;=#REF!,5,6))))</f>
        <v>0</v>
      </c>
    </row>
    <row r="61" spans="1:50" ht="25" customHeight="1">
      <c r="A61" s="213"/>
      <c r="B61" s="218">
        <f>tblIndicators!A52</f>
        <v>51</v>
      </c>
      <c r="C61" s="218"/>
      <c r="D61" s="218"/>
      <c r="E61" s="218">
        <f>tblIndicators!B52</f>
        <v>0</v>
      </c>
      <c r="F61" s="218">
        <f>IF(AND(uxb_works!$B$47=2,E61=1),0,iScores!F56)</f>
        <v>3</v>
      </c>
      <c r="G61" s="218"/>
      <c r="H61" s="218" t="str">
        <f>tblIndicators!AC52</f>
        <v>#,##0.0</v>
      </c>
      <c r="I61" s="219"/>
      <c r="J61" s="218"/>
      <c r="K61" s="214">
        <f>IF(L61=0,0,IF(uxb_works!$B$46&gt;=L61,1,0))</f>
        <v>1</v>
      </c>
      <c r="L61" s="216">
        <f>IF(AND(uxb_works!$B$47=2,E61=1),0,tblIndicators!G52)</f>
        <v>3</v>
      </c>
      <c r="M61" s="218"/>
      <c r="N61" s="249" t="str">
        <f>iScores!N56</f>
        <v xml:space="preserve">   3.3.3) Tech startup ecosytem</v>
      </c>
      <c r="O61" s="407">
        <f>CHOOSE(uxb_works!$B$47,iData!I56,iScores!O56)</f>
        <v>0.24142093464390416</v>
      </c>
      <c r="P61" s="631">
        <f>IF(P$4="","",CHOOSE(uxb_works!$B$47,IF(INDEX(aData,$B61,P$4)="","-",TEXT(INDEX(aData,$B61,P$4),$H61)),IFERROR(INDEX(aScoresRounded,$B61,P$4),"")))</f>
        <v>8.6</v>
      </c>
      <c r="Q61" s="706">
        <f>IF(Q$4="","",CHOOSE(uxb_works!$B$47,IF(INDEX(aData,$B61,Q$4)="","-",TEXT(INDEX(aData,$B61,Q$4),$H61)),IFERROR(INDEX(aScoresRounded,$B61,Q$4),"")))</f>
        <v>0.3</v>
      </c>
      <c r="R61" s="706">
        <f>IF(R$4="","",CHOOSE(uxb_works!$B$47,IF(INDEX(aData,$B61,R$4)="","-",TEXT(INDEX(aData,$B61,R$4),$H61)),IFERROR(INDEX(aScoresRounded,$B61,R$4),"")))</f>
        <v>2.8</v>
      </c>
      <c r="S61" s="706">
        <f>IF(S$4="","",CHOOSE(uxb_works!$B$47,IF(INDEX(aData,$B61,S$4)="","-",TEXT(INDEX(aData,$B61,S$4),$H61)),IFERROR(INDEX(aScoresRounded,$B61,S$4),"")))</f>
        <v>7</v>
      </c>
      <c r="T61" s="706">
        <f>IF(T$4="","",CHOOSE(uxb_works!$B$47,IF(INDEX(aData,$B61,T$4)="","-",TEXT(INDEX(aData,$B61,T$4),$H61)),IFERROR(INDEX(aScoresRounded,$B61,T$4),"")))</f>
        <v>59</v>
      </c>
      <c r="U61" s="706">
        <f>IF(U$4="","",CHOOSE(uxb_works!$B$47,IF(INDEX(aData,$B61,U$4)="","-",TEXT(INDEX(aData,$B61,U$4),$H61)),IFERROR(INDEX(aScoresRounded,$B61,U$4),"")))</f>
        <v>18.100000000000001</v>
      </c>
      <c r="V61" s="706">
        <f>IF(V$4="","",CHOOSE(uxb_works!$B$47,IF(INDEX(aData,$B61,V$4)="","-",TEXT(INDEX(aData,$B61,V$4),$H61)),IFERROR(INDEX(aScoresRounded,$B61,V$4),"")))</f>
        <v>3.8</v>
      </c>
      <c r="W61" s="706">
        <f>IF(W$4="","",CHOOSE(uxb_works!$B$47,IF(INDEX(aData,$B61,W$4)="","-",TEXT(INDEX(aData,$B61,W$4),$H61)),IFERROR(INDEX(aScoresRounded,$B61,W$4),"")))</f>
        <v>2.1</v>
      </c>
      <c r="X61" s="706">
        <f>IF(X$4="","",CHOOSE(uxb_works!$B$47,IF(INDEX(aData,$B61,X$4)="","-",TEXT(INDEX(aData,$B61,X$4),$H61)),IFERROR(INDEX(aScoresRounded,$B61,X$4),"")))</f>
        <v>9.9</v>
      </c>
      <c r="Y61" s="631">
        <f>IF(Y$4="","",CHOOSE(uxb_works!$B$47,IF(INDEX(aData,$B61,Y$4)="","-",TEXT(INDEX(aData,$B61,Y$4),$H61)),IFERROR(INDEX(aScoresRounded,$B61,Y$4),"")))</f>
        <v>2.7</v>
      </c>
      <c r="Z61" s="631">
        <f>IF(Z$4="","",CHOOSE(uxb_works!$B$47,IF(INDEX(aData,$B61,Z$4)="","-",TEXT(INDEX(aData,$B61,Z$4),$H61)),IFERROR(INDEX(aScoresRounded,$B61,Z$4),"")))</f>
        <v>0.8</v>
      </c>
      <c r="AA61" s="631">
        <f>IF(AA$4="","",CHOOSE(uxb_works!$B$47,IF(INDEX(aData,$B61,AA$4)="","-",TEXT(INDEX(aData,$B61,AA$4),$H61)),IFERROR(INDEX(aScoresRounded,$B61,AA$4),"")))</f>
        <v>9.3000000000000007</v>
      </c>
      <c r="AB61" s="631">
        <f>IF(AB$4="","",CHOOSE(uxb_works!$B$47,IF(INDEX(aData,$B61,AB$4)="","-",TEXT(INDEX(aData,$B61,AB$4),$H61)),IFERROR(INDEX(aScoresRounded,$B61,AB$4),"")))</f>
        <v>9.6999999999999993</v>
      </c>
      <c r="AC61" s="631">
        <f>IF(AC$4="","",CHOOSE(uxb_works!$B$47,IF(INDEX(aData,$B61,AC$4)="","-",TEXT(INDEX(aData,$B61,AC$4),$H61)),IFERROR(INDEX(aScoresRounded,$B61,AC$4),"")))</f>
        <v>1.9</v>
      </c>
      <c r="AD61" s="631">
        <f>IF(AD$4="","",CHOOSE(uxb_works!$B$47,IF(INDEX(aData,$B61,AD$4)="","-",TEXT(INDEX(aData,$B61,AD$4),$H61)),IFERROR(INDEX(aScoresRounded,$B61,AD$4),"")))</f>
        <v>49.1</v>
      </c>
      <c r="AE61" s="631">
        <f>IF(AE$4="","",CHOOSE(uxb_works!$B$47,IF(INDEX(aData,$B61,AE$4)="","-",TEXT(INDEX(aData,$B61,AE$4),$H61)),IFERROR(INDEX(aScoresRounded,$B61,AE$4),"")))</f>
        <v>4.7</v>
      </c>
      <c r="AF61" s="631">
        <f>IF(AF$4="","",CHOOSE(uxb_works!$B$47,IF(INDEX(aData,$B61,AF$4)="","-",TEXT(INDEX(aData,$B61,AF$4),$H61)),IFERROR(INDEX(aScoresRounded,$B61,AF$4),"")))</f>
        <v>2.4</v>
      </c>
      <c r="AG61" s="631">
        <f>IF(AG$4="","",CHOOSE(uxb_works!$B$47,IF(INDEX(aData,$B61,AG$4)="","-",TEXT(INDEX(aData,$B61,AG$4),$H61)),IFERROR(INDEX(aScoresRounded,$B61,AG$4),"")))</f>
        <v>4.3</v>
      </c>
      <c r="AH61" s="631">
        <f>IF(AH$4="","",CHOOSE(uxb_works!$B$47,IF(INDEX(aData,$B61,AH$4)="","-",TEXT(INDEX(aData,$B61,AH$4),$H61)),IFERROR(INDEX(aScoresRounded,$B61,AH$4),"")))</f>
        <v>17.600000000000001</v>
      </c>
      <c r="AI61" s="631">
        <f>IF(AI$4="","",CHOOSE(uxb_works!$B$47,IF(INDEX(aData,$B61,AI$4)="","-",TEXT(INDEX(aData,$B61,AI$4),$H61)),IFERROR(INDEX(aScoresRounded,$B61,AI$4),"")))</f>
        <v>100</v>
      </c>
      <c r="AJ61" s="631">
        <f>IF(AJ$4="","",CHOOSE(uxb_works!$B$47,IF(INDEX(aData,$B61,AJ$4)="","-",TEXT(INDEX(aData,$B61,AJ$4),$H61)),IFERROR(INDEX(aScoresRounded,$B61,AJ$4),"")))</f>
        <v>19.600000000000001</v>
      </c>
      <c r="AK61" s="631">
        <f>IF(AK$4="","",CHOOSE(uxb_works!$B$47,IF(INDEX(aData,$B61,AK$4)="","-",TEXT(INDEX(aData,$B61,AK$4),$H61)),IFERROR(INDEX(aScoresRounded,$B61,AK$4),"")))</f>
        <v>0</v>
      </c>
      <c r="AL61" s="631">
        <f>IF(AL$4="","",CHOOSE(uxb_works!$B$47,IF(INDEX(aData,$B61,AL$4)="","-",TEXT(INDEX(aData,$B61,AL$4),$H61)),IFERROR(INDEX(aScoresRounded,$B61,AL$4),"")))</f>
        <v>13.4</v>
      </c>
      <c r="AM61" s="631">
        <f>IF(AM$4="","",CHOOSE(uxb_works!$B$47,IF(INDEX(aData,$B61,AM$4)="","-",TEXT(INDEX(aData,$B61,AM$4),$H61)),IFERROR(INDEX(aScoresRounded,$B61,AM$4),"")))</f>
        <v>11.5</v>
      </c>
      <c r="AN61" s="631">
        <f>IF(AN$4="","",CHOOSE(uxb_works!$B$47,IF(INDEX(aData,$B61,AN$4)="","-",TEXT(INDEX(aData,$B61,AN$4),$H61)),IFERROR(INDEX(aScoresRounded,$B61,AN$4),"")))</f>
        <v>10.6</v>
      </c>
      <c r="AO61" s="631">
        <f>IF(AO$4="","",CHOOSE(uxb_works!$B$47,IF(INDEX(aData,$B61,AO$4)="","-",TEXT(INDEX(aData,$B61,AO$4),$H61)),IFERROR(INDEX(aScoresRounded,$B61,AO$4),"")))</f>
        <v>6.9</v>
      </c>
      <c r="AP61" s="631">
        <f>IF(AP$4="","",CHOOSE(uxb_works!$B$47,IF(INDEX(aData,$B61,AP$4)="","-",TEXT(INDEX(aData,$B61,AP$4),$H61)),IFERROR(INDEX(aScoresRounded,$B61,AP$4),"")))</f>
        <v>16.399999999999999</v>
      </c>
      <c r="AQ61" s="631">
        <f>IF(AQ$4="","",CHOOSE(uxb_works!$B$47,IF(INDEX(aData,$B61,AQ$4)="","-",TEXT(INDEX(aData,$B61,AQ$4),$H61)),IFERROR(INDEX(aScoresRounded,$B61,AQ$4),"")))</f>
        <v>10.3</v>
      </c>
      <c r="AR61" s="631">
        <f>IF(AR$4="","",CHOOSE(uxb_works!$B$47,IF(INDEX(aData,$B61,AR$4)="","-",TEXT(INDEX(aData,$B61,AR$4),$H61)),IFERROR(INDEX(aScoresRounded,$B61,AR$4),"")))</f>
        <v>12.4</v>
      </c>
      <c r="AS61" s="631">
        <f>IF(AS$4="","",CHOOSE(uxb_works!$B$47,IF(INDEX(aData,$B61,AS$4)="","-",TEXT(INDEX(aData,$B61,AS$4),$H61)),IFERROR(INDEX(aScoresRounded,$B61,AS$4),"")))</f>
        <v>2.6</v>
      </c>
      <c r="AT61" s="570"/>
      <c r="AW61" s="157">
        <f>CHOOSE($AV$1,0,IF(AW$10=0,0,IF(P61&lt;=$AX$1,1,IF(P61&lt;=#REF!,2,3))),IF(AW$10=0,0,IF(P61&lt;=$AX$1,4,IF(P61&lt;=#REF!,5,6))))</f>
        <v>0</v>
      </c>
      <c r="AX61" s="157">
        <f>CHOOSE($AV$1,0,IF(AX$10=0,0,IF(#REF!&lt;=$AX$1,1,IF(#REF!&lt;=#REF!,2,3))),IF(AX$10=0,0,IF(#REF!&lt;=$AX$1,4,IF(#REF!&lt;=#REF!,5,6))))</f>
        <v>0</v>
      </c>
    </row>
    <row r="62" spans="1:50" ht="25" customHeight="1">
      <c r="A62" s="213"/>
      <c r="B62" s="218">
        <f>tblIndicators!A53</f>
        <v>52</v>
      </c>
      <c r="C62" s="218"/>
      <c r="D62" s="218"/>
      <c r="E62" s="218">
        <f>tblIndicators!B53</f>
        <v>0</v>
      </c>
      <c r="F62" s="218">
        <f>IF(AND(uxb_works!$B$47=2,E62=1),0,iScores!F57)</f>
        <v>3</v>
      </c>
      <c r="G62" s="218"/>
      <c r="H62" s="218" t="str">
        <f>tblIndicators!AC53</f>
        <v>#,##0</v>
      </c>
      <c r="I62" s="219"/>
      <c r="J62" s="218"/>
      <c r="K62" s="214">
        <f>IF(L62=0,0,IF(uxb_works!$B$46&gt;=L62,1,0))</f>
        <v>1</v>
      </c>
      <c r="L62" s="216">
        <f>IF(AND(uxb_works!$B$47=2,E62=1),0,tblIndicators!G53)</f>
        <v>3</v>
      </c>
      <c r="M62" s="218"/>
      <c r="N62" s="249" t="str">
        <f>iScores!N57</f>
        <v xml:space="preserve">   3.3.4) Intellectual Property Rights</v>
      </c>
      <c r="O62" s="407">
        <f>CHOOSE(uxb_works!$B$47,iData!I57,iScores!O57)</f>
        <v>0.18968787722021038</v>
      </c>
      <c r="P62" s="631">
        <f>IF(P$4="","",CHOOSE(uxb_works!$B$47,IF(INDEX(aData,$B62,P$4)="","-",TEXT(INDEX(aData,$B62,P$4),$H62)),IFERROR(INDEX(aScoresRounded,$B62,P$4),"")))</f>
        <v>100</v>
      </c>
      <c r="Q62" s="706">
        <f>IF(Q$4="","",CHOOSE(uxb_works!$B$47,IF(INDEX(aData,$B62,Q$4)="","-",TEXT(INDEX(aData,$B62,Q$4),$H62)),IFERROR(INDEX(aScoresRounded,$B62,Q$4),"")))</f>
        <v>75</v>
      </c>
      <c r="R62" s="706">
        <f>IF(R$4="","",CHOOSE(uxb_works!$B$47,IF(INDEX(aData,$B62,R$4)="","-",TEXT(INDEX(aData,$B62,R$4),$H62)),IFERROR(INDEX(aScoresRounded,$B62,R$4),"")))</f>
        <v>25</v>
      </c>
      <c r="S62" s="706">
        <f>IF(S$4="","",CHOOSE(uxb_works!$B$47,IF(INDEX(aData,$B62,S$4)="","-",TEXT(INDEX(aData,$B62,S$4),$H62)),IFERROR(INDEX(aScoresRounded,$B62,S$4),"")))</f>
        <v>75</v>
      </c>
      <c r="T62" s="706">
        <f>IF(T$4="","",CHOOSE(uxb_works!$B$47,IF(INDEX(aData,$B62,T$4)="","-",TEXT(INDEX(aData,$B62,T$4),$H62)),IFERROR(INDEX(aScoresRounded,$B62,T$4),"")))</f>
        <v>25</v>
      </c>
      <c r="U62" s="706">
        <f>IF(U$4="","",CHOOSE(uxb_works!$B$47,IF(INDEX(aData,$B62,U$4)="","-",TEXT(INDEX(aData,$B62,U$4),$H62)),IFERROR(INDEX(aScoresRounded,$B62,U$4),"")))</f>
        <v>100</v>
      </c>
      <c r="V62" s="706">
        <f>IF(V$4="","",CHOOSE(uxb_works!$B$47,IF(INDEX(aData,$B62,V$4)="","-",TEXT(INDEX(aData,$B62,V$4),$H62)),IFERROR(INDEX(aScoresRounded,$B62,V$4),"")))</f>
        <v>50</v>
      </c>
      <c r="W62" s="706">
        <f>IF(W$4="","",CHOOSE(uxb_works!$B$47,IF(INDEX(aData,$B62,W$4)="","-",TEXT(INDEX(aData,$B62,W$4),$H62)),IFERROR(INDEX(aScoresRounded,$B62,W$4),"")))</f>
        <v>100</v>
      </c>
      <c r="X62" s="706">
        <f>IF(X$4="","",CHOOSE(uxb_works!$B$47,IF(INDEX(aData,$B62,X$4)="","-",TEXT(INDEX(aData,$B62,X$4),$H62)),IFERROR(INDEX(aScoresRounded,$B62,X$4),"")))</f>
        <v>100</v>
      </c>
      <c r="Y62" s="631">
        <f>IF(Y$4="","",CHOOSE(uxb_works!$B$47,IF(INDEX(aData,$B62,Y$4)="","-",TEXT(INDEX(aData,$B62,Y$4),$H62)),IFERROR(INDEX(aScoresRounded,$B62,Y$4),"")))</f>
        <v>75</v>
      </c>
      <c r="Z62" s="631">
        <f>IF(Z$4="","",CHOOSE(uxb_works!$B$47,IF(INDEX(aData,$B62,Z$4)="","-",TEXT(INDEX(aData,$B62,Z$4),$H62)),IFERROR(INDEX(aScoresRounded,$B62,Z$4),"")))</f>
        <v>100</v>
      </c>
      <c r="AA62" s="631">
        <f>IF(AA$4="","",CHOOSE(uxb_works!$B$47,IF(INDEX(aData,$B62,AA$4)="","-",TEXT(INDEX(aData,$B62,AA$4),$H62)),IFERROR(INDEX(aScoresRounded,$B62,AA$4),"")))</f>
        <v>75</v>
      </c>
      <c r="AB62" s="631">
        <f>IF(AB$4="","",CHOOSE(uxb_works!$B$47,IF(INDEX(aData,$B62,AB$4)="","-",TEXT(INDEX(aData,$B62,AB$4),$H62)),IFERROR(INDEX(aScoresRounded,$B62,AB$4),"")))</f>
        <v>25</v>
      </c>
      <c r="AC62" s="631">
        <f>IF(AC$4="","",CHOOSE(uxb_works!$B$47,IF(INDEX(aData,$B62,AC$4)="","-",TEXT(INDEX(aData,$B62,AC$4),$H62)),IFERROR(INDEX(aScoresRounded,$B62,AC$4),"")))</f>
        <v>50</v>
      </c>
      <c r="AD62" s="631">
        <f>IF(AD$4="","",CHOOSE(uxb_works!$B$47,IF(INDEX(aData,$B62,AD$4)="","-",TEXT(INDEX(aData,$B62,AD$4),$H62)),IFERROR(INDEX(aScoresRounded,$B62,AD$4),"")))</f>
        <v>100</v>
      </c>
      <c r="AE62" s="631">
        <f>IF(AE$4="","",CHOOSE(uxb_works!$B$47,IF(INDEX(aData,$B62,AE$4)="","-",TEXT(INDEX(aData,$B62,AE$4),$H62)),IFERROR(INDEX(aScoresRounded,$B62,AE$4),"")))</f>
        <v>75</v>
      </c>
      <c r="AF62" s="631">
        <f>IF(AF$4="","",CHOOSE(uxb_works!$B$47,IF(INDEX(aData,$B62,AF$4)="","-",TEXT(INDEX(aData,$B62,AF$4),$H62)),IFERROR(INDEX(aScoresRounded,$B62,AF$4),"")))</f>
        <v>25</v>
      </c>
      <c r="AG62" s="631">
        <f>IF(AG$4="","",CHOOSE(uxb_works!$B$47,IF(INDEX(aData,$B62,AG$4)="","-",TEXT(INDEX(aData,$B62,AG$4),$H62)),IFERROR(INDEX(aScoresRounded,$B62,AG$4),"")))</f>
        <v>50</v>
      </c>
      <c r="AH62" s="631">
        <f>IF(AH$4="","",CHOOSE(uxb_works!$B$47,IF(INDEX(aData,$B62,AH$4)="","-",TEXT(INDEX(aData,$B62,AH$4),$H62)),IFERROR(INDEX(aScoresRounded,$B62,AH$4),"")))</f>
        <v>0</v>
      </c>
      <c r="AI62" s="631">
        <f>IF(AI$4="","",CHOOSE(uxb_works!$B$47,IF(INDEX(aData,$B62,AI$4)="","-",TEXT(INDEX(aData,$B62,AI$4),$H62)),IFERROR(INDEX(aScoresRounded,$B62,AI$4),"")))</f>
        <v>100</v>
      </c>
      <c r="AJ62" s="631">
        <f>IF(AJ$4="","",CHOOSE(uxb_works!$B$47,IF(INDEX(aData,$B62,AJ$4)="","-",TEXT(INDEX(aData,$B62,AJ$4),$H62)),IFERROR(INDEX(aScoresRounded,$B62,AJ$4),"")))</f>
        <v>100</v>
      </c>
      <c r="AK62" s="631">
        <f>IF(AK$4="","",CHOOSE(uxb_works!$B$47,IF(INDEX(aData,$B62,AK$4)="","-",TEXT(INDEX(aData,$B62,AK$4),$H62)),IFERROR(INDEX(aScoresRounded,$B62,AK$4),"")))</f>
        <v>75</v>
      </c>
      <c r="AL62" s="631">
        <f>IF(AL$4="","",CHOOSE(uxb_works!$B$47,IF(INDEX(aData,$B62,AL$4)="","-",TEXT(INDEX(aData,$B62,AL$4),$H62)),IFERROR(INDEX(aScoresRounded,$B62,AL$4),"")))</f>
        <v>50</v>
      </c>
      <c r="AM62" s="631">
        <f>IF(AM$4="","",CHOOSE(uxb_works!$B$47,IF(INDEX(aData,$B62,AM$4)="","-",TEXT(INDEX(aData,$B62,AM$4),$H62)),IFERROR(INDEX(aScoresRounded,$B62,AM$4),"")))</f>
        <v>50</v>
      </c>
      <c r="AN62" s="631">
        <f>IF(AN$4="","",CHOOSE(uxb_works!$B$47,IF(INDEX(aData,$B62,AN$4)="","-",TEXT(INDEX(aData,$B62,AN$4),$H62)),IFERROR(INDEX(aScoresRounded,$B62,AN$4),"")))</f>
        <v>100</v>
      </c>
      <c r="AO62" s="631">
        <f>IF(AO$4="","",CHOOSE(uxb_works!$B$47,IF(INDEX(aData,$B62,AO$4)="","-",TEXT(INDEX(aData,$B62,AO$4),$H62)),IFERROR(INDEX(aScoresRounded,$B62,AO$4),"")))</f>
        <v>100</v>
      </c>
      <c r="AP62" s="631">
        <f>IF(AP$4="","",CHOOSE(uxb_works!$B$47,IF(INDEX(aData,$B62,AP$4)="","-",TEXT(INDEX(aData,$B62,AP$4),$H62)),IFERROR(INDEX(aScoresRounded,$B62,AP$4),"")))</f>
        <v>75</v>
      </c>
      <c r="AQ62" s="631">
        <f>IF(AQ$4="","",CHOOSE(uxb_works!$B$47,IF(INDEX(aData,$B62,AQ$4)="","-",TEXT(INDEX(aData,$B62,AQ$4),$H62)),IFERROR(INDEX(aScoresRounded,$B62,AQ$4),"")))</f>
        <v>100</v>
      </c>
      <c r="AR62" s="631">
        <f>IF(AR$4="","",CHOOSE(uxb_works!$B$47,IF(INDEX(aData,$B62,AR$4)="","-",TEXT(INDEX(aData,$B62,AR$4),$H62)),IFERROR(INDEX(aScoresRounded,$B62,AR$4),"")))</f>
        <v>100</v>
      </c>
      <c r="AS62" s="631">
        <f>IF(AS$4="","",CHOOSE(uxb_works!$B$47,IF(INDEX(aData,$B62,AS$4)="","-",TEXT(INDEX(aData,$B62,AS$4),$H62)),IFERROR(INDEX(aScoresRounded,$B62,AS$4),"")))</f>
        <v>100</v>
      </c>
      <c r="AT62" s="570"/>
      <c r="AW62" s="157">
        <f>CHOOSE($AV$1,0,IF(AW$10=0,0,IF(P62&lt;=$AX$1,1,IF(P62&lt;=#REF!,2,3))),IF(AW$10=0,0,IF(P62&lt;=$AX$1,4,IF(P62&lt;=#REF!,5,6))))</f>
        <v>0</v>
      </c>
      <c r="AX62" s="157">
        <f>CHOOSE($AV$1,0,IF(AX$10=0,0,IF(#REF!&lt;=$AX$1,1,IF(#REF!&lt;=#REF!,2,3))),IF(AX$10=0,0,IF(#REF!&lt;=$AX$1,4,IF(#REF!&lt;=#REF!,5,6))))</f>
        <v>0</v>
      </c>
    </row>
    <row r="63" spans="1:50" ht="25" customHeight="1">
      <c r="A63" s="213"/>
      <c r="B63" s="218">
        <f>tblIndicators!A54</f>
        <v>53</v>
      </c>
      <c r="C63" s="218"/>
      <c r="D63" s="218"/>
      <c r="E63" s="218">
        <f>tblIndicators!B54</f>
        <v>0</v>
      </c>
      <c r="F63" s="218">
        <f>IF(AND(uxb_works!$B$47=2,E63=1),0,iScores!F58)</f>
        <v>3</v>
      </c>
      <c r="G63" s="218"/>
      <c r="H63" s="218" t="str">
        <f>tblIndicators!AC54</f>
        <v>#,##0.0</v>
      </c>
      <c r="I63" s="219"/>
      <c r="J63" s="218"/>
      <c r="K63" s="214">
        <f>IF(L63=0,0,IF(uxb_works!$B$46&gt;=L63,1,0))</f>
        <v>1</v>
      </c>
      <c r="L63" s="216">
        <f>IF(AND(uxb_works!$B$47=2,E63=1),0,tblIndicators!G54)</f>
        <v>3</v>
      </c>
      <c r="M63" s="218"/>
      <c r="N63" s="249" t="str">
        <f>iScores!N58</f>
        <v xml:space="preserve">   3.3.5) Business environment</v>
      </c>
      <c r="O63" s="407">
        <f>CHOOSE(uxb_works!$B$47,iData!I58,iScores!O58)</f>
        <v>0.22400413864459393</v>
      </c>
      <c r="P63" s="631">
        <f>IF(P$4="","",CHOOSE(uxb_works!$B$47,IF(INDEX(aData,$B63,P$4)="","-",TEXT(INDEX(aData,$B63,P$4),$H63)),IFERROR(INDEX(aScoresRounded,$B63,P$4),"")))</f>
        <v>88.9</v>
      </c>
      <c r="Q63" s="706">
        <f>IF(Q$4="","",CHOOSE(uxb_works!$B$47,IF(INDEX(aData,$B63,Q$4)="","-",TEXT(INDEX(aData,$B63,Q$4),$H63)),IFERROR(INDEX(aScoresRounded,$B63,Q$4),"")))</f>
        <v>96.2</v>
      </c>
      <c r="R63" s="706">
        <f>IF(R$4="","",CHOOSE(uxb_works!$B$47,IF(INDEX(aData,$B63,R$4)="","-",TEXT(INDEX(aData,$B63,R$4),$H63)),IFERROR(INDEX(aScoresRounded,$B63,R$4),"")))</f>
        <v>48.2</v>
      </c>
      <c r="S63" s="706">
        <f>IF(S$4="","",CHOOSE(uxb_works!$B$47,IF(INDEX(aData,$B63,S$4)="","-",TEXT(INDEX(aData,$B63,S$4),$H63)),IFERROR(INDEX(aScoresRounded,$B63,S$4),"")))</f>
        <v>62.9</v>
      </c>
      <c r="T63" s="706">
        <f>IF(T$4="","",CHOOSE(uxb_works!$B$47,IF(INDEX(aData,$B63,T$4)="","-",TEXT(INDEX(aData,$B63,T$4),$H63)),IFERROR(INDEX(aScoresRounded,$B63,T$4),"")))</f>
        <v>22.2</v>
      </c>
      <c r="U63" s="706">
        <f>IF(U$4="","",CHOOSE(uxb_works!$B$47,IF(INDEX(aData,$B63,U$4)="","-",TEXT(INDEX(aData,$B63,U$4),$H63)),IFERROR(INDEX(aScoresRounded,$B63,U$4),"")))</f>
        <v>74</v>
      </c>
      <c r="V63" s="706">
        <f>IF(V$4="","",CHOOSE(uxb_works!$B$47,IF(INDEX(aData,$B63,V$4)="","-",TEXT(INDEX(aData,$B63,V$4),$H63)),IFERROR(INDEX(aScoresRounded,$B63,V$4),"")))</f>
        <v>0</v>
      </c>
      <c r="W63" s="706">
        <f>IF(W$4="","",CHOOSE(uxb_works!$B$47,IF(INDEX(aData,$B63,W$4)="","-",TEXT(INDEX(aData,$B63,W$4),$H63)),IFERROR(INDEX(aScoresRounded,$B63,W$4),"")))</f>
        <v>88.9</v>
      </c>
      <c r="X63" s="706">
        <f>IF(X$4="","",CHOOSE(uxb_works!$B$47,IF(INDEX(aData,$B63,X$4)="","-",TEXT(INDEX(aData,$B63,X$4),$H63)),IFERROR(INDEX(aScoresRounded,$B63,X$4),"")))</f>
        <v>100</v>
      </c>
      <c r="Y63" s="631">
        <f>IF(Y$4="","",CHOOSE(uxb_works!$B$47,IF(INDEX(aData,$B63,Y$4)="","-",TEXT(INDEX(aData,$B63,Y$4),$H63)),IFERROR(INDEX(aScoresRounded,$B63,Y$4),"")))</f>
        <v>66.7</v>
      </c>
      <c r="Z63" s="631">
        <f>IF(Z$4="","",CHOOSE(uxb_works!$B$47,IF(INDEX(aData,$B63,Z$4)="","-",TEXT(INDEX(aData,$B63,Z$4),$H63)),IFERROR(INDEX(aScoresRounded,$B63,Z$4),"")))</f>
        <v>74</v>
      </c>
      <c r="AA63" s="631">
        <f>IF(AA$4="","",CHOOSE(uxb_works!$B$47,IF(INDEX(aData,$B63,AA$4)="","-",TEXT(INDEX(aData,$B63,AA$4),$H63)),IFERROR(INDEX(aScoresRounded,$B63,AA$4),"")))</f>
        <v>74</v>
      </c>
      <c r="AB63" s="631">
        <f>IF(AB$4="","",CHOOSE(uxb_works!$B$47,IF(INDEX(aData,$B63,AB$4)="","-",TEXT(INDEX(aData,$B63,AB$4),$H63)),IFERROR(INDEX(aScoresRounded,$B63,AB$4),"")))</f>
        <v>22.2</v>
      </c>
      <c r="AC63" s="631">
        <f>IF(AC$4="","",CHOOSE(uxb_works!$B$47,IF(INDEX(aData,$B63,AC$4)="","-",TEXT(INDEX(aData,$B63,AC$4),$H63)),IFERROR(INDEX(aScoresRounded,$B63,AC$4),"")))</f>
        <v>48.2</v>
      </c>
      <c r="AD63" s="631">
        <f>IF(AD$4="","",CHOOSE(uxb_works!$B$47,IF(INDEX(aData,$B63,AD$4)="","-",TEXT(INDEX(aData,$B63,AD$4),$H63)),IFERROR(INDEX(aScoresRounded,$B63,AD$4),"")))</f>
        <v>85.1</v>
      </c>
      <c r="AE63" s="631">
        <f>IF(AE$4="","",CHOOSE(uxb_works!$B$47,IF(INDEX(aData,$B63,AE$4)="","-",TEXT(INDEX(aData,$B63,AE$4),$H63)),IFERROR(INDEX(aScoresRounded,$B63,AE$4),"")))</f>
        <v>62.9</v>
      </c>
      <c r="AF63" s="631">
        <f>IF(AF$4="","",CHOOSE(uxb_works!$B$47,IF(INDEX(aData,$B63,AF$4)="","-",TEXT(INDEX(aData,$B63,AF$4),$H63)),IFERROR(INDEX(aScoresRounded,$B63,AF$4),"")))</f>
        <v>22.2</v>
      </c>
      <c r="AG63" s="631">
        <f>IF(AG$4="","",CHOOSE(uxb_works!$B$47,IF(INDEX(aData,$B63,AG$4)="","-",TEXT(INDEX(aData,$B63,AG$4),$H63)),IFERROR(INDEX(aScoresRounded,$B63,AG$4),"")))</f>
        <v>26</v>
      </c>
      <c r="AH63" s="631">
        <f>IF(AH$4="","",CHOOSE(uxb_works!$B$47,IF(INDEX(aData,$B63,AH$4)="","-",TEXT(INDEX(aData,$B63,AH$4),$H63)),IFERROR(INDEX(aScoresRounded,$B63,AH$4),"")))</f>
        <v>33.299999999999997</v>
      </c>
      <c r="AI63" s="631">
        <f>IF(AI$4="","",CHOOSE(uxb_works!$B$47,IF(INDEX(aData,$B63,AI$4)="","-",TEXT(INDEX(aData,$B63,AI$4),$H63)),IFERROR(INDEX(aScoresRounded,$B63,AI$4),"")))</f>
        <v>100</v>
      </c>
      <c r="AJ63" s="631">
        <f>IF(AJ$4="","",CHOOSE(uxb_works!$B$47,IF(INDEX(aData,$B63,AJ$4)="","-",TEXT(INDEX(aData,$B63,AJ$4),$H63)),IFERROR(INDEX(aScoresRounded,$B63,AJ$4),"")))</f>
        <v>62.9</v>
      </c>
      <c r="AK63" s="631">
        <f>IF(AK$4="","",CHOOSE(uxb_works!$B$47,IF(INDEX(aData,$B63,AK$4)="","-",TEXT(INDEX(aData,$B63,AK$4),$H63)),IFERROR(INDEX(aScoresRounded,$B63,AK$4),"")))</f>
        <v>33.299999999999997</v>
      </c>
      <c r="AL63" s="631">
        <f>IF(AL$4="","",CHOOSE(uxb_works!$B$47,IF(INDEX(aData,$B63,AL$4)="","-",TEXT(INDEX(aData,$B63,AL$4),$H63)),IFERROR(INDEX(aScoresRounded,$B63,AL$4),"")))</f>
        <v>59.3</v>
      </c>
      <c r="AM63" s="631">
        <f>IF(AM$4="","",CHOOSE(uxb_works!$B$47,IF(INDEX(aData,$B63,AM$4)="","-",TEXT(INDEX(aData,$B63,AM$4),$H63)),IFERROR(INDEX(aScoresRounded,$B63,AM$4),"")))</f>
        <v>59.3</v>
      </c>
      <c r="AN63" s="631">
        <f>IF(AN$4="","",CHOOSE(uxb_works!$B$47,IF(INDEX(aData,$B63,AN$4)="","-",TEXT(INDEX(aData,$B63,AN$4),$H63)),IFERROR(INDEX(aScoresRounded,$B63,AN$4),"")))</f>
        <v>96.2</v>
      </c>
      <c r="AO63" s="631">
        <f>IF(AO$4="","",CHOOSE(uxb_works!$B$47,IF(INDEX(aData,$B63,AO$4)="","-",TEXT(INDEX(aData,$B63,AO$4),$H63)),IFERROR(INDEX(aScoresRounded,$B63,AO$4),"")))</f>
        <v>77.8</v>
      </c>
      <c r="AP63" s="631">
        <f>IF(AP$4="","",CHOOSE(uxb_works!$B$47,IF(INDEX(aData,$B63,AP$4)="","-",TEXT(INDEX(aData,$B63,AP$4),$H63)),IFERROR(INDEX(aScoresRounded,$B63,AP$4),"")))</f>
        <v>55.6</v>
      </c>
      <c r="AQ63" s="631">
        <f>IF(AQ$4="","",CHOOSE(uxb_works!$B$47,IF(INDEX(aData,$B63,AQ$4)="","-",TEXT(INDEX(aData,$B63,AQ$4),$H63)),IFERROR(INDEX(aScoresRounded,$B63,AQ$4),"")))</f>
        <v>96.2</v>
      </c>
      <c r="AR63" s="631">
        <f>IF(AR$4="","",CHOOSE(uxb_works!$B$47,IF(INDEX(aData,$B63,AR$4)="","-",TEXT(INDEX(aData,$B63,AR$4),$H63)),IFERROR(INDEX(aScoresRounded,$B63,AR$4),"")))</f>
        <v>100</v>
      </c>
      <c r="AS63" s="631">
        <f>IF(AS$4="","",CHOOSE(uxb_works!$B$47,IF(INDEX(aData,$B63,AS$4)="","-",TEXT(INDEX(aData,$B63,AS$4),$H63)),IFERROR(INDEX(aScoresRounded,$B63,AS$4),"")))</f>
        <v>77.8</v>
      </c>
      <c r="AT63" s="570"/>
      <c r="AW63" s="157">
        <f>CHOOSE($AV$1,0,IF(AW$10=0,0,IF(P63&lt;=$AX$1,1,IF(P63&lt;=#REF!,2,3))),IF(AW$10=0,0,IF(P63&lt;=$AX$1,4,IF(P63&lt;=#REF!,5,6))))</f>
        <v>0</v>
      </c>
      <c r="AX63" s="157">
        <f>CHOOSE($AV$1,0,IF(AX$10=0,0,IF(#REF!&lt;=$AX$1,1,IF(#REF!&lt;=#REF!,2,3))),IF(AX$10=0,0,IF(#REF!&lt;=$AX$1,4,IF(#REF!&lt;=#REF!,5,6))))</f>
        <v>0</v>
      </c>
    </row>
    <row r="64" spans="1:50" ht="25" customHeight="1">
      <c r="A64" s="213"/>
      <c r="B64" s="218">
        <f>tblIndicators!A55</f>
        <v>54</v>
      </c>
      <c r="C64" s="218"/>
      <c r="D64" s="218"/>
      <c r="E64" s="218">
        <f>tblIndicators!B55</f>
        <v>0</v>
      </c>
      <c r="F64" s="218">
        <f>IF(AND(uxb_works!$B$47=2,E64=1),0,iScores!F59)</f>
        <v>2</v>
      </c>
      <c r="G64" s="218"/>
      <c r="H64" s="218" t="str">
        <f>tblIndicators!AC55</f>
        <v>#,##0.0</v>
      </c>
      <c r="I64" s="219"/>
      <c r="J64" s="218"/>
      <c r="K64" s="214">
        <f>IF(L64=0,0,IF(uxb_works!$B$46&gt;=L64,1,0))</f>
        <v>1</v>
      </c>
      <c r="L64" s="216">
        <f>IF(AND(uxb_works!$B$47=2,E64=1),0,tblIndicators!G55)</f>
        <v>2</v>
      </c>
      <c r="M64" s="218"/>
      <c r="N64" s="249" t="str">
        <f>iScores!N59</f>
        <v xml:space="preserve">  3.4) Public attitude and engagement</v>
      </c>
      <c r="O64" s="407">
        <f>CHOOSE(uxb_works!$B$47,iData!I59,iScores!O59)</f>
        <v>0.1875</v>
      </c>
      <c r="P64" s="631">
        <f>IF(P$4="","",CHOOSE(uxb_works!$B$47,IF(INDEX(aData,$B64,P$4)="","-",TEXT(INDEX(aData,$B64,P$4),$H64)),IFERROR(INDEX(aScoresRounded,$B64,P$4),"")))</f>
        <v>35.1</v>
      </c>
      <c r="Q64" s="706">
        <f>IF(Q$4="","",CHOOSE(uxb_works!$B$47,IF(INDEX(aData,$B64,Q$4)="","-",TEXT(INDEX(aData,$B64,Q$4),$H64)),IFERROR(INDEX(aScoresRounded,$B64,Q$4),"")))</f>
        <v>70.8</v>
      </c>
      <c r="R64" s="706">
        <f>IF(R$4="","",CHOOSE(uxb_works!$B$47,IF(INDEX(aData,$B64,R$4)="","-",TEXT(INDEX(aData,$B64,R$4),$H64)),IFERROR(INDEX(aScoresRounded,$B64,R$4),"")))</f>
        <v>57.8</v>
      </c>
      <c r="S64" s="706">
        <f>IF(S$4="","",CHOOSE(uxb_works!$B$47,IF(INDEX(aData,$B64,S$4)="","-",TEXT(INDEX(aData,$B64,S$4),$H64)),IFERROR(INDEX(aScoresRounded,$B64,S$4),"")))</f>
        <v>39.9</v>
      </c>
      <c r="T64" s="706">
        <f>IF(T$4="","",CHOOSE(uxb_works!$B$47,IF(INDEX(aData,$B64,T$4)="","-",TEXT(INDEX(aData,$B64,T$4),$H64)),IFERROR(INDEX(aScoresRounded,$B64,T$4),"")))</f>
        <v>72.3</v>
      </c>
      <c r="U64" s="706">
        <f>IF(U$4="","",CHOOSE(uxb_works!$B$47,IF(INDEX(aData,$B64,U$4)="","-",TEXT(INDEX(aData,$B64,U$4),$H64)),IFERROR(INDEX(aScoresRounded,$B64,U$4),"")))</f>
        <v>27.6</v>
      </c>
      <c r="V64" s="706">
        <f>IF(V$4="","",CHOOSE(uxb_works!$B$47,IF(INDEX(aData,$B64,V$4)="","-",TEXT(INDEX(aData,$B64,V$4),$H64)),IFERROR(INDEX(aScoresRounded,$B64,V$4),"")))</f>
        <v>54.2</v>
      </c>
      <c r="W64" s="706">
        <f>IF(W$4="","",CHOOSE(uxb_works!$B$47,IF(INDEX(aData,$B64,W$4)="","-",TEXT(INDEX(aData,$B64,W$4),$H64)),IFERROR(INDEX(aScoresRounded,$B64,W$4),"")))</f>
        <v>46.9</v>
      </c>
      <c r="X64" s="706">
        <f>IF(X$4="","",CHOOSE(uxb_works!$B$47,IF(INDEX(aData,$B64,X$4)="","-",TEXT(INDEX(aData,$B64,X$4),$H64)),IFERROR(INDEX(aScoresRounded,$B64,X$4),"")))</f>
        <v>43.5</v>
      </c>
      <c r="Y64" s="631">
        <f>IF(Y$4="","",CHOOSE(uxb_works!$B$47,IF(INDEX(aData,$B64,Y$4)="","-",TEXT(INDEX(aData,$B64,Y$4),$H64)),IFERROR(INDEX(aScoresRounded,$B64,Y$4),"")))</f>
        <v>89.7</v>
      </c>
      <c r="Z64" s="631">
        <f>IF(Z$4="","",CHOOSE(uxb_works!$B$47,IF(INDEX(aData,$B64,Z$4)="","-",TEXT(INDEX(aData,$B64,Z$4),$H64)),IFERROR(INDEX(aScoresRounded,$B64,Z$4),"")))</f>
        <v>33.1</v>
      </c>
      <c r="AA64" s="631">
        <f>IF(AA$4="","",CHOOSE(uxb_works!$B$47,IF(INDEX(aData,$B64,AA$4)="","-",TEXT(INDEX(aData,$B64,AA$4),$H64)),IFERROR(INDEX(aScoresRounded,$B64,AA$4),"")))</f>
        <v>12.1</v>
      </c>
      <c r="AB64" s="631">
        <f>IF(AB$4="","",CHOOSE(uxb_works!$B$47,IF(INDEX(aData,$B64,AB$4)="","-",TEXT(INDEX(aData,$B64,AB$4),$H64)),IFERROR(INDEX(aScoresRounded,$B64,AB$4),"")))</f>
        <v>78.2</v>
      </c>
      <c r="AC64" s="631">
        <f>IF(AC$4="","",CHOOSE(uxb_works!$B$47,IF(INDEX(aData,$B64,AC$4)="","-",TEXT(INDEX(aData,$B64,AC$4),$H64)),IFERROR(INDEX(aScoresRounded,$B64,AC$4),"")))</f>
        <v>61.6</v>
      </c>
      <c r="AD64" s="631">
        <f>IF(AD$4="","",CHOOSE(uxb_works!$B$47,IF(INDEX(aData,$B64,AD$4)="","-",TEXT(INDEX(aData,$B64,AD$4),$H64)),IFERROR(INDEX(aScoresRounded,$B64,AD$4),"")))</f>
        <v>19.399999999999999</v>
      </c>
      <c r="AE64" s="631">
        <f>IF(AE$4="","",CHOOSE(uxb_works!$B$47,IF(INDEX(aData,$B64,AE$4)="","-",TEXT(INDEX(aData,$B64,AE$4),$H64)),IFERROR(INDEX(aScoresRounded,$B64,AE$4),"")))</f>
        <v>30.4</v>
      </c>
      <c r="AF64" s="631">
        <f>IF(AF$4="","",CHOOSE(uxb_works!$B$47,IF(INDEX(aData,$B64,AF$4)="","-",TEXT(INDEX(aData,$B64,AF$4),$H64)),IFERROR(INDEX(aScoresRounded,$B64,AF$4),"")))</f>
        <v>46.3</v>
      </c>
      <c r="AG64" s="631">
        <f>IF(AG$4="","",CHOOSE(uxb_works!$B$47,IF(INDEX(aData,$B64,AG$4)="","-",TEXT(INDEX(aData,$B64,AG$4),$H64)),IFERROR(INDEX(aScoresRounded,$B64,AG$4),"")))</f>
        <v>40.200000000000003</v>
      </c>
      <c r="AH64" s="631">
        <f>IF(AH$4="","",CHOOSE(uxb_works!$B$47,IF(INDEX(aData,$B64,AH$4)="","-",TEXT(INDEX(aData,$B64,AH$4),$H64)),IFERROR(INDEX(aScoresRounded,$B64,AH$4),"")))</f>
        <v>78.8</v>
      </c>
      <c r="AI64" s="631">
        <f>IF(AI$4="","",CHOOSE(uxb_works!$B$47,IF(INDEX(aData,$B64,AI$4)="","-",TEXT(INDEX(aData,$B64,AI$4),$H64)),IFERROR(INDEX(aScoresRounded,$B64,AI$4),"")))</f>
        <v>41.8</v>
      </c>
      <c r="AJ64" s="631">
        <f>IF(AJ$4="","",CHOOSE(uxb_works!$B$47,IF(INDEX(aData,$B64,AJ$4)="","-",TEXT(INDEX(aData,$B64,AJ$4),$H64)),IFERROR(INDEX(aScoresRounded,$B64,AJ$4),"")))</f>
        <v>45.6</v>
      </c>
      <c r="AK64" s="631">
        <f>IF(AK$4="","",CHOOSE(uxb_works!$B$47,IF(INDEX(aData,$B64,AK$4)="","-",TEXT(INDEX(aData,$B64,AK$4),$H64)),IFERROR(INDEX(aScoresRounded,$B64,AK$4),"")))</f>
        <v>26.8</v>
      </c>
      <c r="AL64" s="631">
        <f>IF(AL$4="","",CHOOSE(uxb_works!$B$47,IF(INDEX(aData,$B64,AL$4)="","-",TEXT(INDEX(aData,$B64,AL$4),$H64)),IFERROR(INDEX(aScoresRounded,$B64,AL$4),"")))</f>
        <v>52.6</v>
      </c>
      <c r="AM64" s="631">
        <f>IF(AM$4="","",CHOOSE(uxb_works!$B$47,IF(INDEX(aData,$B64,AM$4)="","-",TEXT(INDEX(aData,$B64,AM$4),$H64)),IFERROR(INDEX(aScoresRounded,$B64,AM$4),"")))</f>
        <v>57.4</v>
      </c>
      <c r="AN64" s="631">
        <f>IF(AN$4="","",CHOOSE(uxb_works!$B$47,IF(INDEX(aData,$B64,AN$4)="","-",TEXT(INDEX(aData,$B64,AN$4),$H64)),IFERROR(INDEX(aScoresRounded,$B64,AN$4),"")))</f>
        <v>31.5</v>
      </c>
      <c r="AO64" s="631">
        <f>IF(AO$4="","",CHOOSE(uxb_works!$B$47,IF(INDEX(aData,$B64,AO$4)="","-",TEXT(INDEX(aData,$B64,AO$4),$H64)),IFERROR(INDEX(aScoresRounded,$B64,AO$4),"")))</f>
        <v>19.899999999999999</v>
      </c>
      <c r="AP64" s="631">
        <f>IF(AP$4="","",CHOOSE(uxb_works!$B$47,IF(INDEX(aData,$B64,AP$4)="","-",TEXT(INDEX(aData,$B64,AP$4),$H64)),IFERROR(INDEX(aScoresRounded,$B64,AP$4),"")))</f>
        <v>20.6</v>
      </c>
      <c r="AQ64" s="631">
        <f>IF(AQ$4="","",CHOOSE(uxb_works!$B$47,IF(INDEX(aData,$B64,AQ$4)="","-",TEXT(INDEX(aData,$B64,AQ$4),$H64)),IFERROR(INDEX(aScoresRounded,$B64,AQ$4),"")))</f>
        <v>31.6</v>
      </c>
      <c r="AR64" s="631">
        <f>IF(AR$4="","",CHOOSE(uxb_works!$B$47,IF(INDEX(aData,$B64,AR$4)="","-",TEXT(INDEX(aData,$B64,AR$4),$H64)),IFERROR(INDEX(aScoresRounded,$B64,AR$4),"")))</f>
        <v>42.5</v>
      </c>
      <c r="AS64" s="631">
        <f>IF(AS$4="","",CHOOSE(uxb_works!$B$47,IF(INDEX(aData,$B64,AS$4)="","-",TEXT(INDEX(aData,$B64,AS$4),$H64)),IFERROR(INDEX(aScoresRounded,$B64,AS$4),"")))</f>
        <v>39.700000000000003</v>
      </c>
      <c r="AT64" s="570"/>
      <c r="AW64" s="157">
        <f>CHOOSE($AV$1,0,IF(AW$10=0,0,IF(P64&lt;=$AX$1,1,IF(P64&lt;=#REF!,2,3))),IF(AW$10=0,0,IF(P64&lt;=$AX$1,4,IF(P64&lt;=#REF!,5,6))))</f>
        <v>0</v>
      </c>
      <c r="AX64" s="157">
        <f>CHOOSE($AV$1,0,IF(AX$10=0,0,IF(#REF!&lt;=$AX$1,1,IF(#REF!&lt;=#REF!,2,3))),IF(AX$10=0,0,IF(#REF!&lt;=$AX$1,4,IF(#REF!&lt;=#REF!,5,6))))</f>
        <v>0</v>
      </c>
    </row>
    <row r="65" spans="1:50" ht="25" customHeight="1">
      <c r="A65" s="213"/>
      <c r="B65" s="218">
        <f>tblIndicators!A56</f>
        <v>55</v>
      </c>
      <c r="C65" s="218"/>
      <c r="D65" s="218"/>
      <c r="E65" s="218">
        <f>tblIndicators!B56</f>
        <v>0</v>
      </c>
      <c r="F65" s="218">
        <f>IF(AND(uxb_works!$B$47=2,E65=1),0,iScores!F60)</f>
        <v>3</v>
      </c>
      <c r="G65" s="218"/>
      <c r="H65" s="218" t="str">
        <f>tblIndicators!AC56</f>
        <v>#,##0</v>
      </c>
      <c r="I65" s="219"/>
      <c r="J65" s="218"/>
      <c r="K65" s="214">
        <f>IF(L65=0,0,IF(uxb_works!$B$46&gt;=L65,1,0))</f>
        <v>1</v>
      </c>
      <c r="L65" s="216">
        <f>IF(AND(uxb_works!$B$47=2,E65=1),0,tblIndicators!G56)</f>
        <v>3</v>
      </c>
      <c r="M65" s="218"/>
      <c r="N65" s="249" t="str">
        <f>iScores!N60</f>
        <v xml:space="preserve">   3.4.1) Online public comfort</v>
      </c>
      <c r="O65" s="407">
        <f>CHOOSE(uxb_works!$B$47,iData!I60,iScores!O60)</f>
        <v>0.5</v>
      </c>
      <c r="P65" s="631">
        <f>IF(P$4="","",CHOOSE(uxb_works!$B$47,IF(INDEX(aData,$B65,P$4)="","-",TEXT(INDEX(aData,$B65,P$4),$H65)),IFERROR(INDEX(aScoresRounded,$B65,P$4),"")))</f>
        <v>41.2</v>
      </c>
      <c r="Q65" s="706">
        <f>IF(Q$4="","",CHOOSE(uxb_works!$B$47,IF(INDEX(aData,$B65,Q$4)="","-",TEXT(INDEX(aData,$B65,Q$4),$H65)),IFERROR(INDEX(aScoresRounded,$B65,Q$4),"")))</f>
        <v>100</v>
      </c>
      <c r="R65" s="706">
        <f>IF(R$4="","",CHOOSE(uxb_works!$B$47,IF(INDEX(aData,$B65,R$4)="","-",TEXT(INDEX(aData,$B65,R$4),$H65)),IFERROR(INDEX(aScoresRounded,$B65,R$4),"")))</f>
        <v>58.8</v>
      </c>
      <c r="S65" s="706">
        <f>IF(S$4="","",CHOOSE(uxb_works!$B$47,IF(INDEX(aData,$B65,S$4)="","-",TEXT(INDEX(aData,$B65,S$4),$H65)),IFERROR(INDEX(aScoresRounded,$B65,S$4),"")))</f>
        <v>41.2</v>
      </c>
      <c r="T65" s="706">
        <f>IF(T$4="","",CHOOSE(uxb_works!$B$47,IF(INDEX(aData,$B65,T$4)="","-",TEXT(INDEX(aData,$B65,T$4),$H65)),IFERROR(INDEX(aScoresRounded,$B65,T$4),"")))</f>
        <v>58.8</v>
      </c>
      <c r="U65" s="706">
        <f>IF(U$4="","",CHOOSE(uxb_works!$B$47,IF(INDEX(aData,$B65,U$4)="","-",TEXT(INDEX(aData,$B65,U$4),$H65)),IFERROR(INDEX(aScoresRounded,$B65,U$4),"")))</f>
        <v>41.2</v>
      </c>
      <c r="V65" s="706">
        <f>IF(V$4="","",CHOOSE(uxb_works!$B$47,IF(INDEX(aData,$B65,V$4)="","-",TEXT(INDEX(aData,$B65,V$4),$H65)),IFERROR(INDEX(aScoresRounded,$B65,V$4),"")))</f>
        <v>79.400000000000006</v>
      </c>
      <c r="W65" s="706">
        <f>IF(W$4="","",CHOOSE(uxb_works!$B$47,IF(INDEX(aData,$B65,W$4)="","-",TEXT(INDEX(aData,$B65,W$4),$H65)),IFERROR(INDEX(aScoresRounded,$B65,W$4),"")))</f>
        <v>58.8</v>
      </c>
      <c r="X65" s="706">
        <f>IF(X$4="","",CHOOSE(uxb_works!$B$47,IF(INDEX(aData,$B65,X$4)="","-",TEXT(INDEX(aData,$B65,X$4),$H65)),IFERROR(INDEX(aScoresRounded,$B65,X$4),"")))</f>
        <v>41.2</v>
      </c>
      <c r="Y65" s="631">
        <f>IF(Y$4="","",CHOOSE(uxb_works!$B$47,IF(INDEX(aData,$B65,Y$4)="","-",TEXT(INDEX(aData,$B65,Y$4),$H65)),IFERROR(INDEX(aScoresRounded,$B65,Y$4),"")))</f>
        <v>79.400000000000006</v>
      </c>
      <c r="Z65" s="631">
        <f>IF(Z$4="","",CHOOSE(uxb_works!$B$47,IF(INDEX(aData,$B65,Z$4)="","-",TEXT(INDEX(aData,$B65,Z$4),$H65)),IFERROR(INDEX(aScoresRounded,$B65,Z$4),"")))</f>
        <v>41.2</v>
      </c>
      <c r="AA65" s="631">
        <f>IF(AA$4="","",CHOOSE(uxb_works!$B$47,IF(INDEX(aData,$B65,AA$4)="","-",TEXT(INDEX(aData,$B65,AA$4),$H65)),IFERROR(INDEX(aScoresRounded,$B65,AA$4),"")))</f>
        <v>0</v>
      </c>
      <c r="AB65" s="631">
        <f>IF(AB$4="","",CHOOSE(uxb_works!$B$47,IF(INDEX(aData,$B65,AB$4)="","-",TEXT(INDEX(aData,$B65,AB$4),$H65)),IFERROR(INDEX(aScoresRounded,$B65,AB$4),"")))</f>
        <v>79.400000000000006</v>
      </c>
      <c r="AC65" s="631">
        <f>IF(AC$4="","",CHOOSE(uxb_works!$B$47,IF(INDEX(aData,$B65,AC$4)="","-",TEXT(INDEX(aData,$B65,AC$4),$H65)),IFERROR(INDEX(aScoresRounded,$B65,AC$4),"")))</f>
        <v>79.400000000000006</v>
      </c>
      <c r="AD65" s="631">
        <f>IF(AD$4="","",CHOOSE(uxb_works!$B$47,IF(INDEX(aData,$B65,AD$4)="","-",TEXT(INDEX(aData,$B65,AD$4),$H65)),IFERROR(INDEX(aScoresRounded,$B65,AD$4),"")))</f>
        <v>20.6</v>
      </c>
      <c r="AE65" s="631">
        <f>IF(AE$4="","",CHOOSE(uxb_works!$B$47,IF(INDEX(aData,$B65,AE$4)="","-",TEXT(INDEX(aData,$B65,AE$4),$H65)),IFERROR(INDEX(aScoresRounded,$B65,AE$4),"")))</f>
        <v>20.6</v>
      </c>
      <c r="AF65" s="631">
        <f>IF(AF$4="","",CHOOSE(uxb_works!$B$47,IF(INDEX(aData,$B65,AF$4)="","-",TEXT(INDEX(aData,$B65,AF$4),$H65)),IFERROR(INDEX(aScoresRounded,$B65,AF$4),"")))</f>
        <v>41.2</v>
      </c>
      <c r="AG65" s="631">
        <f>IF(AG$4="","",CHOOSE(uxb_works!$B$47,IF(INDEX(aData,$B65,AG$4)="","-",TEXT(INDEX(aData,$B65,AG$4),$H65)),IFERROR(INDEX(aScoresRounded,$B65,AG$4),"")))</f>
        <v>41.2</v>
      </c>
      <c r="AH65" s="631">
        <f>IF(AH$4="","",CHOOSE(uxb_works!$B$47,IF(INDEX(aData,$B65,AH$4)="","-",TEXT(INDEX(aData,$B65,AH$4),$H65)),IFERROR(INDEX(aScoresRounded,$B65,AH$4),"")))</f>
        <v>58.8</v>
      </c>
      <c r="AI65" s="631">
        <f>IF(AI$4="","",CHOOSE(uxb_works!$B$47,IF(INDEX(aData,$B65,AI$4)="","-",TEXT(INDEX(aData,$B65,AI$4),$H65)),IFERROR(INDEX(aScoresRounded,$B65,AI$4),"")))</f>
        <v>41.2</v>
      </c>
      <c r="AJ65" s="631">
        <f>IF(AJ$4="","",CHOOSE(uxb_works!$B$47,IF(INDEX(aData,$B65,AJ$4)="","-",TEXT(INDEX(aData,$B65,AJ$4),$H65)),IFERROR(INDEX(aScoresRounded,$B65,AJ$4),"")))</f>
        <v>58.8</v>
      </c>
      <c r="AK65" s="631">
        <f>IF(AK$4="","",CHOOSE(uxb_works!$B$47,IF(INDEX(aData,$B65,AK$4)="","-",TEXT(INDEX(aData,$B65,AK$4),$H65)),IFERROR(INDEX(aScoresRounded,$B65,AK$4),"")))</f>
        <v>20.6</v>
      </c>
      <c r="AL65" s="631">
        <f>IF(AL$4="","",CHOOSE(uxb_works!$B$47,IF(INDEX(aData,$B65,AL$4)="","-",TEXT(INDEX(aData,$B65,AL$4),$H65)),IFERROR(INDEX(aScoresRounded,$B65,AL$4),"")))</f>
        <v>58.8</v>
      </c>
      <c r="AM65" s="631">
        <f>IF(AM$4="","",CHOOSE(uxb_works!$B$47,IF(INDEX(aData,$B65,AM$4)="","-",TEXT(INDEX(aData,$B65,AM$4),$H65)),IFERROR(INDEX(aScoresRounded,$B65,AM$4),"")))</f>
        <v>58.8</v>
      </c>
      <c r="AN65" s="631">
        <f>IF(AN$4="","",CHOOSE(uxb_works!$B$47,IF(INDEX(aData,$B65,AN$4)="","-",TEXT(INDEX(aData,$B65,AN$4),$H65)),IFERROR(INDEX(aScoresRounded,$B65,AN$4),"")))</f>
        <v>20.6</v>
      </c>
      <c r="AO65" s="631">
        <f>IF(AO$4="","",CHOOSE(uxb_works!$B$47,IF(INDEX(aData,$B65,AO$4)="","-",TEXT(INDEX(aData,$B65,AO$4),$H65)),IFERROR(INDEX(aScoresRounded,$B65,AO$4),"")))</f>
        <v>20.6</v>
      </c>
      <c r="AP65" s="631">
        <f>IF(AP$4="","",CHOOSE(uxb_works!$B$47,IF(INDEX(aData,$B65,AP$4)="","-",TEXT(INDEX(aData,$B65,AP$4),$H65)),IFERROR(INDEX(aScoresRounded,$B65,AP$4),"")))</f>
        <v>41.2</v>
      </c>
      <c r="AQ65" s="631">
        <f>IF(AQ$4="","",CHOOSE(uxb_works!$B$47,IF(INDEX(aData,$B65,AQ$4)="","-",TEXT(INDEX(aData,$B65,AQ$4),$H65)),IFERROR(INDEX(aScoresRounded,$B65,AQ$4),"")))</f>
        <v>41.2</v>
      </c>
      <c r="AR65" s="631">
        <f>IF(AR$4="","",CHOOSE(uxb_works!$B$47,IF(INDEX(aData,$B65,AR$4)="","-",TEXT(INDEX(aData,$B65,AR$4),$H65)),IFERROR(INDEX(aScoresRounded,$B65,AR$4),"")))</f>
        <v>41.2</v>
      </c>
      <c r="AS65" s="631">
        <f>IF(AS$4="","",CHOOSE(uxb_works!$B$47,IF(INDEX(aData,$B65,AS$4)="","-",TEXT(INDEX(aData,$B65,AS$4),$H65)),IFERROR(INDEX(aScoresRounded,$B65,AS$4),"")))</f>
        <v>41.2</v>
      </c>
      <c r="AT65" s="570"/>
      <c r="AW65" s="157">
        <f>CHOOSE($AV$1,0,IF(AW$10=0,0,IF(P65&lt;=$AX$1,1,IF(P65&lt;=#REF!,2,3))),IF(AW$10=0,0,IF(P65&lt;=$AX$1,4,IF(P65&lt;=#REF!,5,6))))</f>
        <v>0</v>
      </c>
      <c r="AX65" s="157">
        <f>CHOOSE($AV$1,0,IF(AX$10=0,0,IF(#REF!&lt;=$AX$1,1,IF(#REF!&lt;=#REF!,2,3))),IF(AX$10=0,0,IF(#REF!&lt;=$AX$1,4,IF(#REF!&lt;=#REF!,5,6))))</f>
        <v>0</v>
      </c>
    </row>
    <row r="66" spans="1:50" ht="25" customHeight="1">
      <c r="A66" s="213"/>
      <c r="B66" s="218">
        <f>tblIndicators!A57</f>
        <v>56</v>
      </c>
      <c r="C66" s="218"/>
      <c r="D66" s="218"/>
      <c r="E66" s="218">
        <f>tblIndicators!B57</f>
        <v>0</v>
      </c>
      <c r="F66" s="218">
        <f>IF(AND(uxb_works!$B$47=2,E66=1),0,iScores!F61)</f>
        <v>3</v>
      </c>
      <c r="G66" s="218"/>
      <c r="H66" s="218" t="str">
        <f>tblIndicators!AC57</f>
        <v>#,##0.0</v>
      </c>
      <c r="I66" s="219"/>
      <c r="J66" s="218"/>
      <c r="K66" s="214">
        <f>IF(L66=0,0,IF(uxb_works!$B$46&gt;=L66,1,0))</f>
        <v>1</v>
      </c>
      <c r="L66" s="216">
        <f>IF(AND(uxb_works!$B$47=2,E66=1),0,tblIndicators!G57)</f>
        <v>3</v>
      </c>
      <c r="M66" s="218"/>
      <c r="N66" s="249" t="str">
        <f>iScores!N61</f>
        <v xml:space="preserve">   3.4.2) E-participation on government portals</v>
      </c>
      <c r="O66" s="407">
        <f>CHOOSE(uxb_works!$B$47,iData!I61,iScores!O61)</f>
        <v>0.5</v>
      </c>
      <c r="P66" s="631">
        <f>IF(P$4="","",CHOOSE(uxb_works!$B$47,IF(INDEX(aData,$B66,P$4)="","-",TEXT(INDEX(aData,$B66,P$4),$H66)),IFERROR(INDEX(aScoresRounded,$B66,P$4),"")))</f>
        <v>29.1</v>
      </c>
      <c r="Q66" s="706">
        <f>IF(Q$4="","",CHOOSE(uxb_works!$B$47,IF(INDEX(aData,$B66,Q$4)="","-",TEXT(INDEX(aData,$B66,Q$4),$H66)),IFERROR(INDEX(aScoresRounded,$B66,Q$4),"")))</f>
        <v>41.5</v>
      </c>
      <c r="R66" s="706">
        <f>IF(R$4="","",CHOOSE(uxb_works!$B$47,IF(INDEX(aData,$B66,R$4)="","-",TEXT(INDEX(aData,$B66,R$4),$H66)),IFERROR(INDEX(aScoresRounded,$B66,R$4),"")))</f>
        <v>56.7</v>
      </c>
      <c r="S66" s="706">
        <f>IF(S$4="","",CHOOSE(uxb_works!$B$47,IF(INDEX(aData,$B66,S$4)="","-",TEXT(INDEX(aData,$B66,S$4),$H66)),IFERROR(INDEX(aScoresRounded,$B66,S$4),"")))</f>
        <v>38.5</v>
      </c>
      <c r="T66" s="706">
        <f>IF(T$4="","",CHOOSE(uxb_works!$B$47,IF(INDEX(aData,$B66,T$4)="","-",TEXT(INDEX(aData,$B66,T$4),$H66)),IFERROR(INDEX(aScoresRounded,$B66,T$4),"")))</f>
        <v>85.8</v>
      </c>
      <c r="U66" s="706">
        <f>IF(U$4="","",CHOOSE(uxb_works!$B$47,IF(INDEX(aData,$B66,U$4)="","-",TEXT(INDEX(aData,$B66,U$4),$H66)),IFERROR(INDEX(aScoresRounded,$B66,U$4),"")))</f>
        <v>14.1</v>
      </c>
      <c r="V66" s="706">
        <f>IF(V$4="","",CHOOSE(uxb_works!$B$47,IF(INDEX(aData,$B66,V$4)="","-",TEXT(INDEX(aData,$B66,V$4),$H66)),IFERROR(INDEX(aScoresRounded,$B66,V$4),"")))</f>
        <v>29.1</v>
      </c>
      <c r="W66" s="706">
        <f>IF(W$4="","",CHOOSE(uxb_works!$B$47,IF(INDEX(aData,$B66,W$4)="","-",TEXT(INDEX(aData,$B66,W$4),$H66)),IFERROR(INDEX(aScoresRounded,$B66,W$4),"")))</f>
        <v>35.1</v>
      </c>
      <c r="X66" s="706">
        <f>IF(X$4="","",CHOOSE(uxb_works!$B$47,IF(INDEX(aData,$B66,X$4)="","-",TEXT(INDEX(aData,$B66,X$4),$H66)),IFERROR(INDEX(aScoresRounded,$B66,X$4),"")))</f>
        <v>45.8</v>
      </c>
      <c r="Y66" s="631">
        <f>IF(Y$4="","",CHOOSE(uxb_works!$B$47,IF(INDEX(aData,$B66,Y$4)="","-",TEXT(INDEX(aData,$B66,Y$4),$H66)),IFERROR(INDEX(aScoresRounded,$B66,Y$4),"")))</f>
        <v>100</v>
      </c>
      <c r="Z66" s="631">
        <f>IF(Z$4="","",CHOOSE(uxb_works!$B$47,IF(INDEX(aData,$B66,Z$4)="","-",TEXT(INDEX(aData,$B66,Z$4),$H66)),IFERROR(INDEX(aScoresRounded,$B66,Z$4),"")))</f>
        <v>25</v>
      </c>
      <c r="AA66" s="631">
        <f>IF(AA$4="","",CHOOSE(uxb_works!$B$47,IF(INDEX(aData,$B66,AA$4)="","-",TEXT(INDEX(aData,$B66,AA$4),$H66)),IFERROR(INDEX(aScoresRounded,$B66,AA$4),"")))</f>
        <v>24.2</v>
      </c>
      <c r="AB66" s="631">
        <f>IF(AB$4="","",CHOOSE(uxb_works!$B$47,IF(INDEX(aData,$B66,AB$4)="","-",TEXT(INDEX(aData,$B66,AB$4),$H66)),IFERROR(INDEX(aScoresRounded,$B66,AB$4),"")))</f>
        <v>76.900000000000006</v>
      </c>
      <c r="AC66" s="631">
        <f>IF(AC$4="","",CHOOSE(uxb_works!$B$47,IF(INDEX(aData,$B66,AC$4)="","-",TEXT(INDEX(aData,$B66,AC$4),$H66)),IFERROR(INDEX(aScoresRounded,$B66,AC$4),"")))</f>
        <v>43.8</v>
      </c>
      <c r="AD66" s="631">
        <f>IF(AD$4="","",CHOOSE(uxb_works!$B$47,IF(INDEX(aData,$B66,AD$4)="","-",TEXT(INDEX(aData,$B66,AD$4),$H66)),IFERROR(INDEX(aScoresRounded,$B66,AD$4),"")))</f>
        <v>18.2</v>
      </c>
      <c r="AE66" s="631">
        <f>IF(AE$4="","",CHOOSE(uxb_works!$B$47,IF(INDEX(aData,$B66,AE$4)="","-",TEXT(INDEX(aData,$B66,AE$4),$H66)),IFERROR(INDEX(aScoresRounded,$B66,AE$4),"")))</f>
        <v>40.1</v>
      </c>
      <c r="AF66" s="631">
        <f>IF(AF$4="","",CHOOSE(uxb_works!$B$47,IF(INDEX(aData,$B66,AF$4)="","-",TEXT(INDEX(aData,$B66,AF$4),$H66)),IFERROR(INDEX(aScoresRounded,$B66,AF$4),"")))</f>
        <v>51.3</v>
      </c>
      <c r="AG66" s="631">
        <f>IF(AG$4="","",CHOOSE(uxb_works!$B$47,IF(INDEX(aData,$B66,AG$4)="","-",TEXT(INDEX(aData,$B66,AG$4),$H66)),IFERROR(INDEX(aScoresRounded,$B66,AG$4),"")))</f>
        <v>39.200000000000003</v>
      </c>
      <c r="AH66" s="631">
        <f>IF(AH$4="","",CHOOSE(uxb_works!$B$47,IF(INDEX(aData,$B66,AH$4)="","-",TEXT(INDEX(aData,$B66,AH$4),$H66)),IFERROR(INDEX(aScoresRounded,$B66,AH$4),"")))</f>
        <v>98.7</v>
      </c>
      <c r="AI66" s="631">
        <f>IF(AI$4="","",CHOOSE(uxb_works!$B$47,IF(INDEX(aData,$B66,AI$4)="","-",TEXT(INDEX(aData,$B66,AI$4),$H66)),IFERROR(INDEX(aScoresRounded,$B66,AI$4),"")))</f>
        <v>42.5</v>
      </c>
      <c r="AJ66" s="631">
        <f>IF(AJ$4="","",CHOOSE(uxb_works!$B$47,IF(INDEX(aData,$B66,AJ$4)="","-",TEXT(INDEX(aData,$B66,AJ$4),$H66)),IFERROR(INDEX(aScoresRounded,$B66,AJ$4),"")))</f>
        <v>32.4</v>
      </c>
      <c r="AK66" s="631">
        <f>IF(AK$4="","",CHOOSE(uxb_works!$B$47,IF(INDEX(aData,$B66,AK$4)="","-",TEXT(INDEX(aData,$B66,AK$4),$H66)),IFERROR(INDEX(aScoresRounded,$B66,AK$4),"")))</f>
        <v>33</v>
      </c>
      <c r="AL66" s="631">
        <f>IF(AL$4="","",CHOOSE(uxb_works!$B$47,IF(INDEX(aData,$B66,AL$4)="","-",TEXT(INDEX(aData,$B66,AL$4),$H66)),IFERROR(INDEX(aScoresRounded,$B66,AL$4),"")))</f>
        <v>46.3</v>
      </c>
      <c r="AM66" s="631">
        <f>IF(AM$4="","",CHOOSE(uxb_works!$B$47,IF(INDEX(aData,$B66,AM$4)="","-",TEXT(INDEX(aData,$B66,AM$4),$H66)),IFERROR(INDEX(aScoresRounded,$B66,AM$4),"")))</f>
        <v>55.9</v>
      </c>
      <c r="AN66" s="631">
        <f>IF(AN$4="","",CHOOSE(uxb_works!$B$47,IF(INDEX(aData,$B66,AN$4)="","-",TEXT(INDEX(aData,$B66,AN$4),$H66)),IFERROR(INDEX(aScoresRounded,$B66,AN$4),"")))</f>
        <v>42.5</v>
      </c>
      <c r="AO66" s="631">
        <f>IF(AO$4="","",CHOOSE(uxb_works!$B$47,IF(INDEX(aData,$B66,AO$4)="","-",TEXT(INDEX(aData,$B66,AO$4),$H66)),IFERROR(INDEX(aScoresRounded,$B66,AO$4),"")))</f>
        <v>19.3</v>
      </c>
      <c r="AP66" s="631">
        <f>IF(AP$4="","",CHOOSE(uxb_works!$B$47,IF(INDEX(aData,$B66,AP$4)="","-",TEXT(INDEX(aData,$B66,AP$4),$H66)),IFERROR(INDEX(aScoresRounded,$B66,AP$4),"")))</f>
        <v>0</v>
      </c>
      <c r="AQ66" s="631">
        <f>IF(AQ$4="","",CHOOSE(uxb_works!$B$47,IF(INDEX(aData,$B66,AQ$4)="","-",TEXT(INDEX(aData,$B66,AQ$4),$H66)),IFERROR(INDEX(aScoresRounded,$B66,AQ$4),"")))</f>
        <v>22</v>
      </c>
      <c r="AR66" s="631">
        <f>IF(AR$4="","",CHOOSE(uxb_works!$B$47,IF(INDEX(aData,$B66,AR$4)="","-",TEXT(INDEX(aData,$B66,AR$4),$H66)),IFERROR(INDEX(aScoresRounded,$B66,AR$4),"")))</f>
        <v>43.8</v>
      </c>
      <c r="AS66" s="631">
        <f>IF(AS$4="","",CHOOSE(uxb_works!$B$47,IF(INDEX(aData,$B66,AS$4)="","-",TEXT(INDEX(aData,$B66,AS$4),$H66)),IFERROR(INDEX(aScoresRounded,$B66,AS$4),"")))</f>
        <v>38.200000000000003</v>
      </c>
      <c r="AT66" s="570"/>
      <c r="AW66" s="157">
        <f>CHOOSE($AV$1,0,IF(AW$10=0,0,IF(P66&lt;=$AX$1,1,IF(P66&lt;=#REF!,2,3))),IF(AW$10=0,0,IF(P66&lt;=$AX$1,4,IF(P66&lt;=#REF!,5,6))))</f>
        <v>0</v>
      </c>
      <c r="AX66" s="157">
        <f>CHOOSE($AV$1,0,IF(AX$10=0,0,IF(#REF!&lt;=$AX$1,1,IF(#REF!&lt;=#REF!,2,3))),IF(AX$10=0,0,IF(#REF!&lt;=$AX$1,4,IF(#REF!&lt;=#REF!,5,6))))</f>
        <v>0</v>
      </c>
    </row>
    <row r="67" spans="1:50" ht="25" customHeight="1">
      <c r="A67" s="213"/>
      <c r="B67" s="218">
        <f>tblIndicators!A58</f>
        <v>57</v>
      </c>
      <c r="C67" s="218"/>
      <c r="D67" s="218"/>
      <c r="E67" s="218">
        <f>tblIndicators!B58</f>
        <v>0</v>
      </c>
      <c r="F67" s="218">
        <f>IF(AND(uxb_works!$B$47=2,E67=1),0,iScores!F62)</f>
        <v>1</v>
      </c>
      <c r="G67" s="218"/>
      <c r="H67" s="218" t="str">
        <f>tblIndicators!AC58</f>
        <v>#,##0.0</v>
      </c>
      <c r="I67" s="219"/>
      <c r="J67" s="218"/>
      <c r="K67" s="214">
        <f>IF(L67=0,0,IF(uxb_works!$B$46&gt;=L67,1,0))</f>
        <v>1</v>
      </c>
      <c r="L67" s="216">
        <f>IF(AND(uxb_works!$B$47=2,E67=1),0,tblIndicators!G58)</f>
        <v>1</v>
      </c>
      <c r="M67" s="218"/>
      <c r="N67" s="249" t="str">
        <f>iScores!N62</f>
        <v xml:space="preserve"> 4) SUSTAINABILITY</v>
      </c>
      <c r="O67" s="407">
        <f>CHOOSE(uxb_works!$B$47,iData!I62,iScores!O62)</f>
        <v>0.21</v>
      </c>
      <c r="P67" s="631">
        <f>IF(P$4="","",CHOOSE(uxb_works!$B$47,IF(INDEX(aData,$B67,P$4)="","-",TEXT(INDEX(aData,$B67,P$4),$H67)),IFERROR(INDEX(aScoresRounded,$B67,P$4),"")))</f>
        <v>85.4</v>
      </c>
      <c r="Q67" s="706">
        <f>IF(Q$4="","",CHOOSE(uxb_works!$B$47,IF(INDEX(aData,$B67,Q$4)="","-",TEXT(INDEX(aData,$B67,Q$4),$H67)),IFERROR(INDEX(aScoresRounded,$B67,Q$4),"")))</f>
        <v>68.099999999999994</v>
      </c>
      <c r="R67" s="706">
        <f>IF(R$4="","",CHOOSE(uxb_works!$B$47,IF(INDEX(aData,$B67,R$4)="","-",TEXT(INDEX(aData,$B67,R$4),$H67)),IFERROR(INDEX(aScoresRounded,$B67,R$4),"")))</f>
        <v>41.3</v>
      </c>
      <c r="S67" s="706">
        <f>IF(S$4="","",CHOOSE(uxb_works!$B$47,IF(INDEX(aData,$B67,S$4)="","-",TEXT(INDEX(aData,$B67,S$4),$H67)),IFERROR(INDEX(aScoresRounded,$B67,S$4),"")))</f>
        <v>87.3</v>
      </c>
      <c r="T67" s="706">
        <f>IF(T$4="","",CHOOSE(uxb_works!$B$47,IF(INDEX(aData,$B67,T$4)="","-",TEXT(INDEX(aData,$B67,T$4),$H67)),IFERROR(INDEX(aScoresRounded,$B67,T$4),"")))</f>
        <v>86.8</v>
      </c>
      <c r="U67" s="706">
        <f>IF(U$4="","",CHOOSE(uxb_works!$B$47,IF(INDEX(aData,$B67,U$4)="","-",TEXT(INDEX(aData,$B67,U$4),$H67)),IFERROR(INDEX(aScoresRounded,$B67,U$4),"")))</f>
        <v>69.599999999999994</v>
      </c>
      <c r="V67" s="706">
        <f>IF(V$4="","",CHOOSE(uxb_works!$B$47,IF(INDEX(aData,$B67,V$4)="","-",TEXT(INDEX(aData,$B67,V$4),$H67)),IFERROR(INDEX(aScoresRounded,$B67,V$4),"")))</f>
        <v>51.5</v>
      </c>
      <c r="W67" s="706">
        <f>IF(W$4="","",CHOOSE(uxb_works!$B$47,IF(INDEX(aData,$B67,W$4)="","-",TEXT(INDEX(aData,$B67,W$4),$H67)),IFERROR(INDEX(aScoresRounded,$B67,W$4),"")))</f>
        <v>92.6</v>
      </c>
      <c r="X67" s="706">
        <f>IF(X$4="","",CHOOSE(uxb_works!$B$47,IF(INDEX(aData,$B67,X$4)="","-",TEXT(INDEX(aData,$B67,X$4),$H67)),IFERROR(INDEX(aScoresRounded,$B67,X$4),"")))</f>
        <v>63.7</v>
      </c>
      <c r="Y67" s="631">
        <f>IF(Y$4="","",CHOOSE(uxb_works!$B$47,IF(INDEX(aData,$B67,Y$4)="","-",TEXT(INDEX(aData,$B67,Y$4),$H67)),IFERROR(INDEX(aScoresRounded,$B67,Y$4),"")))</f>
        <v>54.8</v>
      </c>
      <c r="Z67" s="631">
        <f>IF(Z$4="","",CHOOSE(uxb_works!$B$47,IF(INDEX(aData,$B67,Z$4)="","-",TEXT(INDEX(aData,$B67,Z$4),$H67)),IFERROR(INDEX(aScoresRounded,$B67,Z$4),"")))</f>
        <v>71.7</v>
      </c>
      <c r="AA67" s="631">
        <f>IF(AA$4="","",CHOOSE(uxb_works!$B$47,IF(INDEX(aData,$B67,AA$4)="","-",TEXT(INDEX(aData,$B67,AA$4),$H67)),IFERROR(INDEX(aScoresRounded,$B67,AA$4),"")))</f>
        <v>72.599999999999994</v>
      </c>
      <c r="AB67" s="631">
        <f>IF(AB$4="","",CHOOSE(uxb_works!$B$47,IF(INDEX(aData,$B67,AB$4)="","-",TEXT(INDEX(aData,$B67,AB$4),$H67)),IFERROR(INDEX(aScoresRounded,$B67,AB$4),"")))</f>
        <v>34.700000000000003</v>
      </c>
      <c r="AC67" s="631">
        <f>IF(AC$4="","",CHOOSE(uxb_works!$B$47,IF(INDEX(aData,$B67,AC$4)="","-",TEXT(INDEX(aData,$B67,AC$4),$H67)),IFERROR(INDEX(aScoresRounded,$B67,AC$4),"")))</f>
        <v>66</v>
      </c>
      <c r="AD67" s="631">
        <f>IF(AD$4="","",CHOOSE(uxb_works!$B$47,IF(INDEX(aData,$B67,AD$4)="","-",TEXT(INDEX(aData,$B67,AD$4),$H67)),IFERROR(INDEX(aScoresRounded,$B67,AD$4),"")))</f>
        <v>85.2</v>
      </c>
      <c r="AE67" s="631">
        <f>IF(AE$4="","",CHOOSE(uxb_works!$B$47,IF(INDEX(aData,$B67,AE$4)="","-",TEXT(INDEX(aData,$B67,AE$4),$H67)),IFERROR(INDEX(aScoresRounded,$B67,AE$4),"")))</f>
        <v>69.5</v>
      </c>
      <c r="AF67" s="631">
        <f>IF(AF$4="","",CHOOSE(uxb_works!$B$47,IF(INDEX(aData,$B67,AF$4)="","-",TEXT(INDEX(aData,$B67,AF$4),$H67)),IFERROR(INDEX(aScoresRounded,$B67,AF$4),"")))</f>
        <v>28</v>
      </c>
      <c r="AG67" s="631">
        <f>IF(AG$4="","",CHOOSE(uxb_works!$B$47,IF(INDEX(aData,$B67,AG$4)="","-",TEXT(INDEX(aData,$B67,AG$4),$H67)),IFERROR(INDEX(aScoresRounded,$B67,AG$4),"")))</f>
        <v>32.799999999999997</v>
      </c>
      <c r="AH67" s="631">
        <f>IF(AH$4="","",CHOOSE(uxb_works!$B$47,IF(INDEX(aData,$B67,AH$4)="","-",TEXT(INDEX(aData,$B67,AH$4),$H67)),IFERROR(INDEX(aScoresRounded,$B67,AH$4),"")))</f>
        <v>32.9</v>
      </c>
      <c r="AI67" s="631">
        <f>IF(AI$4="","",CHOOSE(uxb_works!$B$47,IF(INDEX(aData,$B67,AI$4)="","-",TEXT(INDEX(aData,$B67,AI$4),$H67)),IFERROR(INDEX(aScoresRounded,$B67,AI$4),"")))</f>
        <v>76.7</v>
      </c>
      <c r="AJ67" s="631">
        <f>IF(AJ$4="","",CHOOSE(uxb_works!$B$47,IF(INDEX(aData,$B67,AJ$4)="","-",TEXT(INDEX(aData,$B67,AJ$4),$H67)),IFERROR(INDEX(aScoresRounded,$B67,AJ$4),"")))</f>
        <v>70.900000000000006</v>
      </c>
      <c r="AK67" s="631">
        <f>IF(AK$4="","",CHOOSE(uxb_works!$B$47,IF(INDEX(aData,$B67,AK$4)="","-",TEXT(INDEX(aData,$B67,AK$4),$H67)),IFERROR(INDEX(aScoresRounded,$B67,AK$4),"")))</f>
        <v>61.7</v>
      </c>
      <c r="AL67" s="631">
        <f>IF(AL$4="","",CHOOSE(uxb_works!$B$47,IF(INDEX(aData,$B67,AL$4)="","-",TEXT(INDEX(aData,$B67,AL$4),$H67)),IFERROR(INDEX(aScoresRounded,$B67,AL$4),"")))</f>
        <v>48.8</v>
      </c>
      <c r="AM67" s="631">
        <f>IF(AM$4="","",CHOOSE(uxb_works!$B$47,IF(INDEX(aData,$B67,AM$4)="","-",TEXT(INDEX(aData,$B67,AM$4),$H67)),IFERROR(INDEX(aScoresRounded,$B67,AM$4),"")))</f>
        <v>92.1</v>
      </c>
      <c r="AN67" s="631">
        <f>IF(AN$4="","",CHOOSE(uxb_works!$B$47,IF(INDEX(aData,$B67,AN$4)="","-",TEXT(INDEX(aData,$B67,AN$4),$H67)),IFERROR(INDEX(aScoresRounded,$B67,AN$4),"")))</f>
        <v>60.8</v>
      </c>
      <c r="AO67" s="631">
        <f>IF(AO$4="","",CHOOSE(uxb_works!$B$47,IF(INDEX(aData,$B67,AO$4)="","-",TEXT(INDEX(aData,$B67,AO$4),$H67)),IFERROR(INDEX(aScoresRounded,$B67,AO$4),"")))</f>
        <v>78.599999999999994</v>
      </c>
      <c r="AP67" s="631">
        <f>IF(AP$4="","",CHOOSE(uxb_works!$B$47,IF(INDEX(aData,$B67,AP$4)="","-",TEXT(INDEX(aData,$B67,AP$4),$H67)),IFERROR(INDEX(aScoresRounded,$B67,AP$4),"")))</f>
        <v>72.2</v>
      </c>
      <c r="AQ67" s="631">
        <f>IF(AQ$4="","",CHOOSE(uxb_works!$B$47,IF(INDEX(aData,$B67,AQ$4)="","-",TEXT(INDEX(aData,$B67,AQ$4),$H67)),IFERROR(INDEX(aScoresRounded,$B67,AQ$4),"")))</f>
        <v>90.5</v>
      </c>
      <c r="AR67" s="631">
        <f>IF(AR$4="","",CHOOSE(uxb_works!$B$47,IF(INDEX(aData,$B67,AR$4)="","-",TEXT(INDEX(aData,$B67,AR$4),$H67)),IFERROR(INDEX(aScoresRounded,$B67,AR$4),"")))</f>
        <v>75.400000000000006</v>
      </c>
      <c r="AS67" s="631">
        <f>IF(AS$4="","",CHOOSE(uxb_works!$B$47,IF(INDEX(aData,$B67,AS$4)="","-",TEXT(INDEX(aData,$B67,AS$4),$H67)),IFERROR(INDEX(aScoresRounded,$B67,AS$4),"")))</f>
        <v>66.3</v>
      </c>
      <c r="AT67" s="570"/>
      <c r="AW67" s="157">
        <f>CHOOSE($AV$1,0,IF(AW$10=0,0,IF(P67&lt;=$AX$1,1,IF(P67&lt;=#REF!,2,3))),IF(AW$10=0,0,IF(P67&lt;=$AX$1,4,IF(P67&lt;=#REF!,5,6))))</f>
        <v>0</v>
      </c>
      <c r="AX67" s="157">
        <f>CHOOSE($AV$1,0,IF(AX$10=0,0,IF(#REF!&lt;=$AX$1,1,IF(#REF!&lt;=#REF!,2,3))),IF(AX$10=0,0,IF(#REF!&lt;=$AX$1,4,IF(#REF!&lt;=#REF!,5,6))))</f>
        <v>0</v>
      </c>
    </row>
    <row r="68" spans="1:50" ht="25" customHeight="1">
      <c r="A68" s="213"/>
      <c r="B68" s="218">
        <f>tblIndicators!A59</f>
        <v>58</v>
      </c>
      <c r="C68" s="218"/>
      <c r="D68" s="218"/>
      <c r="E68" s="218">
        <f>tblIndicators!B59</f>
        <v>0</v>
      </c>
      <c r="F68" s="218">
        <f>IF(AND(uxb_works!$B$47=2,E68=1),0,iScores!F63)</f>
        <v>2</v>
      </c>
      <c r="G68" s="218"/>
      <c r="H68" s="218" t="str">
        <f>tblIndicators!AC59</f>
        <v>#,##0.0</v>
      </c>
      <c r="I68" s="219"/>
      <c r="J68" s="218"/>
      <c r="K68" s="214">
        <f>IF(L68=0,0,IF(uxb_works!$B$46&gt;=L68,1,0))</f>
        <v>1</v>
      </c>
      <c r="L68" s="216">
        <f>IF(AND(uxb_works!$B$47=2,E68=1),0,tblIndicators!G59)</f>
        <v>2</v>
      </c>
      <c r="M68" s="218"/>
      <c r="N68" s="249" t="str">
        <f>iScores!N63</f>
        <v xml:space="preserve">  4.1) Efficient resource management</v>
      </c>
      <c r="O68" s="407">
        <f>CHOOSE(uxb_works!$B$47,iData!I63,iScores!O63)</f>
        <v>0.27777777777777779</v>
      </c>
      <c r="P68" s="631">
        <f>IF(P$4="","",CHOOSE(uxb_works!$B$47,IF(INDEX(aData,$B68,P$4)="","-",TEXT(INDEX(aData,$B68,P$4),$H68)),IFERROR(INDEX(aScoresRounded,$B68,P$4),"")))</f>
        <v>87.5</v>
      </c>
      <c r="Q68" s="706">
        <f>IF(Q$4="","",CHOOSE(uxb_works!$B$47,IF(INDEX(aData,$B68,Q$4)="","-",TEXT(INDEX(aData,$B68,Q$4),$H68)),IFERROR(INDEX(aScoresRounded,$B68,Q$4),"")))</f>
        <v>87.5</v>
      </c>
      <c r="R68" s="706">
        <f>IF(R$4="","",CHOOSE(uxb_works!$B$47,IF(INDEX(aData,$B68,R$4)="","-",TEXT(INDEX(aData,$B68,R$4),$H68)),IFERROR(INDEX(aScoresRounded,$B68,R$4),"")))</f>
        <v>62.5</v>
      </c>
      <c r="S68" s="706">
        <f>IF(S$4="","",CHOOSE(uxb_works!$B$47,IF(INDEX(aData,$B68,S$4)="","-",TEXT(INDEX(aData,$B68,S$4),$H68)),IFERROR(INDEX(aScoresRounded,$B68,S$4),"")))</f>
        <v>100</v>
      </c>
      <c r="T68" s="706">
        <f>IF(T$4="","",CHOOSE(uxb_works!$B$47,IF(INDEX(aData,$B68,T$4)="","-",TEXT(INDEX(aData,$B68,T$4),$H68)),IFERROR(INDEX(aScoresRounded,$B68,T$4),"")))</f>
        <v>100</v>
      </c>
      <c r="U68" s="706">
        <f>IF(U$4="","",CHOOSE(uxb_works!$B$47,IF(INDEX(aData,$B68,U$4)="","-",TEXT(INDEX(aData,$B68,U$4),$H68)),IFERROR(INDEX(aScoresRounded,$B68,U$4),"")))</f>
        <v>87.5</v>
      </c>
      <c r="V68" s="706">
        <f>IF(V$4="","",CHOOSE(uxb_works!$B$47,IF(INDEX(aData,$B68,V$4)="","-",TEXT(INDEX(aData,$B68,V$4),$H68)),IFERROR(INDEX(aScoresRounded,$B68,V$4),"")))</f>
        <v>37.5</v>
      </c>
      <c r="W68" s="706">
        <f>IF(W$4="","",CHOOSE(uxb_works!$B$47,IF(INDEX(aData,$B68,W$4)="","-",TEXT(INDEX(aData,$B68,W$4),$H68)),IFERROR(INDEX(aScoresRounded,$B68,W$4),"")))</f>
        <v>100</v>
      </c>
      <c r="X68" s="706">
        <f>IF(X$4="","",CHOOSE(uxb_works!$B$47,IF(INDEX(aData,$B68,X$4)="","-",TEXT(INDEX(aData,$B68,X$4),$H68)),IFERROR(INDEX(aScoresRounded,$B68,X$4),"")))</f>
        <v>66.400000000000006</v>
      </c>
      <c r="Y68" s="631">
        <f>IF(Y$4="","",CHOOSE(uxb_works!$B$47,IF(INDEX(aData,$B68,Y$4)="","-",TEXT(INDEX(aData,$B68,Y$4),$H68)),IFERROR(INDEX(aScoresRounded,$B68,Y$4),"")))</f>
        <v>100</v>
      </c>
      <c r="Z68" s="631">
        <f>IF(Z$4="","",CHOOSE(uxb_works!$B$47,IF(INDEX(aData,$B68,Z$4)="","-",TEXT(INDEX(aData,$B68,Z$4),$H68)),IFERROR(INDEX(aScoresRounded,$B68,Z$4),"")))</f>
        <v>87.5</v>
      </c>
      <c r="AA68" s="631">
        <f>IF(AA$4="","",CHOOSE(uxb_works!$B$47,IF(INDEX(aData,$B68,AA$4)="","-",TEXT(INDEX(aData,$B68,AA$4),$H68)),IFERROR(INDEX(aScoresRounded,$B68,AA$4),"")))</f>
        <v>100</v>
      </c>
      <c r="AB68" s="631">
        <f>IF(AB$4="","",CHOOSE(uxb_works!$B$47,IF(INDEX(aData,$B68,AB$4)="","-",TEXT(INDEX(aData,$B68,AB$4),$H68)),IFERROR(INDEX(aScoresRounded,$B68,AB$4),"")))</f>
        <v>41.5</v>
      </c>
      <c r="AC68" s="631">
        <f>IF(AC$4="","",CHOOSE(uxb_works!$B$47,IF(INDEX(aData,$B68,AC$4)="","-",TEXT(INDEX(aData,$B68,AC$4),$H68)),IFERROR(INDEX(aScoresRounded,$B68,AC$4),"")))</f>
        <v>41.5</v>
      </c>
      <c r="AD68" s="631">
        <f>IF(AD$4="","",CHOOSE(uxb_works!$B$47,IF(INDEX(aData,$B68,AD$4)="","-",TEXT(INDEX(aData,$B68,AD$4),$H68)),IFERROR(INDEX(aScoresRounded,$B68,AD$4),"")))</f>
        <v>100</v>
      </c>
      <c r="AE68" s="631">
        <f>IF(AE$4="","",CHOOSE(uxb_works!$B$47,IF(INDEX(aData,$B68,AE$4)="","-",TEXT(INDEX(aData,$B68,AE$4),$H68)),IFERROR(INDEX(aScoresRounded,$B68,AE$4),"")))</f>
        <v>66.400000000000006</v>
      </c>
      <c r="AF68" s="631">
        <f>IF(AF$4="","",CHOOSE(uxb_works!$B$47,IF(INDEX(aData,$B68,AF$4)="","-",TEXT(INDEX(aData,$B68,AF$4),$H68)),IFERROR(INDEX(aScoresRounded,$B68,AF$4),"")))</f>
        <v>46.1</v>
      </c>
      <c r="AG68" s="631">
        <f>IF(AG$4="","",CHOOSE(uxb_works!$B$47,IF(INDEX(aData,$B68,AG$4)="","-",TEXT(INDEX(aData,$B68,AG$4),$H68)),IFERROR(INDEX(aScoresRounded,$B68,AG$4),"")))</f>
        <v>25</v>
      </c>
      <c r="AH68" s="631">
        <f>IF(AH$4="","",CHOOSE(uxb_works!$B$47,IF(INDEX(aData,$B68,AH$4)="","-",TEXT(INDEX(aData,$B68,AH$4),$H68)),IFERROR(INDEX(aScoresRounded,$B68,AH$4),"")))</f>
        <v>37.5</v>
      </c>
      <c r="AI68" s="631">
        <f>IF(AI$4="","",CHOOSE(uxb_works!$B$47,IF(INDEX(aData,$B68,AI$4)="","-",TEXT(INDEX(aData,$B68,AI$4),$H68)),IFERROR(INDEX(aScoresRounded,$B68,AI$4),"")))</f>
        <v>100</v>
      </c>
      <c r="AJ68" s="631">
        <f>IF(AJ$4="","",CHOOSE(uxb_works!$B$47,IF(INDEX(aData,$B68,AJ$4)="","-",TEXT(INDEX(aData,$B68,AJ$4),$H68)),IFERROR(INDEX(aScoresRounded,$B68,AJ$4),"")))</f>
        <v>100</v>
      </c>
      <c r="AK68" s="631">
        <f>IF(AK$4="","",CHOOSE(uxb_works!$B$47,IF(INDEX(aData,$B68,AK$4)="","-",TEXT(INDEX(aData,$B68,AK$4),$H68)),IFERROR(INDEX(aScoresRounded,$B68,AK$4),"")))</f>
        <v>46.1</v>
      </c>
      <c r="AL68" s="631">
        <f>IF(AL$4="","",CHOOSE(uxb_works!$B$47,IF(INDEX(aData,$B68,AL$4)="","-",TEXT(INDEX(aData,$B68,AL$4),$H68)),IFERROR(INDEX(aScoresRounded,$B68,AL$4),"")))</f>
        <v>58.5</v>
      </c>
      <c r="AM68" s="631">
        <f>IF(AM$4="","",CHOOSE(uxb_works!$B$47,IF(INDEX(aData,$B68,AM$4)="","-",TEXT(INDEX(aData,$B68,AM$4),$H68)),IFERROR(INDEX(aScoresRounded,$B68,AM$4),"")))</f>
        <v>100</v>
      </c>
      <c r="AN68" s="631">
        <f>IF(AN$4="","",CHOOSE(uxb_works!$B$47,IF(INDEX(aData,$B68,AN$4)="","-",TEXT(INDEX(aData,$B68,AN$4),$H68)),IFERROR(INDEX(aScoresRounded,$B68,AN$4),"")))</f>
        <v>75</v>
      </c>
      <c r="AO68" s="631">
        <f>IF(AO$4="","",CHOOSE(uxb_works!$B$47,IF(INDEX(aData,$B68,AO$4)="","-",TEXT(INDEX(aData,$B68,AO$4),$H68)),IFERROR(INDEX(aScoresRounded,$B68,AO$4),"")))</f>
        <v>87.5</v>
      </c>
      <c r="AP68" s="631">
        <f>IF(AP$4="","",CHOOSE(uxb_works!$B$47,IF(INDEX(aData,$B68,AP$4)="","-",TEXT(INDEX(aData,$B68,AP$4),$H68)),IFERROR(INDEX(aScoresRounded,$B68,AP$4),"")))</f>
        <v>87.5</v>
      </c>
      <c r="AQ68" s="631">
        <f>IF(AQ$4="","",CHOOSE(uxb_works!$B$47,IF(INDEX(aData,$B68,AQ$4)="","-",TEXT(INDEX(aData,$B68,AQ$4),$H68)),IFERROR(INDEX(aScoresRounded,$B68,AQ$4),"")))</f>
        <v>100</v>
      </c>
      <c r="AR68" s="631">
        <f>IF(AR$4="","",CHOOSE(uxb_works!$B$47,IF(INDEX(aData,$B68,AR$4)="","-",TEXT(INDEX(aData,$B68,AR$4),$H68)),IFERROR(INDEX(aScoresRounded,$B68,AR$4),"")))</f>
        <v>87.5</v>
      </c>
      <c r="AS68" s="631">
        <f>IF(AS$4="","",CHOOSE(uxb_works!$B$47,IF(INDEX(aData,$B68,AS$4)="","-",TEXT(INDEX(aData,$B68,AS$4),$H68)),IFERROR(INDEX(aScoresRounded,$B68,AS$4),"")))</f>
        <v>62.5</v>
      </c>
      <c r="AT68" s="570"/>
      <c r="AW68" s="157">
        <f>CHOOSE($AV$1,0,IF(AW$10=0,0,IF(P68&lt;=$AX$1,1,IF(P68&lt;=#REF!,2,3))),IF(AW$10=0,0,IF(P68&lt;=$AX$1,4,IF(P68&lt;=#REF!,5,6))))</f>
        <v>0</v>
      </c>
      <c r="AX68" s="157">
        <f>CHOOSE($AV$1,0,IF(AX$10=0,0,IF(#REF!&lt;=$AX$1,1,IF(#REF!&lt;=#REF!,2,3))),IF(AX$10=0,0,IF(#REF!&lt;=$AX$1,4,IF(#REF!&lt;=#REF!,5,6))))</f>
        <v>0</v>
      </c>
    </row>
    <row r="69" spans="1:50" ht="25" customHeight="1">
      <c r="A69" s="213"/>
      <c r="B69" s="218">
        <f>tblIndicators!A60</f>
        <v>59</v>
      </c>
      <c r="C69" s="218"/>
      <c r="D69" s="218"/>
      <c r="E69" s="218">
        <f>tblIndicators!B60</f>
        <v>0</v>
      </c>
      <c r="F69" s="218">
        <f>IF(AND(uxb_works!$B$47=2,E69=1),0,iScores!F64)</f>
        <v>3</v>
      </c>
      <c r="G69" s="218"/>
      <c r="H69" s="218" t="str">
        <f>tblIndicators!AC60</f>
        <v>#,##0</v>
      </c>
      <c r="I69" s="219"/>
      <c r="J69" s="218"/>
      <c r="K69" s="214">
        <f>IF(L69=0,0,IF(uxb_works!$B$46&gt;=L69,1,0))</f>
        <v>1</v>
      </c>
      <c r="L69" s="216">
        <f>IF(AND(uxb_works!$B$47=2,E69=1),0,tblIndicators!G60)</f>
        <v>3</v>
      </c>
      <c r="M69" s="218"/>
      <c r="N69" s="249" t="str">
        <f>iScores!N64</f>
        <v xml:space="preserve">   4.1.1) Smart utility management</v>
      </c>
      <c r="O69" s="407">
        <f>CHOOSE(uxb_works!$B$47,iData!I64,iScores!O64)</f>
        <v>0.49986838641747833</v>
      </c>
      <c r="P69" s="631">
        <f>IF(P$4="","",CHOOSE(uxb_works!$B$47,IF(INDEX(aData,$B69,P$4)="","-",TEXT(INDEX(aData,$B69,P$4),$H69)),IFERROR(INDEX(aScoresRounded,$B69,P$4),"")))</f>
        <v>75</v>
      </c>
      <c r="Q69" s="706">
        <f>IF(Q$4="","",CHOOSE(uxb_works!$B$47,IF(INDEX(aData,$B69,Q$4)="","-",TEXT(INDEX(aData,$B69,Q$4),$H69)),IFERROR(INDEX(aScoresRounded,$B69,Q$4),"")))</f>
        <v>75</v>
      </c>
      <c r="R69" s="706">
        <f>IF(R$4="","",CHOOSE(uxb_works!$B$47,IF(INDEX(aData,$B69,R$4)="","-",TEXT(INDEX(aData,$B69,R$4),$H69)),IFERROR(INDEX(aScoresRounded,$B69,R$4),"")))</f>
        <v>25</v>
      </c>
      <c r="S69" s="706">
        <f>IF(S$4="","",CHOOSE(uxb_works!$B$47,IF(INDEX(aData,$B69,S$4)="","-",TEXT(INDEX(aData,$B69,S$4),$H69)),IFERROR(INDEX(aScoresRounded,$B69,S$4),"")))</f>
        <v>100</v>
      </c>
      <c r="T69" s="706">
        <f>IF(T$4="","",CHOOSE(uxb_works!$B$47,IF(INDEX(aData,$B69,T$4)="","-",TEXT(INDEX(aData,$B69,T$4),$H69)),IFERROR(INDEX(aScoresRounded,$B69,T$4),"")))</f>
        <v>100</v>
      </c>
      <c r="U69" s="706">
        <f>IF(U$4="","",CHOOSE(uxb_works!$B$47,IF(INDEX(aData,$B69,U$4)="","-",TEXT(INDEX(aData,$B69,U$4),$H69)),IFERROR(INDEX(aScoresRounded,$B69,U$4),"")))</f>
        <v>75</v>
      </c>
      <c r="V69" s="706">
        <f>IF(V$4="","",CHOOSE(uxb_works!$B$47,IF(INDEX(aData,$B69,V$4)="","-",TEXT(INDEX(aData,$B69,V$4),$H69)),IFERROR(INDEX(aScoresRounded,$B69,V$4),"")))</f>
        <v>75</v>
      </c>
      <c r="W69" s="706">
        <f>IF(W$4="","",CHOOSE(uxb_works!$B$47,IF(INDEX(aData,$B69,W$4)="","-",TEXT(INDEX(aData,$B69,W$4),$H69)),IFERROR(INDEX(aScoresRounded,$B69,W$4),"")))</f>
        <v>100</v>
      </c>
      <c r="X69" s="706">
        <f>IF(X$4="","",CHOOSE(uxb_works!$B$47,IF(INDEX(aData,$B69,X$4)="","-",TEXT(INDEX(aData,$B69,X$4),$H69)),IFERROR(INDEX(aScoresRounded,$B69,X$4),"")))</f>
        <v>75</v>
      </c>
      <c r="Y69" s="631">
        <f>IF(Y$4="","",CHOOSE(uxb_works!$B$47,IF(INDEX(aData,$B69,Y$4)="","-",TEXT(INDEX(aData,$B69,Y$4),$H69)),IFERROR(INDEX(aScoresRounded,$B69,Y$4),"")))</f>
        <v>100</v>
      </c>
      <c r="Z69" s="631">
        <f>IF(Z$4="","",CHOOSE(uxb_works!$B$47,IF(INDEX(aData,$B69,Z$4)="","-",TEXT(INDEX(aData,$B69,Z$4),$H69)),IFERROR(INDEX(aScoresRounded,$B69,Z$4),"")))</f>
        <v>75</v>
      </c>
      <c r="AA69" s="631">
        <f>IF(AA$4="","",CHOOSE(uxb_works!$B$47,IF(INDEX(aData,$B69,AA$4)="","-",TEXT(INDEX(aData,$B69,AA$4),$H69)),IFERROR(INDEX(aScoresRounded,$B69,AA$4),"")))</f>
        <v>100</v>
      </c>
      <c r="AB69" s="631">
        <f>IF(AB$4="","",CHOOSE(uxb_works!$B$47,IF(INDEX(aData,$B69,AB$4)="","-",TEXT(INDEX(aData,$B69,AB$4),$H69)),IFERROR(INDEX(aScoresRounded,$B69,AB$4),"")))</f>
        <v>25</v>
      </c>
      <c r="AC69" s="631">
        <f>IF(AC$4="","",CHOOSE(uxb_works!$B$47,IF(INDEX(aData,$B69,AC$4)="","-",TEXT(INDEX(aData,$B69,AC$4),$H69)),IFERROR(INDEX(aScoresRounded,$B69,AC$4),"")))</f>
        <v>25</v>
      </c>
      <c r="AD69" s="631">
        <f>IF(AD$4="","",CHOOSE(uxb_works!$B$47,IF(INDEX(aData,$B69,AD$4)="","-",TEXT(INDEX(aData,$B69,AD$4),$H69)),IFERROR(INDEX(aScoresRounded,$B69,AD$4),"")))</f>
        <v>100</v>
      </c>
      <c r="AE69" s="631">
        <f>IF(AE$4="","",CHOOSE(uxb_works!$B$47,IF(INDEX(aData,$B69,AE$4)="","-",TEXT(INDEX(aData,$B69,AE$4),$H69)),IFERROR(INDEX(aScoresRounded,$B69,AE$4),"")))</f>
        <v>75</v>
      </c>
      <c r="AF69" s="631">
        <f>IF(AF$4="","",CHOOSE(uxb_works!$B$47,IF(INDEX(aData,$B69,AF$4)="","-",TEXT(INDEX(aData,$B69,AF$4),$H69)),IFERROR(INDEX(aScoresRounded,$B69,AF$4),"")))</f>
        <v>50</v>
      </c>
      <c r="AG69" s="631">
        <f>IF(AG$4="","",CHOOSE(uxb_works!$B$47,IF(INDEX(aData,$B69,AG$4)="","-",TEXT(INDEX(aData,$B69,AG$4),$H69)),IFERROR(INDEX(aScoresRounded,$B69,AG$4),"")))</f>
        <v>50</v>
      </c>
      <c r="AH69" s="631">
        <f>IF(AH$4="","",CHOOSE(uxb_works!$B$47,IF(INDEX(aData,$B69,AH$4)="","-",TEXT(INDEX(aData,$B69,AH$4),$H69)),IFERROR(INDEX(aScoresRounded,$B69,AH$4),"")))</f>
        <v>75</v>
      </c>
      <c r="AI69" s="631">
        <f>IF(AI$4="","",CHOOSE(uxb_works!$B$47,IF(INDEX(aData,$B69,AI$4)="","-",TEXT(INDEX(aData,$B69,AI$4),$H69)),IFERROR(INDEX(aScoresRounded,$B69,AI$4),"")))</f>
        <v>100</v>
      </c>
      <c r="AJ69" s="631">
        <f>IF(AJ$4="","",CHOOSE(uxb_works!$B$47,IF(INDEX(aData,$B69,AJ$4)="","-",TEXT(INDEX(aData,$B69,AJ$4),$H69)),IFERROR(INDEX(aScoresRounded,$B69,AJ$4),"")))</f>
        <v>100</v>
      </c>
      <c r="AK69" s="631">
        <f>IF(AK$4="","",CHOOSE(uxb_works!$B$47,IF(INDEX(aData,$B69,AK$4)="","-",TEXT(INDEX(aData,$B69,AK$4),$H69)),IFERROR(INDEX(aScoresRounded,$B69,AK$4),"")))</f>
        <v>50</v>
      </c>
      <c r="AL69" s="631">
        <f>IF(AL$4="","",CHOOSE(uxb_works!$B$47,IF(INDEX(aData,$B69,AL$4)="","-",TEXT(INDEX(aData,$B69,AL$4),$H69)),IFERROR(INDEX(aScoresRounded,$B69,AL$4),"")))</f>
        <v>75</v>
      </c>
      <c r="AM69" s="631">
        <f>IF(AM$4="","",CHOOSE(uxb_works!$B$47,IF(INDEX(aData,$B69,AM$4)="","-",TEXT(INDEX(aData,$B69,AM$4),$H69)),IFERROR(INDEX(aScoresRounded,$B69,AM$4),"")))</f>
        <v>100</v>
      </c>
      <c r="AN69" s="631">
        <f>IF(AN$4="","",CHOOSE(uxb_works!$B$47,IF(INDEX(aData,$B69,AN$4)="","-",TEXT(INDEX(aData,$B69,AN$4),$H69)),IFERROR(INDEX(aScoresRounded,$B69,AN$4),"")))</f>
        <v>50</v>
      </c>
      <c r="AO69" s="631">
        <f>IF(AO$4="","",CHOOSE(uxb_works!$B$47,IF(INDEX(aData,$B69,AO$4)="","-",TEXT(INDEX(aData,$B69,AO$4),$H69)),IFERROR(INDEX(aScoresRounded,$B69,AO$4),"")))</f>
        <v>75</v>
      </c>
      <c r="AP69" s="631">
        <f>IF(AP$4="","",CHOOSE(uxb_works!$B$47,IF(INDEX(aData,$B69,AP$4)="","-",TEXT(INDEX(aData,$B69,AP$4),$H69)),IFERROR(INDEX(aScoresRounded,$B69,AP$4),"")))</f>
        <v>75</v>
      </c>
      <c r="AQ69" s="631">
        <f>IF(AQ$4="","",CHOOSE(uxb_works!$B$47,IF(INDEX(aData,$B69,AQ$4)="","-",TEXT(INDEX(aData,$B69,AQ$4),$H69)),IFERROR(INDEX(aScoresRounded,$B69,AQ$4),"")))</f>
        <v>100</v>
      </c>
      <c r="AR69" s="631">
        <f>IF(AR$4="","",CHOOSE(uxb_works!$B$47,IF(INDEX(aData,$B69,AR$4)="","-",TEXT(INDEX(aData,$B69,AR$4),$H69)),IFERROR(INDEX(aScoresRounded,$B69,AR$4),"")))</f>
        <v>75</v>
      </c>
      <c r="AS69" s="631">
        <f>IF(AS$4="","",CHOOSE(uxb_works!$B$47,IF(INDEX(aData,$B69,AS$4)="","-",TEXT(INDEX(aData,$B69,AS$4),$H69)),IFERROR(INDEX(aScoresRounded,$B69,AS$4),"")))</f>
        <v>25</v>
      </c>
      <c r="AT69" s="570"/>
      <c r="AW69" s="157">
        <f>CHOOSE($AV$1,0,IF(AW$10=0,0,IF(P69&lt;=$AX$1,1,IF(P69&lt;=#REF!,2,3))),IF(AW$10=0,0,IF(P69&lt;=$AX$1,4,IF(P69&lt;=#REF!,5,6))))</f>
        <v>0</v>
      </c>
      <c r="AX69" s="157">
        <f>CHOOSE($AV$1,0,IF(AX$10=0,0,IF(#REF!&lt;=$AX$1,1,IF(#REF!&lt;=#REF!,2,3))),IF(AX$10=0,0,IF(#REF!&lt;=$AX$1,4,IF(#REF!&lt;=#REF!,5,6))))</f>
        <v>0</v>
      </c>
    </row>
    <row r="70" spans="1:50" ht="25" customHeight="1">
      <c r="A70" s="213"/>
      <c r="B70" s="218">
        <f>tblIndicators!A61</f>
        <v>60</v>
      </c>
      <c r="C70" s="218"/>
      <c r="D70" s="218"/>
      <c r="E70" s="218">
        <f>tblIndicators!B61</f>
        <v>0</v>
      </c>
      <c r="F70" s="218">
        <f>IF(AND(uxb_works!$B$47=2,E70=1),0,iScores!F65)</f>
        <v>3</v>
      </c>
      <c r="G70" s="218"/>
      <c r="H70" s="218" t="str">
        <f>tblIndicators!AC61</f>
        <v>#,##0</v>
      </c>
      <c r="I70" s="219"/>
      <c r="J70" s="218"/>
      <c r="K70" s="214">
        <f>IF(L70=0,0,IF(uxb_works!$B$46&gt;=L70,1,0))</f>
        <v>1</v>
      </c>
      <c r="L70" s="216">
        <f>IF(AND(uxb_works!$B$47=2,E70=1),0,tblIndicators!G61)</f>
        <v>3</v>
      </c>
      <c r="M70" s="218"/>
      <c r="N70" s="249" t="str">
        <f>iScores!N65</f>
        <v xml:space="preserve">   4.1.2) Smart urban agriculture</v>
      </c>
      <c r="O70" s="407">
        <f>CHOOSE(uxb_works!$B$47,iData!I65,iScores!O65)</f>
        <v>0.21058173203474601</v>
      </c>
      <c r="P70" s="631">
        <f>IF(P$4="","",CHOOSE(uxb_works!$B$47,IF(INDEX(aData,$B70,P$4)="","-",TEXT(INDEX(aData,$B70,P$4),$H70)),IFERROR(INDEX(aScoresRounded,$B70,P$4),"")))</f>
        <v>100</v>
      </c>
      <c r="Q70" s="706">
        <f>IF(Q$4="","",CHOOSE(uxb_works!$B$47,IF(INDEX(aData,$B70,Q$4)="","-",TEXT(INDEX(aData,$B70,Q$4),$H70)),IFERROR(INDEX(aScoresRounded,$B70,Q$4),"")))</f>
        <v>100</v>
      </c>
      <c r="R70" s="706">
        <f>IF(R$4="","",CHOOSE(uxb_works!$B$47,IF(INDEX(aData,$B70,R$4)="","-",TEXT(INDEX(aData,$B70,R$4),$H70)),IFERROR(INDEX(aScoresRounded,$B70,R$4),"")))</f>
        <v>100</v>
      </c>
      <c r="S70" s="706">
        <f>IF(S$4="","",CHOOSE(uxb_works!$B$47,IF(INDEX(aData,$B70,S$4)="","-",TEXT(INDEX(aData,$B70,S$4),$H70)),IFERROR(INDEX(aScoresRounded,$B70,S$4),"")))</f>
        <v>100</v>
      </c>
      <c r="T70" s="706">
        <f>IF(T$4="","",CHOOSE(uxb_works!$B$47,IF(INDEX(aData,$B70,T$4)="","-",TEXT(INDEX(aData,$B70,T$4),$H70)),IFERROR(INDEX(aScoresRounded,$B70,T$4),"")))</f>
        <v>100</v>
      </c>
      <c r="U70" s="706">
        <f>IF(U$4="","",CHOOSE(uxb_works!$B$47,IF(INDEX(aData,$B70,U$4)="","-",TEXT(INDEX(aData,$B70,U$4),$H70)),IFERROR(INDEX(aScoresRounded,$B70,U$4),"")))</f>
        <v>100</v>
      </c>
      <c r="V70" s="706">
        <f>IF(V$4="","",CHOOSE(uxb_works!$B$47,IF(INDEX(aData,$B70,V$4)="","-",TEXT(INDEX(aData,$B70,V$4),$H70)),IFERROR(INDEX(aScoresRounded,$B70,V$4),"")))</f>
        <v>0</v>
      </c>
      <c r="W70" s="706">
        <f>IF(W$4="","",CHOOSE(uxb_works!$B$47,IF(INDEX(aData,$B70,W$4)="","-",TEXT(INDEX(aData,$B70,W$4),$H70)),IFERROR(INDEX(aScoresRounded,$B70,W$4),"")))</f>
        <v>100</v>
      </c>
      <c r="X70" s="706">
        <f>IF(X$4="","",CHOOSE(uxb_works!$B$47,IF(INDEX(aData,$B70,X$4)="","-",TEXT(INDEX(aData,$B70,X$4),$H70)),IFERROR(INDEX(aScoresRounded,$B70,X$4),"")))</f>
        <v>0</v>
      </c>
      <c r="Y70" s="631">
        <f>IF(Y$4="","",CHOOSE(uxb_works!$B$47,IF(INDEX(aData,$B70,Y$4)="","-",TEXT(INDEX(aData,$B70,Y$4),$H70)),IFERROR(INDEX(aScoresRounded,$B70,Y$4),"")))</f>
        <v>100</v>
      </c>
      <c r="Z70" s="631">
        <f>IF(Z$4="","",CHOOSE(uxb_works!$B$47,IF(INDEX(aData,$B70,Z$4)="","-",TEXT(INDEX(aData,$B70,Z$4),$H70)),IFERROR(INDEX(aScoresRounded,$B70,Z$4),"")))</f>
        <v>100</v>
      </c>
      <c r="AA70" s="631">
        <f>IF(AA$4="","",CHOOSE(uxb_works!$B$47,IF(INDEX(aData,$B70,AA$4)="","-",TEXT(INDEX(aData,$B70,AA$4),$H70)),IFERROR(INDEX(aScoresRounded,$B70,AA$4),"")))</f>
        <v>100</v>
      </c>
      <c r="AB70" s="631">
        <f>IF(AB$4="","",CHOOSE(uxb_works!$B$47,IF(INDEX(aData,$B70,AB$4)="","-",TEXT(INDEX(aData,$B70,AB$4),$H70)),IFERROR(INDEX(aScoresRounded,$B70,AB$4),"")))</f>
        <v>0</v>
      </c>
      <c r="AC70" s="631">
        <f>IF(AC$4="","",CHOOSE(uxb_works!$B$47,IF(INDEX(aData,$B70,AC$4)="","-",TEXT(INDEX(aData,$B70,AC$4),$H70)),IFERROR(INDEX(aScoresRounded,$B70,AC$4),"")))</f>
        <v>0</v>
      </c>
      <c r="AD70" s="631">
        <f>IF(AD$4="","",CHOOSE(uxb_works!$B$47,IF(INDEX(aData,$B70,AD$4)="","-",TEXT(INDEX(aData,$B70,AD$4),$H70)),IFERROR(INDEX(aScoresRounded,$B70,AD$4),"")))</f>
        <v>100</v>
      </c>
      <c r="AE70" s="631">
        <f>IF(AE$4="","",CHOOSE(uxb_works!$B$47,IF(INDEX(aData,$B70,AE$4)="","-",TEXT(INDEX(aData,$B70,AE$4),$H70)),IFERROR(INDEX(aScoresRounded,$B70,AE$4),"")))</f>
        <v>0</v>
      </c>
      <c r="AF70" s="631">
        <f>IF(AF$4="","",CHOOSE(uxb_works!$B$47,IF(INDEX(aData,$B70,AF$4)="","-",TEXT(INDEX(aData,$B70,AF$4),$H70)),IFERROR(INDEX(aScoresRounded,$B70,AF$4),"")))</f>
        <v>100</v>
      </c>
      <c r="AG70" s="631">
        <f>IF(AG$4="","",CHOOSE(uxb_works!$B$47,IF(INDEX(aData,$B70,AG$4)="","-",TEXT(INDEX(aData,$B70,AG$4),$H70)),IFERROR(INDEX(aScoresRounded,$B70,AG$4),"")))</f>
        <v>0</v>
      </c>
      <c r="AH70" s="631">
        <f>IF(AH$4="","",CHOOSE(uxb_works!$B$47,IF(INDEX(aData,$B70,AH$4)="","-",TEXT(INDEX(aData,$B70,AH$4),$H70)),IFERROR(INDEX(aScoresRounded,$B70,AH$4),"")))</f>
        <v>0</v>
      </c>
      <c r="AI70" s="631">
        <f>IF(AI$4="","",CHOOSE(uxb_works!$B$47,IF(INDEX(aData,$B70,AI$4)="","-",TEXT(INDEX(aData,$B70,AI$4),$H70)),IFERROR(INDEX(aScoresRounded,$B70,AI$4),"")))</f>
        <v>100</v>
      </c>
      <c r="AJ70" s="631">
        <f>IF(AJ$4="","",CHOOSE(uxb_works!$B$47,IF(INDEX(aData,$B70,AJ$4)="","-",TEXT(INDEX(aData,$B70,AJ$4),$H70)),IFERROR(INDEX(aScoresRounded,$B70,AJ$4),"")))</f>
        <v>100</v>
      </c>
      <c r="AK70" s="631">
        <f>IF(AK$4="","",CHOOSE(uxb_works!$B$47,IF(INDEX(aData,$B70,AK$4)="","-",TEXT(INDEX(aData,$B70,AK$4),$H70)),IFERROR(INDEX(aScoresRounded,$B70,AK$4),"")))</f>
        <v>100</v>
      </c>
      <c r="AL70" s="631">
        <f>IF(AL$4="","",CHOOSE(uxb_works!$B$47,IF(INDEX(aData,$B70,AL$4)="","-",TEXT(INDEX(aData,$B70,AL$4),$H70)),IFERROR(INDEX(aScoresRounded,$B70,AL$4),"")))</f>
        <v>100</v>
      </c>
      <c r="AM70" s="631">
        <f>IF(AM$4="","",CHOOSE(uxb_works!$B$47,IF(INDEX(aData,$B70,AM$4)="","-",TEXT(INDEX(aData,$B70,AM$4),$H70)),IFERROR(INDEX(aScoresRounded,$B70,AM$4),"")))</f>
        <v>100</v>
      </c>
      <c r="AN70" s="631">
        <f>IF(AN$4="","",CHOOSE(uxb_works!$B$47,IF(INDEX(aData,$B70,AN$4)="","-",TEXT(INDEX(aData,$B70,AN$4),$H70)),IFERROR(INDEX(aScoresRounded,$B70,AN$4),"")))</f>
        <v>100</v>
      </c>
      <c r="AO70" s="631">
        <f>IF(AO$4="","",CHOOSE(uxb_works!$B$47,IF(INDEX(aData,$B70,AO$4)="","-",TEXT(INDEX(aData,$B70,AO$4),$H70)),IFERROR(INDEX(aScoresRounded,$B70,AO$4),"")))</f>
        <v>100</v>
      </c>
      <c r="AP70" s="631">
        <f>IF(AP$4="","",CHOOSE(uxb_works!$B$47,IF(INDEX(aData,$B70,AP$4)="","-",TEXT(INDEX(aData,$B70,AP$4),$H70)),IFERROR(INDEX(aScoresRounded,$B70,AP$4),"")))</f>
        <v>100</v>
      </c>
      <c r="AQ70" s="631">
        <f>IF(AQ$4="","",CHOOSE(uxb_works!$B$47,IF(INDEX(aData,$B70,AQ$4)="","-",TEXT(INDEX(aData,$B70,AQ$4),$H70)),IFERROR(INDEX(aScoresRounded,$B70,AQ$4),"")))</f>
        <v>100</v>
      </c>
      <c r="AR70" s="631">
        <f>IF(AR$4="","",CHOOSE(uxb_works!$B$47,IF(INDEX(aData,$B70,AR$4)="","-",TEXT(INDEX(aData,$B70,AR$4),$H70)),IFERROR(INDEX(aScoresRounded,$B70,AR$4),"")))</f>
        <v>100</v>
      </c>
      <c r="AS70" s="631">
        <f>IF(AS$4="","",CHOOSE(uxb_works!$B$47,IF(INDEX(aData,$B70,AS$4)="","-",TEXT(INDEX(aData,$B70,AS$4),$H70)),IFERROR(INDEX(aScoresRounded,$B70,AS$4),"")))</f>
        <v>100</v>
      </c>
      <c r="AT70" s="570"/>
      <c r="AW70" s="157">
        <f>CHOOSE($AV$1,0,IF(AW$10=0,0,IF(P70&lt;=$AX$1,1,IF(P70&lt;=#REF!,2,3))),IF(AW$10=0,0,IF(P70&lt;=$AX$1,4,IF(P70&lt;=#REF!,5,6))))</f>
        <v>0</v>
      </c>
      <c r="AX70" s="157">
        <f>CHOOSE($AV$1,0,IF(AX$10=0,0,IF(#REF!&lt;=$AX$1,1,IF(#REF!&lt;=#REF!,2,3))),IF(AX$10=0,0,IF(#REF!&lt;=$AX$1,4,IF(#REF!&lt;=#REF!,5,6))))</f>
        <v>0</v>
      </c>
    </row>
    <row r="71" spans="1:50" ht="25" customHeight="1">
      <c r="A71" s="213"/>
      <c r="B71" s="218">
        <f>tblIndicators!A62</f>
        <v>61</v>
      </c>
      <c r="C71" s="218"/>
      <c r="D71" s="218"/>
      <c r="E71" s="218">
        <f>tblIndicators!B62</f>
        <v>0</v>
      </c>
      <c r="F71" s="218">
        <f>IF(AND(uxb_works!$B$47=2,E71=1),0,iScores!F66)</f>
        <v>3</v>
      </c>
      <c r="G71" s="218"/>
      <c r="H71" s="218" t="str">
        <f>tblIndicators!AC62</f>
        <v>#,##0</v>
      </c>
      <c r="I71" s="219"/>
      <c r="J71" s="218"/>
      <c r="K71" s="214">
        <f>IF(L71=0,0,IF(uxb_works!$B$46&gt;=L71,1,0))</f>
        <v>1</v>
      </c>
      <c r="L71" s="216">
        <f>IF(AND(uxb_works!$B$47=2,E71=1),0,tblIndicators!G62)</f>
        <v>3</v>
      </c>
      <c r="M71" s="218"/>
      <c r="N71" s="249" t="str">
        <f>iScores!N66</f>
        <v xml:space="preserve">   4.1.3) Smart construction</v>
      </c>
      <c r="O71" s="407">
        <f>CHOOSE(uxb_works!$B$47,iData!I66,iScores!O66)</f>
        <v>0.28954988154777572</v>
      </c>
      <c r="P71" s="631">
        <f>IF(P$4="","",CHOOSE(uxb_works!$B$47,IF(INDEX(aData,$B71,P$4)="","-",TEXT(INDEX(aData,$B71,P$4),$H71)),IFERROR(INDEX(aScoresRounded,$B71,P$4),"")))</f>
        <v>100</v>
      </c>
      <c r="Q71" s="706">
        <f>IF(Q$4="","",CHOOSE(uxb_works!$B$47,IF(INDEX(aData,$B71,Q$4)="","-",TEXT(INDEX(aData,$B71,Q$4),$H71)),IFERROR(INDEX(aScoresRounded,$B71,Q$4),"")))</f>
        <v>100</v>
      </c>
      <c r="R71" s="706">
        <f>IF(R$4="","",CHOOSE(uxb_works!$B$47,IF(INDEX(aData,$B71,R$4)="","-",TEXT(INDEX(aData,$B71,R$4),$H71)),IFERROR(INDEX(aScoresRounded,$B71,R$4),"")))</f>
        <v>100</v>
      </c>
      <c r="S71" s="706">
        <f>IF(S$4="","",CHOOSE(uxb_works!$B$47,IF(INDEX(aData,$B71,S$4)="","-",TEXT(INDEX(aData,$B71,S$4),$H71)),IFERROR(INDEX(aScoresRounded,$B71,S$4),"")))</f>
        <v>100</v>
      </c>
      <c r="T71" s="706">
        <f>IF(T$4="","",CHOOSE(uxb_works!$B$47,IF(INDEX(aData,$B71,T$4)="","-",TEXT(INDEX(aData,$B71,T$4),$H71)),IFERROR(INDEX(aScoresRounded,$B71,T$4),"")))</f>
        <v>100</v>
      </c>
      <c r="U71" s="706">
        <f>IF(U$4="","",CHOOSE(uxb_works!$B$47,IF(INDEX(aData,$B71,U$4)="","-",TEXT(INDEX(aData,$B71,U$4),$H71)),IFERROR(INDEX(aScoresRounded,$B71,U$4),"")))</f>
        <v>100</v>
      </c>
      <c r="V71" s="706">
        <f>IF(V$4="","",CHOOSE(uxb_works!$B$47,IF(INDEX(aData,$B71,V$4)="","-",TEXT(INDEX(aData,$B71,V$4),$H71)),IFERROR(INDEX(aScoresRounded,$B71,V$4),"")))</f>
        <v>0</v>
      </c>
      <c r="W71" s="706">
        <f>IF(W$4="","",CHOOSE(uxb_works!$B$47,IF(INDEX(aData,$B71,W$4)="","-",TEXT(INDEX(aData,$B71,W$4),$H71)),IFERROR(INDEX(aScoresRounded,$B71,W$4),"")))</f>
        <v>100</v>
      </c>
      <c r="X71" s="706">
        <f>IF(X$4="","",CHOOSE(uxb_works!$B$47,IF(INDEX(aData,$B71,X$4)="","-",TEXT(INDEX(aData,$B71,X$4),$H71)),IFERROR(INDEX(aScoresRounded,$B71,X$4),"")))</f>
        <v>100</v>
      </c>
      <c r="Y71" s="631">
        <f>IF(Y$4="","",CHOOSE(uxb_works!$B$47,IF(INDEX(aData,$B71,Y$4)="","-",TEXT(INDEX(aData,$B71,Y$4),$H71)),IFERROR(INDEX(aScoresRounded,$B71,Y$4),"")))</f>
        <v>100</v>
      </c>
      <c r="Z71" s="631">
        <f>IF(Z$4="","",CHOOSE(uxb_works!$B$47,IF(INDEX(aData,$B71,Z$4)="","-",TEXT(INDEX(aData,$B71,Z$4),$H71)),IFERROR(INDEX(aScoresRounded,$B71,Z$4),"")))</f>
        <v>100</v>
      </c>
      <c r="AA71" s="631">
        <f>IF(AA$4="","",CHOOSE(uxb_works!$B$47,IF(INDEX(aData,$B71,AA$4)="","-",TEXT(INDEX(aData,$B71,AA$4),$H71)),IFERROR(INDEX(aScoresRounded,$B71,AA$4),"")))</f>
        <v>100</v>
      </c>
      <c r="AB71" s="631">
        <f>IF(AB$4="","",CHOOSE(uxb_works!$B$47,IF(INDEX(aData,$B71,AB$4)="","-",TEXT(INDEX(aData,$B71,AB$4),$H71)),IFERROR(INDEX(aScoresRounded,$B71,AB$4),"")))</f>
        <v>100</v>
      </c>
      <c r="AC71" s="631">
        <f>IF(AC$4="","",CHOOSE(uxb_works!$B$47,IF(INDEX(aData,$B71,AC$4)="","-",TEXT(INDEX(aData,$B71,AC$4),$H71)),IFERROR(INDEX(aScoresRounded,$B71,AC$4),"")))</f>
        <v>100</v>
      </c>
      <c r="AD71" s="631">
        <f>IF(AD$4="","",CHOOSE(uxb_works!$B$47,IF(INDEX(aData,$B71,AD$4)="","-",TEXT(INDEX(aData,$B71,AD$4),$H71)),IFERROR(INDEX(aScoresRounded,$B71,AD$4),"")))</f>
        <v>100</v>
      </c>
      <c r="AE71" s="631">
        <f>IF(AE$4="","",CHOOSE(uxb_works!$B$47,IF(INDEX(aData,$B71,AE$4)="","-",TEXT(INDEX(aData,$B71,AE$4),$H71)),IFERROR(INDEX(aScoresRounded,$B71,AE$4),"")))</f>
        <v>100</v>
      </c>
      <c r="AF71" s="631">
        <f>IF(AF$4="","",CHOOSE(uxb_works!$B$47,IF(INDEX(aData,$B71,AF$4)="","-",TEXT(INDEX(aData,$B71,AF$4),$H71)),IFERROR(INDEX(aScoresRounded,$B71,AF$4),"")))</f>
        <v>0</v>
      </c>
      <c r="AG71" s="631">
        <f>IF(AG$4="","",CHOOSE(uxb_works!$B$47,IF(INDEX(aData,$B71,AG$4)="","-",TEXT(INDEX(aData,$B71,AG$4),$H71)),IFERROR(INDEX(aScoresRounded,$B71,AG$4),"")))</f>
        <v>0</v>
      </c>
      <c r="AH71" s="631">
        <f>IF(AH$4="","",CHOOSE(uxb_works!$B$47,IF(INDEX(aData,$B71,AH$4)="","-",TEXT(INDEX(aData,$B71,AH$4),$H71)),IFERROR(INDEX(aScoresRounded,$B71,AH$4),"")))</f>
        <v>0</v>
      </c>
      <c r="AI71" s="631">
        <f>IF(AI$4="","",CHOOSE(uxb_works!$B$47,IF(INDEX(aData,$B71,AI$4)="","-",TEXT(INDEX(aData,$B71,AI$4),$H71)),IFERROR(INDEX(aScoresRounded,$B71,AI$4),"")))</f>
        <v>100</v>
      </c>
      <c r="AJ71" s="631">
        <f>IF(AJ$4="","",CHOOSE(uxb_works!$B$47,IF(INDEX(aData,$B71,AJ$4)="","-",TEXT(INDEX(aData,$B71,AJ$4),$H71)),IFERROR(INDEX(aScoresRounded,$B71,AJ$4),"")))</f>
        <v>100</v>
      </c>
      <c r="AK71" s="631">
        <f>IF(AK$4="","",CHOOSE(uxb_works!$B$47,IF(INDEX(aData,$B71,AK$4)="","-",TEXT(INDEX(aData,$B71,AK$4),$H71)),IFERROR(INDEX(aScoresRounded,$B71,AK$4),"")))</f>
        <v>0</v>
      </c>
      <c r="AL71" s="631">
        <f>IF(AL$4="","",CHOOSE(uxb_works!$B$47,IF(INDEX(aData,$B71,AL$4)="","-",TEXT(INDEX(aData,$B71,AL$4),$H71)),IFERROR(INDEX(aScoresRounded,$B71,AL$4),"")))</f>
        <v>0</v>
      </c>
      <c r="AM71" s="631">
        <f>IF(AM$4="","",CHOOSE(uxb_works!$B$47,IF(INDEX(aData,$B71,AM$4)="","-",TEXT(INDEX(aData,$B71,AM$4),$H71)),IFERROR(INDEX(aScoresRounded,$B71,AM$4),"")))</f>
        <v>100</v>
      </c>
      <c r="AN71" s="631">
        <f>IF(AN$4="","",CHOOSE(uxb_works!$B$47,IF(INDEX(aData,$B71,AN$4)="","-",TEXT(INDEX(aData,$B71,AN$4),$H71)),IFERROR(INDEX(aScoresRounded,$B71,AN$4),"")))</f>
        <v>100</v>
      </c>
      <c r="AO71" s="631">
        <f>IF(AO$4="","",CHOOSE(uxb_works!$B$47,IF(INDEX(aData,$B71,AO$4)="","-",TEXT(INDEX(aData,$B71,AO$4),$H71)),IFERROR(INDEX(aScoresRounded,$B71,AO$4),"")))</f>
        <v>100</v>
      </c>
      <c r="AP71" s="631">
        <f>IF(AP$4="","",CHOOSE(uxb_works!$B$47,IF(INDEX(aData,$B71,AP$4)="","-",TEXT(INDEX(aData,$B71,AP$4),$H71)),IFERROR(INDEX(aScoresRounded,$B71,AP$4),"")))</f>
        <v>100</v>
      </c>
      <c r="AQ71" s="631">
        <f>IF(AQ$4="","",CHOOSE(uxb_works!$B$47,IF(INDEX(aData,$B71,AQ$4)="","-",TEXT(INDEX(aData,$B71,AQ$4),$H71)),IFERROR(INDEX(aScoresRounded,$B71,AQ$4),"")))</f>
        <v>100</v>
      </c>
      <c r="AR71" s="631">
        <f>IF(AR$4="","",CHOOSE(uxb_works!$B$47,IF(INDEX(aData,$B71,AR$4)="","-",TEXT(INDEX(aData,$B71,AR$4),$H71)),IFERROR(INDEX(aScoresRounded,$B71,AR$4),"")))</f>
        <v>100</v>
      </c>
      <c r="AS71" s="631">
        <f>IF(AS$4="","",CHOOSE(uxb_works!$B$47,IF(INDEX(aData,$B71,AS$4)="","-",TEXT(INDEX(aData,$B71,AS$4),$H71)),IFERROR(INDEX(aScoresRounded,$B71,AS$4),"")))</f>
        <v>100</v>
      </c>
      <c r="AT71" s="570"/>
      <c r="AW71" s="157">
        <f>CHOOSE($AV$1,0,IF(AW$10=0,0,IF(P71&lt;=$AX$1,1,IF(P71&lt;=#REF!,2,3))),IF(AW$10=0,0,IF(P71&lt;=$AX$1,4,IF(P71&lt;=#REF!,5,6))))</f>
        <v>0</v>
      </c>
      <c r="AX71" s="157">
        <f>CHOOSE($AV$1,0,IF(AX$10=0,0,IF(#REF!&lt;=$AX$1,1,IF(#REF!&lt;=#REF!,2,3))),IF(AX$10=0,0,IF(#REF!&lt;=$AX$1,4,IF(#REF!&lt;=#REF!,5,6))))</f>
        <v>0</v>
      </c>
    </row>
    <row r="72" spans="1:50" ht="25" customHeight="1">
      <c r="A72" s="213"/>
      <c r="B72" s="218">
        <f>tblIndicators!A63</f>
        <v>62</v>
      </c>
      <c r="C72" s="218"/>
      <c r="D72" s="218"/>
      <c r="E72" s="218">
        <f>tblIndicators!B63</f>
        <v>0</v>
      </c>
      <c r="F72" s="218">
        <f>IF(AND(uxb_works!$B$47=2,E72=1),0,iScores!F67)</f>
        <v>2</v>
      </c>
      <c r="G72" s="218"/>
      <c r="H72" s="218" t="str">
        <f>tblIndicators!AC63</f>
        <v>#,##0.0</v>
      </c>
      <c r="I72" s="219"/>
      <c r="J72" s="218"/>
      <c r="K72" s="214">
        <f>IF(L72=0,0,IF(uxb_works!$B$46&gt;=L72,1,0))</f>
        <v>1</v>
      </c>
      <c r="L72" s="216">
        <f>IF(AND(uxb_works!$B$47=2,E72=1),0,tblIndicators!G63)</f>
        <v>2</v>
      </c>
      <c r="M72" s="218"/>
      <c r="N72" s="249" t="str">
        <f>iScores!N67</f>
        <v xml:space="preserve">  4.2) Emissions reduction</v>
      </c>
      <c r="O72" s="407">
        <f>CHOOSE(uxb_works!$B$47,iData!I67,iScores!O67)</f>
        <v>0.27777777777777779</v>
      </c>
      <c r="P72" s="631">
        <f>IF(P$4="","",CHOOSE(uxb_works!$B$47,IF(INDEX(aData,$B72,P$4)="","-",TEXT(INDEX(aData,$B72,P$4),$H72)),IFERROR(INDEX(aScoresRounded,$B72,P$4),"")))</f>
        <v>100</v>
      </c>
      <c r="Q72" s="706">
        <f>IF(Q$4="","",CHOOSE(uxb_works!$B$47,IF(INDEX(aData,$B72,Q$4)="","-",TEXT(INDEX(aData,$B72,Q$4),$H72)),IFERROR(INDEX(aScoresRounded,$B72,Q$4),"")))</f>
        <v>77.599999999999994</v>
      </c>
      <c r="R72" s="706">
        <f>IF(R$4="","",CHOOSE(uxb_works!$B$47,IF(INDEX(aData,$B72,R$4)="","-",TEXT(INDEX(aData,$B72,R$4),$H72)),IFERROR(INDEX(aScoresRounded,$B72,R$4),"")))</f>
        <v>46.2</v>
      </c>
      <c r="S72" s="706">
        <f>IF(S$4="","",CHOOSE(uxb_works!$B$47,IF(INDEX(aData,$B72,S$4)="","-",TEXT(INDEX(aData,$B72,S$4),$H72)),IFERROR(INDEX(aScoresRounded,$B72,S$4),"")))</f>
        <v>92.4</v>
      </c>
      <c r="T72" s="706">
        <f>IF(T$4="","",CHOOSE(uxb_works!$B$47,IF(INDEX(aData,$B72,T$4)="","-",TEXT(INDEX(aData,$B72,T$4),$H72)),IFERROR(INDEX(aScoresRounded,$B72,T$4),"")))</f>
        <v>92.4</v>
      </c>
      <c r="U72" s="706">
        <f>IF(U$4="","",CHOOSE(uxb_works!$B$47,IF(INDEX(aData,$B72,U$4)="","-",TEXT(INDEX(aData,$B72,U$4),$H72)),IFERROR(INDEX(aScoresRounded,$B72,U$4),"")))</f>
        <v>92.4</v>
      </c>
      <c r="V72" s="706">
        <f>IF(V$4="","",CHOOSE(uxb_works!$B$47,IF(INDEX(aData,$B72,V$4)="","-",TEXT(INDEX(aData,$B72,V$4),$H72)),IFERROR(INDEX(aScoresRounded,$B72,V$4),"")))</f>
        <v>77.599999999999994</v>
      </c>
      <c r="W72" s="706">
        <f>IF(W$4="","",CHOOSE(uxb_works!$B$47,IF(INDEX(aData,$B72,W$4)="","-",TEXT(INDEX(aData,$B72,W$4),$H72)),IFERROR(INDEX(aScoresRounded,$B72,W$4),"")))</f>
        <v>100</v>
      </c>
      <c r="X72" s="706">
        <f>IF(X$4="","",CHOOSE(uxb_works!$B$47,IF(INDEX(aData,$B72,X$4)="","-",TEXT(INDEX(aData,$B72,X$4),$H72)),IFERROR(INDEX(aScoresRounded,$B72,X$4),"")))</f>
        <v>92.4</v>
      </c>
      <c r="Y72" s="631">
        <f>IF(Y$4="","",CHOOSE(uxb_works!$B$47,IF(INDEX(aData,$B72,Y$4)="","-",TEXT(INDEX(aData,$B72,Y$4),$H72)),IFERROR(INDEX(aScoresRounded,$B72,Y$4),"")))</f>
        <v>83.8</v>
      </c>
      <c r="Z72" s="631">
        <f>IF(Z$4="","",CHOOSE(uxb_works!$B$47,IF(INDEX(aData,$B72,Z$4)="","-",TEXT(INDEX(aData,$B72,Z$4),$H72)),IFERROR(INDEX(aScoresRounded,$B72,Z$4),"")))</f>
        <v>100</v>
      </c>
      <c r="AA72" s="631">
        <f>IF(AA$4="","",CHOOSE(uxb_works!$B$47,IF(INDEX(aData,$B72,AA$4)="","-",TEXT(INDEX(aData,$B72,AA$4),$H72)),IFERROR(INDEX(aScoresRounded,$B72,AA$4),"")))</f>
        <v>77.599999999999994</v>
      </c>
      <c r="AB72" s="631">
        <f>IF(AB$4="","",CHOOSE(uxb_works!$B$47,IF(INDEX(aData,$B72,AB$4)="","-",TEXT(INDEX(aData,$B72,AB$4),$H72)),IFERROR(INDEX(aScoresRounded,$B72,AB$4),"")))</f>
        <v>70</v>
      </c>
      <c r="AC72" s="631">
        <f>IF(AC$4="","",CHOOSE(uxb_works!$B$47,IF(INDEX(aData,$B72,AC$4)="","-",TEXT(INDEX(aData,$B72,AC$4),$H72)),IFERROR(INDEX(aScoresRounded,$B72,AC$4),"")))</f>
        <v>76.2</v>
      </c>
      <c r="AD72" s="631">
        <f>IF(AD$4="","",CHOOSE(uxb_works!$B$47,IF(INDEX(aData,$B72,AD$4)="","-",TEXT(INDEX(aData,$B72,AD$4),$H72)),IFERROR(INDEX(aScoresRounded,$B72,AD$4),"")))</f>
        <v>84.9</v>
      </c>
      <c r="AE72" s="631">
        <f>IF(AE$4="","",CHOOSE(uxb_works!$B$47,IF(INDEX(aData,$B72,AE$4)="","-",TEXT(INDEX(aData,$B72,AE$4),$H72)),IFERROR(INDEX(aScoresRounded,$B72,AE$4),"")))</f>
        <v>100</v>
      </c>
      <c r="AF72" s="631">
        <f>IF(AF$4="","",CHOOSE(uxb_works!$B$47,IF(INDEX(aData,$B72,AF$4)="","-",TEXT(INDEX(aData,$B72,AF$4),$H72)),IFERROR(INDEX(aScoresRounded,$B72,AF$4),"")))</f>
        <v>14.9</v>
      </c>
      <c r="AG72" s="631">
        <f>IF(AG$4="","",CHOOSE(uxb_works!$B$47,IF(INDEX(aData,$B72,AG$4)="","-",TEXT(INDEX(aData,$B72,AG$4),$H72)),IFERROR(INDEX(aScoresRounded,$B72,AG$4),"")))</f>
        <v>22.7</v>
      </c>
      <c r="AH72" s="631">
        <f>IF(AH$4="","",CHOOSE(uxb_works!$B$47,IF(INDEX(aData,$B72,AH$4)="","-",TEXT(INDEX(aData,$B72,AH$4),$H72)),IFERROR(INDEX(aScoresRounded,$B72,AH$4),"")))</f>
        <v>23.8</v>
      </c>
      <c r="AI72" s="631">
        <f>IF(AI$4="","",CHOOSE(uxb_works!$B$47,IF(INDEX(aData,$B72,AI$4)="","-",TEXT(INDEX(aData,$B72,AI$4),$H72)),IFERROR(INDEX(aScoresRounded,$B72,AI$4),"")))</f>
        <v>92.4</v>
      </c>
      <c r="AJ72" s="631">
        <f>IF(AJ$4="","",CHOOSE(uxb_works!$B$47,IF(INDEX(aData,$B72,AJ$4)="","-",TEXT(INDEX(aData,$B72,AJ$4),$H72)),IFERROR(INDEX(aScoresRounded,$B72,AJ$4),"")))</f>
        <v>84.9</v>
      </c>
      <c r="AK72" s="631">
        <f>IF(AK$4="","",CHOOSE(uxb_works!$B$47,IF(INDEX(aData,$B72,AK$4)="","-",TEXT(INDEX(aData,$B72,AK$4),$H72)),IFERROR(INDEX(aScoresRounded,$B72,AK$4),"")))</f>
        <v>92.4</v>
      </c>
      <c r="AL72" s="631">
        <f>IF(AL$4="","",CHOOSE(uxb_works!$B$47,IF(INDEX(aData,$B72,AL$4)="","-",TEXT(INDEX(aData,$B72,AL$4),$H72)),IFERROR(INDEX(aScoresRounded,$B72,AL$4),"")))</f>
        <v>46.5</v>
      </c>
      <c r="AM72" s="631">
        <f>IF(AM$4="","",CHOOSE(uxb_works!$B$47,IF(INDEX(aData,$B72,AM$4)="","-",TEXT(INDEX(aData,$B72,AM$4),$H72)),IFERROR(INDEX(aScoresRounded,$B72,AM$4),"")))</f>
        <v>84.9</v>
      </c>
      <c r="AN72" s="631">
        <f>IF(AN$4="","",CHOOSE(uxb_works!$B$47,IF(INDEX(aData,$B72,AN$4)="","-",TEXT(INDEX(aData,$B72,AN$4),$H72)),IFERROR(INDEX(aScoresRounded,$B72,AN$4),"")))</f>
        <v>60</v>
      </c>
      <c r="AO72" s="631">
        <f>IF(AO$4="","",CHOOSE(uxb_works!$B$47,IF(INDEX(aData,$B72,AO$4)="","-",TEXT(INDEX(aData,$B72,AO$4),$H72)),IFERROR(INDEX(aScoresRounded,$B72,AO$4),"")))</f>
        <v>92.4</v>
      </c>
      <c r="AP72" s="631">
        <f>IF(AP$4="","",CHOOSE(uxb_works!$B$47,IF(INDEX(aData,$B72,AP$4)="","-",TEXT(INDEX(aData,$B72,AP$4),$H72)),IFERROR(INDEX(aScoresRounded,$B72,AP$4),"")))</f>
        <v>77.3</v>
      </c>
      <c r="AQ72" s="631">
        <f>IF(AQ$4="","",CHOOSE(uxb_works!$B$47,IF(INDEX(aData,$B72,AQ$4)="","-",TEXT(INDEX(aData,$B72,AQ$4),$H72)),IFERROR(INDEX(aScoresRounded,$B72,AQ$4),"")))</f>
        <v>92.4</v>
      </c>
      <c r="AR72" s="631">
        <f>IF(AR$4="","",CHOOSE(uxb_works!$B$47,IF(INDEX(aData,$B72,AR$4)="","-",TEXT(INDEX(aData,$B72,AR$4),$H72)),IFERROR(INDEX(aScoresRounded,$B72,AR$4),"")))</f>
        <v>100</v>
      </c>
      <c r="AS72" s="631">
        <f>IF(AS$4="","",CHOOSE(uxb_works!$B$47,IF(INDEX(aData,$B72,AS$4)="","-",TEXT(INDEX(aData,$B72,AS$4),$H72)),IFERROR(INDEX(aScoresRounded,$B72,AS$4),"")))</f>
        <v>92.4</v>
      </c>
      <c r="AT72" s="570"/>
      <c r="AW72" s="157">
        <f>CHOOSE($AV$1,0,IF(AW$10=0,0,IF(P72&lt;=$AX$1,1,IF(P72&lt;=#REF!,2,3))),IF(AW$10=0,0,IF(P72&lt;=$AX$1,4,IF(P72&lt;=#REF!,5,6))))</f>
        <v>0</v>
      </c>
      <c r="AX72" s="157">
        <f>CHOOSE($AV$1,0,IF(AX$10=0,0,IF(#REF!&lt;=$AX$1,1,IF(#REF!&lt;=#REF!,2,3))),IF(AX$10=0,0,IF(#REF!&lt;=$AX$1,4,IF(#REF!&lt;=#REF!,5,6))))</f>
        <v>0</v>
      </c>
    </row>
    <row r="73" spans="1:50" ht="25" customHeight="1">
      <c r="A73" s="213"/>
      <c r="B73" s="218">
        <f>tblIndicators!A64</f>
        <v>63</v>
      </c>
      <c r="C73" s="218"/>
      <c r="D73" s="218"/>
      <c r="E73" s="218">
        <f>tblIndicators!B64</f>
        <v>0</v>
      </c>
      <c r="F73" s="218">
        <f>IF(AND(uxb_works!$B$47=2,E73=1),0,iScores!F68)</f>
        <v>3</v>
      </c>
      <c r="G73" s="218"/>
      <c r="H73" s="218" t="str">
        <f>tblIndicators!AC64</f>
        <v>#,##0</v>
      </c>
      <c r="I73" s="219"/>
      <c r="J73" s="218"/>
      <c r="K73" s="214">
        <f>IF(L73=0,0,IF(uxb_works!$B$46&gt;=L73,1,0))</f>
        <v>1</v>
      </c>
      <c r="L73" s="216">
        <f>IF(AND(uxb_works!$B$47=2,E73=1),0,tblIndicators!G64)</f>
        <v>3</v>
      </c>
      <c r="M73" s="218"/>
      <c r="N73" s="249" t="str">
        <f>iScores!N68</f>
        <v xml:space="preserve">   4.2.1) Net-zero emission</v>
      </c>
      <c r="O73" s="407">
        <f>CHOOSE(uxb_works!$B$47,iData!I68,iScores!O68)</f>
        <v>0.32432432432432429</v>
      </c>
      <c r="P73" s="631">
        <f>IF(P$4="","",CHOOSE(uxb_works!$B$47,IF(INDEX(aData,$B73,P$4)="","-",TEXT(INDEX(aData,$B73,P$4),$H73)),IFERROR(INDEX(aScoresRounded,$B73,P$4),"")))</f>
        <v>100</v>
      </c>
      <c r="Q73" s="706">
        <f>IF(Q$4="","",CHOOSE(uxb_works!$B$47,IF(INDEX(aData,$B73,Q$4)="","-",TEXT(INDEX(aData,$B73,Q$4),$H73)),IFERROR(INDEX(aScoresRounded,$B73,Q$4),"")))</f>
        <v>100</v>
      </c>
      <c r="R73" s="706">
        <f>IF(R$4="","",CHOOSE(uxb_works!$B$47,IF(INDEX(aData,$B73,R$4)="","-",TEXT(INDEX(aData,$B73,R$4),$H73)),IFERROR(INDEX(aScoresRounded,$B73,R$4),"")))</f>
        <v>50</v>
      </c>
      <c r="S73" s="706">
        <f>IF(S$4="","",CHOOSE(uxb_works!$B$47,IF(INDEX(aData,$B73,S$4)="","-",TEXT(INDEX(aData,$B73,S$4),$H73)),IFERROR(INDEX(aScoresRounded,$B73,S$4),"")))</f>
        <v>100</v>
      </c>
      <c r="T73" s="706">
        <f>IF(T$4="","",CHOOSE(uxb_works!$B$47,IF(INDEX(aData,$B73,T$4)="","-",TEXT(INDEX(aData,$B73,T$4),$H73)),IFERROR(INDEX(aScoresRounded,$B73,T$4),"")))</f>
        <v>100</v>
      </c>
      <c r="U73" s="706">
        <f>IF(U$4="","",CHOOSE(uxb_works!$B$47,IF(INDEX(aData,$B73,U$4)="","-",TEXT(INDEX(aData,$B73,U$4),$H73)),IFERROR(INDEX(aScoresRounded,$B73,U$4),"")))</f>
        <v>100</v>
      </c>
      <c r="V73" s="706">
        <f>IF(V$4="","",CHOOSE(uxb_works!$B$47,IF(INDEX(aData,$B73,V$4)="","-",TEXT(INDEX(aData,$B73,V$4),$H73)),IFERROR(INDEX(aScoresRounded,$B73,V$4),"")))</f>
        <v>100</v>
      </c>
      <c r="W73" s="706">
        <f>IF(W$4="","",CHOOSE(uxb_works!$B$47,IF(INDEX(aData,$B73,W$4)="","-",TEXT(INDEX(aData,$B73,W$4),$H73)),IFERROR(INDEX(aScoresRounded,$B73,W$4),"")))</f>
        <v>100</v>
      </c>
      <c r="X73" s="706">
        <f>IF(X$4="","",CHOOSE(uxb_works!$B$47,IF(INDEX(aData,$B73,X$4)="","-",TEXT(INDEX(aData,$B73,X$4),$H73)),IFERROR(INDEX(aScoresRounded,$B73,X$4),"")))</f>
        <v>100</v>
      </c>
      <c r="Y73" s="631">
        <f>IF(Y$4="","",CHOOSE(uxb_works!$B$47,IF(INDEX(aData,$B73,Y$4)="","-",TEXT(INDEX(aData,$B73,Y$4),$H73)),IFERROR(INDEX(aScoresRounded,$B73,Y$4),"")))</f>
        <v>50</v>
      </c>
      <c r="Z73" s="631">
        <f>IF(Z$4="","",CHOOSE(uxb_works!$B$47,IF(INDEX(aData,$B73,Z$4)="","-",TEXT(INDEX(aData,$B73,Z$4),$H73)),IFERROR(INDEX(aScoresRounded,$B73,Z$4),"")))</f>
        <v>100</v>
      </c>
      <c r="AA73" s="631">
        <f>IF(AA$4="","",CHOOSE(uxb_works!$B$47,IF(INDEX(aData,$B73,AA$4)="","-",TEXT(INDEX(aData,$B73,AA$4),$H73)),IFERROR(INDEX(aScoresRounded,$B73,AA$4),"")))</f>
        <v>100</v>
      </c>
      <c r="AB73" s="631">
        <f>IF(AB$4="","",CHOOSE(uxb_works!$B$47,IF(INDEX(aData,$B73,AB$4)="","-",TEXT(INDEX(aData,$B73,AB$4),$H73)),IFERROR(INDEX(aScoresRounded,$B73,AB$4),"")))</f>
        <v>100</v>
      </c>
      <c r="AC73" s="631">
        <f>IF(AC$4="","",CHOOSE(uxb_works!$B$47,IF(INDEX(aData,$B73,AC$4)="","-",TEXT(INDEX(aData,$B73,AC$4),$H73)),IFERROR(INDEX(aScoresRounded,$B73,AC$4),"")))</f>
        <v>50</v>
      </c>
      <c r="AD73" s="631">
        <f>IF(AD$4="","",CHOOSE(uxb_works!$B$47,IF(INDEX(aData,$B73,AD$4)="","-",TEXT(INDEX(aData,$B73,AD$4),$H73)),IFERROR(INDEX(aScoresRounded,$B73,AD$4),"")))</f>
        <v>100</v>
      </c>
      <c r="AE73" s="631">
        <f>IF(AE$4="","",CHOOSE(uxb_works!$B$47,IF(INDEX(aData,$B73,AE$4)="","-",TEXT(INDEX(aData,$B73,AE$4),$H73)),IFERROR(INDEX(aScoresRounded,$B73,AE$4),"")))</f>
        <v>100</v>
      </c>
      <c r="AF73" s="631">
        <f>IF(AF$4="","",CHOOSE(uxb_works!$B$47,IF(INDEX(aData,$B73,AF$4)="","-",TEXT(INDEX(aData,$B73,AF$4),$H73)),IFERROR(INDEX(aScoresRounded,$B73,AF$4),"")))</f>
        <v>0</v>
      </c>
      <c r="AG73" s="631">
        <f>IF(AG$4="","",CHOOSE(uxb_works!$B$47,IF(INDEX(aData,$B73,AG$4)="","-",TEXT(INDEX(aData,$B73,AG$4),$H73)),IFERROR(INDEX(aScoresRounded,$B73,AG$4),"")))</f>
        <v>0</v>
      </c>
      <c r="AH73" s="631">
        <f>IF(AH$4="","",CHOOSE(uxb_works!$B$47,IF(INDEX(aData,$B73,AH$4)="","-",TEXT(INDEX(aData,$B73,AH$4),$H73)),IFERROR(INDEX(aScoresRounded,$B73,AH$4),"")))</f>
        <v>50</v>
      </c>
      <c r="AI73" s="631">
        <f>IF(AI$4="","",CHOOSE(uxb_works!$B$47,IF(INDEX(aData,$B73,AI$4)="","-",TEXT(INDEX(aData,$B73,AI$4),$H73)),IFERROR(INDEX(aScoresRounded,$B73,AI$4),"")))</f>
        <v>100</v>
      </c>
      <c r="AJ73" s="631">
        <f>IF(AJ$4="","",CHOOSE(uxb_works!$B$47,IF(INDEX(aData,$B73,AJ$4)="","-",TEXT(INDEX(aData,$B73,AJ$4),$H73)),IFERROR(INDEX(aScoresRounded,$B73,AJ$4),"")))</f>
        <v>100</v>
      </c>
      <c r="AK73" s="631">
        <f>IF(AK$4="","",CHOOSE(uxb_works!$B$47,IF(INDEX(aData,$B73,AK$4)="","-",TEXT(INDEX(aData,$B73,AK$4),$H73)),IFERROR(INDEX(aScoresRounded,$B73,AK$4),"")))</f>
        <v>100</v>
      </c>
      <c r="AL73" s="631">
        <f>IF(AL$4="","",CHOOSE(uxb_works!$B$47,IF(INDEX(aData,$B73,AL$4)="","-",TEXT(INDEX(aData,$B73,AL$4),$H73)),IFERROR(INDEX(aScoresRounded,$B73,AL$4),"")))</f>
        <v>50</v>
      </c>
      <c r="AM73" s="631">
        <f>IF(AM$4="","",CHOOSE(uxb_works!$B$47,IF(INDEX(aData,$B73,AM$4)="","-",TEXT(INDEX(aData,$B73,AM$4),$H73)),IFERROR(INDEX(aScoresRounded,$B73,AM$4),"")))</f>
        <v>100</v>
      </c>
      <c r="AN73" s="631">
        <f>IF(AN$4="","",CHOOSE(uxb_works!$B$47,IF(INDEX(aData,$B73,AN$4)="","-",TEXT(INDEX(aData,$B73,AN$4),$H73)),IFERROR(INDEX(aScoresRounded,$B73,AN$4),"")))</f>
        <v>0</v>
      </c>
      <c r="AO73" s="631">
        <f>IF(AO$4="","",CHOOSE(uxb_works!$B$47,IF(INDEX(aData,$B73,AO$4)="","-",TEXT(INDEX(aData,$B73,AO$4),$H73)),IFERROR(INDEX(aScoresRounded,$B73,AO$4),"")))</f>
        <v>100</v>
      </c>
      <c r="AP73" s="631">
        <f>IF(AP$4="","",CHOOSE(uxb_works!$B$47,IF(INDEX(aData,$B73,AP$4)="","-",TEXT(INDEX(aData,$B73,AP$4),$H73)),IFERROR(INDEX(aScoresRounded,$B73,AP$4),"")))</f>
        <v>100</v>
      </c>
      <c r="AQ73" s="631">
        <f>IF(AQ$4="","",CHOOSE(uxb_works!$B$47,IF(INDEX(aData,$B73,AQ$4)="","-",TEXT(INDEX(aData,$B73,AQ$4),$H73)),IFERROR(INDEX(aScoresRounded,$B73,AQ$4),"")))</f>
        <v>100</v>
      </c>
      <c r="AR73" s="631">
        <f>IF(AR$4="","",CHOOSE(uxb_works!$B$47,IF(INDEX(aData,$B73,AR$4)="","-",TEXT(INDEX(aData,$B73,AR$4),$H73)),IFERROR(INDEX(aScoresRounded,$B73,AR$4),"")))</f>
        <v>100</v>
      </c>
      <c r="AS73" s="631">
        <f>IF(AS$4="","",CHOOSE(uxb_works!$B$47,IF(INDEX(aData,$B73,AS$4)="","-",TEXT(INDEX(aData,$B73,AS$4),$H73)),IFERROR(INDEX(aScoresRounded,$B73,AS$4),"")))</f>
        <v>100</v>
      </c>
      <c r="AT73" s="570"/>
      <c r="AW73" s="157">
        <f>CHOOSE($AV$1,0,IF(AW$10=0,0,IF(P73&lt;=$AX$1,1,IF(P73&lt;=#REF!,2,3))),IF(AW$10=0,0,IF(P73&lt;=$AX$1,4,IF(P73&lt;=#REF!,5,6))))</f>
        <v>0</v>
      </c>
      <c r="AX73" s="157">
        <f>CHOOSE($AV$1,0,IF(AX$10=0,0,IF(#REF!&lt;=$AX$1,1,IF(#REF!&lt;=#REF!,2,3))),IF(AX$10=0,0,IF(#REF!&lt;=$AX$1,4,IF(#REF!&lt;=#REF!,5,6))))</f>
        <v>0</v>
      </c>
    </row>
    <row r="74" spans="1:50" ht="25" customHeight="1">
      <c r="A74" s="213"/>
      <c r="B74" s="218">
        <f>tblIndicators!A65</f>
        <v>64</v>
      </c>
      <c r="C74" s="218"/>
      <c r="D74" s="218"/>
      <c r="E74" s="218">
        <f>tblIndicators!B65</f>
        <v>0</v>
      </c>
      <c r="F74" s="218">
        <f>IF(AND(uxb_works!$B$47=2,E74=1),0,iScores!F69)</f>
        <v>3</v>
      </c>
      <c r="G74" s="218"/>
      <c r="H74" s="218" t="str">
        <f>tblIndicators!AC65</f>
        <v>#,##0</v>
      </c>
      <c r="I74" s="219"/>
      <c r="J74" s="218"/>
      <c r="K74" s="214">
        <f>IF(L74=0,0,IF(uxb_works!$B$46&gt;=L74,1,0))</f>
        <v>1</v>
      </c>
      <c r="L74" s="216">
        <f>IF(AND(uxb_works!$B$47=2,E74=1),0,tblIndicators!G65)</f>
        <v>3</v>
      </c>
      <c r="M74" s="218"/>
      <c r="N74" s="249" t="str">
        <f>iScores!N69</f>
        <v xml:space="preserve">   4.2.2) Traffic management </v>
      </c>
      <c r="O74" s="407">
        <f>CHOOSE(uxb_works!$B$47,iData!I69,iScores!O69)</f>
        <v>0.3783783783783784</v>
      </c>
      <c r="P74" s="631">
        <f>IF(P$4="","",CHOOSE(uxb_works!$B$47,IF(INDEX(aData,$B74,P$4)="","-",TEXT(INDEX(aData,$B74,P$4),$H74)),IFERROR(INDEX(aScoresRounded,$B74,P$4),"")))</f>
        <v>100</v>
      </c>
      <c r="Q74" s="706">
        <f>IF(Q$4="","",CHOOSE(uxb_works!$B$47,IF(INDEX(aData,$B74,Q$4)="","-",TEXT(INDEX(aData,$B74,Q$4),$H74)),IFERROR(INDEX(aScoresRounded,$B74,Q$4),"")))</f>
        <v>80</v>
      </c>
      <c r="R74" s="706">
        <f>IF(R$4="","",CHOOSE(uxb_works!$B$47,IF(INDEX(aData,$B74,R$4)="","-",TEXT(INDEX(aData,$B74,R$4),$H74)),IFERROR(INDEX(aScoresRounded,$B74,R$4),"")))</f>
        <v>40</v>
      </c>
      <c r="S74" s="706">
        <f>IF(S$4="","",CHOOSE(uxb_works!$B$47,IF(INDEX(aData,$B74,S$4)="","-",TEXT(INDEX(aData,$B74,S$4),$H74)),IFERROR(INDEX(aScoresRounded,$B74,S$4),"")))</f>
        <v>80</v>
      </c>
      <c r="T74" s="706">
        <f>IF(T$4="","",CHOOSE(uxb_works!$B$47,IF(INDEX(aData,$B74,T$4)="","-",TEXT(INDEX(aData,$B74,T$4),$H74)),IFERROR(INDEX(aScoresRounded,$B74,T$4),"")))</f>
        <v>80</v>
      </c>
      <c r="U74" s="706">
        <f>IF(U$4="","",CHOOSE(uxb_works!$B$47,IF(INDEX(aData,$B74,U$4)="","-",TEXT(INDEX(aData,$B74,U$4),$H74)),IFERROR(INDEX(aScoresRounded,$B74,U$4),"")))</f>
        <v>80</v>
      </c>
      <c r="V74" s="706">
        <f>IF(V$4="","",CHOOSE(uxb_works!$B$47,IF(INDEX(aData,$B74,V$4)="","-",TEXT(INDEX(aData,$B74,V$4),$H74)),IFERROR(INDEX(aScoresRounded,$B74,V$4),"")))</f>
        <v>80</v>
      </c>
      <c r="W74" s="706">
        <f>IF(W$4="","",CHOOSE(uxb_works!$B$47,IF(INDEX(aData,$B74,W$4)="","-",TEXT(INDEX(aData,$B74,W$4),$H74)),IFERROR(INDEX(aScoresRounded,$B74,W$4),"")))</f>
        <v>100</v>
      </c>
      <c r="X74" s="706">
        <f>IF(X$4="","",CHOOSE(uxb_works!$B$47,IF(INDEX(aData,$B74,X$4)="","-",TEXT(INDEX(aData,$B74,X$4),$H74)),IFERROR(INDEX(aScoresRounded,$B74,X$4),"")))</f>
        <v>80</v>
      </c>
      <c r="Y74" s="631">
        <f>IF(Y$4="","",CHOOSE(uxb_works!$B$47,IF(INDEX(aData,$B74,Y$4)="","-",TEXT(INDEX(aData,$B74,Y$4),$H74)),IFERROR(INDEX(aScoresRounded,$B74,Y$4),"")))</f>
        <v>100</v>
      </c>
      <c r="Z74" s="631">
        <f>IF(Z$4="","",CHOOSE(uxb_works!$B$47,IF(INDEX(aData,$B74,Z$4)="","-",TEXT(INDEX(aData,$B74,Z$4),$H74)),IFERROR(INDEX(aScoresRounded,$B74,Z$4),"")))</f>
        <v>100</v>
      </c>
      <c r="AA74" s="631">
        <f>IF(AA$4="","",CHOOSE(uxb_works!$B$47,IF(INDEX(aData,$B74,AA$4)="","-",TEXT(INDEX(aData,$B74,AA$4),$H74)),IFERROR(INDEX(aScoresRounded,$B74,AA$4),"")))</f>
        <v>80</v>
      </c>
      <c r="AB74" s="631">
        <f>IF(AB$4="","",CHOOSE(uxb_works!$B$47,IF(INDEX(aData,$B74,AB$4)="","-",TEXT(INDEX(aData,$B74,AB$4),$H74)),IFERROR(INDEX(aScoresRounded,$B74,AB$4),"")))</f>
        <v>60</v>
      </c>
      <c r="AC74" s="631">
        <f>IF(AC$4="","",CHOOSE(uxb_works!$B$47,IF(INDEX(aData,$B74,AC$4)="","-",TEXT(INDEX(aData,$B74,AC$4),$H74)),IFERROR(INDEX(aScoresRounded,$B74,AC$4),"")))</f>
        <v>80</v>
      </c>
      <c r="AD74" s="631">
        <f>IF(AD$4="","",CHOOSE(uxb_works!$B$47,IF(INDEX(aData,$B74,AD$4)="","-",TEXT(INDEX(aData,$B74,AD$4),$H74)),IFERROR(INDEX(aScoresRounded,$B74,AD$4),"")))</f>
        <v>60</v>
      </c>
      <c r="AE74" s="631">
        <f>IF(AE$4="","",CHOOSE(uxb_works!$B$47,IF(INDEX(aData,$B74,AE$4)="","-",TEXT(INDEX(aData,$B74,AE$4),$H74)),IFERROR(INDEX(aScoresRounded,$B74,AE$4),"")))</f>
        <v>100</v>
      </c>
      <c r="AF74" s="631">
        <f>IF(AF$4="","",CHOOSE(uxb_works!$B$47,IF(INDEX(aData,$B74,AF$4)="","-",TEXT(INDEX(aData,$B74,AF$4),$H74)),IFERROR(INDEX(aScoresRounded,$B74,AF$4),"")))</f>
        <v>0</v>
      </c>
      <c r="AG74" s="631">
        <f>IF(AG$4="","",CHOOSE(uxb_works!$B$47,IF(INDEX(aData,$B74,AG$4)="","-",TEXT(INDEX(aData,$B74,AG$4),$H74)),IFERROR(INDEX(aScoresRounded,$B74,AG$4),"")))</f>
        <v>60</v>
      </c>
      <c r="AH74" s="631">
        <f>IF(AH$4="","",CHOOSE(uxb_works!$B$47,IF(INDEX(aData,$B74,AH$4)="","-",TEXT(INDEX(aData,$B74,AH$4),$H74)),IFERROR(INDEX(aScoresRounded,$B74,AH$4),"")))</f>
        <v>20</v>
      </c>
      <c r="AI74" s="631">
        <f>IF(AI$4="","",CHOOSE(uxb_works!$B$47,IF(INDEX(aData,$B74,AI$4)="","-",TEXT(INDEX(aData,$B74,AI$4),$H74)),IFERROR(INDEX(aScoresRounded,$B74,AI$4),"")))</f>
        <v>80</v>
      </c>
      <c r="AJ74" s="631">
        <f>IF(AJ$4="","",CHOOSE(uxb_works!$B$47,IF(INDEX(aData,$B74,AJ$4)="","-",TEXT(INDEX(aData,$B74,AJ$4),$H74)),IFERROR(INDEX(aScoresRounded,$B74,AJ$4),"")))</f>
        <v>60</v>
      </c>
      <c r="AK74" s="631">
        <f>IF(AK$4="","",CHOOSE(uxb_works!$B$47,IF(INDEX(aData,$B74,AK$4)="","-",TEXT(INDEX(aData,$B74,AK$4),$H74)),IFERROR(INDEX(aScoresRounded,$B74,AK$4),"")))</f>
        <v>80</v>
      </c>
      <c r="AL74" s="631">
        <f>IF(AL$4="","",CHOOSE(uxb_works!$B$47,IF(INDEX(aData,$B74,AL$4)="","-",TEXT(INDEX(aData,$B74,AL$4),$H74)),IFERROR(INDEX(aScoresRounded,$B74,AL$4),"")))</f>
        <v>80</v>
      </c>
      <c r="AM74" s="631">
        <f>IF(AM$4="","",CHOOSE(uxb_works!$B$47,IF(INDEX(aData,$B74,AM$4)="","-",TEXT(INDEX(aData,$B74,AM$4),$H74)),IFERROR(INDEX(aScoresRounded,$B74,AM$4),"")))</f>
        <v>60</v>
      </c>
      <c r="AN74" s="631">
        <f>IF(AN$4="","",CHOOSE(uxb_works!$B$47,IF(INDEX(aData,$B74,AN$4)="","-",TEXT(INDEX(aData,$B74,AN$4),$H74)),IFERROR(INDEX(aScoresRounded,$B74,AN$4),"")))</f>
        <v>80</v>
      </c>
      <c r="AO74" s="631">
        <f>IF(AO$4="","",CHOOSE(uxb_works!$B$47,IF(INDEX(aData,$B74,AO$4)="","-",TEXT(INDEX(aData,$B74,AO$4),$H74)),IFERROR(INDEX(aScoresRounded,$B74,AO$4),"")))</f>
        <v>80</v>
      </c>
      <c r="AP74" s="631">
        <f>IF(AP$4="","",CHOOSE(uxb_works!$B$47,IF(INDEX(aData,$B74,AP$4)="","-",TEXT(INDEX(aData,$B74,AP$4),$H74)),IFERROR(INDEX(aScoresRounded,$B74,AP$4),"")))</f>
        <v>40</v>
      </c>
      <c r="AQ74" s="631">
        <f>IF(AQ$4="","",CHOOSE(uxb_works!$B$47,IF(INDEX(aData,$B74,AQ$4)="","-",TEXT(INDEX(aData,$B74,AQ$4),$H74)),IFERROR(INDEX(aScoresRounded,$B74,AQ$4),"")))</f>
        <v>80</v>
      </c>
      <c r="AR74" s="631">
        <f>IF(AR$4="","",CHOOSE(uxb_works!$B$47,IF(INDEX(aData,$B74,AR$4)="","-",TEXT(INDEX(aData,$B74,AR$4),$H74)),IFERROR(INDEX(aScoresRounded,$B74,AR$4),"")))</f>
        <v>100</v>
      </c>
      <c r="AS74" s="631">
        <f>IF(AS$4="","",CHOOSE(uxb_works!$B$47,IF(INDEX(aData,$B74,AS$4)="","-",TEXT(INDEX(aData,$B74,AS$4),$H74)),IFERROR(INDEX(aScoresRounded,$B74,AS$4),"")))</f>
        <v>80</v>
      </c>
      <c r="AT74" s="570"/>
      <c r="AW74" s="157">
        <f>CHOOSE($AV$1,0,IF(AW$10=0,0,IF(P74&lt;=$AX$1,1,IF(P74&lt;=#REF!,2,3))),IF(AW$10=0,0,IF(P74&lt;=$AX$1,4,IF(P74&lt;=#REF!,5,6))))</f>
        <v>0</v>
      </c>
      <c r="AX74" s="157">
        <f>CHOOSE($AV$1,0,IF(AX$10=0,0,IF(#REF!&lt;=$AX$1,1,IF(#REF!&lt;=#REF!,2,3))),IF(AX$10=0,0,IF(#REF!&lt;=$AX$1,4,IF(#REF!&lt;=#REF!,5,6))))</f>
        <v>0</v>
      </c>
    </row>
    <row r="75" spans="1:50" ht="25" customHeight="1">
      <c r="A75" s="213"/>
      <c r="B75" s="218">
        <f>tblIndicators!A66</f>
        <v>65</v>
      </c>
      <c r="C75" s="218"/>
      <c r="D75" s="218"/>
      <c r="E75" s="218">
        <f>tblIndicators!B66</f>
        <v>0</v>
      </c>
      <c r="F75" s="218">
        <f>IF(AND(uxb_works!$B$47=2,E75=1),0,iScores!F70)</f>
        <v>3</v>
      </c>
      <c r="G75" s="218"/>
      <c r="H75" s="218" t="str">
        <f>tblIndicators!AC66</f>
        <v>#,##0</v>
      </c>
      <c r="I75" s="219"/>
      <c r="J75" s="218"/>
      <c r="K75" s="214">
        <f>IF(L75=0,0,IF(uxb_works!$B$46&gt;=L75,1,0))</f>
        <v>1</v>
      </c>
      <c r="L75" s="216">
        <f>IF(AND(uxb_works!$B$47=2,E75=1),0,tblIndicators!G66)</f>
        <v>3</v>
      </c>
      <c r="M75" s="218"/>
      <c r="N75" s="249" t="str">
        <f>iScores!N70</f>
        <v xml:space="preserve">   4.2.3) Support for autonomous vehicles</v>
      </c>
      <c r="O75" s="407">
        <f>CHOOSE(uxb_works!$B$47,iData!I70,iScores!O70)</f>
        <v>0.29729729729729726</v>
      </c>
      <c r="P75" s="631">
        <f>IF(P$4="","",CHOOSE(uxb_works!$B$47,IF(INDEX(aData,$B75,P$4)="","-",TEXT(INDEX(aData,$B75,P$4),$H75)),IFERROR(INDEX(aScoresRounded,$B75,P$4),"")))</f>
        <v>100</v>
      </c>
      <c r="Q75" s="706">
        <f>IF(Q$4="","",CHOOSE(uxb_works!$B$47,IF(INDEX(aData,$B75,Q$4)="","-",TEXT(INDEX(aData,$B75,Q$4),$H75)),IFERROR(INDEX(aScoresRounded,$B75,Q$4),"")))</f>
        <v>50</v>
      </c>
      <c r="R75" s="706">
        <f>IF(R$4="","",CHOOSE(uxb_works!$B$47,IF(INDEX(aData,$B75,R$4)="","-",TEXT(INDEX(aData,$B75,R$4),$H75)),IFERROR(INDEX(aScoresRounded,$B75,R$4),"")))</f>
        <v>50</v>
      </c>
      <c r="S75" s="706">
        <f>IF(S$4="","",CHOOSE(uxb_works!$B$47,IF(INDEX(aData,$B75,S$4)="","-",TEXT(INDEX(aData,$B75,S$4),$H75)),IFERROR(INDEX(aScoresRounded,$B75,S$4),"")))</f>
        <v>100</v>
      </c>
      <c r="T75" s="706">
        <f>IF(T$4="","",CHOOSE(uxb_works!$B$47,IF(INDEX(aData,$B75,T$4)="","-",TEXT(INDEX(aData,$B75,T$4),$H75)),IFERROR(INDEX(aScoresRounded,$B75,T$4),"")))</f>
        <v>100</v>
      </c>
      <c r="U75" s="706">
        <f>IF(U$4="","",CHOOSE(uxb_works!$B$47,IF(INDEX(aData,$B75,U$4)="","-",TEXT(INDEX(aData,$B75,U$4),$H75)),IFERROR(INDEX(aScoresRounded,$B75,U$4),"")))</f>
        <v>100</v>
      </c>
      <c r="V75" s="706">
        <f>IF(V$4="","",CHOOSE(uxb_works!$B$47,IF(INDEX(aData,$B75,V$4)="","-",TEXT(INDEX(aData,$B75,V$4),$H75)),IFERROR(INDEX(aScoresRounded,$B75,V$4),"")))</f>
        <v>50</v>
      </c>
      <c r="W75" s="706">
        <f>IF(W$4="","",CHOOSE(uxb_works!$B$47,IF(INDEX(aData,$B75,W$4)="","-",TEXT(INDEX(aData,$B75,W$4),$H75)),IFERROR(INDEX(aScoresRounded,$B75,W$4),"")))</f>
        <v>100</v>
      </c>
      <c r="X75" s="706">
        <f>IF(X$4="","",CHOOSE(uxb_works!$B$47,IF(INDEX(aData,$B75,X$4)="","-",TEXT(INDEX(aData,$B75,X$4),$H75)),IFERROR(INDEX(aScoresRounded,$B75,X$4),"")))</f>
        <v>100</v>
      </c>
      <c r="Y75" s="631">
        <f>IF(Y$4="","",CHOOSE(uxb_works!$B$47,IF(INDEX(aData,$B75,Y$4)="","-",TEXT(INDEX(aData,$B75,Y$4),$H75)),IFERROR(INDEX(aScoresRounded,$B75,Y$4),"")))</f>
        <v>100</v>
      </c>
      <c r="Z75" s="631">
        <f>IF(Z$4="","",CHOOSE(uxb_works!$B$47,IF(INDEX(aData,$B75,Z$4)="","-",TEXT(INDEX(aData,$B75,Z$4),$H75)),IFERROR(INDEX(aScoresRounded,$B75,Z$4),"")))</f>
        <v>100</v>
      </c>
      <c r="AA75" s="631">
        <f>IF(AA$4="","",CHOOSE(uxb_works!$B$47,IF(INDEX(aData,$B75,AA$4)="","-",TEXT(INDEX(aData,$B75,AA$4),$H75)),IFERROR(INDEX(aScoresRounded,$B75,AA$4),"")))</f>
        <v>50</v>
      </c>
      <c r="AB75" s="631">
        <f>IF(AB$4="","",CHOOSE(uxb_works!$B$47,IF(INDEX(aData,$B75,AB$4)="","-",TEXT(INDEX(aData,$B75,AB$4),$H75)),IFERROR(INDEX(aScoresRounded,$B75,AB$4),"")))</f>
        <v>50</v>
      </c>
      <c r="AC75" s="631">
        <f>IF(AC$4="","",CHOOSE(uxb_works!$B$47,IF(INDEX(aData,$B75,AC$4)="","-",TEXT(INDEX(aData,$B75,AC$4),$H75)),IFERROR(INDEX(aScoresRounded,$B75,AC$4),"")))</f>
        <v>100</v>
      </c>
      <c r="AD75" s="631">
        <f>IF(AD$4="","",CHOOSE(uxb_works!$B$47,IF(INDEX(aData,$B75,AD$4)="","-",TEXT(INDEX(aData,$B75,AD$4),$H75)),IFERROR(INDEX(aScoresRounded,$B75,AD$4),"")))</f>
        <v>100</v>
      </c>
      <c r="AE75" s="631">
        <f>IF(AE$4="","",CHOOSE(uxb_works!$B$47,IF(INDEX(aData,$B75,AE$4)="","-",TEXT(INDEX(aData,$B75,AE$4),$H75)),IFERROR(INDEX(aScoresRounded,$B75,AE$4),"")))</f>
        <v>100</v>
      </c>
      <c r="AF75" s="631">
        <f>IF(AF$4="","",CHOOSE(uxb_works!$B$47,IF(INDEX(aData,$B75,AF$4)="","-",TEXT(INDEX(aData,$B75,AF$4),$H75)),IFERROR(INDEX(aScoresRounded,$B75,AF$4),"")))</f>
        <v>50</v>
      </c>
      <c r="AG75" s="631">
        <f>IF(AG$4="","",CHOOSE(uxb_works!$B$47,IF(INDEX(aData,$B75,AG$4)="","-",TEXT(INDEX(aData,$B75,AG$4),$H75)),IFERROR(INDEX(aScoresRounded,$B75,AG$4),"")))</f>
        <v>0</v>
      </c>
      <c r="AH75" s="631">
        <f>IF(AH$4="","",CHOOSE(uxb_works!$B$47,IF(INDEX(aData,$B75,AH$4)="","-",TEXT(INDEX(aData,$B75,AH$4),$H75)),IFERROR(INDEX(aScoresRounded,$B75,AH$4),"")))</f>
        <v>0</v>
      </c>
      <c r="AI75" s="631">
        <f>IF(AI$4="","",CHOOSE(uxb_works!$B$47,IF(INDEX(aData,$B75,AI$4)="","-",TEXT(INDEX(aData,$B75,AI$4),$H75)),IFERROR(INDEX(aScoresRounded,$B75,AI$4),"")))</f>
        <v>100</v>
      </c>
      <c r="AJ75" s="631">
        <f>IF(AJ$4="","",CHOOSE(uxb_works!$B$47,IF(INDEX(aData,$B75,AJ$4)="","-",TEXT(INDEX(aData,$B75,AJ$4),$H75)),IFERROR(INDEX(aScoresRounded,$B75,AJ$4),"")))</f>
        <v>100</v>
      </c>
      <c r="AK75" s="631">
        <f>IF(AK$4="","",CHOOSE(uxb_works!$B$47,IF(INDEX(aData,$B75,AK$4)="","-",TEXT(INDEX(aData,$B75,AK$4),$H75)),IFERROR(INDEX(aScoresRounded,$B75,AK$4),"")))</f>
        <v>100</v>
      </c>
      <c r="AL75" s="631">
        <f>IF(AL$4="","",CHOOSE(uxb_works!$B$47,IF(INDEX(aData,$B75,AL$4)="","-",TEXT(INDEX(aData,$B75,AL$4),$H75)),IFERROR(INDEX(aScoresRounded,$B75,AL$4),"")))</f>
        <v>0</v>
      </c>
      <c r="AM75" s="631">
        <f>IF(AM$4="","",CHOOSE(uxb_works!$B$47,IF(INDEX(aData,$B75,AM$4)="","-",TEXT(INDEX(aData,$B75,AM$4),$H75)),IFERROR(INDEX(aScoresRounded,$B75,AM$4),"")))</f>
        <v>100</v>
      </c>
      <c r="AN75" s="631">
        <f>IF(AN$4="","",CHOOSE(uxb_works!$B$47,IF(INDEX(aData,$B75,AN$4)="","-",TEXT(INDEX(aData,$B75,AN$4),$H75)),IFERROR(INDEX(aScoresRounded,$B75,AN$4),"")))</f>
        <v>100</v>
      </c>
      <c r="AO75" s="631">
        <f>IF(AO$4="","",CHOOSE(uxb_works!$B$47,IF(INDEX(aData,$B75,AO$4)="","-",TEXT(INDEX(aData,$B75,AO$4),$H75)),IFERROR(INDEX(aScoresRounded,$B75,AO$4),"")))</f>
        <v>100</v>
      </c>
      <c r="AP75" s="631">
        <f>IF(AP$4="","",CHOOSE(uxb_works!$B$47,IF(INDEX(aData,$B75,AP$4)="","-",TEXT(INDEX(aData,$B75,AP$4),$H75)),IFERROR(INDEX(aScoresRounded,$B75,AP$4),"")))</f>
        <v>100</v>
      </c>
      <c r="AQ75" s="631">
        <f>IF(AQ$4="","",CHOOSE(uxb_works!$B$47,IF(INDEX(aData,$B75,AQ$4)="","-",TEXT(INDEX(aData,$B75,AQ$4),$H75)),IFERROR(INDEX(aScoresRounded,$B75,AQ$4),"")))</f>
        <v>100</v>
      </c>
      <c r="AR75" s="631">
        <f>IF(AR$4="","",CHOOSE(uxb_works!$B$47,IF(INDEX(aData,$B75,AR$4)="","-",TEXT(INDEX(aData,$B75,AR$4),$H75)),IFERROR(INDEX(aScoresRounded,$B75,AR$4),"")))</f>
        <v>100</v>
      </c>
      <c r="AS75" s="631">
        <f>IF(AS$4="","",CHOOSE(uxb_works!$B$47,IF(INDEX(aData,$B75,AS$4)="","-",TEXT(INDEX(aData,$B75,AS$4),$H75)),IFERROR(INDEX(aScoresRounded,$B75,AS$4),"")))</f>
        <v>100</v>
      </c>
      <c r="AT75" s="570"/>
      <c r="AW75" s="157">
        <f>CHOOSE($AV$1,0,IF(AW$10=0,0,IF(P75&lt;=$AX$1,1,IF(P75&lt;=#REF!,2,3))),IF(AW$10=0,0,IF(P75&lt;=$AX$1,4,IF(P75&lt;=#REF!,5,6))))</f>
        <v>0</v>
      </c>
      <c r="AX75" s="157">
        <f>CHOOSE($AV$1,0,IF(AX$10=0,0,IF(#REF!&lt;=$AX$1,1,IF(#REF!&lt;=#REF!,2,3))),IF(AX$10=0,0,IF(#REF!&lt;=$AX$1,4,IF(#REF!&lt;=#REF!,5,6))))</f>
        <v>0</v>
      </c>
    </row>
    <row r="76" spans="1:50" ht="25" customHeight="1">
      <c r="A76" s="213"/>
      <c r="B76" s="218">
        <f>tblIndicators!A67</f>
        <v>66</v>
      </c>
      <c r="C76" s="218"/>
      <c r="D76" s="218"/>
      <c r="E76" s="218">
        <f>tblIndicators!B67</f>
        <v>0</v>
      </c>
      <c r="F76" s="218">
        <f>IF(AND(uxb_works!$B$47=2,E76=1),0,iScores!F71)</f>
        <v>2</v>
      </c>
      <c r="G76" s="218"/>
      <c r="H76" s="218" t="str">
        <f>tblIndicators!AC67</f>
        <v>#,##0.0</v>
      </c>
      <c r="I76" s="219"/>
      <c r="J76" s="218"/>
      <c r="K76" s="214">
        <f>IF(L76=0,0,IF(uxb_works!$B$46&gt;=L76,1,0))</f>
        <v>1</v>
      </c>
      <c r="L76" s="216">
        <f>IF(AND(uxb_works!$B$47=2,E76=1),0,tblIndicators!G67)</f>
        <v>2</v>
      </c>
      <c r="M76" s="218"/>
      <c r="N76" s="249" t="str">
        <f>iScores!N71</f>
        <v xml:space="preserve">  4.3) Pollution</v>
      </c>
      <c r="O76" s="407">
        <f>CHOOSE(uxb_works!$B$47,iData!I71,iScores!O71)</f>
        <v>0.22222222222222221</v>
      </c>
      <c r="P76" s="631">
        <f>IF(P$4="","",CHOOSE(uxb_works!$B$47,IF(INDEX(aData,$B76,P$4)="","-",TEXT(INDEX(aData,$B76,P$4),$H76)),IFERROR(INDEX(aScoresRounded,$B76,P$4),"")))</f>
        <v>50</v>
      </c>
      <c r="Q76" s="706">
        <f>IF(Q$4="","",CHOOSE(uxb_works!$B$47,IF(INDEX(aData,$B76,Q$4)="","-",TEXT(INDEX(aData,$B76,Q$4),$H76)),IFERROR(INDEX(aScoresRounded,$B76,Q$4),"")))</f>
        <v>100</v>
      </c>
      <c r="R76" s="706">
        <f>IF(R$4="","",CHOOSE(uxb_works!$B$47,IF(INDEX(aData,$B76,R$4)="","-",TEXT(INDEX(aData,$B76,R$4),$H76)),IFERROR(INDEX(aScoresRounded,$B76,R$4),"")))</f>
        <v>50</v>
      </c>
      <c r="S76" s="706">
        <f>IF(S$4="","",CHOOSE(uxb_works!$B$47,IF(INDEX(aData,$B76,S$4)="","-",TEXT(INDEX(aData,$B76,S$4),$H76)),IFERROR(INDEX(aScoresRounded,$B76,S$4),"")))</f>
        <v>83.3</v>
      </c>
      <c r="T76" s="706">
        <f>IF(T$4="","",CHOOSE(uxb_works!$B$47,IF(INDEX(aData,$B76,T$4)="","-",TEXT(INDEX(aData,$B76,T$4),$H76)),IFERROR(INDEX(aScoresRounded,$B76,T$4),"")))</f>
        <v>50</v>
      </c>
      <c r="U76" s="706">
        <f>IF(U$4="","",CHOOSE(uxb_works!$B$47,IF(INDEX(aData,$B76,U$4)="","-",TEXT(INDEX(aData,$B76,U$4),$H76)),IFERROR(INDEX(aScoresRounded,$B76,U$4),"")))</f>
        <v>50</v>
      </c>
      <c r="V76" s="706">
        <f>IF(V$4="","",CHOOSE(uxb_works!$B$47,IF(INDEX(aData,$B76,V$4)="","-",TEXT(INDEX(aData,$B76,V$4),$H76)),IFERROR(INDEX(aScoresRounded,$B76,V$4),"")))</f>
        <v>50</v>
      </c>
      <c r="W76" s="706">
        <f>IF(W$4="","",CHOOSE(uxb_works!$B$47,IF(INDEX(aData,$B76,W$4)="","-",TEXT(INDEX(aData,$B76,W$4),$H76)),IFERROR(INDEX(aScoresRounded,$B76,W$4),"")))</f>
        <v>66.7</v>
      </c>
      <c r="X76" s="706">
        <f>IF(X$4="","",CHOOSE(uxb_works!$B$47,IF(INDEX(aData,$B76,X$4)="","-",TEXT(INDEX(aData,$B76,X$4),$H76)),IFERROR(INDEX(aScoresRounded,$B76,X$4),"")))</f>
        <v>50</v>
      </c>
      <c r="Y76" s="631">
        <f>IF(Y$4="","",CHOOSE(uxb_works!$B$47,IF(INDEX(aData,$B76,Y$4)="","-",TEXT(INDEX(aData,$B76,Y$4),$H76)),IFERROR(INDEX(aScoresRounded,$B76,Y$4),"")))</f>
        <v>16.7</v>
      </c>
      <c r="Z76" s="631">
        <f>IF(Z$4="","",CHOOSE(uxb_works!$B$47,IF(INDEX(aData,$B76,Z$4)="","-",TEXT(INDEX(aData,$B76,Z$4),$H76)),IFERROR(INDEX(aScoresRounded,$B76,Z$4),"")))</f>
        <v>50</v>
      </c>
      <c r="AA76" s="631">
        <f>IF(AA$4="","",CHOOSE(uxb_works!$B$47,IF(INDEX(aData,$B76,AA$4)="","-",TEXT(INDEX(aData,$B76,AA$4),$H76)),IFERROR(INDEX(aScoresRounded,$B76,AA$4),"")))</f>
        <v>66.7</v>
      </c>
      <c r="AB76" s="631">
        <f>IF(AB$4="","",CHOOSE(uxb_works!$B$47,IF(INDEX(aData,$B76,AB$4)="","-",TEXT(INDEX(aData,$B76,AB$4),$H76)),IFERROR(INDEX(aScoresRounded,$B76,AB$4),"")))</f>
        <v>16.7</v>
      </c>
      <c r="AC76" s="631">
        <f>IF(AC$4="","",CHOOSE(uxb_works!$B$47,IF(INDEX(aData,$B76,AC$4)="","-",TEXT(INDEX(aData,$B76,AC$4),$H76)),IFERROR(INDEX(aScoresRounded,$B76,AC$4),"")))</f>
        <v>50</v>
      </c>
      <c r="AD76" s="631">
        <f>IF(AD$4="","",CHOOSE(uxb_works!$B$47,IF(INDEX(aData,$B76,AD$4)="","-",TEXT(INDEX(aData,$B76,AD$4),$H76)),IFERROR(INDEX(aScoresRounded,$B76,AD$4),"")))</f>
        <v>83.3</v>
      </c>
      <c r="AE76" s="631">
        <f>IF(AE$4="","",CHOOSE(uxb_works!$B$47,IF(INDEX(aData,$B76,AE$4)="","-",TEXT(INDEX(aData,$B76,AE$4),$H76)),IFERROR(INDEX(aScoresRounded,$B76,AE$4),"")))</f>
        <v>66.7</v>
      </c>
      <c r="AF76" s="631">
        <f>IF(AF$4="","",CHOOSE(uxb_works!$B$47,IF(INDEX(aData,$B76,AF$4)="","-",TEXT(INDEX(aData,$B76,AF$4),$H76)),IFERROR(INDEX(aScoresRounded,$B76,AF$4),"")))</f>
        <v>50</v>
      </c>
      <c r="AG76" s="631">
        <f>IF(AG$4="","",CHOOSE(uxb_works!$B$47,IF(INDEX(aData,$B76,AG$4)="","-",TEXT(INDEX(aData,$B76,AG$4),$H76)),IFERROR(INDEX(aScoresRounded,$B76,AG$4),"")))</f>
        <v>50</v>
      </c>
      <c r="AH76" s="631">
        <f>IF(AH$4="","",CHOOSE(uxb_works!$B$47,IF(INDEX(aData,$B76,AH$4)="","-",TEXT(INDEX(aData,$B76,AH$4),$H76)),IFERROR(INDEX(aScoresRounded,$B76,AH$4),"")))</f>
        <v>33.299999999999997</v>
      </c>
      <c r="AI76" s="631">
        <f>IF(AI$4="","",CHOOSE(uxb_works!$B$47,IF(INDEX(aData,$B76,AI$4)="","-",TEXT(INDEX(aData,$B76,AI$4),$H76)),IFERROR(INDEX(aScoresRounded,$B76,AI$4),"")))</f>
        <v>66.7</v>
      </c>
      <c r="AJ76" s="631">
        <f>IF(AJ$4="","",CHOOSE(uxb_works!$B$47,IF(INDEX(aData,$B76,AJ$4)="","-",TEXT(INDEX(aData,$B76,AJ$4),$H76)),IFERROR(INDEX(aScoresRounded,$B76,AJ$4),"")))</f>
        <v>50</v>
      </c>
      <c r="AK76" s="631">
        <f>IF(AK$4="","",CHOOSE(uxb_works!$B$47,IF(INDEX(aData,$B76,AK$4)="","-",TEXT(INDEX(aData,$B76,AK$4),$H76)),IFERROR(INDEX(aScoresRounded,$B76,AK$4),"")))</f>
        <v>66.7</v>
      </c>
      <c r="AL76" s="631">
        <f>IF(AL$4="","",CHOOSE(uxb_works!$B$47,IF(INDEX(aData,$B76,AL$4)="","-",TEXT(INDEX(aData,$B76,AL$4),$H76)),IFERROR(INDEX(aScoresRounded,$B76,AL$4),"")))</f>
        <v>50</v>
      </c>
      <c r="AM76" s="631">
        <f>IF(AM$4="","",CHOOSE(uxb_works!$B$47,IF(INDEX(aData,$B76,AM$4)="","-",TEXT(INDEX(aData,$B76,AM$4),$H76)),IFERROR(INDEX(aScoresRounded,$B76,AM$4),"")))</f>
        <v>83.3</v>
      </c>
      <c r="AN76" s="631">
        <f>IF(AN$4="","",CHOOSE(uxb_works!$B$47,IF(INDEX(aData,$B76,AN$4)="","-",TEXT(INDEX(aData,$B76,AN$4),$H76)),IFERROR(INDEX(aScoresRounded,$B76,AN$4),"")))</f>
        <v>66.7</v>
      </c>
      <c r="AO76" s="631">
        <f>IF(AO$4="","",CHOOSE(uxb_works!$B$47,IF(INDEX(aData,$B76,AO$4)="","-",TEXT(INDEX(aData,$B76,AO$4),$H76)),IFERROR(INDEX(aScoresRounded,$B76,AO$4),"")))</f>
        <v>66.7</v>
      </c>
      <c r="AP76" s="631">
        <f>IF(AP$4="","",CHOOSE(uxb_works!$B$47,IF(INDEX(aData,$B76,AP$4)="","-",TEXT(INDEX(aData,$B76,AP$4),$H76)),IFERROR(INDEX(aScoresRounded,$B76,AP$4),"")))</f>
        <v>50</v>
      </c>
      <c r="AQ76" s="631">
        <f>IF(AQ$4="","",CHOOSE(uxb_works!$B$47,IF(INDEX(aData,$B76,AQ$4)="","-",TEXT(INDEX(aData,$B76,AQ$4),$H76)),IFERROR(INDEX(aScoresRounded,$B76,AQ$4),"")))</f>
        <v>66.7</v>
      </c>
      <c r="AR76" s="631">
        <f>IF(AR$4="","",CHOOSE(uxb_works!$B$47,IF(INDEX(aData,$B76,AR$4)="","-",TEXT(INDEX(aData,$B76,AR$4),$H76)),IFERROR(INDEX(aScoresRounded,$B76,AR$4),"")))</f>
        <v>66.7</v>
      </c>
      <c r="AS76" s="631">
        <f>IF(AS$4="","",CHOOSE(uxb_works!$B$47,IF(INDEX(aData,$B76,AS$4)="","-",TEXT(INDEX(aData,$B76,AS$4),$H76)),IFERROR(INDEX(aScoresRounded,$B76,AS$4),"")))</f>
        <v>66.7</v>
      </c>
      <c r="AT76" s="570"/>
      <c r="AW76" s="157">
        <f>CHOOSE($AV$1,0,IF(AW$10=0,0,IF(P76&lt;=$AX$1,1,IF(P76&lt;=#REF!,2,3))),IF(AW$10=0,0,IF(P76&lt;=$AX$1,4,IF(P76&lt;=#REF!,5,6))))</f>
        <v>0</v>
      </c>
      <c r="AX76" s="157">
        <f>CHOOSE($AV$1,0,IF(AX$10=0,0,IF(#REF!&lt;=$AX$1,1,IF(#REF!&lt;=#REF!,2,3))),IF(AX$10=0,0,IF(#REF!&lt;=$AX$1,4,IF(#REF!&lt;=#REF!,5,6))))</f>
        <v>0</v>
      </c>
    </row>
    <row r="77" spans="1:50" ht="25" customHeight="1">
      <c r="A77" s="213"/>
      <c r="B77" s="218">
        <f>tblIndicators!A68</f>
        <v>67</v>
      </c>
      <c r="C77" s="218"/>
      <c r="D77" s="218"/>
      <c r="E77" s="218">
        <f>tblIndicators!B68</f>
        <v>0</v>
      </c>
      <c r="F77" s="218">
        <f>IF(AND(uxb_works!$B$47=2,E77=1),0,iScores!F72)</f>
        <v>3</v>
      </c>
      <c r="G77" s="218"/>
      <c r="H77" s="218" t="str">
        <f>tblIndicators!AC68</f>
        <v>#,##0</v>
      </c>
      <c r="I77" s="219"/>
      <c r="J77" s="218"/>
      <c r="K77" s="214">
        <f>IF(L77=0,0,IF(uxb_works!$B$46&gt;=L77,1,0))</f>
        <v>1</v>
      </c>
      <c r="L77" s="216">
        <f>IF(AND(uxb_works!$B$47=2,E77=1),0,tblIndicators!G68)</f>
        <v>3</v>
      </c>
      <c r="M77" s="218"/>
      <c r="N77" s="249" t="str">
        <f>iScores!N72</f>
        <v xml:space="preserve">   4.3.1) Air pollution</v>
      </c>
      <c r="O77" s="407">
        <f>CHOOSE(uxb_works!$B$47,iData!I72,iScores!O72)</f>
        <v>1</v>
      </c>
      <c r="P77" s="631">
        <f>IF(P$4="","",CHOOSE(uxb_works!$B$47,IF(INDEX(aData,$B77,P$4)="","-",TEXT(INDEX(aData,$B77,P$4),$H77)),IFERROR(INDEX(aScoresRounded,$B77,P$4),"")))</f>
        <v>50</v>
      </c>
      <c r="Q77" s="706">
        <f>IF(Q$4="","",CHOOSE(uxb_works!$B$47,IF(INDEX(aData,$B77,Q$4)="","-",TEXT(INDEX(aData,$B77,Q$4),$H77)),IFERROR(INDEX(aScoresRounded,$B77,Q$4),"")))</f>
        <v>100</v>
      </c>
      <c r="R77" s="706">
        <f>IF(R$4="","",CHOOSE(uxb_works!$B$47,IF(INDEX(aData,$B77,R$4)="","-",TEXT(INDEX(aData,$B77,R$4),$H77)),IFERROR(INDEX(aScoresRounded,$B77,R$4),"")))</f>
        <v>50</v>
      </c>
      <c r="S77" s="706">
        <f>IF(S$4="","",CHOOSE(uxb_works!$B$47,IF(INDEX(aData,$B77,S$4)="","-",TEXT(INDEX(aData,$B77,S$4),$H77)),IFERROR(INDEX(aScoresRounded,$B77,S$4),"")))</f>
        <v>83.3</v>
      </c>
      <c r="T77" s="706">
        <f>IF(T$4="","",CHOOSE(uxb_works!$B$47,IF(INDEX(aData,$B77,T$4)="","-",TEXT(INDEX(aData,$B77,T$4),$H77)),IFERROR(INDEX(aScoresRounded,$B77,T$4),"")))</f>
        <v>50</v>
      </c>
      <c r="U77" s="706">
        <f>IF(U$4="","",CHOOSE(uxb_works!$B$47,IF(INDEX(aData,$B77,U$4)="","-",TEXT(INDEX(aData,$B77,U$4),$H77)),IFERROR(INDEX(aScoresRounded,$B77,U$4),"")))</f>
        <v>50</v>
      </c>
      <c r="V77" s="706">
        <f>IF(V$4="","",CHOOSE(uxb_works!$B$47,IF(INDEX(aData,$B77,V$4)="","-",TEXT(INDEX(aData,$B77,V$4),$H77)),IFERROR(INDEX(aScoresRounded,$B77,V$4),"")))</f>
        <v>50</v>
      </c>
      <c r="W77" s="706">
        <f>IF(W$4="","",CHOOSE(uxb_works!$B$47,IF(INDEX(aData,$B77,W$4)="","-",TEXT(INDEX(aData,$B77,W$4),$H77)),IFERROR(INDEX(aScoresRounded,$B77,W$4),"")))</f>
        <v>66.7</v>
      </c>
      <c r="X77" s="706">
        <f>IF(X$4="","",CHOOSE(uxb_works!$B$47,IF(INDEX(aData,$B77,X$4)="","-",TEXT(INDEX(aData,$B77,X$4),$H77)),IFERROR(INDEX(aScoresRounded,$B77,X$4),"")))</f>
        <v>50</v>
      </c>
      <c r="Y77" s="631">
        <f>IF(Y$4="","",CHOOSE(uxb_works!$B$47,IF(INDEX(aData,$B77,Y$4)="","-",TEXT(INDEX(aData,$B77,Y$4),$H77)),IFERROR(INDEX(aScoresRounded,$B77,Y$4),"")))</f>
        <v>16.7</v>
      </c>
      <c r="Z77" s="631">
        <f>IF(Z$4="","",CHOOSE(uxb_works!$B$47,IF(INDEX(aData,$B77,Z$4)="","-",TEXT(INDEX(aData,$B77,Z$4),$H77)),IFERROR(INDEX(aScoresRounded,$B77,Z$4),"")))</f>
        <v>50</v>
      </c>
      <c r="AA77" s="631">
        <f>IF(AA$4="","",CHOOSE(uxb_works!$B$47,IF(INDEX(aData,$B77,AA$4)="","-",TEXT(INDEX(aData,$B77,AA$4),$H77)),IFERROR(INDEX(aScoresRounded,$B77,AA$4),"")))</f>
        <v>66.7</v>
      </c>
      <c r="AB77" s="631">
        <f>IF(AB$4="","",CHOOSE(uxb_works!$B$47,IF(INDEX(aData,$B77,AB$4)="","-",TEXT(INDEX(aData,$B77,AB$4),$H77)),IFERROR(INDEX(aScoresRounded,$B77,AB$4),"")))</f>
        <v>16.7</v>
      </c>
      <c r="AC77" s="631">
        <f>IF(AC$4="","",CHOOSE(uxb_works!$B$47,IF(INDEX(aData,$B77,AC$4)="","-",TEXT(INDEX(aData,$B77,AC$4),$H77)),IFERROR(INDEX(aScoresRounded,$B77,AC$4),"")))</f>
        <v>50</v>
      </c>
      <c r="AD77" s="631">
        <f>IF(AD$4="","",CHOOSE(uxb_works!$B$47,IF(INDEX(aData,$B77,AD$4)="","-",TEXT(INDEX(aData,$B77,AD$4),$H77)),IFERROR(INDEX(aScoresRounded,$B77,AD$4),"")))</f>
        <v>83.3</v>
      </c>
      <c r="AE77" s="631">
        <f>IF(AE$4="","",CHOOSE(uxb_works!$B$47,IF(INDEX(aData,$B77,AE$4)="","-",TEXT(INDEX(aData,$B77,AE$4),$H77)),IFERROR(INDEX(aScoresRounded,$B77,AE$4),"")))</f>
        <v>66.7</v>
      </c>
      <c r="AF77" s="631">
        <f>IF(AF$4="","",CHOOSE(uxb_works!$B$47,IF(INDEX(aData,$B77,AF$4)="","-",TEXT(INDEX(aData,$B77,AF$4),$H77)),IFERROR(INDEX(aScoresRounded,$B77,AF$4),"")))</f>
        <v>50</v>
      </c>
      <c r="AG77" s="631">
        <f>IF(AG$4="","",CHOOSE(uxb_works!$B$47,IF(INDEX(aData,$B77,AG$4)="","-",TEXT(INDEX(aData,$B77,AG$4),$H77)),IFERROR(INDEX(aScoresRounded,$B77,AG$4),"")))</f>
        <v>50</v>
      </c>
      <c r="AH77" s="631">
        <f>IF(AH$4="","",CHOOSE(uxb_works!$B$47,IF(INDEX(aData,$B77,AH$4)="","-",TEXT(INDEX(aData,$B77,AH$4),$H77)),IFERROR(INDEX(aScoresRounded,$B77,AH$4),"")))</f>
        <v>33.299999999999997</v>
      </c>
      <c r="AI77" s="631">
        <f>IF(AI$4="","",CHOOSE(uxb_works!$B$47,IF(INDEX(aData,$B77,AI$4)="","-",TEXT(INDEX(aData,$B77,AI$4),$H77)),IFERROR(INDEX(aScoresRounded,$B77,AI$4),"")))</f>
        <v>66.7</v>
      </c>
      <c r="AJ77" s="631">
        <f>IF(AJ$4="","",CHOOSE(uxb_works!$B$47,IF(INDEX(aData,$B77,AJ$4)="","-",TEXT(INDEX(aData,$B77,AJ$4),$H77)),IFERROR(INDEX(aScoresRounded,$B77,AJ$4),"")))</f>
        <v>50</v>
      </c>
      <c r="AK77" s="631">
        <f>IF(AK$4="","",CHOOSE(uxb_works!$B$47,IF(INDEX(aData,$B77,AK$4)="","-",TEXT(INDEX(aData,$B77,AK$4),$H77)),IFERROR(INDEX(aScoresRounded,$B77,AK$4),"")))</f>
        <v>66.7</v>
      </c>
      <c r="AL77" s="631">
        <f>IF(AL$4="","",CHOOSE(uxb_works!$B$47,IF(INDEX(aData,$B77,AL$4)="","-",TEXT(INDEX(aData,$B77,AL$4),$H77)),IFERROR(INDEX(aScoresRounded,$B77,AL$4),"")))</f>
        <v>50</v>
      </c>
      <c r="AM77" s="631">
        <f>IF(AM$4="","",CHOOSE(uxb_works!$B$47,IF(INDEX(aData,$B77,AM$4)="","-",TEXT(INDEX(aData,$B77,AM$4),$H77)),IFERROR(INDEX(aScoresRounded,$B77,AM$4),"")))</f>
        <v>83.3</v>
      </c>
      <c r="AN77" s="631">
        <f>IF(AN$4="","",CHOOSE(uxb_works!$B$47,IF(INDEX(aData,$B77,AN$4)="","-",TEXT(INDEX(aData,$B77,AN$4),$H77)),IFERROR(INDEX(aScoresRounded,$B77,AN$4),"")))</f>
        <v>66.7</v>
      </c>
      <c r="AO77" s="631">
        <f>IF(AO$4="","",CHOOSE(uxb_works!$B$47,IF(INDEX(aData,$B77,AO$4)="","-",TEXT(INDEX(aData,$B77,AO$4),$H77)),IFERROR(INDEX(aScoresRounded,$B77,AO$4),"")))</f>
        <v>66.7</v>
      </c>
      <c r="AP77" s="631">
        <f>IF(AP$4="","",CHOOSE(uxb_works!$B$47,IF(INDEX(aData,$B77,AP$4)="","-",TEXT(INDEX(aData,$B77,AP$4),$H77)),IFERROR(INDEX(aScoresRounded,$B77,AP$4),"")))</f>
        <v>50</v>
      </c>
      <c r="AQ77" s="631">
        <f>IF(AQ$4="","",CHOOSE(uxb_works!$B$47,IF(INDEX(aData,$B77,AQ$4)="","-",TEXT(INDEX(aData,$B77,AQ$4),$H77)),IFERROR(INDEX(aScoresRounded,$B77,AQ$4),"")))</f>
        <v>66.7</v>
      </c>
      <c r="AR77" s="631">
        <f>IF(AR$4="","",CHOOSE(uxb_works!$B$47,IF(INDEX(aData,$B77,AR$4)="","-",TEXT(INDEX(aData,$B77,AR$4),$H77)),IFERROR(INDEX(aScoresRounded,$B77,AR$4),"")))</f>
        <v>66.7</v>
      </c>
      <c r="AS77" s="631">
        <f>IF(AS$4="","",CHOOSE(uxb_works!$B$47,IF(INDEX(aData,$B77,AS$4)="","-",TEXT(INDEX(aData,$B77,AS$4),$H77)),IFERROR(INDEX(aScoresRounded,$B77,AS$4),"")))</f>
        <v>66.7</v>
      </c>
      <c r="AT77" s="570"/>
      <c r="AW77" s="157">
        <f>CHOOSE($AV$1,0,IF(AW$10=0,0,IF(P77&lt;=$AX$1,1,IF(P77&lt;=#REF!,2,3))),IF(AW$10=0,0,IF(P77&lt;=$AX$1,4,IF(P77&lt;=#REF!,5,6))))</f>
        <v>0</v>
      </c>
      <c r="AX77" s="157">
        <f>CHOOSE($AV$1,0,IF(AX$10=0,0,IF(#REF!&lt;=$AX$1,1,IF(#REF!&lt;=#REF!,2,3))),IF(AX$10=0,0,IF(#REF!&lt;=$AX$1,4,IF(#REF!&lt;=#REF!,5,6))))</f>
        <v>0</v>
      </c>
    </row>
    <row r="78" spans="1:50" ht="25" customHeight="1">
      <c r="A78" s="213"/>
      <c r="B78" s="218">
        <f>tblIndicators!A69</f>
        <v>68</v>
      </c>
      <c r="C78" s="218"/>
      <c r="D78" s="218"/>
      <c r="E78" s="218">
        <f>tblIndicators!B69</f>
        <v>0</v>
      </c>
      <c r="F78" s="218">
        <f>IF(AND(uxb_works!$B$47=2,E78=1),0,iScores!F73)</f>
        <v>2</v>
      </c>
      <c r="G78" s="218"/>
      <c r="H78" s="218" t="str">
        <f>tblIndicators!AC69</f>
        <v>#,##0.0</v>
      </c>
      <c r="I78" s="219"/>
      <c r="J78" s="218"/>
      <c r="K78" s="214">
        <f>IF(L78=0,0,IF(uxb_works!$B$46&gt;=L78,1,0))</f>
        <v>1</v>
      </c>
      <c r="L78" s="216">
        <f>IF(AND(uxb_works!$B$47=2,E78=1),0,tblIndicators!G69)</f>
        <v>2</v>
      </c>
      <c r="M78" s="218"/>
      <c r="N78" s="249" t="str">
        <f>iScores!N73</f>
        <v xml:space="preserve">  4.4) Circular economy</v>
      </c>
      <c r="O78" s="407">
        <f>CHOOSE(uxb_works!$B$47,iData!I73,iScores!O73)</f>
        <v>0.22222222222222221</v>
      </c>
      <c r="P78" s="631">
        <f>IF(P$4="","",CHOOSE(uxb_works!$B$47,IF(INDEX(aData,$B78,P$4)="","-",TEXT(INDEX(aData,$B78,P$4),$H78)),IFERROR(INDEX(aScoresRounded,$B78,P$4),"")))</f>
        <v>100</v>
      </c>
      <c r="Q78" s="706">
        <f>IF(Q$4="","",CHOOSE(uxb_works!$B$47,IF(INDEX(aData,$B78,Q$4)="","-",TEXT(INDEX(aData,$B78,Q$4),$H78)),IFERROR(INDEX(aScoresRounded,$B78,Q$4),"")))</f>
        <v>0</v>
      </c>
      <c r="R78" s="706">
        <f>IF(R$4="","",CHOOSE(uxb_works!$B$47,IF(INDEX(aData,$B78,R$4)="","-",TEXT(INDEX(aData,$B78,R$4),$H78)),IFERROR(INDEX(aScoresRounded,$B78,R$4),"")))</f>
        <v>0</v>
      </c>
      <c r="S78" s="706">
        <f>IF(S$4="","",CHOOSE(uxb_works!$B$47,IF(INDEX(aData,$B78,S$4)="","-",TEXT(INDEX(aData,$B78,S$4),$H78)),IFERROR(INDEX(aScoresRounded,$B78,S$4),"")))</f>
        <v>69</v>
      </c>
      <c r="T78" s="706">
        <f>IF(T$4="","",CHOOSE(uxb_works!$B$47,IF(INDEX(aData,$B78,T$4)="","-",TEXT(INDEX(aData,$B78,T$4),$H78)),IFERROR(INDEX(aScoresRounded,$B78,T$4),"")))</f>
        <v>100</v>
      </c>
      <c r="U78" s="706">
        <f>IF(U$4="","",CHOOSE(uxb_works!$B$47,IF(INDEX(aData,$B78,U$4)="","-",TEXT(INDEX(aData,$B78,U$4),$H78)),IFERROR(INDEX(aScoresRounded,$B78,U$4),"")))</f>
        <v>38.1</v>
      </c>
      <c r="V78" s="706">
        <f>IF(V$4="","",CHOOSE(uxb_works!$B$47,IF(INDEX(aData,$B78,V$4)="","-",TEXT(INDEX(aData,$B78,V$4),$H78)),IFERROR(INDEX(aScoresRounded,$B78,V$4),"")))</f>
        <v>38.1</v>
      </c>
      <c r="W78" s="706">
        <f>IF(W$4="","",CHOOSE(uxb_works!$B$47,IF(INDEX(aData,$B78,W$4)="","-",TEXT(INDEX(aData,$B78,W$4),$H78)),IFERROR(INDEX(aScoresRounded,$B78,W$4),"")))</f>
        <v>100</v>
      </c>
      <c r="X78" s="706">
        <f>IF(X$4="","",CHOOSE(uxb_works!$B$47,IF(INDEX(aData,$B78,X$4)="","-",TEXT(INDEX(aData,$B78,X$4),$H78)),IFERROR(INDEX(aScoresRounded,$B78,X$4),"")))</f>
        <v>38.1</v>
      </c>
      <c r="Y78" s="631">
        <f>IF(Y$4="","",CHOOSE(uxb_works!$B$47,IF(INDEX(aData,$B78,Y$4)="","-",TEXT(INDEX(aData,$B78,Y$4),$H78)),IFERROR(INDEX(aScoresRounded,$B78,Y$4),"")))</f>
        <v>0</v>
      </c>
      <c r="Z78" s="631">
        <f>IF(Z$4="","",CHOOSE(uxb_works!$B$47,IF(INDEX(aData,$B78,Z$4)="","-",TEXT(INDEX(aData,$B78,Z$4),$H78)),IFERROR(INDEX(aScoresRounded,$B78,Z$4),"")))</f>
        <v>38.1</v>
      </c>
      <c r="AA78" s="631">
        <f>IF(AA$4="","",CHOOSE(uxb_works!$B$47,IF(INDEX(aData,$B78,AA$4)="","-",TEXT(INDEX(aData,$B78,AA$4),$H78)),IFERROR(INDEX(aScoresRounded,$B78,AA$4),"")))</f>
        <v>38.1</v>
      </c>
      <c r="AB78" s="631">
        <f>IF(AB$4="","",CHOOSE(uxb_works!$B$47,IF(INDEX(aData,$B78,AB$4)="","-",TEXT(INDEX(aData,$B78,AB$4),$H78)),IFERROR(INDEX(aScoresRounded,$B78,AB$4),"")))</f>
        <v>0</v>
      </c>
      <c r="AC78" s="631">
        <f>IF(AC$4="","",CHOOSE(uxb_works!$B$47,IF(INDEX(aData,$B78,AC$4)="","-",TEXT(INDEX(aData,$B78,AC$4),$H78)),IFERROR(INDEX(aScoresRounded,$B78,AC$4),"")))</f>
        <v>100</v>
      </c>
      <c r="AD78" s="631">
        <f>IF(AD$4="","",CHOOSE(uxb_works!$B$47,IF(INDEX(aData,$B78,AD$4)="","-",TEXT(INDEX(aData,$B78,AD$4),$H78)),IFERROR(INDEX(aScoresRounded,$B78,AD$4),"")))</f>
        <v>69</v>
      </c>
      <c r="AE78" s="631">
        <f>IF(AE$4="","",CHOOSE(uxb_works!$B$47,IF(INDEX(aData,$B78,AE$4)="","-",TEXT(INDEX(aData,$B78,AE$4),$H78)),IFERROR(INDEX(aScoresRounded,$B78,AE$4),"")))</f>
        <v>38.1</v>
      </c>
      <c r="AF78" s="631">
        <f>IF(AF$4="","",CHOOSE(uxb_works!$B$47,IF(INDEX(aData,$B78,AF$4)="","-",TEXT(INDEX(aData,$B78,AF$4),$H78)),IFERROR(INDEX(aScoresRounded,$B78,AF$4),"")))</f>
        <v>0</v>
      </c>
      <c r="AG78" s="631">
        <f>IF(AG$4="","",CHOOSE(uxb_works!$B$47,IF(INDEX(aData,$B78,AG$4)="","-",TEXT(INDEX(aData,$B78,AG$4),$H78)),IFERROR(INDEX(aScoresRounded,$B78,AG$4),"")))</f>
        <v>38.1</v>
      </c>
      <c r="AH78" s="631">
        <f>IF(AH$4="","",CHOOSE(uxb_works!$B$47,IF(INDEX(aData,$B78,AH$4)="","-",TEXT(INDEX(aData,$B78,AH$4),$H78)),IFERROR(INDEX(aScoresRounded,$B78,AH$4),"")))</f>
        <v>38.1</v>
      </c>
      <c r="AI78" s="631">
        <f>IF(AI$4="","",CHOOSE(uxb_works!$B$47,IF(INDEX(aData,$B78,AI$4)="","-",TEXT(INDEX(aData,$B78,AI$4),$H78)),IFERROR(INDEX(aScoresRounded,$B78,AI$4),"")))</f>
        <v>38.1</v>
      </c>
      <c r="AJ78" s="631">
        <f>IF(AJ$4="","",CHOOSE(uxb_works!$B$47,IF(INDEX(aData,$B78,AJ$4)="","-",TEXT(INDEX(aData,$B78,AJ$4),$H78)),IFERROR(INDEX(aScoresRounded,$B78,AJ$4),"")))</f>
        <v>38.1</v>
      </c>
      <c r="AK78" s="631">
        <f>IF(AK$4="","",CHOOSE(uxb_works!$B$47,IF(INDEX(aData,$B78,AK$4)="","-",TEXT(INDEX(aData,$B78,AK$4),$H78)),IFERROR(INDEX(aScoresRounded,$B78,AK$4),"")))</f>
        <v>38.1</v>
      </c>
      <c r="AL78" s="631">
        <f>IF(AL$4="","",CHOOSE(uxb_works!$B$47,IF(INDEX(aData,$B78,AL$4)="","-",TEXT(INDEX(aData,$B78,AL$4),$H78)),IFERROR(INDEX(aScoresRounded,$B78,AL$4),"")))</f>
        <v>38.1</v>
      </c>
      <c r="AM78" s="631">
        <f>IF(AM$4="","",CHOOSE(uxb_works!$B$47,IF(INDEX(aData,$B78,AM$4)="","-",TEXT(INDEX(aData,$B78,AM$4),$H78)),IFERROR(INDEX(aScoresRounded,$B78,AM$4),"")))</f>
        <v>100</v>
      </c>
      <c r="AN78" s="631">
        <f>IF(AN$4="","",CHOOSE(uxb_works!$B$47,IF(INDEX(aData,$B78,AN$4)="","-",TEXT(INDEX(aData,$B78,AN$4),$H78)),IFERROR(INDEX(aScoresRounded,$B78,AN$4),"")))</f>
        <v>38.1</v>
      </c>
      <c r="AO78" s="631">
        <f>IF(AO$4="","",CHOOSE(uxb_works!$B$47,IF(INDEX(aData,$B78,AO$4)="","-",TEXT(INDEX(aData,$B78,AO$4),$H78)),IFERROR(INDEX(aScoresRounded,$B78,AO$4),"")))</f>
        <v>61.9</v>
      </c>
      <c r="AP78" s="631">
        <f>IF(AP$4="","",CHOOSE(uxb_works!$B$47,IF(INDEX(aData,$B78,AP$4)="","-",TEXT(INDEX(aData,$B78,AP$4),$H78)),IFERROR(INDEX(aScoresRounded,$B78,AP$4),"")))</f>
        <v>69</v>
      </c>
      <c r="AQ78" s="631">
        <f>IF(AQ$4="","",CHOOSE(uxb_works!$B$47,IF(INDEX(aData,$B78,AQ$4)="","-",TEXT(INDEX(aData,$B78,AQ$4),$H78)),IFERROR(INDEX(aScoresRounded,$B78,AQ$4),"")))</f>
        <v>100</v>
      </c>
      <c r="AR78" s="631">
        <f>IF(AR$4="","",CHOOSE(uxb_works!$B$47,IF(INDEX(aData,$B78,AR$4)="","-",TEXT(INDEX(aData,$B78,AR$4),$H78)),IFERROR(INDEX(aScoresRounded,$B78,AR$4),"")))</f>
        <v>38.1</v>
      </c>
      <c r="AS78" s="631">
        <f>IF(AS$4="","",CHOOSE(uxb_works!$B$47,IF(INDEX(aData,$B78,AS$4)="","-",TEXT(INDEX(aData,$B78,AS$4),$H78)),IFERROR(INDEX(aScoresRounded,$B78,AS$4),"")))</f>
        <v>38.1</v>
      </c>
      <c r="AT78" s="570"/>
      <c r="AW78" s="157">
        <f>CHOOSE($AV$1,0,IF(AW$10=0,0,IF(P78&lt;=$AX$1,1,IF(P78&lt;=#REF!,2,3))),IF(AW$10=0,0,IF(P78&lt;=$AX$1,4,IF(P78&lt;=#REF!,5,6))))</f>
        <v>0</v>
      </c>
      <c r="AX78" s="157">
        <f>CHOOSE($AV$1,0,IF(AX$10=0,0,IF(#REF!&lt;=$AX$1,1,IF(#REF!&lt;=#REF!,2,3))),IF(AX$10=0,0,IF(#REF!&lt;=$AX$1,4,IF(#REF!&lt;=#REF!,5,6))))</f>
        <v>0</v>
      </c>
    </row>
    <row r="79" spans="1:50" ht="25" customHeight="1">
      <c r="A79" s="213"/>
      <c r="B79" s="218">
        <f>tblIndicators!A70</f>
        <v>69</v>
      </c>
      <c r="C79" s="218"/>
      <c r="D79" s="218"/>
      <c r="E79" s="218">
        <f>tblIndicators!B70</f>
        <v>0</v>
      </c>
      <c r="F79" s="218">
        <f>IF(AND(uxb_works!$B$47=2,E79=1),0,iScores!F74)</f>
        <v>3</v>
      </c>
      <c r="G79" s="218"/>
      <c r="H79" s="218" t="str">
        <f>tblIndicators!AC70</f>
        <v>#,##0</v>
      </c>
      <c r="I79" s="219"/>
      <c r="J79" s="218"/>
      <c r="K79" s="214">
        <f>IF(L79=0,0,IF(uxb_works!$B$46&gt;=L79,1,0))</f>
        <v>1</v>
      </c>
      <c r="L79" s="216">
        <f>IF(AND(uxb_works!$B$47=2,E79=1),0,tblIndicators!G70)</f>
        <v>3</v>
      </c>
      <c r="M79" s="218"/>
      <c r="N79" s="249" t="str">
        <f>iScores!N74</f>
        <v xml:space="preserve">   4.4.1) Development of sharing economy </v>
      </c>
      <c r="O79" s="407">
        <f>CHOOSE(uxb_works!$B$47,iData!I74,iScores!O74)</f>
        <v>0.61904761904761896</v>
      </c>
      <c r="P79" s="631">
        <f>IF(P$4="","",CHOOSE(uxb_works!$B$47,IF(INDEX(aData,$B79,P$4)="","-",TEXT(INDEX(aData,$B79,P$4),$H79)),IFERROR(INDEX(aScoresRounded,$B79,P$4),"")))</f>
        <v>100</v>
      </c>
      <c r="Q79" s="706">
        <f>IF(Q$4="","",CHOOSE(uxb_works!$B$47,IF(INDEX(aData,$B79,Q$4)="","-",TEXT(INDEX(aData,$B79,Q$4),$H79)),IFERROR(INDEX(aScoresRounded,$B79,Q$4),"")))</f>
        <v>0</v>
      </c>
      <c r="R79" s="706">
        <f>IF(R$4="","",CHOOSE(uxb_works!$B$47,IF(INDEX(aData,$B79,R$4)="","-",TEXT(INDEX(aData,$B79,R$4),$H79)),IFERROR(INDEX(aScoresRounded,$B79,R$4),"")))</f>
        <v>0</v>
      </c>
      <c r="S79" s="706">
        <f>IF(S$4="","",CHOOSE(uxb_works!$B$47,IF(INDEX(aData,$B79,S$4)="","-",TEXT(INDEX(aData,$B79,S$4),$H79)),IFERROR(INDEX(aScoresRounded,$B79,S$4),"")))</f>
        <v>50</v>
      </c>
      <c r="T79" s="706">
        <f>IF(T$4="","",CHOOSE(uxb_works!$B$47,IF(INDEX(aData,$B79,T$4)="","-",TEXT(INDEX(aData,$B79,T$4),$H79)),IFERROR(INDEX(aScoresRounded,$B79,T$4),"")))</f>
        <v>100</v>
      </c>
      <c r="U79" s="706">
        <f>IF(U$4="","",CHOOSE(uxb_works!$B$47,IF(INDEX(aData,$B79,U$4)="","-",TEXT(INDEX(aData,$B79,U$4),$H79)),IFERROR(INDEX(aScoresRounded,$B79,U$4),"")))</f>
        <v>0</v>
      </c>
      <c r="V79" s="706">
        <f>IF(V$4="","",CHOOSE(uxb_works!$B$47,IF(INDEX(aData,$B79,V$4)="","-",TEXT(INDEX(aData,$B79,V$4),$H79)),IFERROR(INDEX(aScoresRounded,$B79,V$4),"")))</f>
        <v>0</v>
      </c>
      <c r="W79" s="706">
        <f>IF(W$4="","",CHOOSE(uxb_works!$B$47,IF(INDEX(aData,$B79,W$4)="","-",TEXT(INDEX(aData,$B79,W$4),$H79)),IFERROR(INDEX(aScoresRounded,$B79,W$4),"")))</f>
        <v>100</v>
      </c>
      <c r="X79" s="706">
        <f>IF(X$4="","",CHOOSE(uxb_works!$B$47,IF(INDEX(aData,$B79,X$4)="","-",TEXT(INDEX(aData,$B79,X$4),$H79)),IFERROR(INDEX(aScoresRounded,$B79,X$4),"")))</f>
        <v>0</v>
      </c>
      <c r="Y79" s="631">
        <f>IF(Y$4="","",CHOOSE(uxb_works!$B$47,IF(INDEX(aData,$B79,Y$4)="","-",TEXT(INDEX(aData,$B79,Y$4),$H79)),IFERROR(INDEX(aScoresRounded,$B79,Y$4),"")))</f>
        <v>0</v>
      </c>
      <c r="Z79" s="631">
        <f>IF(Z$4="","",CHOOSE(uxb_works!$B$47,IF(INDEX(aData,$B79,Z$4)="","-",TEXT(INDEX(aData,$B79,Z$4),$H79)),IFERROR(INDEX(aScoresRounded,$B79,Z$4),"")))</f>
        <v>0</v>
      </c>
      <c r="AA79" s="631">
        <f>IF(AA$4="","",CHOOSE(uxb_works!$B$47,IF(INDEX(aData,$B79,AA$4)="","-",TEXT(INDEX(aData,$B79,AA$4),$H79)),IFERROR(INDEX(aScoresRounded,$B79,AA$4),"")))</f>
        <v>0</v>
      </c>
      <c r="AB79" s="631">
        <f>IF(AB$4="","",CHOOSE(uxb_works!$B$47,IF(INDEX(aData,$B79,AB$4)="","-",TEXT(INDEX(aData,$B79,AB$4),$H79)),IFERROR(INDEX(aScoresRounded,$B79,AB$4),"")))</f>
        <v>0</v>
      </c>
      <c r="AC79" s="631">
        <f>IF(AC$4="","",CHOOSE(uxb_works!$B$47,IF(INDEX(aData,$B79,AC$4)="","-",TEXT(INDEX(aData,$B79,AC$4),$H79)),IFERROR(INDEX(aScoresRounded,$B79,AC$4),"")))</f>
        <v>100</v>
      </c>
      <c r="AD79" s="631">
        <f>IF(AD$4="","",CHOOSE(uxb_works!$B$47,IF(INDEX(aData,$B79,AD$4)="","-",TEXT(INDEX(aData,$B79,AD$4),$H79)),IFERROR(INDEX(aScoresRounded,$B79,AD$4),"")))</f>
        <v>50</v>
      </c>
      <c r="AE79" s="631">
        <f>IF(AE$4="","",CHOOSE(uxb_works!$B$47,IF(INDEX(aData,$B79,AE$4)="","-",TEXT(INDEX(aData,$B79,AE$4),$H79)),IFERROR(INDEX(aScoresRounded,$B79,AE$4),"")))</f>
        <v>0</v>
      </c>
      <c r="AF79" s="631">
        <f>IF(AF$4="","",CHOOSE(uxb_works!$B$47,IF(INDEX(aData,$B79,AF$4)="","-",TEXT(INDEX(aData,$B79,AF$4),$H79)),IFERROR(INDEX(aScoresRounded,$B79,AF$4),"")))</f>
        <v>0</v>
      </c>
      <c r="AG79" s="631">
        <f>IF(AG$4="","",CHOOSE(uxb_works!$B$47,IF(INDEX(aData,$B79,AG$4)="","-",TEXT(INDEX(aData,$B79,AG$4),$H79)),IFERROR(INDEX(aScoresRounded,$B79,AG$4),"")))</f>
        <v>0</v>
      </c>
      <c r="AH79" s="631">
        <f>IF(AH$4="","",CHOOSE(uxb_works!$B$47,IF(INDEX(aData,$B79,AH$4)="","-",TEXT(INDEX(aData,$B79,AH$4),$H79)),IFERROR(INDEX(aScoresRounded,$B79,AH$4),"")))</f>
        <v>0</v>
      </c>
      <c r="AI79" s="631">
        <f>IF(AI$4="","",CHOOSE(uxb_works!$B$47,IF(INDEX(aData,$B79,AI$4)="","-",TEXT(INDEX(aData,$B79,AI$4),$H79)),IFERROR(INDEX(aScoresRounded,$B79,AI$4),"")))</f>
        <v>0</v>
      </c>
      <c r="AJ79" s="631">
        <f>IF(AJ$4="","",CHOOSE(uxb_works!$B$47,IF(INDEX(aData,$B79,AJ$4)="","-",TEXT(INDEX(aData,$B79,AJ$4),$H79)),IFERROR(INDEX(aScoresRounded,$B79,AJ$4),"")))</f>
        <v>0</v>
      </c>
      <c r="AK79" s="631">
        <f>IF(AK$4="","",CHOOSE(uxb_works!$B$47,IF(INDEX(aData,$B79,AK$4)="","-",TEXT(INDEX(aData,$B79,AK$4),$H79)),IFERROR(INDEX(aScoresRounded,$B79,AK$4),"")))</f>
        <v>0</v>
      </c>
      <c r="AL79" s="631">
        <f>IF(AL$4="","",CHOOSE(uxb_works!$B$47,IF(INDEX(aData,$B79,AL$4)="","-",TEXT(INDEX(aData,$B79,AL$4),$H79)),IFERROR(INDEX(aScoresRounded,$B79,AL$4),"")))</f>
        <v>0</v>
      </c>
      <c r="AM79" s="631">
        <f>IF(AM$4="","",CHOOSE(uxb_works!$B$47,IF(INDEX(aData,$B79,AM$4)="","-",TEXT(INDEX(aData,$B79,AM$4),$H79)),IFERROR(INDEX(aScoresRounded,$B79,AM$4),"")))</f>
        <v>100</v>
      </c>
      <c r="AN79" s="631">
        <f>IF(AN$4="","",CHOOSE(uxb_works!$B$47,IF(INDEX(aData,$B79,AN$4)="","-",TEXT(INDEX(aData,$B79,AN$4),$H79)),IFERROR(INDEX(aScoresRounded,$B79,AN$4),"")))</f>
        <v>0</v>
      </c>
      <c r="AO79" s="631">
        <f>IF(AO$4="","",CHOOSE(uxb_works!$B$47,IF(INDEX(aData,$B79,AO$4)="","-",TEXT(INDEX(aData,$B79,AO$4),$H79)),IFERROR(INDEX(aScoresRounded,$B79,AO$4),"")))</f>
        <v>100</v>
      </c>
      <c r="AP79" s="631">
        <f>IF(AP$4="","",CHOOSE(uxb_works!$B$47,IF(INDEX(aData,$B79,AP$4)="","-",TEXT(INDEX(aData,$B79,AP$4),$H79)),IFERROR(INDEX(aScoresRounded,$B79,AP$4),"")))</f>
        <v>50</v>
      </c>
      <c r="AQ79" s="631">
        <f>IF(AQ$4="","",CHOOSE(uxb_works!$B$47,IF(INDEX(aData,$B79,AQ$4)="","-",TEXT(INDEX(aData,$B79,AQ$4),$H79)),IFERROR(INDEX(aScoresRounded,$B79,AQ$4),"")))</f>
        <v>100</v>
      </c>
      <c r="AR79" s="631">
        <f>IF(AR$4="","",CHOOSE(uxb_works!$B$47,IF(INDEX(aData,$B79,AR$4)="","-",TEXT(INDEX(aData,$B79,AR$4),$H79)),IFERROR(INDEX(aScoresRounded,$B79,AR$4),"")))</f>
        <v>0</v>
      </c>
      <c r="AS79" s="631">
        <f>IF(AS$4="","",CHOOSE(uxb_works!$B$47,IF(INDEX(aData,$B79,AS$4)="","-",TEXT(INDEX(aData,$B79,AS$4),$H79)),IFERROR(INDEX(aScoresRounded,$B79,AS$4),"")))</f>
        <v>0</v>
      </c>
      <c r="AT79" s="570"/>
      <c r="AW79" s="157">
        <f>CHOOSE($AV$1,0,IF(AW$10=0,0,IF(P79&lt;=$AX$1,1,IF(P79&lt;=#REF!,2,3))),IF(AW$10=0,0,IF(P79&lt;=$AX$1,4,IF(P79&lt;=#REF!,5,6))))</f>
        <v>0</v>
      </c>
      <c r="AX79" s="157">
        <f>CHOOSE($AV$1,0,IF(AX$10=0,0,IF(#REF!&lt;=$AX$1,1,IF(#REF!&lt;=#REF!,2,3))),IF(AX$10=0,0,IF(#REF!&lt;=$AX$1,4,IF(#REF!&lt;=#REF!,5,6))))</f>
        <v>0</v>
      </c>
    </row>
    <row r="80" spans="1:50" ht="25" customHeight="1">
      <c r="A80" s="213"/>
      <c r="B80" s="218">
        <f>tblIndicators!A71</f>
        <v>70</v>
      </c>
      <c r="C80" s="218"/>
      <c r="D80" s="218"/>
      <c r="E80" s="218">
        <f>tblIndicators!B71</f>
        <v>0</v>
      </c>
      <c r="F80" s="218">
        <f>IF(AND(uxb_works!$B$47=2,E80=1),0,iScores!F75)</f>
        <v>3</v>
      </c>
      <c r="G80" s="218"/>
      <c r="H80" s="218" t="str">
        <f>tblIndicators!AC71</f>
        <v>#,##0</v>
      </c>
      <c r="I80" s="219"/>
      <c r="J80" s="218"/>
      <c r="K80" s="214">
        <f>IF(L80=0,0,IF(uxb_works!$B$46&gt;=L80,1,0))</f>
        <v>1</v>
      </c>
      <c r="L80" s="216">
        <f>IF(AND(uxb_works!$B$47=2,E80=1),0,tblIndicators!G71)</f>
        <v>3</v>
      </c>
      <c r="M80" s="218"/>
      <c r="N80" s="249" t="str">
        <f>iScores!N75</f>
        <v xml:space="preserve">   4.4.2) E-waste management</v>
      </c>
      <c r="O80" s="407">
        <f>CHOOSE(uxb_works!$B$47,iData!I75,iScores!O75)</f>
        <v>0.38095238095238093</v>
      </c>
      <c r="P80" s="631">
        <f>IF(P$4="","",CHOOSE(uxb_works!$B$47,IF(INDEX(aData,$B80,P$4)="","-",TEXT(INDEX(aData,$B80,P$4),$H80)),IFERROR(INDEX(aScoresRounded,$B80,P$4),"")))</f>
        <v>100</v>
      </c>
      <c r="Q80" s="706">
        <f>IF(Q$4="","",CHOOSE(uxb_works!$B$47,IF(INDEX(aData,$B80,Q$4)="","-",TEXT(INDEX(aData,$B80,Q$4),$H80)),IFERROR(INDEX(aScoresRounded,$B80,Q$4),"")))</f>
        <v>0</v>
      </c>
      <c r="R80" s="706">
        <f>IF(R$4="","",CHOOSE(uxb_works!$B$47,IF(INDEX(aData,$B80,R$4)="","-",TEXT(INDEX(aData,$B80,R$4),$H80)),IFERROR(INDEX(aScoresRounded,$B80,R$4),"")))</f>
        <v>0</v>
      </c>
      <c r="S80" s="706">
        <f>IF(S$4="","",CHOOSE(uxb_works!$B$47,IF(INDEX(aData,$B80,S$4)="","-",TEXT(INDEX(aData,$B80,S$4),$H80)),IFERROR(INDEX(aScoresRounded,$B80,S$4),"")))</f>
        <v>100</v>
      </c>
      <c r="T80" s="706">
        <f>IF(T$4="","",CHOOSE(uxb_works!$B$47,IF(INDEX(aData,$B80,T$4)="","-",TEXT(INDEX(aData,$B80,T$4),$H80)),IFERROR(INDEX(aScoresRounded,$B80,T$4),"")))</f>
        <v>100</v>
      </c>
      <c r="U80" s="706">
        <f>IF(U$4="","",CHOOSE(uxb_works!$B$47,IF(INDEX(aData,$B80,U$4)="","-",TEXT(INDEX(aData,$B80,U$4),$H80)),IFERROR(INDEX(aScoresRounded,$B80,U$4),"")))</f>
        <v>100</v>
      </c>
      <c r="V80" s="706">
        <f>IF(V$4="","",CHOOSE(uxb_works!$B$47,IF(INDEX(aData,$B80,V$4)="","-",TEXT(INDEX(aData,$B80,V$4),$H80)),IFERROR(INDEX(aScoresRounded,$B80,V$4),"")))</f>
        <v>100</v>
      </c>
      <c r="W80" s="706">
        <f>IF(W$4="","",CHOOSE(uxb_works!$B$47,IF(INDEX(aData,$B80,W$4)="","-",TEXT(INDEX(aData,$B80,W$4),$H80)),IFERROR(INDEX(aScoresRounded,$B80,W$4),"")))</f>
        <v>100</v>
      </c>
      <c r="X80" s="706">
        <f>IF(X$4="","",CHOOSE(uxb_works!$B$47,IF(INDEX(aData,$B80,X$4)="","-",TEXT(INDEX(aData,$B80,X$4),$H80)),IFERROR(INDEX(aScoresRounded,$B80,X$4),"")))</f>
        <v>100</v>
      </c>
      <c r="Y80" s="631">
        <f>IF(Y$4="","",CHOOSE(uxb_works!$B$47,IF(INDEX(aData,$B80,Y$4)="","-",TEXT(INDEX(aData,$B80,Y$4),$H80)),IFERROR(INDEX(aScoresRounded,$B80,Y$4),"")))</f>
        <v>0</v>
      </c>
      <c r="Z80" s="631">
        <f>IF(Z$4="","",CHOOSE(uxb_works!$B$47,IF(INDEX(aData,$B80,Z$4)="","-",TEXT(INDEX(aData,$B80,Z$4),$H80)),IFERROR(INDEX(aScoresRounded,$B80,Z$4),"")))</f>
        <v>100</v>
      </c>
      <c r="AA80" s="631">
        <f>IF(AA$4="","",CHOOSE(uxb_works!$B$47,IF(INDEX(aData,$B80,AA$4)="","-",TEXT(INDEX(aData,$B80,AA$4),$H80)),IFERROR(INDEX(aScoresRounded,$B80,AA$4),"")))</f>
        <v>100</v>
      </c>
      <c r="AB80" s="631">
        <f>IF(AB$4="","",CHOOSE(uxb_works!$B$47,IF(INDEX(aData,$B80,AB$4)="","-",TEXT(INDEX(aData,$B80,AB$4),$H80)),IFERROR(INDEX(aScoresRounded,$B80,AB$4),"")))</f>
        <v>0</v>
      </c>
      <c r="AC80" s="631">
        <f>IF(AC$4="","",CHOOSE(uxb_works!$B$47,IF(INDEX(aData,$B80,AC$4)="","-",TEXT(INDEX(aData,$B80,AC$4),$H80)),IFERROR(INDEX(aScoresRounded,$B80,AC$4),"")))</f>
        <v>100</v>
      </c>
      <c r="AD80" s="631">
        <f>IF(AD$4="","",CHOOSE(uxb_works!$B$47,IF(INDEX(aData,$B80,AD$4)="","-",TEXT(INDEX(aData,$B80,AD$4),$H80)),IFERROR(INDEX(aScoresRounded,$B80,AD$4),"")))</f>
        <v>100</v>
      </c>
      <c r="AE80" s="631">
        <f>IF(AE$4="","",CHOOSE(uxb_works!$B$47,IF(INDEX(aData,$B80,AE$4)="","-",TEXT(INDEX(aData,$B80,AE$4),$H80)),IFERROR(INDEX(aScoresRounded,$B80,AE$4),"")))</f>
        <v>100</v>
      </c>
      <c r="AF80" s="631">
        <f>IF(AF$4="","",CHOOSE(uxb_works!$B$47,IF(INDEX(aData,$B80,AF$4)="","-",TEXT(INDEX(aData,$B80,AF$4),$H80)),IFERROR(INDEX(aScoresRounded,$B80,AF$4),"")))</f>
        <v>0</v>
      </c>
      <c r="AG80" s="631">
        <f>IF(AG$4="","",CHOOSE(uxb_works!$B$47,IF(INDEX(aData,$B80,AG$4)="","-",TEXT(INDEX(aData,$B80,AG$4),$H80)),IFERROR(INDEX(aScoresRounded,$B80,AG$4),"")))</f>
        <v>100</v>
      </c>
      <c r="AH80" s="631">
        <f>IF(AH$4="","",CHOOSE(uxb_works!$B$47,IF(INDEX(aData,$B80,AH$4)="","-",TEXT(INDEX(aData,$B80,AH$4),$H80)),IFERROR(INDEX(aScoresRounded,$B80,AH$4),"")))</f>
        <v>100</v>
      </c>
      <c r="AI80" s="631">
        <f>IF(AI$4="","",CHOOSE(uxb_works!$B$47,IF(INDEX(aData,$B80,AI$4)="","-",TEXT(INDEX(aData,$B80,AI$4),$H80)),IFERROR(INDEX(aScoresRounded,$B80,AI$4),"")))</f>
        <v>100</v>
      </c>
      <c r="AJ80" s="631">
        <f>IF(AJ$4="","",CHOOSE(uxb_works!$B$47,IF(INDEX(aData,$B80,AJ$4)="","-",TEXT(INDEX(aData,$B80,AJ$4),$H80)),IFERROR(INDEX(aScoresRounded,$B80,AJ$4),"")))</f>
        <v>100</v>
      </c>
      <c r="AK80" s="631">
        <f>IF(AK$4="","",CHOOSE(uxb_works!$B$47,IF(INDEX(aData,$B80,AK$4)="","-",TEXT(INDEX(aData,$B80,AK$4),$H80)),IFERROR(INDEX(aScoresRounded,$B80,AK$4),"")))</f>
        <v>100</v>
      </c>
      <c r="AL80" s="631">
        <f>IF(AL$4="","",CHOOSE(uxb_works!$B$47,IF(INDEX(aData,$B80,AL$4)="","-",TEXT(INDEX(aData,$B80,AL$4),$H80)),IFERROR(INDEX(aScoresRounded,$B80,AL$4),"")))</f>
        <v>100</v>
      </c>
      <c r="AM80" s="631">
        <f>IF(AM$4="","",CHOOSE(uxb_works!$B$47,IF(INDEX(aData,$B80,AM$4)="","-",TEXT(INDEX(aData,$B80,AM$4),$H80)),IFERROR(INDEX(aScoresRounded,$B80,AM$4),"")))</f>
        <v>100</v>
      </c>
      <c r="AN80" s="631">
        <f>IF(AN$4="","",CHOOSE(uxb_works!$B$47,IF(INDEX(aData,$B80,AN$4)="","-",TEXT(INDEX(aData,$B80,AN$4),$H80)),IFERROR(INDEX(aScoresRounded,$B80,AN$4),"")))</f>
        <v>100</v>
      </c>
      <c r="AO80" s="631">
        <f>IF(AO$4="","",CHOOSE(uxb_works!$B$47,IF(INDEX(aData,$B80,AO$4)="","-",TEXT(INDEX(aData,$B80,AO$4),$H80)),IFERROR(INDEX(aScoresRounded,$B80,AO$4),"")))</f>
        <v>0</v>
      </c>
      <c r="AP80" s="631">
        <f>IF(AP$4="","",CHOOSE(uxb_works!$B$47,IF(INDEX(aData,$B80,AP$4)="","-",TEXT(INDEX(aData,$B80,AP$4),$H80)),IFERROR(INDEX(aScoresRounded,$B80,AP$4),"")))</f>
        <v>100</v>
      </c>
      <c r="AQ80" s="631">
        <f>IF(AQ$4="","",CHOOSE(uxb_works!$B$47,IF(INDEX(aData,$B80,AQ$4)="","-",TEXT(INDEX(aData,$B80,AQ$4),$H80)),IFERROR(INDEX(aScoresRounded,$B80,AQ$4),"")))</f>
        <v>100</v>
      </c>
      <c r="AR80" s="631">
        <f>IF(AR$4="","",CHOOSE(uxb_works!$B$47,IF(INDEX(aData,$B80,AR$4)="","-",TEXT(INDEX(aData,$B80,AR$4),$H80)),IFERROR(INDEX(aScoresRounded,$B80,AR$4),"")))</f>
        <v>100</v>
      </c>
      <c r="AS80" s="631">
        <f>IF(AS$4="","",CHOOSE(uxb_works!$B$47,IF(INDEX(aData,$B80,AS$4)="","-",TEXT(INDEX(aData,$B80,AS$4),$H80)),IFERROR(INDEX(aScoresRounded,$B80,AS$4),"")))</f>
        <v>100</v>
      </c>
      <c r="AT80" s="570"/>
      <c r="AW80" s="157">
        <f>CHOOSE($AV$1,0,IF(AW$10=0,0,IF(P80&lt;=$AX$1,1,IF(P80&lt;=#REF!,2,3))),IF(AW$10=0,0,IF(P80&lt;=$AX$1,4,IF(P80&lt;=#REF!,5,6))))</f>
        <v>0</v>
      </c>
      <c r="AX80" s="157">
        <f>CHOOSE($AV$1,0,IF(AX$10=0,0,IF(#REF!&lt;=$AX$1,1,IF(#REF!&lt;=#REF!,2,3))),IF(AX$10=0,0,IF(#REF!&lt;=$AX$1,4,IF(#REF!&lt;=#REF!,5,6))))</f>
        <v>0</v>
      </c>
    </row>
    <row r="81" spans="1:50" ht="25" hidden="1" customHeight="1">
      <c r="A81" s="213"/>
      <c r="B81" s="218">
        <f>tblIndicators!A72</f>
        <v>71</v>
      </c>
      <c r="C81" s="218"/>
      <c r="D81" s="218"/>
      <c r="E81" s="218">
        <f>tblIndicators!B72</f>
        <v>1</v>
      </c>
      <c r="F81" s="218">
        <f>IF(AND(uxb_works!$B$47=2,E81=1),0,iScores!F76)</f>
        <v>0</v>
      </c>
      <c r="G81" s="218"/>
      <c r="H81" s="218">
        <f>tblIndicators!AC72</f>
        <v>0</v>
      </c>
      <c r="I81" s="219"/>
      <c r="J81" s="218"/>
      <c r="K81" s="214">
        <f>IF(L81=0,0,IF(uxb_works!$B$46&gt;=L81,1,0))</f>
        <v>0</v>
      </c>
      <c r="L81" s="216">
        <f>IF(AND(uxb_works!$B$47=2,E81=1),0,tblIndicators!G72)</f>
        <v>0</v>
      </c>
      <c r="M81" s="218"/>
      <c r="N81" s="249" t="str">
        <f>iScores!N76</f>
        <v xml:space="preserve">  </v>
      </c>
      <c r="O81" s="407" t="str">
        <f>CHOOSE(uxb_works!$B$47,iData!I76,iScores!O76)</f>
        <v/>
      </c>
      <c r="P81" s="631">
        <f>IF(P$4="","",CHOOSE(uxb_works!$B$47,IF(INDEX(aData,$B81,P$4)="","-",TEXT(INDEX(aData,$B81,P$4),$H81)),IFERROR(INDEX(aScoresRounded,$B81,P$4),"")))</f>
        <v>0</v>
      </c>
      <c r="Q81" s="706">
        <f>IF(Q$4="","",CHOOSE(uxb_works!$B$47,IF(INDEX(aData,$B81,Q$4)="","-",TEXT(INDEX(aData,$B81,Q$4),$H81)),IFERROR(INDEX(aScoresRounded,$B81,Q$4),"")))</f>
        <v>0</v>
      </c>
      <c r="R81" s="706">
        <f>IF(R$4="","",CHOOSE(uxb_works!$B$47,IF(INDEX(aData,$B81,R$4)="","-",TEXT(INDEX(aData,$B81,R$4),$H81)),IFERROR(INDEX(aScoresRounded,$B81,R$4),"")))</f>
        <v>0</v>
      </c>
      <c r="S81" s="706">
        <f>IF(S$4="","",CHOOSE(uxb_works!$B$47,IF(INDEX(aData,$B81,S$4)="","-",TEXT(INDEX(aData,$B81,S$4),$H81)),IFERROR(INDEX(aScoresRounded,$B81,S$4),"")))</f>
        <v>0</v>
      </c>
      <c r="T81" s="706">
        <f>IF(T$4="","",CHOOSE(uxb_works!$B$47,IF(INDEX(aData,$B81,T$4)="","-",TEXT(INDEX(aData,$B81,T$4),$H81)),IFERROR(INDEX(aScoresRounded,$B81,T$4),"")))</f>
        <v>0</v>
      </c>
      <c r="U81" s="706">
        <f>IF(U$4="","",CHOOSE(uxb_works!$B$47,IF(INDEX(aData,$B81,U$4)="","-",TEXT(INDEX(aData,$B81,U$4),$H81)),IFERROR(INDEX(aScoresRounded,$B81,U$4),"")))</f>
        <v>0</v>
      </c>
      <c r="V81" s="706">
        <f>IF(V$4="","",CHOOSE(uxb_works!$B$47,IF(INDEX(aData,$B81,V$4)="","-",TEXT(INDEX(aData,$B81,V$4),$H81)),IFERROR(INDEX(aScoresRounded,$B81,V$4),"")))</f>
        <v>0</v>
      </c>
      <c r="W81" s="706">
        <f>IF(W$4="","",CHOOSE(uxb_works!$B$47,IF(INDEX(aData,$B81,W$4)="","-",TEXT(INDEX(aData,$B81,W$4),$H81)),IFERROR(INDEX(aScoresRounded,$B81,W$4),"")))</f>
        <v>0</v>
      </c>
      <c r="X81" s="706">
        <f>IF(X$4="","",CHOOSE(uxb_works!$B$47,IF(INDEX(aData,$B81,X$4)="","-",TEXT(INDEX(aData,$B81,X$4),$H81)),IFERROR(INDEX(aScoresRounded,$B81,X$4),"")))</f>
        <v>0</v>
      </c>
      <c r="Y81" s="631">
        <f>IF(Y$4="","",CHOOSE(uxb_works!$B$47,IF(INDEX(aData,$B81,Y$4)="","-",TEXT(INDEX(aData,$B81,Y$4),$H81)),IFERROR(INDEX(aScoresRounded,$B81,Y$4),"")))</f>
        <v>0</v>
      </c>
      <c r="Z81" s="631">
        <f>IF(Z$4="","",CHOOSE(uxb_works!$B$47,IF(INDEX(aData,$B81,Z$4)="","-",TEXT(INDEX(aData,$B81,Z$4),$H81)),IFERROR(INDEX(aScoresRounded,$B81,Z$4),"")))</f>
        <v>0</v>
      </c>
      <c r="AA81" s="631">
        <f>IF(AA$4="","",CHOOSE(uxb_works!$B$47,IF(INDEX(aData,$B81,AA$4)="","-",TEXT(INDEX(aData,$B81,AA$4),$H81)),IFERROR(INDEX(aScoresRounded,$B81,AA$4),"")))</f>
        <v>0</v>
      </c>
      <c r="AB81" s="631">
        <f>IF(AB$4="","",CHOOSE(uxb_works!$B$47,IF(INDEX(aData,$B81,AB$4)="","-",TEXT(INDEX(aData,$B81,AB$4),$H81)),IFERROR(INDEX(aScoresRounded,$B81,AB$4),"")))</f>
        <v>0</v>
      </c>
      <c r="AC81" s="631">
        <f>IF(AC$4="","",CHOOSE(uxb_works!$B$47,IF(INDEX(aData,$B81,AC$4)="","-",TEXT(INDEX(aData,$B81,AC$4),$H81)),IFERROR(INDEX(aScoresRounded,$B81,AC$4),"")))</f>
        <v>0</v>
      </c>
      <c r="AD81" s="631">
        <f>IF(AD$4="","",CHOOSE(uxb_works!$B$47,IF(INDEX(aData,$B81,AD$4)="","-",TEXT(INDEX(aData,$B81,AD$4),$H81)),IFERROR(INDEX(aScoresRounded,$B81,AD$4),"")))</f>
        <v>0</v>
      </c>
      <c r="AE81" s="631">
        <f>IF(AE$4="","",CHOOSE(uxb_works!$B$47,IF(INDEX(aData,$B81,AE$4)="","-",TEXT(INDEX(aData,$B81,AE$4),$H81)),IFERROR(INDEX(aScoresRounded,$B81,AE$4),"")))</f>
        <v>0</v>
      </c>
      <c r="AF81" s="631">
        <f>IF(AF$4="","",CHOOSE(uxb_works!$B$47,IF(INDEX(aData,$B81,AF$4)="","-",TEXT(INDEX(aData,$B81,AF$4),$H81)),IFERROR(INDEX(aScoresRounded,$B81,AF$4),"")))</f>
        <v>0</v>
      </c>
      <c r="AG81" s="631">
        <f>IF(AG$4="","",CHOOSE(uxb_works!$B$47,IF(INDEX(aData,$B81,AG$4)="","-",TEXT(INDEX(aData,$B81,AG$4),$H81)),IFERROR(INDEX(aScoresRounded,$B81,AG$4),"")))</f>
        <v>0</v>
      </c>
      <c r="AH81" s="631">
        <f>IF(AH$4="","",CHOOSE(uxb_works!$B$47,IF(INDEX(aData,$B81,AH$4)="","-",TEXT(INDEX(aData,$B81,AH$4),$H81)),IFERROR(INDEX(aScoresRounded,$B81,AH$4),"")))</f>
        <v>0</v>
      </c>
      <c r="AI81" s="631">
        <f>IF(AI$4="","",CHOOSE(uxb_works!$B$47,IF(INDEX(aData,$B81,AI$4)="","-",TEXT(INDEX(aData,$B81,AI$4),$H81)),IFERROR(INDEX(aScoresRounded,$B81,AI$4),"")))</f>
        <v>0</v>
      </c>
      <c r="AJ81" s="631">
        <f>IF(AJ$4="","",CHOOSE(uxb_works!$B$47,IF(INDEX(aData,$B81,AJ$4)="","-",TEXT(INDEX(aData,$B81,AJ$4),$H81)),IFERROR(INDEX(aScoresRounded,$B81,AJ$4),"")))</f>
        <v>0</v>
      </c>
      <c r="AK81" s="631">
        <f>IF(AK$4="","",CHOOSE(uxb_works!$B$47,IF(INDEX(aData,$B81,AK$4)="","-",TEXT(INDEX(aData,$B81,AK$4),$H81)),IFERROR(INDEX(aScoresRounded,$B81,AK$4),"")))</f>
        <v>0</v>
      </c>
      <c r="AL81" s="631">
        <f>IF(AL$4="","",CHOOSE(uxb_works!$B$47,IF(INDEX(aData,$B81,AL$4)="","-",TEXT(INDEX(aData,$B81,AL$4),$H81)),IFERROR(INDEX(aScoresRounded,$B81,AL$4),"")))</f>
        <v>0</v>
      </c>
      <c r="AM81" s="631">
        <f>IF(AM$4="","",CHOOSE(uxb_works!$B$47,IF(INDEX(aData,$B81,AM$4)="","-",TEXT(INDEX(aData,$B81,AM$4),$H81)),IFERROR(INDEX(aScoresRounded,$B81,AM$4),"")))</f>
        <v>0</v>
      </c>
      <c r="AN81" s="631">
        <f>IF(AN$4="","",CHOOSE(uxb_works!$B$47,IF(INDEX(aData,$B81,AN$4)="","-",TEXT(INDEX(aData,$B81,AN$4),$H81)),IFERROR(INDEX(aScoresRounded,$B81,AN$4),"")))</f>
        <v>0</v>
      </c>
      <c r="AO81" s="631">
        <f>IF(AO$4="","",CHOOSE(uxb_works!$B$47,IF(INDEX(aData,$B81,AO$4)="","-",TEXT(INDEX(aData,$B81,AO$4),$H81)),IFERROR(INDEX(aScoresRounded,$B81,AO$4),"")))</f>
        <v>0</v>
      </c>
      <c r="AP81" s="631">
        <f>IF(AP$4="","",CHOOSE(uxb_works!$B$47,IF(INDEX(aData,$B81,AP$4)="","-",TEXT(INDEX(aData,$B81,AP$4),$H81)),IFERROR(INDEX(aScoresRounded,$B81,AP$4),"")))</f>
        <v>0</v>
      </c>
      <c r="AQ81" s="631">
        <f>IF(AQ$4="","",CHOOSE(uxb_works!$B$47,IF(INDEX(aData,$B81,AQ$4)="","-",TEXT(INDEX(aData,$B81,AQ$4),$H81)),IFERROR(INDEX(aScoresRounded,$B81,AQ$4),"")))</f>
        <v>0</v>
      </c>
      <c r="AR81" s="631">
        <f>IF(AR$4="","",CHOOSE(uxb_works!$B$47,IF(INDEX(aData,$B81,AR$4)="","-",TEXT(INDEX(aData,$B81,AR$4),$H81)),IFERROR(INDEX(aScoresRounded,$B81,AR$4),"")))</f>
        <v>0</v>
      </c>
      <c r="AS81" s="631">
        <f>IF(AS$4="","",CHOOSE(uxb_works!$B$47,IF(INDEX(aData,$B81,AS$4)="","-",TEXT(INDEX(aData,$B81,AS$4),$H81)),IFERROR(INDEX(aScoresRounded,$B81,AS$4),"")))</f>
        <v>0</v>
      </c>
      <c r="AT81" s="570"/>
      <c r="AW81" s="157">
        <f>CHOOSE($AV$1,0,IF(AW$10=0,0,IF(P81&lt;=$AX$1,1,IF(P81&lt;=#REF!,2,3))),IF(AW$10=0,0,IF(P81&lt;=$AX$1,4,IF(P81&lt;=#REF!,5,6))))</f>
        <v>0</v>
      </c>
      <c r="AX81" s="157">
        <f>CHOOSE($AV$1,0,IF(AX$10=0,0,IF(#REF!&lt;=$AX$1,1,IF(#REF!&lt;=#REF!,2,3))),IF(AX$10=0,0,IF(#REF!&lt;=$AX$1,4,IF(#REF!&lt;=#REF!,5,6))))</f>
        <v>0</v>
      </c>
    </row>
    <row r="82" spans="1:50" ht="25" hidden="1" customHeight="1">
      <c r="A82" s="213"/>
      <c r="B82" s="218">
        <f>tblIndicators!A73</f>
        <v>72</v>
      </c>
      <c r="C82" s="218"/>
      <c r="D82" s="218"/>
      <c r="E82" s="218">
        <f>tblIndicators!B73</f>
        <v>1</v>
      </c>
      <c r="F82" s="218">
        <f>IF(AND(uxb_works!$B$47=2,E82=1),0,iScores!F77)</f>
        <v>0</v>
      </c>
      <c r="G82" s="218"/>
      <c r="H82" s="218" t="str">
        <f>tblIndicators!AC73</f>
        <v>#,##0.0</v>
      </c>
      <c r="I82" s="219"/>
      <c r="J82" s="218"/>
      <c r="K82" s="214">
        <f>IF(L82=0,0,IF(uxb_works!$B$46&gt;=L82,1,0))</f>
        <v>0</v>
      </c>
      <c r="L82" s="216">
        <f>IF(AND(uxb_works!$B$47=2,E82=1),0,tblIndicators!G73)</f>
        <v>0</v>
      </c>
      <c r="M82" s="218"/>
      <c r="N82" s="249" t="str">
        <f>iScores!N77</f>
        <v xml:space="preserve">   BG_1.1) Real GDP growth</v>
      </c>
      <c r="O82" s="407" t="str">
        <f>CHOOSE(uxb_works!$B$47,iData!I77,iScores!O77)</f>
        <v>%</v>
      </c>
      <c r="P82" s="631">
        <f>IF(P$4="","",CHOOSE(uxb_works!$B$47,IF(INDEX(aData,$B82,P$4)="","-",TEXT(INDEX(aData,$B82,P$4),$H82)),IFERROR(INDEX(aScoresRounded,$B82,P$4),"")))</f>
        <v>4.4000000000000004</v>
      </c>
      <c r="Q82" s="706">
        <f>IF(Q$4="","",CHOOSE(uxb_works!$B$47,IF(INDEX(aData,$B82,Q$4)="","-",TEXT(INDEX(aData,$B82,Q$4),$H82)),IFERROR(INDEX(aScoresRounded,$B82,Q$4),"")))</f>
        <v>6.1</v>
      </c>
      <c r="R82" s="706">
        <f>IF(R$4="","",CHOOSE(uxb_works!$B$47,IF(INDEX(aData,$B82,R$4)="","-",TEXT(INDEX(aData,$B82,R$4),$H82)),IFERROR(INDEX(aScoresRounded,$B82,R$4),"")))</f>
        <v>1.3</v>
      </c>
      <c r="S82" s="706">
        <f>IF(S$4="","",CHOOSE(uxb_works!$B$47,IF(INDEX(aData,$B82,S$4)="","-",TEXT(INDEX(aData,$B82,S$4),$H82)),IFERROR(INDEX(aScoresRounded,$B82,S$4),"")))</f>
        <v>4.7</v>
      </c>
      <c r="T82" s="706">
        <f>IF(T$4="","",CHOOSE(uxb_works!$B$47,IF(INDEX(aData,$B82,T$4)="","-",TEXT(INDEX(aData,$B82,T$4),$H82)),IFERROR(INDEX(aScoresRounded,$B82,T$4),"")))</f>
        <v>7.9</v>
      </c>
      <c r="U82" s="706">
        <f>IF(U$4="","",CHOOSE(uxb_works!$B$47,IF(INDEX(aData,$B82,U$4)="","-",TEXT(INDEX(aData,$B82,U$4),$H82)),IFERROR(INDEX(aScoresRounded,$B82,U$4),"")))</f>
        <v>2.7</v>
      </c>
      <c r="V82" s="706">
        <f>IF(V$4="","",CHOOSE(uxb_works!$B$47,IF(INDEX(aData,$B82,V$4)="","-",TEXT(INDEX(aData,$B82,V$4),$H82)),IFERROR(INDEX(aScoresRounded,$B82,V$4),"")))</f>
        <v>9.6999999999999993</v>
      </c>
      <c r="W82" s="706">
        <f>IF(W$4="","",CHOOSE(uxb_works!$B$47,IF(INDEX(aData,$B82,W$4)="","-",TEXT(INDEX(aData,$B82,W$4),$H82)),IFERROR(INDEX(aScoresRounded,$B82,W$4),"")))</f>
        <v>3.2</v>
      </c>
      <c r="X82" s="706">
        <f>IF(X$4="","",CHOOSE(uxb_works!$B$47,IF(INDEX(aData,$B82,X$4)="","-",TEXT(INDEX(aData,$B82,X$4),$H82)),IFERROR(INDEX(aScoresRounded,$B82,X$4),"")))</f>
        <v>5.5</v>
      </c>
      <c r="Y82" s="631">
        <f>IF(Y$4="","",CHOOSE(uxb_works!$B$47,IF(INDEX(aData,$B82,Y$4)="","-",TEXT(INDEX(aData,$B82,Y$4),$H82)),IFERROR(INDEX(aScoresRounded,$B82,Y$4),"")))</f>
        <v>3.8</v>
      </c>
      <c r="Z82" s="631">
        <f>IF(Z$4="","",CHOOSE(uxb_works!$B$47,IF(INDEX(aData,$B82,Z$4)="","-",TEXT(INDEX(aData,$B82,Z$4),$H82)),IFERROR(INDEX(aScoresRounded,$B82,Z$4),"")))</f>
        <v>2.7</v>
      </c>
      <c r="AA82" s="631">
        <f>IF(AA$4="","",CHOOSE(uxb_works!$B$47,IF(INDEX(aData,$B82,AA$4)="","-",TEXT(INDEX(aData,$B82,AA$4),$H82)),IFERROR(INDEX(aScoresRounded,$B82,AA$4),"")))</f>
        <v>6.5</v>
      </c>
      <c r="AB82" s="631">
        <f>IF(AB$4="","",CHOOSE(uxb_works!$B$47,IF(INDEX(aData,$B82,AB$4)="","-",TEXT(INDEX(aData,$B82,AB$4),$H82)),IFERROR(INDEX(aScoresRounded,$B82,AB$4),"")))</f>
        <v>3.1</v>
      </c>
      <c r="AC82" s="631">
        <f>IF(AC$4="","",CHOOSE(uxb_works!$B$47,IF(INDEX(aData,$B82,AC$4)="","-",TEXT(INDEX(aData,$B82,AC$4),$H82)),IFERROR(INDEX(aScoresRounded,$B82,AC$4),"")))</f>
        <v>3</v>
      </c>
      <c r="AD82" s="631">
        <f>IF(AD$4="","",CHOOSE(uxb_works!$B$47,IF(INDEX(aData,$B82,AD$4)="","-",TEXT(INDEX(aData,$B82,AD$4),$H82)),IFERROR(INDEX(aScoresRounded,$B82,AD$4),"")))</f>
        <v>7.2</v>
      </c>
      <c r="AE82" s="631">
        <f>IF(AE$4="","",CHOOSE(uxb_works!$B$47,IF(INDEX(aData,$B82,AE$4)="","-",TEXT(INDEX(aData,$B82,AE$4),$H82)),IFERROR(INDEX(aScoresRounded,$B82,AE$4),"")))</f>
        <v>4.7</v>
      </c>
      <c r="AF82" s="631">
        <f>IF(AF$4="","",CHOOSE(uxb_works!$B$47,IF(INDEX(aData,$B82,AF$4)="","-",TEXT(INDEX(aData,$B82,AF$4),$H82)),IFERROR(INDEX(aScoresRounded,$B82,AF$4),"")))</f>
        <v>4.8</v>
      </c>
      <c r="AG82" s="631">
        <f>IF(AG$4="","",CHOOSE(uxb_works!$B$47,IF(INDEX(aData,$B82,AG$4)="","-",TEXT(INDEX(aData,$B82,AG$4),$H82)),IFERROR(INDEX(aScoresRounded,$B82,AG$4),"")))</f>
        <v>5.6</v>
      </c>
      <c r="AH82" s="631">
        <f>IF(AH$4="","",CHOOSE(uxb_works!$B$47,IF(INDEX(aData,$B82,AH$4)="","-",TEXT(INDEX(aData,$B82,AH$4),$H82)),IFERROR(INDEX(aScoresRounded,$B82,AH$4),"")))</f>
        <v>9.1999999999999993</v>
      </c>
      <c r="AI82" s="631">
        <f>IF(AI$4="","",CHOOSE(uxb_works!$B$47,IF(INDEX(aData,$B82,AI$4)="","-",TEXT(INDEX(aData,$B82,AI$4),$H82)),IFERROR(INDEX(aScoresRounded,$B82,AI$4),"")))</f>
        <v>5.5</v>
      </c>
      <c r="AJ82" s="631">
        <f>IF(AJ$4="","",CHOOSE(uxb_works!$B$47,IF(INDEX(aData,$B82,AJ$4)="","-",TEXT(INDEX(aData,$B82,AJ$4),$H82)),IFERROR(INDEX(aScoresRounded,$B82,AJ$4),"")))</f>
        <v>6.7</v>
      </c>
      <c r="AK82" s="631">
        <f>IF(AK$4="","",CHOOSE(uxb_works!$B$47,IF(INDEX(aData,$B82,AK$4)="","-",TEXT(INDEX(aData,$B82,AK$4),$H82)),IFERROR(INDEX(aScoresRounded,$B82,AK$4),"")))</f>
        <v>6.3</v>
      </c>
      <c r="AL82" s="631">
        <f>IF(AL$4="","",CHOOSE(uxb_works!$B$47,IF(INDEX(aData,$B82,AL$4)="","-",TEXT(INDEX(aData,$B82,AL$4),$H82)),IFERROR(INDEX(aScoresRounded,$B82,AL$4),"")))</f>
        <v>4.8</v>
      </c>
      <c r="AM82" s="631">
        <f>IF(AM$4="","",CHOOSE(uxb_works!$B$47,IF(INDEX(aData,$B82,AM$4)="","-",TEXT(INDEX(aData,$B82,AM$4),$H82)),IFERROR(INDEX(aScoresRounded,$B82,AM$4),"")))</f>
        <v>3.9</v>
      </c>
      <c r="AN82" s="631">
        <f>IF(AN$4="","",CHOOSE(uxb_works!$B$47,IF(INDEX(aData,$B82,AN$4)="","-",TEXT(INDEX(aData,$B82,AN$4),$H82)),IFERROR(INDEX(aScoresRounded,$B82,AN$4),"")))</f>
        <v>6.8</v>
      </c>
      <c r="AO82" s="631">
        <f>IF(AO$4="","",CHOOSE(uxb_works!$B$47,IF(INDEX(aData,$B82,AO$4)="","-",TEXT(INDEX(aData,$B82,AO$4),$H82)),IFERROR(INDEX(aScoresRounded,$B82,AO$4),"")))</f>
        <v>3.9</v>
      </c>
      <c r="AP82" s="631">
        <f>IF(AP$4="","",CHOOSE(uxb_works!$B$47,IF(INDEX(aData,$B82,AP$4)="","-",TEXT(INDEX(aData,$B82,AP$4),$H82)),IFERROR(INDEX(aScoresRounded,$B82,AP$4),"")))</f>
        <v>2</v>
      </c>
      <c r="AQ82" s="631">
        <f>IF(AQ$4="","",CHOOSE(uxb_works!$B$47,IF(INDEX(aData,$B82,AQ$4)="","-",TEXT(INDEX(aData,$B82,AQ$4),$H82)),IFERROR(INDEX(aScoresRounded,$B82,AQ$4),"")))</f>
        <v>4.7</v>
      </c>
      <c r="AR82" s="631">
        <f>IF(AR$4="","",CHOOSE(uxb_works!$B$47,IF(INDEX(aData,$B82,AR$4)="","-",TEXT(INDEX(aData,$B82,AR$4),$H82)),IFERROR(INDEX(aScoresRounded,$B82,AR$4),"")))</f>
        <v>5.5</v>
      </c>
      <c r="AS82" s="631">
        <f>IF(AS$4="","",CHOOSE(uxb_works!$B$47,IF(INDEX(aData,$B82,AS$4)="","-",TEXT(INDEX(aData,$B82,AS$4),$H82)),IFERROR(INDEX(aScoresRounded,$B82,AS$4),"")))</f>
        <v>3.6</v>
      </c>
      <c r="AT82" s="570"/>
      <c r="AW82" s="157">
        <f>CHOOSE($AV$1,0,IF(AW$10=0,0,IF(P82&lt;=$AX$1,1,IF(P82&lt;=#REF!,2,3))),IF(AW$10=0,0,IF(P82&lt;=$AX$1,4,IF(P82&lt;=#REF!,5,6))))</f>
        <v>0</v>
      </c>
      <c r="AX82" s="157">
        <f>CHOOSE($AV$1,0,IF(AX$10=0,0,IF(#REF!&lt;=$AX$1,1,IF(#REF!&lt;=#REF!,2,3))),IF(AX$10=0,0,IF(#REF!&lt;=$AX$1,4,IF(#REF!&lt;=#REF!,5,6))))</f>
        <v>0</v>
      </c>
    </row>
    <row r="83" spans="1:50" ht="25" hidden="1" customHeight="1">
      <c r="A83" s="213"/>
      <c r="B83" s="218">
        <f>tblIndicators!A74</f>
        <v>73</v>
      </c>
      <c r="C83" s="218"/>
      <c r="D83" s="218"/>
      <c r="E83" s="218">
        <f>tblIndicators!B74</f>
        <v>1</v>
      </c>
      <c r="F83" s="218">
        <f>IF(AND(uxb_works!$B$47=2,E83=1),0,iScores!F78)</f>
        <v>0</v>
      </c>
      <c r="G83" s="218"/>
      <c r="H83" s="218" t="str">
        <f>tblIndicators!AC74</f>
        <v>#,##0.0</v>
      </c>
      <c r="I83" s="219"/>
      <c r="J83" s="218"/>
      <c r="K83" s="214">
        <f>IF(L83=0,0,IF(uxb_works!$B$46&gt;=L83,1,0))</f>
        <v>0</v>
      </c>
      <c r="L83" s="216">
        <f>IF(AND(uxb_works!$B$47=2,E83=1),0,tblIndicators!G74)</f>
        <v>0</v>
      </c>
      <c r="M83" s="218"/>
      <c r="N83" s="249" t="str">
        <f>iScores!N78</f>
        <v xml:space="preserve">   BG_1.2) Corruption</v>
      </c>
      <c r="O83" s="407" t="str">
        <f>CHOOSE(uxb_works!$B$47,iData!I78,iScores!O78)</f>
        <v>0-4 score</v>
      </c>
      <c r="P83" s="631">
        <f>IF(P$4="","",CHOOSE(uxb_works!$B$47,IF(INDEX(aData,$B83,P$4)="","-",TEXT(INDEX(aData,$B83,P$4),$H83)),IFERROR(INDEX(aScoresRounded,$B83,P$4),"")))</f>
        <v>0</v>
      </c>
      <c r="Q83" s="706">
        <f>IF(Q$4="","",CHOOSE(uxb_works!$B$47,IF(INDEX(aData,$B83,Q$4)="","-",TEXT(INDEX(aData,$B83,Q$4),$H83)),IFERROR(INDEX(aScoresRounded,$B83,Q$4),"")))</f>
        <v>0</v>
      </c>
      <c r="R83" s="706">
        <f>IF(R$4="","",CHOOSE(uxb_works!$B$47,IF(INDEX(aData,$B83,R$4)="","-",TEXT(INDEX(aData,$B83,R$4),$H83)),IFERROR(INDEX(aScoresRounded,$B83,R$4),"")))</f>
        <v>3</v>
      </c>
      <c r="S83" s="706">
        <f>IF(S$4="","",CHOOSE(uxb_works!$B$47,IF(INDEX(aData,$B83,S$4)="","-",TEXT(INDEX(aData,$B83,S$4),$H83)),IFERROR(INDEX(aScoresRounded,$B83,S$4),"")))</f>
        <v>2</v>
      </c>
      <c r="T83" s="706">
        <f>IF(T$4="","",CHOOSE(uxb_works!$B$47,IF(INDEX(aData,$B83,T$4)="","-",TEXT(INDEX(aData,$B83,T$4),$H83)),IFERROR(INDEX(aScoresRounded,$B83,T$4),"")))</f>
        <v>2</v>
      </c>
      <c r="U83" s="706">
        <f>IF(U$4="","",CHOOSE(uxb_works!$B$47,IF(INDEX(aData,$B83,U$4)="","-",TEXT(INDEX(aData,$B83,U$4),$H83)),IFERROR(INDEX(aScoresRounded,$B83,U$4),"")))</f>
        <v>0</v>
      </c>
      <c r="V83" s="706">
        <f>IF(V$4="","",CHOOSE(uxb_works!$B$47,IF(INDEX(aData,$B83,V$4)="","-",TEXT(INDEX(aData,$B83,V$4),$H83)),IFERROR(INDEX(aScoresRounded,$B83,V$4),"")))</f>
        <v>2</v>
      </c>
      <c r="W83" s="706">
        <f>IF(W$4="","",CHOOSE(uxb_works!$B$47,IF(INDEX(aData,$B83,W$4)="","-",TEXT(INDEX(aData,$B83,W$4),$H83)),IFERROR(INDEX(aScoresRounded,$B83,W$4),"")))</f>
        <v>0</v>
      </c>
      <c r="X83" s="706">
        <f>IF(X$4="","",CHOOSE(uxb_works!$B$47,IF(INDEX(aData,$B83,X$4)="","-",TEXT(INDEX(aData,$B83,X$4),$H83)),IFERROR(INDEX(aScoresRounded,$B83,X$4),"")))</f>
        <v>0</v>
      </c>
      <c r="Y83" s="631">
        <f>IF(Y$4="","",CHOOSE(uxb_works!$B$47,IF(INDEX(aData,$B83,Y$4)="","-",TEXT(INDEX(aData,$B83,Y$4),$H83)),IFERROR(INDEX(aScoresRounded,$B83,Y$4),"")))</f>
        <v>0</v>
      </c>
      <c r="Z83" s="631">
        <f>IF(Z$4="","",CHOOSE(uxb_works!$B$47,IF(INDEX(aData,$B83,Z$4)="","-",TEXT(INDEX(aData,$B83,Z$4),$H83)),IFERROR(INDEX(aScoresRounded,$B83,Z$4),"")))</f>
        <v>0</v>
      </c>
      <c r="AA83" s="631">
        <f>IF(AA$4="","",CHOOSE(uxb_works!$B$47,IF(INDEX(aData,$B83,AA$4)="","-",TEXT(INDEX(aData,$B83,AA$4),$H83)),IFERROR(INDEX(aScoresRounded,$B83,AA$4),"")))</f>
        <v>0</v>
      </c>
      <c r="AB83" s="631">
        <f>IF(AB$4="","",CHOOSE(uxb_works!$B$47,IF(INDEX(aData,$B83,AB$4)="","-",TEXT(INDEX(aData,$B83,AB$4),$H83)),IFERROR(INDEX(aScoresRounded,$B83,AB$4),"")))</f>
        <v>3</v>
      </c>
      <c r="AC83" s="631">
        <f>IF(AC$4="","",CHOOSE(uxb_works!$B$47,IF(INDEX(aData,$B83,AC$4)="","-",TEXT(INDEX(aData,$B83,AC$4),$H83)),IFERROR(INDEX(aScoresRounded,$B83,AC$4),"")))</f>
        <v>2</v>
      </c>
      <c r="AD83" s="631">
        <f>IF(AD$4="","",CHOOSE(uxb_works!$B$47,IF(INDEX(aData,$B83,AD$4)="","-",TEXT(INDEX(aData,$B83,AD$4),$H83)),IFERROR(INDEX(aScoresRounded,$B83,AD$4),"")))</f>
        <v>0</v>
      </c>
      <c r="AE83" s="631">
        <f>IF(AE$4="","",CHOOSE(uxb_works!$B$47,IF(INDEX(aData,$B83,AE$4)="","-",TEXT(INDEX(aData,$B83,AE$4),$H83)),IFERROR(INDEX(aScoresRounded,$B83,AE$4),"")))</f>
        <v>2</v>
      </c>
      <c r="AF83" s="631">
        <f>IF(AF$4="","",CHOOSE(uxb_works!$B$47,IF(INDEX(aData,$B83,AF$4)="","-",TEXT(INDEX(aData,$B83,AF$4),$H83)),IFERROR(INDEX(aScoresRounded,$B83,AF$4),"")))</f>
        <v>3</v>
      </c>
      <c r="AG83" s="631">
        <f>IF(AG$4="","",CHOOSE(uxb_works!$B$47,IF(INDEX(aData,$B83,AG$4)="","-",TEXT(INDEX(aData,$B83,AG$4),$H83)),IFERROR(INDEX(aScoresRounded,$B83,AG$4),"")))</f>
        <v>3</v>
      </c>
      <c r="AH83" s="631">
        <f>IF(AH$4="","",CHOOSE(uxb_works!$B$47,IF(INDEX(aData,$B83,AH$4)="","-",TEXT(INDEX(aData,$B83,AH$4),$H83)),IFERROR(INDEX(aScoresRounded,$B83,AH$4),"")))</f>
        <v>3</v>
      </c>
      <c r="AI83" s="631">
        <f>IF(AI$4="","",CHOOSE(uxb_works!$B$47,IF(INDEX(aData,$B83,AI$4)="","-",TEXT(INDEX(aData,$B83,AI$4),$H83)),IFERROR(INDEX(aScoresRounded,$B83,AI$4),"")))</f>
        <v>0</v>
      </c>
      <c r="AJ83" s="631">
        <f>IF(AJ$4="","",CHOOSE(uxb_works!$B$47,IF(INDEX(aData,$B83,AJ$4)="","-",TEXT(INDEX(aData,$B83,AJ$4),$H83)),IFERROR(INDEX(aScoresRounded,$B83,AJ$4),"")))</f>
        <v>1</v>
      </c>
      <c r="AK83" s="631">
        <f>IF(AK$4="","",CHOOSE(uxb_works!$B$47,IF(INDEX(aData,$B83,AK$4)="","-",TEXT(INDEX(aData,$B83,AK$4),$H83)),IFERROR(INDEX(aScoresRounded,$B83,AK$4),"")))</f>
        <v>2</v>
      </c>
      <c r="AL83" s="631">
        <f>IF(AL$4="","",CHOOSE(uxb_works!$B$47,IF(INDEX(aData,$B83,AL$4)="","-",TEXT(INDEX(aData,$B83,AL$4),$H83)),IFERROR(INDEX(aScoresRounded,$B83,AL$4),"")))</f>
        <v>3</v>
      </c>
      <c r="AM83" s="631">
        <f>IF(AM$4="","",CHOOSE(uxb_works!$B$47,IF(INDEX(aData,$B83,AM$4)="","-",TEXT(INDEX(aData,$B83,AM$4),$H83)),IFERROR(INDEX(aScoresRounded,$B83,AM$4),"")))</f>
        <v>2</v>
      </c>
      <c r="AN83" s="631">
        <f>IF(AN$4="","",CHOOSE(uxb_works!$B$47,IF(INDEX(aData,$B83,AN$4)="","-",TEXT(INDEX(aData,$B83,AN$4),$H83)),IFERROR(INDEX(aScoresRounded,$B83,AN$4),"")))</f>
        <v>0</v>
      </c>
      <c r="AO83" s="631">
        <f>IF(AO$4="","",CHOOSE(uxb_works!$B$47,IF(INDEX(aData,$B83,AO$4)="","-",TEXT(INDEX(aData,$B83,AO$4),$H83)),IFERROR(INDEX(aScoresRounded,$B83,AO$4),"")))</f>
        <v>0</v>
      </c>
      <c r="AP83" s="631">
        <f>IF(AP$4="","",CHOOSE(uxb_works!$B$47,IF(INDEX(aData,$B83,AP$4)="","-",TEXT(INDEX(aData,$B83,AP$4),$H83)),IFERROR(INDEX(aScoresRounded,$B83,AP$4),"")))</f>
        <v>1</v>
      </c>
      <c r="AQ83" s="631">
        <f>IF(AQ$4="","",CHOOSE(uxb_works!$B$47,IF(INDEX(aData,$B83,AQ$4)="","-",TEXT(INDEX(aData,$B83,AQ$4),$H83)),IFERROR(INDEX(aScoresRounded,$B83,AQ$4),"")))</f>
        <v>0</v>
      </c>
      <c r="AR83" s="631">
        <f>IF(AR$4="","",CHOOSE(uxb_works!$B$47,IF(INDEX(aData,$B83,AR$4)="","-",TEXT(INDEX(aData,$B83,AR$4),$H83)),IFERROR(INDEX(aScoresRounded,$B83,AR$4),"")))</f>
        <v>0</v>
      </c>
      <c r="AS83" s="631">
        <f>IF(AS$4="","",CHOOSE(uxb_works!$B$47,IF(INDEX(aData,$B83,AS$4)="","-",TEXT(INDEX(aData,$B83,AS$4),$H83)),IFERROR(INDEX(aScoresRounded,$B83,AS$4),"")))</f>
        <v>0</v>
      </c>
      <c r="AT83" s="570"/>
      <c r="AW83" s="157">
        <f>CHOOSE($AV$1,0,IF(AW$10=0,0,IF(P83&lt;=$AX$1,1,IF(P83&lt;=#REF!,2,3))),IF(AW$10=0,0,IF(P83&lt;=$AX$1,4,IF(P83&lt;=#REF!,5,6))))</f>
        <v>0</v>
      </c>
      <c r="AX83" s="157">
        <f>CHOOSE($AV$1,0,IF(AX$10=0,0,IF(#REF!&lt;=$AX$1,1,IF(#REF!&lt;=#REF!,2,3))),IF(AX$10=0,0,IF(#REF!&lt;=$AX$1,4,IF(#REF!&lt;=#REF!,5,6))))</f>
        <v>0</v>
      </c>
    </row>
    <row r="84" spans="1:50" ht="25" hidden="1" customHeight="1">
      <c r="A84" s="213"/>
      <c r="B84" s="218">
        <f>tblIndicators!A75</f>
        <v>74</v>
      </c>
      <c r="C84" s="218"/>
      <c r="D84" s="218"/>
      <c r="E84" s="218">
        <f>tblIndicators!B75</f>
        <v>1</v>
      </c>
      <c r="F84" s="218">
        <f>IF(AND(uxb_works!$B$47=2,E84=1),0,iScores!F79)</f>
        <v>0</v>
      </c>
      <c r="G84" s="218"/>
      <c r="H84" s="218" t="str">
        <f>tblIndicators!AC75</f>
        <v>#,##0.000</v>
      </c>
      <c r="I84" s="219"/>
      <c r="J84" s="218"/>
      <c r="K84" s="214">
        <f>IF(L84=0,0,IF(uxb_works!$B$46&gt;=L84,1,0))</f>
        <v>0</v>
      </c>
      <c r="L84" s="216">
        <f>IF(AND(uxb_works!$B$47=2,E84=1),0,tblIndicators!G75)</f>
        <v>0</v>
      </c>
      <c r="M84" s="218"/>
      <c r="N84" s="249" t="str">
        <f>iScores!N79</f>
        <v xml:space="preserve">   BG_1.3) Human Development Index</v>
      </c>
      <c r="O84" s="407" t="str">
        <f>CHOOSE(uxb_works!$B$47,iData!I79,iScores!O79)</f>
        <v>0-1 score (Fragmented into decimal points)</v>
      </c>
      <c r="P84" s="631">
        <f>IF(P$4="","",CHOOSE(uxb_works!$B$47,IF(INDEX(aData,$B84,P$4)="","-",TEXT(INDEX(aData,$B84,P$4),$H84)),IFERROR(INDEX(aScoresRounded,$B84,P$4),"")))</f>
        <v>0.96299999999999997</v>
      </c>
      <c r="Q84" s="706">
        <f>IF(Q$4="","",CHOOSE(uxb_works!$B$47,IF(INDEX(aData,$B84,Q$4)="","-",TEXT(INDEX(aData,$B84,Q$4),$H84)),IFERROR(INDEX(aScoresRounded,$B84,Q$4),"")))</f>
        <v>0.94499999999999995</v>
      </c>
      <c r="R84" s="706">
        <f>IF(R$4="","",CHOOSE(uxb_works!$B$47,IF(INDEX(aData,$B84,R$4)="","-",TEXT(INDEX(aData,$B84,R$4),$H84)),IFERROR(INDEX(aScoresRounded,$B84,R$4),"")))</f>
        <v>0.81399999999999995</v>
      </c>
      <c r="S84" s="706">
        <f>IF(S$4="","",CHOOSE(uxb_works!$B$47,IF(INDEX(aData,$B84,S$4)="","-",TEXT(INDEX(aData,$B84,S$4),$H84)),IFERROR(INDEX(aScoresRounded,$B84,S$4),"")))</f>
        <v>0.91600000000000004</v>
      </c>
      <c r="T84" s="706">
        <f>IF(T$4="","",CHOOSE(uxb_works!$B$47,IF(INDEX(aData,$B84,T$4)="","-",TEXT(INDEX(aData,$B84,T$4),$H84)),IFERROR(INDEX(aScoresRounded,$B84,T$4),"")))</f>
        <v>0.90400000000000003</v>
      </c>
      <c r="U84" s="706">
        <f>IF(U$4="","",CHOOSE(uxb_works!$B$47,IF(INDEX(aData,$B84,U$4)="","-",TEXT(INDEX(aData,$B84,U$4),$H84)),IFERROR(INDEX(aScoresRounded,$B84,U$4),"")))</f>
        <v>0.96399999999999997</v>
      </c>
      <c r="V84" s="706">
        <f>IF(V$4="","",CHOOSE(uxb_works!$B$47,IF(INDEX(aData,$B84,V$4)="","-",TEXT(INDEX(aData,$B84,V$4),$H84)),IFERROR(INDEX(aScoresRounded,$B84,V$4),"")))</f>
        <v>0.88200000000000001</v>
      </c>
      <c r="W84" s="706">
        <f>IF(W$4="","",CHOOSE(uxb_works!$B$47,IF(INDEX(aData,$B84,W$4)="","-",TEXT(INDEX(aData,$B84,W$4),$H84)),IFERROR(INDEX(aScoresRounded,$B84,W$4),"")))</f>
        <v>0.96099999999999997</v>
      </c>
      <c r="X84" s="706">
        <f>IF(X$4="","",CHOOSE(uxb_works!$B$47,IF(INDEX(aData,$B84,X$4)="","-",TEXT(INDEX(aData,$B84,X$4),$H84)),IFERROR(INDEX(aScoresRounded,$B84,X$4),"")))</f>
        <v>0.91700000000000004</v>
      </c>
      <c r="Y84" s="631">
        <f>IF(Y$4="","",CHOOSE(uxb_works!$B$47,IF(INDEX(aData,$B84,Y$4)="","-",TEXT(INDEX(aData,$B84,Y$4),$H84)),IFERROR(INDEX(aScoresRounded,$B84,Y$4),"")))</f>
        <v>0.88900000000000001</v>
      </c>
      <c r="Z84" s="631">
        <f>IF(Z$4="","",CHOOSE(uxb_works!$B$47,IF(INDEX(aData,$B84,Z$4)="","-",TEXT(INDEX(aData,$B84,Z$4),$H84)),IFERROR(INDEX(aScoresRounded,$B84,Z$4),"")))</f>
        <v>0.95499999999999996</v>
      </c>
      <c r="AA84" s="631">
        <f>IF(AA$4="","",CHOOSE(uxb_works!$B$47,IF(INDEX(aData,$B84,AA$4)="","-",TEXT(INDEX(aData,$B84,AA$4),$H84)),IFERROR(INDEX(aScoresRounded,$B84,AA$4),"")))</f>
        <v>0.94899999999999995</v>
      </c>
      <c r="AB84" s="631">
        <f>IF(AB$4="","",CHOOSE(uxb_works!$B$47,IF(INDEX(aData,$B84,AB$4)="","-",TEXT(INDEX(aData,$B84,AB$4),$H84)),IFERROR(INDEX(aScoresRounded,$B84,AB$4),"")))</f>
        <v>0.77300000000000002</v>
      </c>
      <c r="AC84" s="631">
        <f>IF(AC$4="","",CHOOSE(uxb_works!$B$47,IF(INDEX(aData,$B84,AC$4)="","-",TEXT(INDEX(aData,$B84,AC$4),$H84)),IFERROR(INDEX(aScoresRounded,$B84,AC$4),"")))</f>
        <v>0.86699999999999999</v>
      </c>
      <c r="AD84" s="631">
        <f>IF(AD$4="","",CHOOSE(uxb_works!$B$47,IF(INDEX(aData,$B84,AD$4)="","-",TEXT(INDEX(aData,$B84,AD$4),$H84)),IFERROR(INDEX(aScoresRounded,$B84,AD$4),"")))</f>
        <v>0.97599999999999998</v>
      </c>
      <c r="AE84" s="631">
        <f>IF(AE$4="","",CHOOSE(uxb_works!$B$47,IF(INDEX(aData,$B84,AE$4)="","-",TEXT(INDEX(aData,$B84,AE$4),$H84)),IFERROR(INDEX(aScoresRounded,$B84,AE$4),"")))</f>
        <v>0.94099999999999995</v>
      </c>
      <c r="AF84" s="631">
        <f>IF(AF$4="","",CHOOSE(uxb_works!$B$47,IF(INDEX(aData,$B84,AF$4)="","-",TEXT(INDEX(aData,$B84,AF$4),$H84)),IFERROR(INDEX(aScoresRounded,$B84,AF$4),"")))</f>
        <v>0.78100000000000003</v>
      </c>
      <c r="AG84" s="631">
        <f>IF(AG$4="","",CHOOSE(uxb_works!$B$47,IF(INDEX(aData,$B84,AG$4)="","-",TEXT(INDEX(aData,$B84,AG$4),$H84)),IFERROR(INDEX(aScoresRounded,$B84,AG$4),"")))</f>
        <v>0.78400000000000003</v>
      </c>
      <c r="AH84" s="631">
        <f>IF(AH$4="","",CHOOSE(uxb_works!$B$47,IF(INDEX(aData,$B84,AH$4)="","-",TEXT(INDEX(aData,$B84,AH$4),$H84)),IFERROR(INDEX(aScoresRounded,$B84,AH$4),"")))</f>
        <v>0.746</v>
      </c>
      <c r="AI84" s="631">
        <f>IF(AI$4="","",CHOOSE(uxb_works!$B$47,IF(INDEX(aData,$B84,AI$4)="","-",TEXT(INDEX(aData,$B84,AI$4),$H84)),IFERROR(INDEX(aScoresRounded,$B84,AI$4),"")))</f>
        <v>0.94399999999999995</v>
      </c>
      <c r="AJ84" s="631">
        <f>IF(AJ$4="","",CHOOSE(uxb_works!$B$47,IF(INDEX(aData,$B84,AJ$4)="","-",TEXT(INDEX(aData,$B84,AJ$4),$H84)),IFERROR(INDEX(aScoresRounded,$B84,AJ$4),"")))</f>
        <v>0.94699999999999995</v>
      </c>
      <c r="AK84" s="631">
        <f>IF(AK$4="","",CHOOSE(uxb_works!$B$47,IF(INDEX(aData,$B84,AK$4)="","-",TEXT(INDEX(aData,$B84,AK$4),$H84)),IFERROR(INDEX(aScoresRounded,$B84,AK$4),"")))</f>
        <v>0.91400000000000003</v>
      </c>
      <c r="AL84" s="631">
        <f>IF(AL$4="","",CHOOSE(uxb_works!$B$47,IF(INDEX(aData,$B84,AL$4)="","-",TEXT(INDEX(aData,$B84,AL$4),$H84)),IFERROR(INDEX(aScoresRounded,$B84,AL$4),"")))</f>
        <v>0.79100000000000004</v>
      </c>
      <c r="AM84" s="631">
        <f>IF(AM$4="","",CHOOSE(uxb_works!$B$47,IF(INDEX(aData,$B84,AM$4)="","-",TEXT(INDEX(aData,$B84,AM$4),$H84)),IFERROR(INDEX(aScoresRounded,$B84,AM$4),"")))</f>
        <v>0.94299999999999995</v>
      </c>
      <c r="AN84" s="631">
        <f>IF(AN$4="","",CHOOSE(uxb_works!$B$47,IF(INDEX(aData,$B84,AN$4)="","-",TEXT(INDEX(aData,$B84,AN$4),$H84)),IFERROR(INDEX(aScoresRounded,$B84,AN$4),"")))</f>
        <v>0.93799999999999994</v>
      </c>
      <c r="AO84" s="631">
        <f>IF(AO$4="","",CHOOSE(uxb_works!$B$47,IF(INDEX(aData,$B84,AO$4)="","-",TEXT(INDEX(aData,$B84,AO$4),$H84)),IFERROR(INDEX(aScoresRounded,$B84,AO$4),"")))</f>
        <v>0.94499999999999995</v>
      </c>
      <c r="AP84" s="631">
        <f>IF(AP$4="","",CHOOSE(uxb_works!$B$47,IF(INDEX(aData,$B84,AP$4)="","-",TEXT(INDEX(aData,$B84,AP$4),$H84)),IFERROR(INDEX(aScoresRounded,$B84,AP$4),"")))</f>
        <v>0.94399999999999995</v>
      </c>
      <c r="AQ84" s="631">
        <f>IF(AQ$4="","",CHOOSE(uxb_works!$B$47,IF(INDEX(aData,$B84,AQ$4)="","-",TEXT(INDEX(aData,$B84,AQ$4),$H84)),IFERROR(INDEX(aScoresRounded,$B84,AQ$4),"")))</f>
        <v>0.93700000000000006</v>
      </c>
      <c r="AR84" s="631">
        <f>IF(AR$4="","",CHOOSE(uxb_works!$B$47,IF(INDEX(aData,$B84,AR$4)="","-",TEXT(INDEX(aData,$B84,AR$4),$H84)),IFERROR(INDEX(aScoresRounded,$B84,AR$4),"")))</f>
        <v>0.94599999999999995</v>
      </c>
      <c r="AS84" s="631">
        <f>IF(AS$4="","",CHOOSE(uxb_works!$B$47,IF(INDEX(aData,$B84,AS$4)="","-",TEXT(INDEX(aData,$B84,AS$4),$H84)),IFERROR(INDEX(aScoresRounded,$B84,AS$4),"")))</f>
        <v>0.98</v>
      </c>
      <c r="AT84" s="570"/>
      <c r="AW84" s="157">
        <f>CHOOSE($AV$1,0,IF(AW$10=0,0,IF(P84&lt;=$AX$1,1,IF(P84&lt;=#REF!,2,3))),IF(AW$10=0,0,IF(P84&lt;=$AX$1,4,IF(P84&lt;=#REF!,5,6))))</f>
        <v>0</v>
      </c>
      <c r="AX84" s="157">
        <f>CHOOSE($AV$1,0,IF(AX$10=0,0,IF(#REF!&lt;=$AX$1,1,IF(#REF!&lt;=#REF!,2,3))),IF(AX$10=0,0,IF(#REF!&lt;=$AX$1,4,IF(#REF!&lt;=#REF!,5,6))))</f>
        <v>0</v>
      </c>
    </row>
    <row r="85" spans="1:50" ht="25" hidden="1" customHeight="1">
      <c r="A85" s="213"/>
      <c r="B85" s="218">
        <f>tblIndicators!A76</f>
        <v>75</v>
      </c>
      <c r="C85" s="218"/>
      <c r="D85" s="218"/>
      <c r="E85" s="218">
        <f>tblIndicators!B76</f>
        <v>1</v>
      </c>
      <c r="F85" s="218">
        <f>IF(AND(uxb_works!$B$47=2,E85=1),0,iScores!F80)</f>
        <v>0</v>
      </c>
      <c r="G85" s="218"/>
      <c r="H85" s="218" t="str">
        <f>tblIndicators!AC76</f>
        <v>#,##0.000</v>
      </c>
      <c r="I85" s="219"/>
      <c r="J85" s="218"/>
      <c r="K85" s="214">
        <f>IF(L85=0,0,IF(uxb_works!$B$46&gt;=L85,1,0))</f>
        <v>0</v>
      </c>
      <c r="L85" s="216">
        <f>IF(AND(uxb_works!$B$47=2,E85=1),0,tblIndicators!G76)</f>
        <v>0</v>
      </c>
      <c r="M85" s="218"/>
      <c r="N85" s="249" t="str">
        <f>iScores!N80</f>
        <v xml:space="preserve">   BG_1.4) Gender Inequality Index</v>
      </c>
      <c r="O85" s="407" t="str">
        <f>CHOOSE(uxb_works!$B$47,iData!I80,iScores!O80)</f>
        <v>0-1 score (Fragmented into decimal points)</v>
      </c>
      <c r="P85" s="631">
        <f>IF(P$4="","",CHOOSE(uxb_works!$B$47,IF(INDEX(aData,$B85,P$4)="","-",TEXT(INDEX(aData,$B85,P$4),$H85)),IFERROR(INDEX(aScoresRounded,$B85,P$4),"")))</f>
        <v>4.2999999999999997E-2</v>
      </c>
      <c r="Q85" s="706">
        <f>IF(Q$4="","",CHOOSE(uxb_works!$B$47,IF(INDEX(aData,$B85,Q$4)="","-",TEXT(INDEX(aData,$B85,Q$4),$H85)),IFERROR(INDEX(aScoresRounded,$B85,Q$4),"")))</f>
        <v>0.123</v>
      </c>
      <c r="R85" s="706">
        <f>IF(R$4="","",CHOOSE(uxb_works!$B$47,IF(INDEX(aData,$B85,R$4)="","-",TEXT(INDEX(aData,$B85,R$4),$H85)),IFERROR(INDEX(aScoresRounded,$B85,R$4),"")))</f>
        <v>0.35899999999999999</v>
      </c>
      <c r="S85" s="706">
        <f>IF(S$4="","",CHOOSE(uxb_works!$B$47,IF(INDEX(aData,$B85,S$4)="","-",TEXT(INDEX(aData,$B85,S$4),$H85)),IFERROR(INDEX(aScoresRounded,$B85,S$4),"")))</f>
        <v>7.0000000000000007E-2</v>
      </c>
      <c r="T85" s="706">
        <f>IF(T$4="","",CHOOSE(uxb_works!$B$47,IF(INDEX(aData,$B85,T$4)="","-",TEXT(INDEX(aData,$B85,T$4),$H85)),IFERROR(INDEX(aScoresRounded,$B85,T$4),"")))</f>
        <v>0.16800000000000001</v>
      </c>
      <c r="U85" s="706">
        <f>IF(U$4="","",CHOOSE(uxb_works!$B$47,IF(INDEX(aData,$B85,U$4)="","-",TEXT(INDEX(aData,$B85,U$4),$H85)),IFERROR(INDEX(aScoresRounded,$B85,U$4),"")))</f>
        <v>8.4000000000000005E-2</v>
      </c>
      <c r="V85" s="706">
        <f>IF(V$4="","",CHOOSE(uxb_works!$B$47,IF(INDEX(aData,$B85,V$4)="","-",TEXT(INDEX(aData,$B85,V$4),$H85)),IFERROR(INDEX(aScoresRounded,$B85,V$4),"")))</f>
        <v>0.32800000000000001</v>
      </c>
      <c r="W85" s="706">
        <f>IF(W$4="","",CHOOSE(uxb_works!$B$47,IF(INDEX(aData,$B85,W$4)="","-",TEXT(INDEX(aData,$B85,W$4),$H85)),IFERROR(INDEX(aScoresRounded,$B85,W$4),"")))</f>
        <v>3.7999999999999999E-2</v>
      </c>
      <c r="X85" s="706">
        <f>IF(X$4="","",CHOOSE(uxb_works!$B$47,IF(INDEX(aData,$B85,X$4)="","-",TEXT(INDEX(aData,$B85,X$4),$H85)),IFERROR(INDEX(aScoresRounded,$B85,X$4),"")))</f>
        <v>0.20399999999999999</v>
      </c>
      <c r="Y85" s="631">
        <f>IF(Y$4="","",CHOOSE(uxb_works!$B$47,IF(INDEX(aData,$B85,Y$4)="","-",TEXT(INDEX(aData,$B85,Y$4),$H85)),IFERROR(INDEX(aScoresRounded,$B85,Y$4),"")))</f>
        <v>7.9000000000000001E-2</v>
      </c>
      <c r="Z85" s="631">
        <f>IF(Z$4="","",CHOOSE(uxb_works!$B$47,IF(INDEX(aData,$B85,Z$4)="","-",TEXT(INDEX(aData,$B85,Z$4),$H85)),IFERROR(INDEX(aScoresRounded,$B85,Z$4),"")))</f>
        <v>8.4000000000000005E-2</v>
      </c>
      <c r="AA85" s="631">
        <f>IF(AA$4="","",CHOOSE(uxb_works!$B$47,IF(INDEX(aData,$B85,AA$4)="","-",TEXT(INDEX(aData,$B85,AA$4),$H85)),IFERROR(INDEX(aScoresRounded,$B85,AA$4),"")))</f>
        <v>0</v>
      </c>
      <c r="AB85" s="631">
        <f>IF(AB$4="","",CHOOSE(uxb_works!$B$47,IF(INDEX(aData,$B85,AB$4)="","-",TEXT(INDEX(aData,$B85,AB$4),$H85)),IFERROR(INDEX(aScoresRounded,$B85,AB$4),"")))</f>
        <v>0.48</v>
      </c>
      <c r="AC85" s="631">
        <f>IF(AC$4="","",CHOOSE(uxb_works!$B$47,IF(INDEX(aData,$B85,AC$4)="","-",TEXT(INDEX(aData,$B85,AC$4),$H85)),IFERROR(INDEX(aScoresRounded,$B85,AC$4),"")))</f>
        <v>0.253</v>
      </c>
      <c r="AD85" s="631">
        <f>IF(AD$4="","",CHOOSE(uxb_works!$B$47,IF(INDEX(aData,$B85,AD$4)="","-",TEXT(INDEX(aData,$B85,AD$4),$H85)),IFERROR(INDEX(aScoresRounded,$B85,AD$4),"")))</f>
        <v>0.11799999999999999</v>
      </c>
      <c r="AE85" s="631">
        <f>IF(AE$4="","",CHOOSE(uxb_works!$B$47,IF(INDEX(aData,$B85,AE$4)="","-",TEXT(INDEX(aData,$B85,AE$4),$H85)),IFERROR(INDEX(aScoresRounded,$B85,AE$4),"")))</f>
        <v>7.0000000000000007E-2</v>
      </c>
      <c r="AF85" s="631">
        <f>IF(AF$4="","",CHOOSE(uxb_works!$B$47,IF(INDEX(aData,$B85,AF$4)="","-",TEXT(INDEX(aData,$B85,AF$4),$H85)),IFERROR(INDEX(aScoresRounded,$B85,AF$4),"")))</f>
        <v>0.43</v>
      </c>
      <c r="AG85" s="631">
        <f>IF(AG$4="","",CHOOSE(uxb_works!$B$47,IF(INDEX(aData,$B85,AG$4)="","-",TEXT(INDEX(aData,$B85,AG$4),$H85)),IFERROR(INDEX(aScoresRounded,$B85,AG$4),"")))</f>
        <v>0.32200000000000001</v>
      </c>
      <c r="AH85" s="631">
        <f>IF(AH$4="","",CHOOSE(uxb_works!$B$47,IF(INDEX(aData,$B85,AH$4)="","-",TEXT(INDEX(aData,$B85,AH$4),$H85)),IFERROR(INDEX(aScoresRounded,$B85,AH$4),"")))</f>
        <v>0.48799999999999999</v>
      </c>
      <c r="AI85" s="631">
        <f>IF(AI$4="","",CHOOSE(uxb_works!$B$47,IF(INDEX(aData,$B85,AI$4)="","-",TEXT(INDEX(aData,$B85,AI$4),$H85)),IFERROR(INDEX(aScoresRounded,$B85,AI$4),"")))</f>
        <v>0.20399999999999999</v>
      </c>
      <c r="AJ85" s="631">
        <f>IF(AJ$4="","",CHOOSE(uxb_works!$B$47,IF(INDEX(aData,$B85,AJ$4)="","-",TEXT(INDEX(aData,$B85,AJ$4),$H85)),IFERROR(INDEX(aScoresRounded,$B85,AJ$4),"")))</f>
        <v>4.9000000000000002E-2</v>
      </c>
      <c r="AK85" s="631">
        <f>IF(AK$4="","",CHOOSE(uxb_works!$B$47,IF(INDEX(aData,$B85,AK$4)="","-",TEXT(INDEX(aData,$B85,AK$4),$H85)),IFERROR(INDEX(aScoresRounded,$B85,AK$4),"")))</f>
        <v>6.9000000000000006E-2</v>
      </c>
      <c r="AL85" s="631">
        <f>IF(AL$4="","",CHOOSE(uxb_works!$B$47,IF(INDEX(aData,$B85,AL$4)="","-",TEXT(INDEX(aData,$B85,AL$4),$H85)),IFERROR(INDEX(aScoresRounded,$B85,AL$4),"")))</f>
        <v>0.40799999999999997</v>
      </c>
      <c r="AM85" s="631">
        <f>IF(AM$4="","",CHOOSE(uxb_works!$B$47,IF(INDEX(aData,$B85,AM$4)="","-",TEXT(INDEX(aData,$B85,AM$4),$H85)),IFERROR(INDEX(aScoresRounded,$B85,AM$4),"")))</f>
        <v>6.4000000000000001E-2</v>
      </c>
      <c r="AN85" s="631">
        <f>IF(AN$4="","",CHOOSE(uxb_works!$B$47,IF(INDEX(aData,$B85,AN$4)="","-",TEXT(INDEX(aData,$B85,AN$4),$H85)),IFERROR(INDEX(aScoresRounded,$B85,AN$4),"")))</f>
        <v>6.5000000000000002E-2</v>
      </c>
      <c r="AO85" s="631">
        <f>IF(AO$4="","",CHOOSE(uxb_works!$B$47,IF(INDEX(aData,$B85,AO$4)="","-",TEXT(INDEX(aData,$B85,AO$4),$H85)),IFERROR(INDEX(aScoresRounded,$B85,AO$4),"")))</f>
        <v>9.7000000000000003E-2</v>
      </c>
      <c r="AP85" s="631">
        <f>IF(AP$4="","",CHOOSE(uxb_works!$B$47,IF(INDEX(aData,$B85,AP$4)="","-",TEXT(INDEX(aData,$B85,AP$4),$H85)),IFERROR(INDEX(aScoresRounded,$B85,AP$4),"")))</f>
        <v>9.4E-2</v>
      </c>
      <c r="AQ85" s="631">
        <f>IF(AQ$4="","",CHOOSE(uxb_works!$B$47,IF(INDEX(aData,$B85,AQ$4)="","-",TEXT(INDEX(aData,$B85,AQ$4),$H85)),IFERROR(INDEX(aScoresRounded,$B85,AQ$4),"")))</f>
        <v>0.08</v>
      </c>
      <c r="AR85" s="631">
        <f>IF(AR$4="","",CHOOSE(uxb_works!$B$47,IF(INDEX(aData,$B85,AR$4)="","-",TEXT(INDEX(aData,$B85,AR$4),$H85)),IFERROR(INDEX(aScoresRounded,$B85,AR$4),"")))</f>
        <v>0.20399999999999999</v>
      </c>
      <c r="AS85" s="631">
        <f>IF(AS$4="","",CHOOSE(uxb_works!$B$47,IF(INDEX(aData,$B85,AS$4)="","-",TEXT(INDEX(aData,$B85,AS$4),$H85)),IFERROR(INDEX(aScoresRounded,$B85,AS$4),"")))</f>
        <v>2.5000000000000001E-2</v>
      </c>
      <c r="AT85" s="570"/>
      <c r="AW85" s="157">
        <f>CHOOSE($AV$1,0,IF(AW$10=0,0,IF(P85&lt;=$AX$1,1,IF(P85&lt;=#REF!,2,3))),IF(AW$10=0,0,IF(P85&lt;=$AX$1,4,IF(P85&lt;=#REF!,5,6))))</f>
        <v>0</v>
      </c>
      <c r="AX85" s="157">
        <f>CHOOSE($AV$1,0,IF(AX$10=0,0,IF(#REF!&lt;=$AX$1,1,IF(#REF!&lt;=#REF!,2,3))),IF(AX$10=0,0,IF(#REF!&lt;=$AX$1,4,IF(#REF!&lt;=#REF!,5,6))))</f>
        <v>0</v>
      </c>
    </row>
    <row r="86" spans="1:50" ht="25" hidden="1" customHeight="1">
      <c r="A86" s="213"/>
      <c r="B86" s="218">
        <f>tblIndicators!A77</f>
        <v>76</v>
      </c>
      <c r="C86" s="218"/>
      <c r="D86" s="218"/>
      <c r="E86" s="218">
        <f>tblIndicators!B77</f>
        <v>1</v>
      </c>
      <c r="F86" s="218">
        <f>IF(AND(uxb_works!$B$47=2,E86=1),0,iScores!F81)</f>
        <v>0</v>
      </c>
      <c r="G86" s="218"/>
      <c r="H86" s="218" t="str">
        <f>tblIndicators!AC77</f>
        <v>#,##0</v>
      </c>
      <c r="I86" s="219"/>
      <c r="J86" s="218"/>
      <c r="K86" s="214">
        <f>IF(L86=0,0,IF(uxb_works!$B$46&gt;=L86,1,0))</f>
        <v>0</v>
      </c>
      <c r="L86" s="216">
        <f>IF(AND(uxb_works!$B$47=2,E86=1),0,tblIndicators!G77)</f>
        <v>0</v>
      </c>
      <c r="M86" s="218"/>
      <c r="N86" s="249" t="str">
        <f>iScores!N81</f>
        <v xml:space="preserve">   BG_1.5) Per capita income</v>
      </c>
      <c r="O86" s="407" t="str">
        <f>CHOOSE(uxb_works!$B$47,iData!I81,iScores!O81)</f>
        <v>per head, US$</v>
      </c>
      <c r="P86" s="631">
        <f>IF(P$4="","",CHOOSE(uxb_works!$B$47,IF(INDEX(aData,$B86,P$4)="","-",TEXT(INDEX(aData,$B86,P$4),$H86)),IFERROR(INDEX(aScoresRounded,$B86,P$4),"")))</f>
        <v>31714</v>
      </c>
      <c r="Q86" s="706">
        <f>IF(Q$4="","",CHOOSE(uxb_works!$B$47,IF(INDEX(aData,$B86,Q$4)="","-",TEXT(INDEX(aData,$B86,Q$4),$H86)),IFERROR(INDEX(aScoresRounded,$B86,Q$4),"")))</f>
        <v>22293</v>
      </c>
      <c r="R86" s="706">
        <f>IF(R$4="","",CHOOSE(uxb_works!$B$47,IF(INDEX(aData,$B86,R$4)="","-",TEXT(INDEX(aData,$B86,R$4),$H86)),IFERROR(INDEX(aScoresRounded,$B86,R$4),"")))</f>
        <v>7130</v>
      </c>
      <c r="S86" s="706">
        <f>IF(S$4="","",CHOOSE(uxb_works!$B$47,IF(INDEX(aData,$B86,S$4)="","-",TEXT(INDEX(aData,$B86,S$4),$H86)),IFERROR(INDEX(aScoresRounded,$B86,S$4),"")))</f>
        <v>20191</v>
      </c>
      <c r="T86" s="706">
        <f>IF(T$4="","",CHOOSE(uxb_works!$B$47,IF(INDEX(aData,$B86,T$4)="","-",TEXT(INDEX(aData,$B86,T$4),$H86)),IFERROR(INDEX(aScoresRounded,$B86,T$4),"")))</f>
        <v>12810</v>
      </c>
      <c r="U86" s="706">
        <f>IF(U$4="","",CHOOSE(uxb_works!$B$47,IF(INDEX(aData,$B86,U$4)="","-",TEXT(INDEX(aData,$B86,U$4),$H86)),IFERROR(INDEX(aScoresRounded,$B86,U$4),"")))</f>
        <v>22804</v>
      </c>
      <c r="V86" s="706">
        <f>IF(V$4="","",CHOOSE(uxb_works!$B$47,IF(INDEX(aData,$B86,V$4)="","-",TEXT(INDEX(aData,$B86,V$4),$H86)),IFERROR(INDEX(aScoresRounded,$B86,V$4),"")))</f>
        <v>9190</v>
      </c>
      <c r="W86" s="706">
        <f>IF(W$4="","",CHOOSE(uxb_works!$B$47,IF(INDEX(aData,$B86,W$4)="","-",TEXT(INDEX(aData,$B86,W$4),$H86)),IFERROR(INDEX(aScoresRounded,$B86,W$4),"")))</f>
        <v>33291</v>
      </c>
      <c r="X86" s="706">
        <f>IF(X$4="","",CHOOSE(uxb_works!$B$47,IF(INDEX(aData,$B86,X$4)="","-",TEXT(INDEX(aData,$B86,X$4),$H86)),IFERROR(INDEX(aScoresRounded,$B86,X$4),"")))</f>
        <v>49936</v>
      </c>
      <c r="Y86" s="631">
        <f>IF(Y$4="","",CHOOSE(uxb_works!$B$47,IF(INDEX(aData,$B86,Y$4)="","-",TEXT(INDEX(aData,$B86,Y$4),$H86)),IFERROR(INDEX(aScoresRounded,$B86,Y$4),"")))</f>
        <v>16475</v>
      </c>
      <c r="Z86" s="631">
        <f>IF(Z$4="","",CHOOSE(uxb_works!$B$47,IF(INDEX(aData,$B86,Z$4)="","-",TEXT(INDEX(aData,$B86,Z$4),$H86)),IFERROR(INDEX(aScoresRounded,$B86,Z$4),"")))</f>
        <v>37926</v>
      </c>
      <c r="AA86" s="631">
        <f>IF(AA$4="","",CHOOSE(uxb_works!$B$47,IF(INDEX(aData,$B86,AA$4)="","-",TEXT(INDEX(aData,$B86,AA$4),$H86)),IFERROR(INDEX(aScoresRounded,$B86,AA$4),"")))</f>
        <v>36000</v>
      </c>
      <c r="AB86" s="631">
        <f>IF(AB$4="","",CHOOSE(uxb_works!$B$47,IF(INDEX(aData,$B86,AB$4)="","-",TEXT(INDEX(aData,$B86,AB$4),$H86)),IFERROR(INDEX(aScoresRounded,$B86,AB$4),"")))</f>
        <v>5439</v>
      </c>
      <c r="AC86" s="631">
        <f>IF(AC$4="","",CHOOSE(uxb_works!$B$47,IF(INDEX(aData,$B86,AC$4)="","-",TEXT(INDEX(aData,$B86,AC$4),$H86)),IFERROR(INDEX(aScoresRounded,$B86,AC$4),"")))</f>
        <v>10429</v>
      </c>
      <c r="AD86" s="631">
        <f>IF(AD$4="","",CHOOSE(uxb_works!$B$47,IF(INDEX(aData,$B86,AD$4)="","-",TEXT(INDEX(aData,$B86,AD$4),$H86)),IFERROR(INDEX(aScoresRounded,$B86,AD$4),"")))</f>
        <v>39776</v>
      </c>
      <c r="AE86" s="631">
        <f>IF(AE$4="","",CHOOSE(uxb_works!$B$47,IF(INDEX(aData,$B86,AE$4)="","-",TEXT(INDEX(aData,$B86,AE$4),$H86)),IFERROR(INDEX(aScoresRounded,$B86,AE$4),"")))</f>
        <v>23771</v>
      </c>
      <c r="AF86" s="631">
        <f>IF(AF$4="","",CHOOSE(uxb_works!$B$47,IF(INDEX(aData,$B86,AF$4)="","-",TEXT(INDEX(aData,$B86,AF$4),$H86)),IFERROR(INDEX(aScoresRounded,$B86,AF$4),"")))</f>
        <v>6935</v>
      </c>
      <c r="AG86" s="631">
        <f>IF(AG$4="","",CHOOSE(uxb_works!$B$47,IF(INDEX(aData,$B86,AG$4)="","-",TEXT(INDEX(aData,$B86,AG$4),$H86)),IFERROR(INDEX(aScoresRounded,$B86,AG$4),"")))</f>
        <v>14963</v>
      </c>
      <c r="AH86" s="631">
        <f>IF(AH$4="","",CHOOSE(uxb_works!$B$47,IF(INDEX(aData,$B86,AH$4)="","-",TEXT(INDEX(aData,$B86,AH$4),$H86)),IFERROR(INDEX(aScoresRounded,$B86,AH$4),"")))</f>
        <v>2913</v>
      </c>
      <c r="AI86" s="631">
        <f>IF(AI$4="","",CHOOSE(uxb_works!$B$47,IF(INDEX(aData,$B86,AI$4)="","-",TEXT(INDEX(aData,$B86,AI$4),$H86)),IFERROR(INDEX(aScoresRounded,$B86,AI$4),"")))</f>
        <v>69395</v>
      </c>
      <c r="AJ86" s="631">
        <f>IF(AJ$4="","",CHOOSE(uxb_works!$B$47,IF(INDEX(aData,$B86,AJ$4)="","-",TEXT(INDEX(aData,$B86,AJ$4),$H86)),IFERROR(INDEX(aScoresRounded,$B86,AJ$4),"")))</f>
        <v>37651</v>
      </c>
      <c r="AK86" s="631">
        <f>IF(AK$4="","",CHOOSE(uxb_works!$B$47,IF(INDEX(aData,$B86,AK$4)="","-",TEXT(INDEX(aData,$B86,AK$4),$H86)),IFERROR(INDEX(aScoresRounded,$B86,AK$4),"")))</f>
        <v>25287</v>
      </c>
      <c r="AL86" s="631">
        <f>IF(AL$4="","",CHOOSE(uxb_works!$B$47,IF(INDEX(aData,$B86,AL$4)="","-",TEXT(INDEX(aData,$B86,AL$4),$H86)),IFERROR(INDEX(aScoresRounded,$B86,AL$4),"")))</f>
        <v>7160</v>
      </c>
      <c r="AM86" s="631">
        <f>IF(AM$4="","",CHOOSE(uxb_works!$B$47,IF(INDEX(aData,$B86,AM$4)="","-",TEXT(INDEX(aData,$B86,AM$4),$H86)),IFERROR(INDEX(aScoresRounded,$B86,AM$4),"")))</f>
        <v>17763</v>
      </c>
      <c r="AN86" s="631">
        <f>IF(AN$4="","",CHOOSE(uxb_works!$B$47,IF(INDEX(aData,$B86,AN$4)="","-",TEXT(INDEX(aData,$B86,AN$4),$H86)),IFERROR(INDEX(aScoresRounded,$B86,AN$4),"")))</f>
        <v>32230</v>
      </c>
      <c r="AO86" s="631">
        <f>IF(AO$4="","",CHOOSE(uxb_works!$B$47,IF(INDEX(aData,$B86,AO$4)="","-",TEXT(INDEX(aData,$B86,AO$4),$H86)),IFERROR(INDEX(aScoresRounded,$B86,AO$4),"")))</f>
        <v>31186</v>
      </c>
      <c r="AP86" s="631">
        <f>IF(AP$4="","",CHOOSE(uxb_works!$B$47,IF(INDEX(aData,$B86,AP$4)="","-",TEXT(INDEX(aData,$B86,AP$4),$H86)),IFERROR(INDEX(aScoresRounded,$B86,AP$4),"")))</f>
        <v>24962</v>
      </c>
      <c r="AQ86" s="631">
        <f>IF(AQ$4="","",CHOOSE(uxb_works!$B$47,IF(INDEX(aData,$B86,AQ$4)="","-",TEXT(INDEX(aData,$B86,AQ$4),$H86)),IFERROR(INDEX(aScoresRounded,$B86,AQ$4),"")))</f>
        <v>26965</v>
      </c>
      <c r="AR86" s="631">
        <f>IF(AR$4="","",CHOOSE(uxb_works!$B$47,IF(INDEX(aData,$B86,AR$4)="","-",TEXT(INDEX(aData,$B86,AR$4),$H86)),IFERROR(INDEX(aScoresRounded,$B86,AR$4),"")))</f>
        <v>67938</v>
      </c>
      <c r="AS86" s="631">
        <f>IF(AS$4="","",CHOOSE(uxb_works!$B$47,IF(INDEX(aData,$B86,AS$4)="","-",TEXT(INDEX(aData,$B86,AS$4),$H86)),IFERROR(INDEX(aScoresRounded,$B86,AS$4),"")))</f>
        <v>56646</v>
      </c>
      <c r="AT86" s="570"/>
      <c r="AW86" s="157">
        <f>CHOOSE($AV$1,0,IF(AW$10=0,0,IF(P86&lt;=$AX$1,1,IF(P86&lt;=#REF!,2,3))),IF(AW$10=0,0,IF(P86&lt;=$AX$1,4,IF(P86&lt;=#REF!,5,6))))</f>
        <v>0</v>
      </c>
      <c r="AX86" s="157">
        <f>CHOOSE($AV$1,0,IF(AX$10=0,0,IF(#REF!&lt;=$AX$1,1,IF(#REF!&lt;=#REF!,2,3))),IF(AX$10=0,0,IF(#REF!&lt;=$AX$1,4,IF(#REF!&lt;=#REF!,5,6))))</f>
        <v>0</v>
      </c>
    </row>
    <row r="87" spans="1:50" ht="22.5" customHeight="1">
      <c r="N87" s="409"/>
      <c r="O87" s="410"/>
      <c r="P87" s="632"/>
      <c r="Q87" s="632"/>
      <c r="R87" s="632"/>
      <c r="S87" s="632"/>
      <c r="T87" s="632"/>
      <c r="U87" s="632"/>
      <c r="V87" s="632"/>
      <c r="W87" s="632"/>
      <c r="X87" s="632"/>
      <c r="Y87" s="632"/>
      <c r="Z87" s="632"/>
      <c r="AA87" s="632"/>
      <c r="AB87" s="632"/>
      <c r="AC87" s="632"/>
      <c r="AD87" s="632"/>
      <c r="AE87" s="632"/>
      <c r="AF87" s="632"/>
      <c r="AG87" s="632"/>
      <c r="AH87" s="632"/>
      <c r="AI87" s="632"/>
      <c r="AJ87" s="632"/>
      <c r="AK87" s="632"/>
      <c r="AL87" s="632"/>
      <c r="AM87" s="632"/>
      <c r="AN87" s="632"/>
      <c r="AO87" s="632"/>
      <c r="AP87" s="632"/>
      <c r="AQ87" s="632"/>
      <c r="AR87" s="632"/>
      <c r="AS87" s="632"/>
    </row>
    <row r="88" spans="1:50" ht="22.5" customHeight="1"/>
  </sheetData>
  <conditionalFormatting sqref="O11:O86">
    <cfRule type="expression" dxfId="163" priority="26">
      <formula>$F11&gt;0</formula>
    </cfRule>
  </conditionalFormatting>
  <conditionalFormatting sqref="N11:AS86">
    <cfRule type="expression" dxfId="162" priority="29">
      <formula>$F11=1</formula>
    </cfRule>
    <cfRule type="expression" dxfId="161" priority="30">
      <formula>$F11=5</formula>
    </cfRule>
  </conditionalFormatting>
  <conditionalFormatting sqref="N81:AS85 N11:AS20 N24:AS55 N65:AS79">
    <cfRule type="expression" dxfId="160" priority="24">
      <formula>AND($F11=3,$F12=0)</formula>
    </cfRule>
    <cfRule type="expression" dxfId="159" priority="25">
      <formula>$F11=0</formula>
    </cfRule>
    <cfRule type="expression" dxfId="158" priority="27">
      <formula>$F11=3</formula>
    </cfRule>
    <cfRule type="expression" dxfId="157" priority="28">
      <formula>$F11=2</formula>
    </cfRule>
  </conditionalFormatting>
  <conditionalFormatting sqref="P10:AS86">
    <cfRule type="expression" dxfId="156" priority="22">
      <formula>P$4=""</formula>
    </cfRule>
  </conditionalFormatting>
  <conditionalFormatting sqref="AT1:AT2">
    <cfRule type="expression" dxfId="155" priority="37">
      <formula>#REF!=""</formula>
    </cfRule>
  </conditionalFormatting>
  <conditionalFormatting sqref="AT6:AT8">
    <cfRule type="expression" dxfId="154" priority="3385">
      <formula>#REF!=""</formula>
    </cfRule>
  </conditionalFormatting>
  <conditionalFormatting sqref="AT1:AT8">
    <cfRule type="expression" dxfId="153" priority="3707">
      <formula>#REF!=""</formula>
    </cfRule>
  </conditionalFormatting>
  <conditionalFormatting sqref="AT1:AT8">
    <cfRule type="expression" dxfId="152" priority="4275">
      <formula>#REF!=""</formula>
    </cfRule>
  </conditionalFormatting>
  <conditionalFormatting sqref="P10:P86">
    <cfRule type="expression" dxfId="151" priority="4316">
      <formula>AND(P$4&lt;&gt;"",#REF!="")</formula>
    </cfRule>
  </conditionalFormatting>
  <conditionalFormatting sqref="P11:AS86">
    <cfRule type="expression" dxfId="150" priority="4420">
      <formula>AW11=6</formula>
    </cfRule>
    <cfRule type="expression" dxfId="149" priority="4421">
      <formula>AW11=5</formula>
    </cfRule>
    <cfRule type="expression" dxfId="148" priority="4422">
      <formula>AW11=4</formula>
    </cfRule>
    <cfRule type="expression" dxfId="147" priority="4423">
      <formula>AW11=3</formula>
    </cfRule>
    <cfRule type="expression" dxfId="146" priority="4424">
      <formula>AW11=2</formula>
    </cfRule>
    <cfRule type="expression" dxfId="145" priority="4425">
      <formula>AW11=1</formula>
    </cfRule>
    <cfRule type="expression" dxfId="144" priority="4426">
      <formula>P$10=0</formula>
    </cfRule>
  </conditionalFormatting>
  <conditionalFormatting sqref="N80:AS86">
    <cfRule type="expression" dxfId="143" priority="4441">
      <formula>AND($F80=3,#REF!=0)</formula>
    </cfRule>
    <cfRule type="expression" dxfId="142" priority="4442">
      <formula>$F80=0</formula>
    </cfRule>
    <cfRule type="expression" dxfId="141" priority="4443">
      <formula>$F80=3</formula>
    </cfRule>
    <cfRule type="expression" dxfId="140" priority="4444">
      <formula>$F80=2</formula>
    </cfRule>
  </conditionalFormatting>
  <conditionalFormatting sqref="N21:AS23 N56:AS64">
    <cfRule type="expression" dxfId="139" priority="4453">
      <formula>AND($F21=3,$F23=0)</formula>
    </cfRule>
    <cfRule type="expression" dxfId="138" priority="4454">
      <formula>$F21=0</formula>
    </cfRule>
    <cfRule type="expression" dxfId="137" priority="4455">
      <formula>$F21=3</formula>
    </cfRule>
    <cfRule type="expression" dxfId="136" priority="4456">
      <formula>$F21=2</formula>
    </cfRule>
  </conditionalFormatting>
  <pageMargins left="0.55118110236220474" right="0.55118110236220474" top="0.59055118110236227" bottom="0.78740157480314965" header="0.51181102362204722" footer="0.51181102362204722"/>
  <pageSetup paperSize="9" scale="17" orientation="landscape" r:id="rId1"/>
  <headerFooter alignWithMargins="0">
    <oddHeader>&amp;RCity Water Optimization Index: 2020</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413826" r:id="rId4" name="Score_IndiLevel">
              <controlPr defaultSize="0" print="0" autoLine="0" autoPict="0" macro="[0]!UniversalChanger">
                <anchor>
                  <from>
                    <xdr:col>13</xdr:col>
                    <xdr:colOff>3486150</xdr:colOff>
                    <xdr:row>1</xdr:row>
                    <xdr:rowOff>514350</xdr:rowOff>
                  </from>
                  <to>
                    <xdr:col>13</xdr:col>
                    <xdr:colOff>5289550</xdr:colOff>
                    <xdr:row>1</xdr:row>
                    <xdr:rowOff>755650</xdr:rowOff>
                  </to>
                </anchor>
              </controlPr>
            </control>
          </mc:Choice>
        </mc:AlternateContent>
        <mc:AlternateContent xmlns:mc="http://schemas.openxmlformats.org/markup-compatibility/2006">
          <mc:Choice Requires="x14">
            <control shapeId="14413834" r:id="rId5" name="L_Weights">
              <controlPr defaultSize="0" print="0" autoLine="0" autoPict="0" macro="[0]!UniversalChanger">
                <anchor>
                  <from>
                    <xdr:col>18</xdr:col>
                    <xdr:colOff>774700</xdr:colOff>
                    <xdr:row>1</xdr:row>
                    <xdr:rowOff>546100</xdr:rowOff>
                  </from>
                  <to>
                    <xdr:col>20</xdr:col>
                    <xdr:colOff>819150</xdr:colOff>
                    <xdr:row>1</xdr:row>
                    <xdr:rowOff>762000</xdr:rowOff>
                  </to>
                </anchor>
              </controlPr>
            </control>
          </mc:Choice>
        </mc:AlternateContent>
        <mc:AlternateContent xmlns:mc="http://schemas.openxmlformats.org/markup-compatibility/2006">
          <mc:Choice Requires="x14">
            <control shapeId="14413844" r:id="rId6" name="INCOME_FILTER">
              <controlPr defaultSize="0" print="0" autoLine="0" autoPict="0" macro="[0]!UniversalChanger">
                <anchor>
                  <from>
                    <xdr:col>13</xdr:col>
                    <xdr:colOff>3009900</xdr:colOff>
                    <xdr:row>3</xdr:row>
                    <xdr:rowOff>323850</xdr:rowOff>
                  </from>
                  <to>
                    <xdr:col>13</xdr:col>
                    <xdr:colOff>4800600</xdr:colOff>
                    <xdr:row>3</xdr:row>
                    <xdr:rowOff>546100</xdr:rowOff>
                  </to>
                </anchor>
              </controlPr>
            </control>
          </mc:Choice>
        </mc:AlternateContent>
        <mc:AlternateContent xmlns:mc="http://schemas.openxmlformats.org/markup-compatibility/2006">
          <mc:Choice Requires="x14">
            <control shapeId="14413845" r:id="rId7" name="R_FILTER">
              <controlPr defaultSize="0" print="0" autoLine="0" autoPict="0" macro="[0]!UniversalChanger">
                <anchor>
                  <from>
                    <xdr:col>13</xdr:col>
                    <xdr:colOff>838200</xdr:colOff>
                    <xdr:row>3</xdr:row>
                    <xdr:rowOff>317500</xdr:rowOff>
                  </from>
                  <to>
                    <xdr:col>13</xdr:col>
                    <xdr:colOff>2641600</xdr:colOff>
                    <xdr:row>3</xdr:row>
                    <xdr:rowOff>527050</xdr:rowOff>
                  </to>
                </anchor>
              </controlPr>
            </control>
          </mc:Choice>
        </mc:AlternateContent>
        <mc:AlternateContent xmlns:mc="http://schemas.openxmlformats.org/markup-compatibility/2006">
          <mc:Choice Requires="x14">
            <control shapeId="14413847" r:id="rId8" name="POP_DD">
              <controlPr defaultSize="0" print="0" autoLine="0" autoPict="0" macro="[0]!UniversalChanger">
                <anchor>
                  <from>
                    <xdr:col>13</xdr:col>
                    <xdr:colOff>5175250</xdr:colOff>
                    <xdr:row>3</xdr:row>
                    <xdr:rowOff>317500</xdr:rowOff>
                  </from>
                  <to>
                    <xdr:col>16</xdr:col>
                    <xdr:colOff>641350</xdr:colOff>
                    <xdr:row>3</xdr:row>
                    <xdr:rowOff>527050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autoPageBreaks="0" fitToPage="1"/>
  </sheetPr>
  <dimension ref="A1:BF110"/>
  <sheetViews>
    <sheetView showGridLines="0" showRowColHeaders="0" zoomScaleNormal="100" workbookViewId="0">
      <pane ySplit="6" topLeftCell="A7" activePane="bottomLeft" state="frozen"/>
      <selection activeCell="X1" sqref="X1"/>
      <selection pane="bottomLeft"/>
    </sheetView>
  </sheetViews>
  <sheetFormatPr defaultColWidth="9.1796875" defaultRowHeight="14.5"/>
  <cols>
    <col min="1" max="1" width="3.1796875" style="182" customWidth="1"/>
    <col min="2" max="2" width="4" style="182" hidden="1" customWidth="1"/>
    <col min="3" max="3" width="10.453125" style="287" hidden="1" customWidth="1"/>
    <col min="4" max="4" width="7" style="287" hidden="1" customWidth="1"/>
    <col min="5" max="5" width="7.54296875" style="287" hidden="1" customWidth="1"/>
    <col min="6" max="6" width="91.7265625" style="245" customWidth="1"/>
    <col min="7" max="7" width="6.7265625" style="235" customWidth="1"/>
    <col min="8" max="8" width="13.453125" style="284" bestFit="1" customWidth="1"/>
    <col min="9" max="9" width="2.7265625" style="235" customWidth="1"/>
    <col min="10" max="10" width="25.453125" style="235" customWidth="1"/>
    <col min="11" max="11" width="8.453125" style="182" customWidth="1"/>
    <col min="12" max="13" width="9.1796875" style="182"/>
    <col min="14" max="14" width="5.7265625" style="182" customWidth="1"/>
    <col min="15" max="15" width="1.26953125" style="157" customWidth="1"/>
    <col min="16" max="16" width="9.1796875" style="157"/>
    <col min="17" max="17" width="0" style="157" hidden="1" customWidth="1"/>
    <col min="18" max="28" width="13.453125" style="157" hidden="1" customWidth="1"/>
    <col min="29" max="51" width="13.453125" style="182" hidden="1" customWidth="1"/>
    <col min="52" max="55" width="13.453125" style="182" customWidth="1"/>
    <col min="56" max="16384" width="9.1796875" style="157"/>
  </cols>
  <sheetData>
    <row r="1" spans="1:58" ht="22.5" customHeight="1">
      <c r="A1" s="599" t="str">
        <f>uxb_works!B92</f>
        <v>Digital Cities Index</v>
      </c>
      <c r="B1" s="599"/>
      <c r="C1" s="599"/>
      <c r="D1" s="599"/>
      <c r="E1" s="599"/>
      <c r="F1" s="599"/>
      <c r="G1" s="599"/>
      <c r="H1" s="599"/>
      <c r="I1" s="599"/>
      <c r="J1" s="599"/>
      <c r="K1" s="599"/>
      <c r="L1" s="599"/>
      <c r="M1" s="599"/>
      <c r="N1" s="599"/>
      <c r="O1" s="599"/>
      <c r="P1" s="170"/>
      <c r="Q1" s="170"/>
      <c r="R1" s="170"/>
      <c r="S1" s="170"/>
      <c r="T1" s="170"/>
      <c r="U1" s="170"/>
      <c r="V1" s="170"/>
      <c r="W1" s="166"/>
      <c r="X1" s="170"/>
      <c r="Y1" s="170"/>
      <c r="Z1" s="170"/>
      <c r="AA1" s="170"/>
      <c r="AB1" s="170"/>
      <c r="AC1" s="170"/>
      <c r="AD1" s="170"/>
      <c r="AE1" s="170"/>
      <c r="AF1" s="170"/>
      <c r="AG1" s="170"/>
      <c r="AH1" s="170"/>
      <c r="AI1" s="170"/>
      <c r="AJ1" s="170"/>
      <c r="AK1" s="170"/>
      <c r="AL1" s="170"/>
      <c r="AM1" s="170"/>
      <c r="AN1" s="170"/>
      <c r="AO1" s="170"/>
      <c r="AP1" s="170"/>
      <c r="AQ1" s="170"/>
      <c r="AR1" s="170"/>
      <c r="AS1" s="170"/>
      <c r="AT1" s="170"/>
      <c r="AU1" s="170"/>
      <c r="AV1" s="170"/>
      <c r="AW1" s="170"/>
      <c r="AX1" s="170"/>
      <c r="AY1" s="170"/>
      <c r="AZ1" s="170"/>
      <c r="BA1" s="133">
        <v>1</v>
      </c>
      <c r="BB1" s="133">
        <v>10</v>
      </c>
      <c r="BC1" s="133"/>
    </row>
    <row r="2" spans="1:58" ht="63" customHeight="1">
      <c r="A2" s="170"/>
      <c r="B2" s="170"/>
      <c r="C2" s="601"/>
      <c r="D2" s="601"/>
      <c r="E2" s="601"/>
      <c r="F2" s="170"/>
      <c r="G2" s="170"/>
      <c r="H2" s="278"/>
      <c r="I2" s="170"/>
      <c r="J2" s="170"/>
      <c r="K2" s="170"/>
      <c r="L2" s="170"/>
      <c r="M2" s="170"/>
      <c r="N2" s="170"/>
      <c r="O2" s="170"/>
      <c r="P2" s="396"/>
      <c r="Q2" s="396"/>
      <c r="R2" s="396"/>
      <c r="S2" s="396"/>
      <c r="T2" s="396"/>
      <c r="U2" s="396"/>
      <c r="V2" s="396"/>
      <c r="W2" s="396"/>
      <c r="X2" s="396"/>
      <c r="Y2" s="396"/>
      <c r="Z2" s="396"/>
      <c r="AA2" s="396"/>
      <c r="AB2" s="396"/>
      <c r="AC2" s="396"/>
      <c r="AD2" s="396"/>
      <c r="AE2" s="396"/>
      <c r="AF2" s="396"/>
      <c r="AG2" s="396"/>
      <c r="AH2" s="396"/>
      <c r="AI2" s="396"/>
      <c r="AJ2" s="396"/>
      <c r="AK2" s="396"/>
      <c r="AL2" s="396"/>
      <c r="AM2" s="396"/>
      <c r="AN2" s="396"/>
      <c r="AO2" s="396"/>
      <c r="AP2" s="396"/>
      <c r="AQ2" s="396"/>
      <c r="AR2" s="396"/>
      <c r="AS2" s="396"/>
      <c r="AT2" s="396"/>
      <c r="AU2" s="396"/>
      <c r="AV2" s="396"/>
      <c r="AW2" s="396"/>
      <c r="AX2" s="396"/>
      <c r="AY2" s="396"/>
      <c r="AZ2" s="396"/>
      <c r="BA2" s="396"/>
      <c r="BB2" s="396"/>
      <c r="BC2" s="396"/>
      <c r="BD2" s="397"/>
      <c r="BE2" s="397"/>
      <c r="BF2" s="397"/>
    </row>
    <row r="3" spans="1:58" ht="42.4" hidden="1" customHeight="1">
      <c r="A3" s="171"/>
      <c r="B3" s="171"/>
      <c r="C3" s="172"/>
      <c r="D3" s="172"/>
      <c r="E3" s="172"/>
      <c r="F3" s="171"/>
      <c r="G3" s="171"/>
      <c r="H3" s="258"/>
      <c r="I3" s="171"/>
      <c r="J3" s="171"/>
      <c r="K3" s="171"/>
      <c r="L3" s="171"/>
      <c r="M3" s="171"/>
      <c r="N3" s="171"/>
      <c r="O3" s="171"/>
      <c r="P3" s="398"/>
      <c r="Q3" s="398"/>
      <c r="R3" s="398"/>
      <c r="S3" s="398"/>
      <c r="T3" s="398"/>
      <c r="U3" s="398"/>
      <c r="V3" s="398"/>
      <c r="W3" s="398"/>
      <c r="X3" s="398"/>
      <c r="Y3" s="398"/>
      <c r="Z3" s="398"/>
      <c r="AA3" s="398"/>
      <c r="AB3" s="398"/>
      <c r="AC3" s="398"/>
      <c r="AD3" s="398"/>
      <c r="AE3" s="398"/>
      <c r="AF3" s="398"/>
      <c r="AG3" s="398"/>
      <c r="AH3" s="398"/>
      <c r="AI3" s="398"/>
      <c r="AJ3" s="398"/>
      <c r="AK3" s="398"/>
      <c r="AL3" s="398"/>
      <c r="AM3" s="398"/>
      <c r="AN3" s="398"/>
      <c r="AO3" s="398"/>
      <c r="AP3" s="398"/>
      <c r="AQ3" s="398"/>
      <c r="AR3" s="398"/>
      <c r="AS3" s="398"/>
      <c r="AT3" s="398"/>
      <c r="AU3" s="398"/>
      <c r="AV3" s="398"/>
      <c r="AW3" s="398"/>
      <c r="AX3" s="398"/>
      <c r="AY3" s="398"/>
      <c r="AZ3" s="398"/>
      <c r="BA3" s="398"/>
      <c r="BB3" s="398"/>
      <c r="BC3" s="398"/>
      <c r="BD3" s="397"/>
      <c r="BE3" s="397"/>
      <c r="BF3" s="397"/>
    </row>
    <row r="4" spans="1:58" ht="42" hidden="1" customHeight="1">
      <c r="A4" s="157"/>
      <c r="B4" s="157"/>
      <c r="C4" s="411"/>
      <c r="D4" s="411"/>
      <c r="E4" s="411"/>
      <c r="F4" s="157"/>
      <c r="G4" s="157"/>
      <c r="H4" s="250"/>
      <c r="I4" s="157"/>
      <c r="J4" s="157"/>
      <c r="K4" s="157"/>
      <c r="L4" s="157"/>
      <c r="M4" s="157"/>
      <c r="N4" s="157"/>
      <c r="P4" s="397"/>
      <c r="Q4" s="397"/>
      <c r="R4" s="397"/>
      <c r="S4" s="397"/>
      <c r="T4" s="397"/>
      <c r="U4" s="397"/>
      <c r="V4" s="397"/>
      <c r="W4" s="397"/>
      <c r="X4" s="397"/>
      <c r="Y4" s="397"/>
      <c r="Z4" s="397"/>
      <c r="AA4" s="397"/>
      <c r="AB4" s="397"/>
      <c r="AC4" s="397"/>
      <c r="AD4" s="397"/>
      <c r="AE4" s="397"/>
      <c r="AF4" s="397"/>
      <c r="AG4" s="397"/>
      <c r="AH4" s="397"/>
      <c r="AI4" s="397"/>
      <c r="AJ4" s="397"/>
      <c r="AK4" s="397"/>
      <c r="AL4" s="397"/>
      <c r="AM4" s="397"/>
      <c r="AN4" s="397"/>
      <c r="AO4" s="397"/>
      <c r="AP4" s="397"/>
      <c r="AQ4" s="397"/>
      <c r="AR4" s="397"/>
      <c r="AS4" s="397"/>
      <c r="AT4" s="397"/>
      <c r="AU4" s="397"/>
      <c r="AV4" s="397"/>
      <c r="AW4" s="397"/>
      <c r="AX4" s="397"/>
      <c r="AY4" s="397"/>
      <c r="AZ4" s="397"/>
      <c r="BA4" s="397"/>
      <c r="BB4" s="397"/>
      <c r="BC4" s="397"/>
      <c r="BD4" s="397"/>
      <c r="BE4" s="397"/>
      <c r="BF4" s="397"/>
    </row>
    <row r="5" spans="1:58" ht="42.4" hidden="1" customHeight="1">
      <c r="A5" s="171"/>
      <c r="B5" s="171"/>
      <c r="C5" s="172"/>
      <c r="D5" s="172"/>
      <c r="E5" s="172"/>
      <c r="F5" s="171"/>
      <c r="G5" s="171"/>
      <c r="H5" s="258"/>
      <c r="I5" s="171"/>
      <c r="J5" s="171"/>
      <c r="K5" s="171"/>
      <c r="L5" s="171"/>
      <c r="M5" s="171"/>
      <c r="N5" s="171"/>
      <c r="O5" s="171"/>
      <c r="P5" s="398"/>
      <c r="Q5" s="398"/>
      <c r="R5" s="398"/>
      <c r="S5" s="398"/>
      <c r="T5" s="398"/>
      <c r="U5" s="398"/>
      <c r="V5" s="398"/>
      <c r="W5" s="398"/>
      <c r="X5" s="398"/>
      <c r="Y5" s="398"/>
      <c r="Z5" s="398"/>
      <c r="AA5" s="398"/>
      <c r="AB5" s="398"/>
      <c r="AC5" s="398"/>
      <c r="AD5" s="398"/>
      <c r="AE5" s="398"/>
      <c r="AF5" s="398"/>
      <c r="AG5" s="398"/>
      <c r="AH5" s="398"/>
      <c r="AI5" s="398"/>
      <c r="AJ5" s="398"/>
      <c r="AK5" s="398"/>
      <c r="AL5" s="398"/>
      <c r="AM5" s="398"/>
      <c r="AN5" s="398"/>
      <c r="AO5" s="398"/>
      <c r="AP5" s="398"/>
      <c r="AQ5" s="398"/>
      <c r="AR5" s="398"/>
      <c r="AS5" s="398"/>
      <c r="AT5" s="398"/>
      <c r="AU5" s="398"/>
      <c r="AV5" s="398"/>
      <c r="AW5" s="398"/>
      <c r="AX5" s="398"/>
      <c r="AY5" s="398"/>
      <c r="AZ5" s="398"/>
      <c r="BA5" s="398"/>
      <c r="BB5" s="398"/>
      <c r="BC5" s="398"/>
      <c r="BD5" s="397"/>
      <c r="BE5" s="397"/>
      <c r="BF5" s="397"/>
    </row>
    <row r="6" spans="1:58" ht="15" hidden="1" customHeight="1">
      <c r="A6" s="277"/>
      <c r="B6" s="277"/>
      <c r="C6" s="602"/>
      <c r="D6" s="602"/>
      <c r="E6" s="602"/>
      <c r="F6" s="345" t="str">
        <f>uxb_works!C5</f>
        <v>The active weight profile has been changed from its default setting</v>
      </c>
      <c r="G6" s="277"/>
      <c r="H6" s="279"/>
      <c r="I6" s="277"/>
      <c r="J6" s="277"/>
      <c r="K6" s="277"/>
      <c r="L6" s="277"/>
      <c r="M6" s="277"/>
      <c r="N6" s="277"/>
      <c r="O6" s="277"/>
      <c r="P6" s="397"/>
      <c r="Q6" s="397"/>
      <c r="R6" s="397"/>
      <c r="S6" s="397"/>
      <c r="T6" s="397"/>
      <c r="U6" s="397"/>
      <c r="V6" s="397"/>
      <c r="W6" s="397"/>
      <c r="X6" s="397"/>
      <c r="Y6" s="397"/>
      <c r="Z6" s="397"/>
      <c r="AA6" s="397"/>
      <c r="AB6" s="397"/>
      <c r="AC6" s="397"/>
      <c r="AD6" s="397"/>
      <c r="AE6" s="397"/>
      <c r="AF6" s="397"/>
      <c r="AG6" s="397"/>
      <c r="AH6" s="397"/>
      <c r="AI6" s="397"/>
      <c r="AJ6" s="397"/>
      <c r="AK6" s="397"/>
      <c r="AL6" s="397"/>
      <c r="AM6" s="397"/>
      <c r="AN6" s="397"/>
      <c r="AO6" s="397"/>
      <c r="AP6" s="397"/>
      <c r="AQ6" s="397"/>
      <c r="AR6" s="397"/>
      <c r="AS6" s="397"/>
      <c r="AT6" s="397"/>
      <c r="AU6" s="397"/>
      <c r="AV6" s="397"/>
      <c r="AW6" s="397"/>
      <c r="AX6" s="397"/>
      <c r="AY6" s="397"/>
      <c r="AZ6" s="397"/>
      <c r="BA6" s="397"/>
      <c r="BB6" s="397"/>
      <c r="BC6" s="397"/>
      <c r="BD6" s="397"/>
      <c r="BE6" s="397"/>
      <c r="BF6" s="397"/>
    </row>
    <row r="7" spans="1:58" ht="19.899999999999999" hidden="1" customHeight="1">
      <c r="A7" s="171"/>
      <c r="B7" s="171"/>
      <c r="C7" s="172"/>
      <c r="D7" s="172"/>
      <c r="E7" s="172"/>
      <c r="F7" s="171"/>
      <c r="G7" s="171"/>
      <c r="H7" s="258"/>
      <c r="I7" s="172"/>
      <c r="J7" s="171"/>
      <c r="K7" s="172"/>
      <c r="L7" s="171"/>
      <c r="M7" s="171"/>
      <c r="N7" s="171"/>
      <c r="O7" s="171"/>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8"/>
      <c r="AP7" s="398"/>
      <c r="AQ7" s="398"/>
      <c r="AR7" s="398"/>
      <c r="AS7" s="399"/>
      <c r="AT7" s="398"/>
      <c r="AU7" s="398"/>
      <c r="AV7" s="398"/>
      <c r="AW7" s="398"/>
      <c r="AX7" s="398"/>
      <c r="AY7" s="398"/>
      <c r="AZ7" s="398"/>
      <c r="BA7" s="398"/>
      <c r="BB7" s="398"/>
      <c r="BC7" s="398"/>
      <c r="BD7" s="397"/>
      <c r="BE7" s="397"/>
      <c r="BF7" s="397"/>
    </row>
    <row r="8" spans="1:58" ht="15" hidden="1" customHeight="1">
      <c r="A8" s="171"/>
      <c r="B8" s="171"/>
      <c r="C8" s="172"/>
      <c r="D8" s="172"/>
      <c r="E8" s="172"/>
      <c r="F8" s="171"/>
      <c r="G8" s="171"/>
      <c r="H8" s="258"/>
      <c r="I8" s="172"/>
      <c r="J8" s="171"/>
      <c r="K8" s="172"/>
      <c r="L8" s="171"/>
      <c r="M8" s="171"/>
      <c r="N8" s="171"/>
      <c r="O8" s="171"/>
      <c r="P8" s="398"/>
      <c r="Q8" s="398"/>
      <c r="R8" s="398"/>
      <c r="S8" s="398"/>
      <c r="T8" s="398"/>
      <c r="U8" s="398"/>
      <c r="V8" s="398"/>
      <c r="W8" s="398"/>
      <c r="X8" s="398"/>
      <c r="Y8" s="398"/>
      <c r="Z8" s="398"/>
      <c r="AA8" s="398"/>
      <c r="AB8" s="398"/>
      <c r="AC8" s="398"/>
      <c r="AD8" s="398"/>
      <c r="AE8" s="398"/>
      <c r="AF8" s="398"/>
      <c r="AG8" s="398"/>
      <c r="AH8" s="398"/>
      <c r="AI8" s="398"/>
      <c r="AJ8" s="398"/>
      <c r="AK8" s="398"/>
      <c r="AL8" s="398"/>
      <c r="AM8" s="398"/>
      <c r="AN8" s="398"/>
      <c r="AO8" s="398"/>
      <c r="AP8" s="398"/>
      <c r="AQ8" s="398"/>
      <c r="AR8" s="398"/>
      <c r="AS8" s="399"/>
      <c r="AT8" s="398"/>
      <c r="AU8" s="398"/>
      <c r="AV8" s="398"/>
      <c r="AW8" s="398"/>
      <c r="AX8" s="398"/>
      <c r="AY8" s="398"/>
      <c r="AZ8" s="398"/>
      <c r="BA8" s="398"/>
      <c r="BB8" s="398"/>
      <c r="BC8" s="398"/>
      <c r="BD8" s="397"/>
      <c r="BE8" s="397"/>
      <c r="BF8" s="397"/>
    </row>
    <row r="9" spans="1:58" ht="19.5" hidden="1" customHeight="1">
      <c r="A9" s="171"/>
      <c r="B9" s="171"/>
      <c r="C9" s="172"/>
      <c r="D9" s="172"/>
      <c r="E9" s="172"/>
      <c r="F9" s="171"/>
      <c r="G9" s="171"/>
      <c r="H9" s="258"/>
      <c r="I9" s="172"/>
      <c r="J9" s="171"/>
      <c r="K9" s="172"/>
      <c r="L9" s="171"/>
      <c r="M9" s="171"/>
      <c r="N9" s="171"/>
      <c r="O9" s="171"/>
      <c r="P9" s="398"/>
      <c r="Q9" s="398"/>
      <c r="R9" s="398"/>
      <c r="S9" s="398"/>
      <c r="T9" s="398"/>
      <c r="U9" s="398"/>
      <c r="V9" s="398"/>
      <c r="W9" s="398"/>
      <c r="X9" s="398"/>
      <c r="Y9" s="398"/>
      <c r="Z9" s="398"/>
      <c r="AA9" s="398"/>
      <c r="AB9" s="398"/>
      <c r="AC9" s="398"/>
      <c r="AD9" s="398"/>
      <c r="AE9" s="398"/>
      <c r="AF9" s="398"/>
      <c r="AG9" s="398"/>
      <c r="AH9" s="398"/>
      <c r="AI9" s="398"/>
      <c r="AJ9" s="398"/>
      <c r="AK9" s="398"/>
      <c r="AL9" s="398"/>
      <c r="AM9" s="398"/>
      <c r="AN9" s="398"/>
      <c r="AO9" s="398"/>
      <c r="AP9" s="398"/>
      <c r="AQ9" s="398"/>
      <c r="AR9" s="398"/>
      <c r="AS9" s="399"/>
      <c r="AT9" s="398"/>
      <c r="AU9" s="398"/>
      <c r="AV9" s="398"/>
      <c r="AW9" s="398"/>
      <c r="AX9" s="398"/>
      <c r="AY9" s="398"/>
      <c r="AZ9" s="398"/>
      <c r="BA9" s="398"/>
      <c r="BB9" s="398"/>
      <c r="BC9" s="398"/>
      <c r="BD9" s="397"/>
      <c r="BE9" s="397"/>
      <c r="BF9" s="397"/>
    </row>
    <row r="10" spans="1:58" ht="16.5" customHeight="1">
      <c r="A10" s="173"/>
      <c r="B10" s="174"/>
      <c r="C10" s="603"/>
      <c r="D10" s="604"/>
      <c r="E10" s="605"/>
      <c r="F10" s="290"/>
      <c r="G10" s="290"/>
      <c r="H10" s="290"/>
      <c r="I10" s="290"/>
      <c r="J10" s="290"/>
      <c r="K10" s="290"/>
      <c r="L10" s="290"/>
      <c r="M10" s="290"/>
      <c r="N10" s="290"/>
      <c r="O10" s="290"/>
      <c r="P10" s="400"/>
      <c r="Q10" s="400"/>
      <c r="R10" s="400"/>
      <c r="S10" s="401"/>
      <c r="T10" s="401"/>
      <c r="U10" s="401"/>
      <c r="V10" s="401"/>
      <c r="W10" s="397"/>
      <c r="X10" s="402"/>
      <c r="Y10" s="402"/>
      <c r="Z10" s="402"/>
      <c r="AA10" s="403"/>
      <c r="AB10" s="403"/>
      <c r="AC10" s="404"/>
      <c r="AD10" s="401"/>
      <c r="AE10" s="401"/>
      <c r="AF10" s="401"/>
      <c r="AG10" s="401"/>
      <c r="AH10" s="403"/>
      <c r="AI10" s="403"/>
      <c r="AJ10" s="403"/>
      <c r="AK10" s="403"/>
      <c r="AL10" s="403"/>
      <c r="AM10" s="403"/>
      <c r="AN10" s="404"/>
      <c r="AO10" s="401"/>
      <c r="AP10" s="401"/>
      <c r="AQ10" s="401"/>
      <c r="AR10" s="401"/>
      <c r="AS10" s="403"/>
      <c r="AT10" s="402"/>
      <c r="AU10" s="402"/>
      <c r="AV10" s="402"/>
      <c r="AW10" s="403"/>
      <c r="AX10" s="403"/>
      <c r="AY10" s="404"/>
      <c r="AZ10" s="401"/>
      <c r="BA10" s="401"/>
      <c r="BB10" s="401"/>
      <c r="BC10" s="401"/>
      <c r="BD10" s="397"/>
      <c r="BE10" s="397"/>
      <c r="BF10" s="397"/>
    </row>
    <row r="11" spans="1:58" ht="51" customHeight="1">
      <c r="A11" s="220"/>
      <c r="B11" s="220"/>
      <c r="C11" s="606"/>
      <c r="D11" s="606"/>
      <c r="E11" s="606"/>
      <c r="F11" s="221"/>
      <c r="G11" s="222"/>
      <c r="H11" s="280"/>
      <c r="I11" s="222"/>
      <c r="J11" s="222"/>
    </row>
    <row r="12" spans="1:58" ht="30.75" customHeight="1">
      <c r="A12" s="223"/>
      <c r="B12" s="223"/>
      <c r="C12" s="607"/>
      <c r="D12" s="607"/>
      <c r="E12" s="607"/>
      <c r="F12" s="619" t="s">
        <v>368</v>
      </c>
      <c r="G12" s="619"/>
      <c r="H12" s="620" t="s">
        <v>22</v>
      </c>
      <c r="I12" s="619"/>
      <c r="J12" s="619"/>
      <c r="K12" s="224"/>
      <c r="L12" s="225"/>
      <c r="M12" s="225"/>
      <c r="N12" s="224"/>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row>
    <row r="13" spans="1:58" ht="25.15" customHeight="1">
      <c r="A13" s="226"/>
      <c r="B13" s="226"/>
      <c r="C13" s="608" t="str">
        <f>iWeights1!C13</f>
        <v>CNTY</v>
      </c>
      <c r="D13" s="608">
        <f>iWeights1!D13</f>
        <v>2</v>
      </c>
      <c r="E13" s="608">
        <f ca="1">iWeights1!E13</f>
        <v>1</v>
      </c>
      <c r="F13" s="699" t="str">
        <f ca="1">REPT(" ",E13)&amp;iWeights1!F13</f>
        <v xml:space="preserve"> 1) CONNECTIVITY</v>
      </c>
      <c r="G13" s="227">
        <v>30</v>
      </c>
      <c r="H13" s="281">
        <f>INDEX(tblIndicators!AR$2:AR$71,D13)</f>
        <v>0.3</v>
      </c>
      <c r="I13" s="228"/>
      <c r="J13" s="229" t="str">
        <f>REPT("|",H13*50)</f>
        <v>|||||||||||||||</v>
      </c>
      <c r="K13" s="226"/>
      <c r="L13" s="230"/>
      <c r="M13" s="231"/>
      <c r="N13" s="226"/>
      <c r="O13" s="232"/>
      <c r="P13" s="232"/>
      <c r="Q13" s="232"/>
      <c r="R13" s="232"/>
      <c r="S13" s="232"/>
      <c r="T13" s="232"/>
      <c r="U13" s="232"/>
      <c r="V13" s="232"/>
      <c r="W13" s="232"/>
      <c r="X13" s="232"/>
      <c r="Y13" s="232"/>
      <c r="Z13" s="232"/>
      <c r="AA13" s="232"/>
      <c r="AB13" s="232"/>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row>
    <row r="14" spans="1:58" ht="25.15" customHeight="1">
      <c r="A14" s="226"/>
      <c r="B14" s="226"/>
      <c r="C14" s="608" t="str">
        <f>iWeights1!C14</f>
        <v>SERV</v>
      </c>
      <c r="D14" s="608">
        <f>iWeights1!D14</f>
        <v>16</v>
      </c>
      <c r="E14" s="608">
        <f ca="1">iWeights1!E14</f>
        <v>1</v>
      </c>
      <c r="F14" s="699" t="str">
        <f ca="1">REPT(" ",E14)&amp;iWeights1!F14</f>
        <v xml:space="preserve"> 2) SERVICES</v>
      </c>
      <c r="G14" s="227">
        <v>28</v>
      </c>
      <c r="H14" s="281">
        <f>INDEX(tblIndicators!AR$2:AR$71,D14)</f>
        <v>0.28000000000000003</v>
      </c>
      <c r="I14" s="228"/>
      <c r="J14" s="229" t="str">
        <f t="shared" ref="J14" si="0">REPT("|",H14*50)</f>
        <v>||||||||||||||</v>
      </c>
      <c r="K14" s="226"/>
      <c r="L14" s="230"/>
      <c r="M14" s="231"/>
      <c r="N14" s="226"/>
      <c r="O14" s="232"/>
      <c r="P14" s="232"/>
      <c r="Q14" s="232"/>
      <c r="R14" s="232"/>
      <c r="S14" s="232"/>
      <c r="T14" s="232"/>
      <c r="U14" s="232"/>
      <c r="V14" s="232"/>
      <c r="W14" s="232"/>
      <c r="X14" s="232"/>
      <c r="Y14" s="232"/>
      <c r="Z14" s="232"/>
      <c r="AA14" s="232"/>
      <c r="AB14" s="232"/>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26"/>
    </row>
    <row r="15" spans="1:58" ht="25.15" customHeight="1">
      <c r="A15" s="226"/>
      <c r="B15" s="226"/>
      <c r="C15" s="608" t="str">
        <f>iWeights1!C15</f>
        <v>CULT</v>
      </c>
      <c r="D15" s="608">
        <f>iWeights1!D15</f>
        <v>37</v>
      </c>
      <c r="E15" s="608">
        <f ca="1">iWeights1!E15</f>
        <v>1</v>
      </c>
      <c r="F15" s="699" t="str">
        <f ca="1">REPT(" ",E15)&amp;iWeights1!F15</f>
        <v xml:space="preserve"> 3) CULTURE</v>
      </c>
      <c r="G15" s="227">
        <v>21</v>
      </c>
      <c r="H15" s="281">
        <f>INDEX(tblIndicators!AR$2:AR$71,D15)</f>
        <v>0.21</v>
      </c>
      <c r="I15" s="228"/>
      <c r="J15" s="229" t="str">
        <f t="shared" ref="J15:J16" si="1">REPT("|",H15*50)</f>
        <v>||||||||||</v>
      </c>
      <c r="K15" s="226"/>
      <c r="L15" s="230"/>
      <c r="M15" s="231"/>
      <c r="N15" s="226"/>
      <c r="O15" s="232"/>
      <c r="P15" s="232"/>
      <c r="Q15" s="232"/>
      <c r="R15" s="232"/>
      <c r="S15" s="232"/>
      <c r="T15" s="232"/>
      <c r="U15" s="232"/>
      <c r="V15" s="232"/>
      <c r="W15" s="232"/>
      <c r="X15" s="232"/>
      <c r="Y15" s="232"/>
      <c r="Z15" s="232"/>
      <c r="AA15" s="232"/>
      <c r="AB15" s="232"/>
      <c r="AC15" s="226"/>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26"/>
    </row>
    <row r="16" spans="1:58" ht="25.15" customHeight="1">
      <c r="A16" s="226"/>
      <c r="B16" s="226"/>
      <c r="C16" s="608" t="str">
        <f>iWeights1!C16</f>
        <v>SUST</v>
      </c>
      <c r="D16" s="608">
        <f>iWeights1!D16</f>
        <v>57</v>
      </c>
      <c r="E16" s="608">
        <f ca="1">iWeights1!E16</f>
        <v>1</v>
      </c>
      <c r="F16" s="699" t="str">
        <f ca="1">REPT(" ",E16)&amp;iWeights1!F16</f>
        <v xml:space="preserve"> 4) SUSTAINABILITY</v>
      </c>
      <c r="G16" s="227">
        <v>21</v>
      </c>
      <c r="H16" s="281">
        <f>INDEX(tblIndicators!AR$2:AR$71,D16)</f>
        <v>0.21</v>
      </c>
      <c r="I16" s="228"/>
      <c r="J16" s="229" t="str">
        <f t="shared" si="1"/>
        <v>||||||||||</v>
      </c>
      <c r="K16" s="226"/>
      <c r="L16" s="230"/>
      <c r="M16" s="231"/>
      <c r="N16" s="226"/>
      <c r="O16" s="232"/>
      <c r="P16" s="232"/>
      <c r="Q16" s="232"/>
      <c r="R16" s="232"/>
      <c r="S16" s="232"/>
      <c r="T16" s="232"/>
      <c r="U16" s="232"/>
      <c r="V16" s="232"/>
      <c r="W16" s="232"/>
      <c r="X16" s="232"/>
      <c r="Y16" s="232"/>
      <c r="Z16" s="232"/>
      <c r="AA16" s="232"/>
      <c r="AB16" s="232"/>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row>
    <row r="17" spans="1:55" ht="8.25" customHeight="1">
      <c r="F17" s="233"/>
      <c r="G17" s="234"/>
      <c r="H17" s="282"/>
      <c r="J17" s="236"/>
    </row>
    <row r="18" spans="1:55" ht="25.15" customHeight="1">
      <c r="A18" s="234"/>
      <c r="B18" s="234"/>
      <c r="C18" s="609"/>
      <c r="D18" s="609"/>
      <c r="E18" s="609"/>
      <c r="F18" s="373" t="s">
        <v>488</v>
      </c>
      <c r="G18" s="373"/>
      <c r="H18" s="374" t="s">
        <v>22</v>
      </c>
      <c r="I18" s="372"/>
      <c r="J18" s="372"/>
      <c r="K18" s="234"/>
      <c r="L18" s="234"/>
      <c r="M18" s="234"/>
      <c r="N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row>
    <row r="19" spans="1:55" ht="19.899999999999999" customHeight="1">
      <c r="A19" s="237"/>
      <c r="B19" s="237"/>
      <c r="C19" s="610" t="str">
        <f>iWeights1!C19</f>
        <v>CNTY</v>
      </c>
      <c r="D19" s="610">
        <f>iWeights1!D19</f>
        <v>2</v>
      </c>
      <c r="E19" s="611">
        <f ca="1">iWeights1!E19</f>
        <v>1</v>
      </c>
      <c r="F19" s="238" t="str">
        <f ca="1">REPT(" ",E19)&amp;iWeights1!F19</f>
        <v xml:space="preserve"> 1) CONNECTIVITY</v>
      </c>
      <c r="G19" s="239"/>
      <c r="H19" s="283"/>
      <c r="I19" s="240"/>
      <c r="J19" s="241"/>
      <c r="K19" s="242"/>
      <c r="L19" s="237"/>
      <c r="M19" s="237"/>
      <c r="N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row>
    <row r="20" spans="1:55" ht="19.899999999999999" customHeight="1">
      <c r="A20" s="237"/>
      <c r="B20" s="237"/>
      <c r="C20" s="610" t="str">
        <f>iWeights1!C20</f>
        <v>CNTY1_1</v>
      </c>
      <c r="D20" s="610">
        <f>iWeights1!D20</f>
        <v>3</v>
      </c>
      <c r="E20" s="611">
        <f ca="1">iWeights1!E20</f>
        <v>2</v>
      </c>
      <c r="F20" s="243" t="str">
        <f ca="1">REPT(" ",E20)&amp;iWeights1!F20</f>
        <v xml:space="preserve">  1.1) Digital infrastructure</v>
      </c>
      <c r="G20" s="244">
        <v>4</v>
      </c>
      <c r="H20" s="281">
        <f>INDEX(tblIndicators!AR$2:AR$71,D20)</f>
        <v>0.44444444444444442</v>
      </c>
      <c r="I20" s="228"/>
      <c r="J20" s="229" t="str">
        <f t="shared" ref="J20" si="2">REPT("|",H20*50)</f>
        <v>||||||||||||||||||||||</v>
      </c>
      <c r="K20" s="242"/>
      <c r="L20" s="237"/>
      <c r="M20" s="237"/>
      <c r="N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row>
    <row r="21" spans="1:55" ht="19.899999999999999" customHeight="1">
      <c r="A21" s="237"/>
      <c r="B21" s="237"/>
      <c r="C21" s="610" t="str">
        <f>iWeights1!C21</f>
        <v>CNTY1_2</v>
      </c>
      <c r="D21" s="610">
        <f>iWeights1!D21</f>
        <v>8</v>
      </c>
      <c r="E21" s="611">
        <f ca="1">iWeights1!E21</f>
        <v>2</v>
      </c>
      <c r="F21" s="243" t="str">
        <f ca="1">REPT(" ",E21)&amp;iWeights1!F21</f>
        <v xml:space="preserve">  1.2) Quality</v>
      </c>
      <c r="G21" s="244">
        <v>2</v>
      </c>
      <c r="H21" s="281">
        <f>INDEX(tblIndicators!AR$2:AR$71,D21)</f>
        <v>0.22222222222222221</v>
      </c>
      <c r="I21" s="228"/>
      <c r="J21" s="229" t="str">
        <f t="shared" ref="J21" si="3">REPT("|",H21*50)</f>
        <v>|||||||||||</v>
      </c>
      <c r="K21" s="242"/>
      <c r="L21" s="237"/>
      <c r="M21" s="237"/>
      <c r="N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row>
    <row r="22" spans="1:55" ht="19.899999999999999" customHeight="1">
      <c r="A22" s="237"/>
      <c r="B22" s="237"/>
      <c r="C22" s="610" t="str">
        <f>iWeights1!C22</f>
        <v>CNTY1_3</v>
      </c>
      <c r="D22" s="610">
        <f>iWeights1!D22</f>
        <v>13</v>
      </c>
      <c r="E22" s="611">
        <f ca="1">iWeights1!E22</f>
        <v>2</v>
      </c>
      <c r="F22" s="243" t="str">
        <f ca="1">REPT(" ",E22)&amp;iWeights1!F22</f>
        <v xml:space="preserve">  1.3) Affordability</v>
      </c>
      <c r="G22" s="244">
        <v>3</v>
      </c>
      <c r="H22" s="281">
        <f>INDEX(tblIndicators!AR$2:AR$71,D22)</f>
        <v>0.33333333333333331</v>
      </c>
      <c r="I22" s="228"/>
      <c r="J22" s="229" t="str">
        <f t="shared" ref="J22:J31" si="4">REPT("|",H22*50)</f>
        <v>||||||||||||||||</v>
      </c>
      <c r="K22" s="242"/>
      <c r="L22" s="237"/>
      <c r="M22" s="237"/>
      <c r="N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row>
    <row r="23" spans="1:55" ht="19.899999999999999" customHeight="1">
      <c r="A23" s="237"/>
      <c r="B23" s="237"/>
      <c r="C23" s="610" t="str">
        <f>iWeights1!C23</f>
        <v>SERV</v>
      </c>
      <c r="D23" s="610">
        <f>iWeights1!D23</f>
        <v>16</v>
      </c>
      <c r="E23" s="611">
        <f ca="1">iWeights1!E23</f>
        <v>1</v>
      </c>
      <c r="F23" s="243" t="str">
        <f ca="1">REPT(" ",E23)&amp;iWeights1!F23</f>
        <v xml:space="preserve"> 2) SERVICES</v>
      </c>
      <c r="G23" s="529"/>
      <c r="H23" s="281"/>
      <c r="I23" s="228"/>
      <c r="J23" s="229"/>
      <c r="K23" s="242"/>
      <c r="L23" s="237"/>
      <c r="M23" s="237"/>
      <c r="N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row>
    <row r="24" spans="1:55" ht="19.899999999999999" customHeight="1">
      <c r="A24" s="237"/>
      <c r="B24" s="237"/>
      <c r="C24" s="610" t="str">
        <f>iWeights1!C24</f>
        <v>SERV2_1</v>
      </c>
      <c r="D24" s="610">
        <f>iWeights1!D24</f>
        <v>17</v>
      </c>
      <c r="E24" s="611">
        <f ca="1">iWeights1!E24</f>
        <v>2</v>
      </c>
      <c r="F24" s="243" t="str">
        <f ca="1">REPT(" ",E24)&amp;iWeights1!F24</f>
        <v xml:space="preserve">  2.1) E-gov services for residents &amp; businesses</v>
      </c>
      <c r="G24" s="244">
        <v>5</v>
      </c>
      <c r="H24" s="281">
        <f>INDEX(tblIndicators!AR$2:AR$71,D24)</f>
        <v>0.19230769230769232</v>
      </c>
      <c r="I24" s="228"/>
      <c r="J24" s="229" t="str">
        <f t="shared" si="4"/>
        <v>|||||||||</v>
      </c>
      <c r="K24" s="242"/>
      <c r="L24" s="237"/>
      <c r="M24" s="237"/>
      <c r="N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row>
    <row r="25" spans="1:55" ht="19.899999999999999" customHeight="1">
      <c r="A25" s="237"/>
      <c r="B25" s="237"/>
      <c r="C25" s="610" t="str">
        <f>iWeights1!C25</f>
        <v>SERV2_2</v>
      </c>
      <c r="D25" s="610">
        <f>iWeights1!D25</f>
        <v>21</v>
      </c>
      <c r="E25" s="611">
        <f ca="1">iWeights1!E25</f>
        <v>2</v>
      </c>
      <c r="F25" s="243" t="str">
        <f ca="1">REPT(" ",E25)&amp;iWeights1!F25</f>
        <v xml:space="preserve">  2.2) Digital finance</v>
      </c>
      <c r="G25" s="244">
        <v>4</v>
      </c>
      <c r="H25" s="281">
        <f>INDEX(tblIndicators!AR$2:AR$71,D25)</f>
        <v>0.15384615384615385</v>
      </c>
      <c r="I25" s="228"/>
      <c r="J25" s="229" t="str">
        <f t="shared" si="4"/>
        <v>|||||||</v>
      </c>
      <c r="K25" s="242"/>
      <c r="L25" s="237"/>
      <c r="M25" s="237"/>
      <c r="N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row>
    <row r="26" spans="1:55" ht="19.899999999999999" customHeight="1">
      <c r="A26" s="237"/>
      <c r="B26" s="237"/>
      <c r="C26" s="610" t="str">
        <f>iWeights1!C26</f>
        <v>SERV2_3</v>
      </c>
      <c r="D26" s="610">
        <f>iWeights1!D26</f>
        <v>25</v>
      </c>
      <c r="E26" s="611">
        <f ca="1">iWeights1!E26</f>
        <v>2</v>
      </c>
      <c r="F26" s="243" t="str">
        <f ca="1">REPT(" ",E26)&amp;iWeights1!F26</f>
        <v xml:space="preserve">  2.3) Transportation</v>
      </c>
      <c r="G26" s="244">
        <v>5</v>
      </c>
      <c r="H26" s="281">
        <f>INDEX(tblIndicators!AR$2:AR$71,D26)</f>
        <v>0.19230769230769232</v>
      </c>
      <c r="I26" s="228"/>
      <c r="J26" s="229" t="str">
        <f t="shared" si="4"/>
        <v>|||||||||</v>
      </c>
      <c r="K26" s="242"/>
      <c r="L26" s="237"/>
      <c r="M26" s="237"/>
      <c r="N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row>
    <row r="27" spans="1:55" ht="19.899999999999999" customHeight="1">
      <c r="A27" s="237"/>
      <c r="B27" s="237"/>
      <c r="C27" s="610" t="str">
        <f>iWeights1!C27</f>
        <v>SERV2_4</v>
      </c>
      <c r="D27" s="610">
        <f>iWeights1!D27</f>
        <v>28</v>
      </c>
      <c r="E27" s="611">
        <f ca="1">iWeights1!E27</f>
        <v>2</v>
      </c>
      <c r="F27" s="243" t="str">
        <f ca="1">REPT(" ",E27)&amp;iWeights1!F27</f>
        <v xml:space="preserve">  2.4) Healthcare</v>
      </c>
      <c r="G27" s="244">
        <v>4</v>
      </c>
      <c r="H27" s="281">
        <f>INDEX(tblIndicators!AR$2:AR$71,D27)</f>
        <v>0.15384615384615385</v>
      </c>
      <c r="I27" s="228"/>
      <c r="J27" s="229" t="str">
        <f t="shared" si="4"/>
        <v>|||||||</v>
      </c>
      <c r="K27" s="242"/>
      <c r="L27" s="237"/>
      <c r="M27" s="237"/>
      <c r="N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row>
    <row r="28" spans="1:55" ht="19.899999999999999" customHeight="1">
      <c r="A28" s="237"/>
      <c r="B28" s="237"/>
      <c r="C28" s="610" t="str">
        <f>iWeights1!C28</f>
        <v>SERV2_5</v>
      </c>
      <c r="D28" s="610">
        <f>iWeights1!D28</f>
        <v>32</v>
      </c>
      <c r="E28" s="611">
        <f ca="1">iWeights1!E28</f>
        <v>2</v>
      </c>
      <c r="F28" s="243" t="str">
        <f ca="1">REPT(" ",E28)&amp;iWeights1!F28</f>
        <v xml:space="preserve">  2.5) Education</v>
      </c>
      <c r="G28" s="244">
        <v>4</v>
      </c>
      <c r="H28" s="281">
        <f>INDEX(tblIndicators!AR$2:AR$71,D28)</f>
        <v>0.15384615384615385</v>
      </c>
      <c r="I28" s="228"/>
      <c r="J28" s="229" t="str">
        <f t="shared" si="4"/>
        <v>|||||||</v>
      </c>
      <c r="K28" s="242"/>
      <c r="L28" s="237"/>
      <c r="M28" s="237"/>
      <c r="N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row>
    <row r="29" spans="1:55" ht="19.899999999999999" customHeight="1">
      <c r="A29" s="237"/>
      <c r="B29" s="237"/>
      <c r="C29" s="610" t="str">
        <f>iWeights1!C29</f>
        <v>SERV2_6</v>
      </c>
      <c r="D29" s="610">
        <f>iWeights1!D29</f>
        <v>34</v>
      </c>
      <c r="E29" s="611">
        <f ca="1">iWeights1!E29</f>
        <v>2</v>
      </c>
      <c r="F29" s="243" t="str">
        <f ca="1">REPT(" ",E29)&amp;iWeights1!F29</f>
        <v xml:space="preserve">  2.6) Retail and hospitality</v>
      </c>
      <c r="G29" s="244">
        <v>4</v>
      </c>
      <c r="H29" s="281">
        <f>INDEX(tblIndicators!AR$2:AR$71,D29)</f>
        <v>0.15384615384615385</v>
      </c>
      <c r="I29" s="228"/>
      <c r="J29" s="229" t="str">
        <f t="shared" si="4"/>
        <v>|||||||</v>
      </c>
      <c r="K29" s="242"/>
      <c r="L29" s="237"/>
      <c r="M29" s="237"/>
      <c r="N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row>
    <row r="30" spans="1:55" ht="19.899999999999999" customHeight="1">
      <c r="A30" s="237"/>
      <c r="B30" s="237"/>
      <c r="C30" s="610" t="str">
        <f>iWeights1!C30</f>
        <v>CULT</v>
      </c>
      <c r="D30" s="610">
        <f>iWeights1!D30</f>
        <v>37</v>
      </c>
      <c r="E30" s="611">
        <f ca="1">iWeights1!E30</f>
        <v>1</v>
      </c>
      <c r="F30" s="243" t="str">
        <f ca="1">REPT(" ",E30)&amp;iWeights1!F30</f>
        <v xml:space="preserve"> 3) CULTURE</v>
      </c>
      <c r="G30" s="529"/>
      <c r="H30" s="281"/>
      <c r="I30" s="228"/>
      <c r="J30" s="229"/>
      <c r="K30" s="242"/>
      <c r="L30" s="237"/>
      <c r="M30" s="237"/>
      <c r="N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row>
    <row r="31" spans="1:55" ht="19.899999999999999" customHeight="1">
      <c r="A31" s="237"/>
      <c r="B31" s="237"/>
      <c r="C31" s="610" t="str">
        <f>iWeights1!C31</f>
        <v>CULT3_1</v>
      </c>
      <c r="D31" s="610">
        <f>iWeights1!D31</f>
        <v>38</v>
      </c>
      <c r="E31" s="611">
        <f ca="1">iWeights1!E31</f>
        <v>2</v>
      </c>
      <c r="F31" s="243" t="str">
        <f ca="1">REPT(" ",E31)&amp;iWeights1!F31</f>
        <v xml:space="preserve">  3.1) Digital inclusion</v>
      </c>
      <c r="G31" s="244">
        <v>3</v>
      </c>
      <c r="H31" s="281">
        <f>INDEX(tblIndicators!AR$2:AR$71,D31)</f>
        <v>0.1875</v>
      </c>
      <c r="I31" s="228"/>
      <c r="J31" s="229" t="str">
        <f t="shared" si="4"/>
        <v>|||||||||</v>
      </c>
      <c r="K31" s="242"/>
      <c r="L31" s="237"/>
      <c r="M31" s="237"/>
      <c r="N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row>
    <row r="32" spans="1:55" ht="19.899999999999999" customHeight="1">
      <c r="A32" s="237"/>
      <c r="B32" s="237"/>
      <c r="C32" s="610" t="str">
        <f>iWeights1!C32</f>
        <v>CULT3_2</v>
      </c>
      <c r="D32" s="610">
        <f>iWeights1!D32</f>
        <v>42</v>
      </c>
      <c r="E32" s="611">
        <f ca="1">iWeights1!E32</f>
        <v>2</v>
      </c>
      <c r="F32" s="243" t="str">
        <f ca="1">REPT(" ",E32)&amp;iWeights1!F32</f>
        <v xml:space="preserve">  3.2) Government support</v>
      </c>
      <c r="G32" s="244">
        <v>5</v>
      </c>
      <c r="H32" s="281">
        <f>INDEX(tblIndicators!AR$2:AR$71,D32)</f>
        <v>0.3125</v>
      </c>
      <c r="I32" s="228"/>
      <c r="J32" s="229" t="str">
        <f t="shared" ref="J32:J39" si="5">REPT("|",H32*50)</f>
        <v>|||||||||||||||</v>
      </c>
      <c r="K32" s="242"/>
      <c r="L32" s="237"/>
      <c r="M32" s="237"/>
      <c r="N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row>
    <row r="33" spans="1:55" ht="19.899999999999999" customHeight="1">
      <c r="A33" s="237"/>
      <c r="B33" s="237"/>
      <c r="C33" s="610" t="str">
        <f>iWeights1!C33</f>
        <v>CULT3_3</v>
      </c>
      <c r="D33" s="610">
        <f>iWeights1!D33</f>
        <v>48</v>
      </c>
      <c r="E33" s="611">
        <f ca="1">iWeights1!E33</f>
        <v>2</v>
      </c>
      <c r="F33" s="243" t="str">
        <f ca="1">REPT(" ",E33)&amp;iWeights1!F33</f>
        <v xml:space="preserve">  3.3) Innovation ecosystem</v>
      </c>
      <c r="G33" s="244">
        <v>5</v>
      </c>
      <c r="H33" s="281">
        <f>INDEX(tblIndicators!AR$2:AR$71,D33)</f>
        <v>0.3125</v>
      </c>
      <c r="I33" s="228"/>
      <c r="J33" s="229" t="str">
        <f t="shared" si="5"/>
        <v>|||||||||||||||</v>
      </c>
      <c r="K33" s="242"/>
      <c r="L33" s="237"/>
      <c r="M33" s="237"/>
      <c r="N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row>
    <row r="34" spans="1:55" ht="19.899999999999999" customHeight="1">
      <c r="A34" s="237"/>
      <c r="B34" s="237"/>
      <c r="C34" s="610" t="str">
        <f>iWeights1!C34</f>
        <v>CULT3_4</v>
      </c>
      <c r="D34" s="610">
        <f>iWeights1!D34</f>
        <v>54</v>
      </c>
      <c r="E34" s="611">
        <f ca="1">iWeights1!E34</f>
        <v>2</v>
      </c>
      <c r="F34" s="243" t="str">
        <f ca="1">REPT(" ",E34)&amp;iWeights1!F34</f>
        <v xml:space="preserve">  3.4) Public attitude and engagement</v>
      </c>
      <c r="G34" s="244">
        <v>3</v>
      </c>
      <c r="H34" s="281">
        <f>INDEX(tblIndicators!AR$2:AR$71,D34)</f>
        <v>0.1875</v>
      </c>
      <c r="I34" s="228"/>
      <c r="J34" s="229" t="str">
        <f t="shared" si="5"/>
        <v>|||||||||</v>
      </c>
      <c r="K34" s="242"/>
      <c r="L34" s="237"/>
      <c r="M34" s="237"/>
      <c r="N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row>
    <row r="35" spans="1:55" ht="19.899999999999999" customHeight="1">
      <c r="A35" s="237"/>
      <c r="B35" s="237"/>
      <c r="C35" s="610" t="str">
        <f>iWeights1!C35</f>
        <v>SUST</v>
      </c>
      <c r="D35" s="610">
        <f>iWeights1!D35</f>
        <v>57</v>
      </c>
      <c r="E35" s="611">
        <f ca="1">iWeights1!E35</f>
        <v>1</v>
      </c>
      <c r="F35" s="243" t="str">
        <f ca="1">REPT(" ",E35)&amp;iWeights1!F35</f>
        <v xml:space="preserve"> 4) SUSTAINABILITY</v>
      </c>
      <c r="G35" s="529"/>
      <c r="H35" s="281"/>
      <c r="I35" s="228"/>
      <c r="J35" s="229"/>
      <c r="K35" s="242"/>
      <c r="L35" s="237"/>
      <c r="M35" s="237"/>
      <c r="N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row>
    <row r="36" spans="1:55" ht="19.899999999999999" customHeight="1">
      <c r="A36" s="237"/>
      <c r="B36" s="237"/>
      <c r="C36" s="610" t="str">
        <f>iWeights1!C36</f>
        <v>SUST4_1</v>
      </c>
      <c r="D36" s="610">
        <f>iWeights1!D36</f>
        <v>58</v>
      </c>
      <c r="E36" s="611">
        <f ca="1">iWeights1!E36</f>
        <v>2</v>
      </c>
      <c r="F36" s="243" t="str">
        <f ca="1">REPT(" ",E36)&amp;iWeights1!F36</f>
        <v xml:space="preserve">  4.1) Efficient resource management</v>
      </c>
      <c r="G36" s="244">
        <v>5</v>
      </c>
      <c r="H36" s="281">
        <f>INDEX(tblIndicators!AR$2:AR$71,D36)</f>
        <v>0.27777777777777779</v>
      </c>
      <c r="I36" s="228"/>
      <c r="J36" s="229" t="str">
        <f t="shared" si="5"/>
        <v>|||||||||||||</v>
      </c>
      <c r="K36" s="242"/>
      <c r="L36" s="237"/>
      <c r="M36" s="237"/>
      <c r="N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row>
    <row r="37" spans="1:55" ht="19.899999999999999" customHeight="1">
      <c r="A37" s="237"/>
      <c r="B37" s="237"/>
      <c r="C37" s="610" t="str">
        <f>iWeights1!C37</f>
        <v>SUST4_2</v>
      </c>
      <c r="D37" s="610">
        <f>iWeights1!D37</f>
        <v>62</v>
      </c>
      <c r="E37" s="611">
        <f ca="1">iWeights1!E37</f>
        <v>2</v>
      </c>
      <c r="F37" s="243" t="str">
        <f ca="1">REPT(" ",E37)&amp;iWeights1!F37</f>
        <v xml:space="preserve">  4.2) Emissions reduction</v>
      </c>
      <c r="G37" s="244">
        <v>5</v>
      </c>
      <c r="H37" s="281">
        <f>INDEX(tblIndicators!AR$2:AR$71,D37)</f>
        <v>0.27777777777777779</v>
      </c>
      <c r="I37" s="228"/>
      <c r="J37" s="229" t="str">
        <f t="shared" si="5"/>
        <v>|||||||||||||</v>
      </c>
      <c r="K37" s="242"/>
      <c r="L37" s="237"/>
      <c r="M37" s="237"/>
      <c r="N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row>
    <row r="38" spans="1:55" ht="19.899999999999999" customHeight="1">
      <c r="A38" s="237"/>
      <c r="B38" s="237"/>
      <c r="C38" s="610" t="str">
        <f>iWeights1!C38</f>
        <v>SUST4_3</v>
      </c>
      <c r="D38" s="610">
        <f>iWeights1!D38</f>
        <v>66</v>
      </c>
      <c r="E38" s="611">
        <f ca="1">iWeights1!E38</f>
        <v>2</v>
      </c>
      <c r="F38" s="243" t="str">
        <f ca="1">REPT(" ",E38)&amp;iWeights1!F38</f>
        <v xml:space="preserve">  4.3) Pollution</v>
      </c>
      <c r="G38" s="244">
        <v>4</v>
      </c>
      <c r="H38" s="281">
        <f>INDEX(tblIndicators!AR$2:AR$71,D38)</f>
        <v>0.22222222222222221</v>
      </c>
      <c r="I38" s="228"/>
      <c r="J38" s="229" t="str">
        <f t="shared" si="5"/>
        <v>|||||||||||</v>
      </c>
      <c r="K38" s="242"/>
      <c r="L38" s="237"/>
      <c r="M38" s="237"/>
      <c r="N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row>
    <row r="39" spans="1:55" ht="19.899999999999999" customHeight="1">
      <c r="A39" s="237"/>
      <c r="B39" s="237"/>
      <c r="C39" s="610" t="str">
        <f>iWeights1!C39</f>
        <v>SUST4_4</v>
      </c>
      <c r="D39" s="610">
        <f>iWeights1!D39</f>
        <v>68</v>
      </c>
      <c r="E39" s="611">
        <f ca="1">iWeights1!E39</f>
        <v>2</v>
      </c>
      <c r="F39" s="243" t="str">
        <f ca="1">REPT(" ",E39)&amp;iWeights1!F39</f>
        <v xml:space="preserve">  4.4) Circular economy</v>
      </c>
      <c r="G39" s="244">
        <v>4</v>
      </c>
      <c r="H39" s="281">
        <f>INDEX(tblIndicators!AR$2:AR$71,D39)</f>
        <v>0.22222222222222221</v>
      </c>
      <c r="I39" s="228"/>
      <c r="J39" s="229" t="str">
        <f t="shared" si="5"/>
        <v>|||||||||||</v>
      </c>
      <c r="K39" s="242"/>
      <c r="L39" s="237"/>
      <c r="M39" s="237"/>
      <c r="N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row>
    <row r="40" spans="1:55" ht="8.25" customHeight="1">
      <c r="F40" s="233"/>
      <c r="G40" s="234"/>
      <c r="H40" s="282"/>
      <c r="J40" s="236"/>
    </row>
    <row r="41" spans="1:55" ht="25.15" customHeight="1">
      <c r="A41" s="234"/>
      <c r="B41" s="234"/>
      <c r="C41" s="609"/>
      <c r="D41" s="609"/>
      <c r="E41" s="609"/>
      <c r="F41" s="373" t="s">
        <v>369</v>
      </c>
      <c r="G41" s="373"/>
      <c r="H41" s="374" t="s">
        <v>22</v>
      </c>
      <c r="I41" s="372"/>
      <c r="J41" s="372"/>
      <c r="K41" s="234"/>
      <c r="L41" s="234"/>
      <c r="M41" s="234"/>
      <c r="N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row>
    <row r="42" spans="1:55" ht="19.899999999999999" customHeight="1">
      <c r="A42" s="237"/>
      <c r="B42" s="237"/>
      <c r="C42" s="610" t="str">
        <f>iWeights1!C42</f>
        <v>CNTY1_1</v>
      </c>
      <c r="D42" s="610">
        <f>iWeights1!D42</f>
        <v>3</v>
      </c>
      <c r="E42" s="611">
        <f ca="1">iWeights1!E42-1</f>
        <v>1</v>
      </c>
      <c r="F42" s="243" t="str">
        <f ca="1">REPT(" ",E42)&amp;iWeights1!F42</f>
        <v xml:space="preserve"> 1.1) Digital infrastructure</v>
      </c>
      <c r="G42" s="529"/>
      <c r="H42" s="281"/>
      <c r="I42" s="228"/>
      <c r="J42" s="229"/>
      <c r="K42" s="242"/>
      <c r="L42" s="237"/>
      <c r="M42" s="237"/>
      <c r="N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row>
    <row r="43" spans="1:55" ht="19.899999999999999" customHeight="1">
      <c r="A43" s="237"/>
      <c r="B43" s="237"/>
      <c r="C43" s="610" t="str">
        <f>iWeights1!C43</f>
        <v>CNTY1_1_1</v>
      </c>
      <c r="D43" s="610">
        <f>iWeights1!D43</f>
        <v>4</v>
      </c>
      <c r="E43" s="611">
        <f ca="1">iWeights1!E43-1</f>
        <v>2</v>
      </c>
      <c r="F43" s="243" t="str">
        <f ca="1">REPT(" ",E43)&amp;iWeights1!F43</f>
        <v xml:space="preserve">  1.1.1) Mobile broadband subscriptions</v>
      </c>
      <c r="G43" s="244">
        <v>4.333333333333333</v>
      </c>
      <c r="H43" s="281">
        <f>INDEX(tblIndicators!AR$2:AR$71,D43)</f>
        <v>0.28888888888888886</v>
      </c>
      <c r="I43" s="228"/>
      <c r="J43" s="229" t="str">
        <f t="shared" ref="J43" si="6">REPT("|",H43*50)</f>
        <v>||||||||||||||</v>
      </c>
      <c r="K43" s="242"/>
      <c r="L43" s="237"/>
      <c r="M43" s="237"/>
      <c r="N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row>
    <row r="44" spans="1:55" ht="19.899999999999999" customHeight="1">
      <c r="A44" s="237"/>
      <c r="B44" s="237"/>
      <c r="C44" s="610" t="str">
        <f>iWeights1!C44</f>
        <v>CNTY1_1_2</v>
      </c>
      <c r="D44" s="610">
        <f>iWeights1!D44</f>
        <v>5</v>
      </c>
      <c r="E44" s="611">
        <f ca="1">iWeights1!E44-1</f>
        <v>2</v>
      </c>
      <c r="F44" s="243" t="str">
        <f ca="1">REPT(" ",E44)&amp;iWeights1!F44</f>
        <v xml:space="preserve">  1.1.2) Fixed broadband susbcriptions</v>
      </c>
      <c r="G44" s="244">
        <v>3.3333333333333335</v>
      </c>
      <c r="H44" s="281">
        <f>INDEX(tblIndicators!AR$2:AR$71,D44)</f>
        <v>0.22222222222222224</v>
      </c>
      <c r="I44" s="228"/>
      <c r="J44" s="229" t="str">
        <f t="shared" ref="J44:J45" si="7">REPT("|",H44*50)</f>
        <v>|||||||||||</v>
      </c>
      <c r="K44" s="242"/>
      <c r="L44" s="237"/>
      <c r="M44" s="237"/>
      <c r="N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row>
    <row r="45" spans="1:55" ht="19.899999999999999" customHeight="1">
      <c r="A45" s="237"/>
      <c r="B45" s="237"/>
      <c r="C45" s="610" t="str">
        <f>iWeights1!C45</f>
        <v>CNTY1_1_3</v>
      </c>
      <c r="D45" s="610">
        <f>iWeights1!D45</f>
        <v>6</v>
      </c>
      <c r="E45" s="611">
        <f ca="1">iWeights1!E45-1</f>
        <v>2</v>
      </c>
      <c r="F45" s="243" t="str">
        <f ca="1">REPT(" ",E45)&amp;iWeights1!F45</f>
        <v xml:space="preserve">  1.1.3) 5G readiness</v>
      </c>
      <c r="G45" s="244">
        <v>3</v>
      </c>
      <c r="H45" s="281">
        <f>INDEX(tblIndicators!AR$2:AR$71,D45)</f>
        <v>0.2</v>
      </c>
      <c r="I45" s="228"/>
      <c r="J45" s="229" t="str">
        <f t="shared" si="7"/>
        <v>||||||||||</v>
      </c>
      <c r="K45" s="242"/>
      <c r="L45" s="237"/>
      <c r="M45" s="237"/>
      <c r="N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row>
    <row r="46" spans="1:55" ht="19.899999999999999" customHeight="1">
      <c r="A46" s="237"/>
      <c r="B46" s="237"/>
      <c r="C46" s="610" t="str">
        <f>iWeights1!C46</f>
        <v>CNTY1_1_4</v>
      </c>
      <c r="D46" s="610">
        <f>iWeights1!D46</f>
        <v>7</v>
      </c>
      <c r="E46" s="611">
        <f ca="1">iWeights1!E46-1</f>
        <v>2</v>
      </c>
      <c r="F46" s="243" t="str">
        <f ca="1">REPT(" ",E46)&amp;iWeights1!F46</f>
        <v xml:space="preserve">  1.1.4) 5G deployment</v>
      </c>
      <c r="G46" s="244">
        <v>4.333333333333333</v>
      </c>
      <c r="H46" s="281">
        <f>INDEX(tblIndicators!AR$2:AR$71,D46)</f>
        <v>0.28888888888888886</v>
      </c>
      <c r="I46" s="228"/>
      <c r="J46" s="229" t="str">
        <f t="shared" ref="J46:J62" si="8">REPT("|",H46*50)</f>
        <v>||||||||||||||</v>
      </c>
      <c r="K46" s="242"/>
      <c r="L46" s="237"/>
      <c r="M46" s="237"/>
      <c r="N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row>
    <row r="47" spans="1:55" ht="19.899999999999999" customHeight="1">
      <c r="A47" s="237"/>
      <c r="B47" s="237"/>
      <c r="C47" s="610" t="str">
        <f>iWeights1!C47</f>
        <v>CNTY1_2</v>
      </c>
      <c r="D47" s="610">
        <f>iWeights1!D47</f>
        <v>8</v>
      </c>
      <c r="E47" s="611">
        <f ca="1">iWeights1!E47-1</f>
        <v>1</v>
      </c>
      <c r="F47" s="243" t="str">
        <f ca="1">REPT(" ",E47)&amp;iWeights1!F47</f>
        <v xml:space="preserve"> 1.2) Quality</v>
      </c>
      <c r="G47" s="529"/>
      <c r="H47" s="281"/>
      <c r="I47" s="228"/>
      <c r="J47" s="229"/>
      <c r="K47" s="242"/>
      <c r="L47" s="237"/>
      <c r="M47" s="237"/>
      <c r="N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row>
    <row r="48" spans="1:55" ht="19.899999999999999" customHeight="1">
      <c r="A48" s="237"/>
      <c r="B48" s="237"/>
      <c r="C48" s="610" t="str">
        <f>iWeights1!C48</f>
        <v>CNTY1_2_1</v>
      </c>
      <c r="D48" s="610">
        <f>iWeights1!D48</f>
        <v>9</v>
      </c>
      <c r="E48" s="611">
        <f ca="1">iWeights1!E48-1</f>
        <v>2</v>
      </c>
      <c r="F48" s="243" t="str">
        <f ca="1">REPT(" ",E48)&amp;iWeights1!F48</f>
        <v xml:space="preserve">  1.2.1) Internet upload speed</v>
      </c>
      <c r="G48" s="244">
        <v>2.6666666666666665</v>
      </c>
      <c r="H48" s="281">
        <f>INDEX(tblIndicators!AR$2:AR$71,D48)</f>
        <v>0.28571428571428575</v>
      </c>
      <c r="I48" s="228"/>
      <c r="J48" s="229" t="str">
        <f t="shared" si="8"/>
        <v>||||||||||||||</v>
      </c>
      <c r="K48" s="242"/>
      <c r="L48" s="237"/>
      <c r="M48" s="237"/>
      <c r="N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row>
    <row r="49" spans="1:55" ht="19.899999999999999" customHeight="1">
      <c r="A49" s="237"/>
      <c r="B49" s="237"/>
      <c r="C49" s="610" t="str">
        <f>iWeights1!C49</f>
        <v>CNTY1_2_2</v>
      </c>
      <c r="D49" s="610">
        <f>iWeights1!D49</f>
        <v>10</v>
      </c>
      <c r="E49" s="611">
        <f ca="1">iWeights1!E49-1</f>
        <v>2</v>
      </c>
      <c r="F49" s="243" t="str">
        <f ca="1">REPT(" ",E49)&amp;iWeights1!F49</f>
        <v xml:space="preserve">  1.2.2) Internet download speed</v>
      </c>
      <c r="G49" s="244">
        <v>3</v>
      </c>
      <c r="H49" s="281">
        <f>INDEX(tblIndicators!AR$2:AR$71,D49)</f>
        <v>0.32142857142857145</v>
      </c>
      <c r="I49" s="228"/>
      <c r="J49" s="229" t="str">
        <f t="shared" si="8"/>
        <v>||||||||||||||||</v>
      </c>
      <c r="K49" s="242"/>
      <c r="L49" s="237"/>
      <c r="M49" s="237"/>
      <c r="N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row>
    <row r="50" spans="1:55" ht="19.899999999999999" customHeight="1">
      <c r="A50" s="237"/>
      <c r="B50" s="237"/>
      <c r="C50" s="610" t="str">
        <f>iWeights1!C50</f>
        <v>CNTY1_2_3</v>
      </c>
      <c r="D50" s="610">
        <f>iWeights1!D50</f>
        <v>11</v>
      </c>
      <c r="E50" s="611">
        <f ca="1">iWeights1!E50-1</f>
        <v>2</v>
      </c>
      <c r="F50" s="243" t="str">
        <f ca="1">REPT(" ",E50)&amp;iWeights1!F50</f>
        <v xml:space="preserve">  1.2.3) Mobile broadband latency</v>
      </c>
      <c r="G50" s="244">
        <v>1.6666666666666667</v>
      </c>
      <c r="H50" s="281">
        <f>INDEX(tblIndicators!AR$2:AR$71,D50)</f>
        <v>0.1785714285714286</v>
      </c>
      <c r="I50" s="228"/>
      <c r="J50" s="229" t="str">
        <f t="shared" si="8"/>
        <v>||||||||</v>
      </c>
      <c r="K50" s="242"/>
      <c r="L50" s="237"/>
      <c r="M50" s="237"/>
      <c r="N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row>
    <row r="51" spans="1:55" ht="19.899999999999999" customHeight="1">
      <c r="A51" s="237"/>
      <c r="B51" s="237"/>
      <c r="C51" s="610" t="str">
        <f>iWeights1!C51</f>
        <v>CNTY1_2_4</v>
      </c>
      <c r="D51" s="610">
        <f>iWeights1!D51</f>
        <v>12</v>
      </c>
      <c r="E51" s="611">
        <f ca="1">iWeights1!E51-1</f>
        <v>2</v>
      </c>
      <c r="F51" s="243" t="str">
        <f ca="1">REPT(" ",E51)&amp;iWeights1!F51</f>
        <v xml:space="preserve">  1.2.4) Fixed broadband latency</v>
      </c>
      <c r="G51" s="244">
        <v>2</v>
      </c>
      <c r="H51" s="281">
        <f>INDEX(tblIndicators!AR$2:AR$71,D51)</f>
        <v>0.2142857142857143</v>
      </c>
      <c r="I51" s="228"/>
      <c r="J51" s="229" t="str">
        <f t="shared" ref="J51" si="9">REPT("|",H51*50)</f>
        <v>||||||||||</v>
      </c>
      <c r="K51" s="242"/>
      <c r="L51" s="237"/>
      <c r="M51" s="237"/>
      <c r="N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row>
    <row r="52" spans="1:55" ht="19.899999999999999" customHeight="1">
      <c r="A52" s="237"/>
      <c r="B52" s="237"/>
      <c r="C52" s="610" t="str">
        <f>iWeights1!C52</f>
        <v>CNTY1_3</v>
      </c>
      <c r="D52" s="610">
        <f>iWeights1!D52</f>
        <v>13</v>
      </c>
      <c r="E52" s="611">
        <f ca="1">iWeights1!E52-1</f>
        <v>1</v>
      </c>
      <c r="F52" s="243" t="str">
        <f ca="1">REPT(" ",E52)&amp;iWeights1!F52</f>
        <v xml:space="preserve"> 1.3) Affordability</v>
      </c>
      <c r="G52" s="529"/>
      <c r="H52" s="281"/>
      <c r="I52" s="228"/>
      <c r="J52" s="229"/>
      <c r="K52" s="242"/>
      <c r="L52" s="237"/>
      <c r="M52" s="237"/>
      <c r="N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row>
    <row r="53" spans="1:55" ht="19.899999999999999" customHeight="1">
      <c r="A53" s="237"/>
      <c r="B53" s="237"/>
      <c r="C53" s="610" t="str">
        <f>iWeights1!C53</f>
        <v>CNTY1_3_1</v>
      </c>
      <c r="D53" s="610">
        <f>iWeights1!D53</f>
        <v>14</v>
      </c>
      <c r="E53" s="611">
        <f ca="1">iWeights1!E53-1</f>
        <v>2</v>
      </c>
      <c r="F53" s="243" t="str">
        <f ca="1">REPT(" ",E53)&amp;iWeights1!F53</f>
        <v xml:space="preserve">  1.3.1) Mobile data affordability</v>
      </c>
      <c r="G53" s="244">
        <v>4</v>
      </c>
      <c r="H53" s="281">
        <f>INDEX(tblIndicators!AR$2:AR$71,D53)</f>
        <v>0.52171644711099519</v>
      </c>
      <c r="I53" s="228"/>
      <c r="J53" s="229" t="str">
        <f t="shared" si="8"/>
        <v>||||||||||||||||||||||||||</v>
      </c>
      <c r="K53" s="242"/>
      <c r="L53" s="237"/>
      <c r="M53" s="237"/>
      <c r="N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row>
    <row r="54" spans="1:55" ht="19.899999999999999" customHeight="1">
      <c r="A54" s="237"/>
      <c r="B54" s="237"/>
      <c r="C54" s="610" t="str">
        <f>iWeights1!C54</f>
        <v>CNTY1_3_2</v>
      </c>
      <c r="D54" s="610">
        <f>iWeights1!D54</f>
        <v>15</v>
      </c>
      <c r="E54" s="611">
        <f ca="1">iWeights1!E54-1</f>
        <v>2</v>
      </c>
      <c r="F54" s="243" t="str">
        <f ca="1">REPT(" ",E54)&amp;iWeights1!F54</f>
        <v xml:space="preserve">  1.3.2) Fixed broadband affordability</v>
      </c>
      <c r="G54" s="244">
        <v>3.6669999999999998</v>
      </c>
      <c r="H54" s="281">
        <f>INDEX(tblIndicators!AR$2:AR$71,D54)</f>
        <v>0.47828355288900481</v>
      </c>
      <c r="I54" s="228"/>
      <c r="J54" s="229" t="str">
        <f t="shared" si="8"/>
        <v>|||||||||||||||||||||||</v>
      </c>
      <c r="K54" s="242"/>
      <c r="L54" s="237"/>
      <c r="M54" s="237"/>
      <c r="N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row>
    <row r="55" spans="1:55" ht="19.899999999999999" customHeight="1">
      <c r="A55" s="237"/>
      <c r="B55" s="237"/>
      <c r="C55" s="610" t="str">
        <f>iWeights1!C55</f>
        <v>SERV2_1</v>
      </c>
      <c r="D55" s="610">
        <f>iWeights1!D55</f>
        <v>17</v>
      </c>
      <c r="E55" s="611">
        <f ca="1">iWeights1!E55-1</f>
        <v>1</v>
      </c>
      <c r="F55" s="243" t="str">
        <f ca="1">REPT(" ",E55)&amp;iWeights1!F55</f>
        <v xml:space="preserve"> 2.1) E-gov services for residents &amp; businesses</v>
      </c>
      <c r="G55" s="529"/>
      <c r="H55" s="281"/>
      <c r="I55" s="228"/>
      <c r="J55" s="229"/>
      <c r="K55" s="242"/>
      <c r="L55" s="237"/>
      <c r="M55" s="237"/>
      <c r="N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row>
    <row r="56" spans="1:55" ht="19.899999999999999" customHeight="1">
      <c r="A56" s="237"/>
      <c r="B56" s="237"/>
      <c r="C56" s="610" t="str">
        <f>iWeights1!C56</f>
        <v>SERV2_1_1</v>
      </c>
      <c r="D56" s="610">
        <f>iWeights1!D56</f>
        <v>18</v>
      </c>
      <c r="E56" s="611">
        <f ca="1">iWeights1!E56-1</f>
        <v>2</v>
      </c>
      <c r="F56" s="243" t="str">
        <f ca="1">REPT(" ",E56)&amp;iWeights1!F56</f>
        <v xml:space="preserve">  2.1.1) Mobile digital national ID</v>
      </c>
      <c r="G56" s="244">
        <v>4.5</v>
      </c>
      <c r="H56" s="281">
        <f>INDEX(tblIndicators!AR$2:AR$71,D56)</f>
        <v>0.32142857142857145</v>
      </c>
      <c r="I56" s="228"/>
      <c r="J56" s="229" t="str">
        <f t="shared" ref="J56:J57" si="10">REPT("|",H56*50)</f>
        <v>||||||||||||||||</v>
      </c>
      <c r="K56" s="242"/>
      <c r="L56" s="237"/>
      <c r="M56" s="237"/>
      <c r="N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row>
    <row r="57" spans="1:55" ht="19.899999999999999" customHeight="1">
      <c r="A57" s="237"/>
      <c r="B57" s="237"/>
      <c r="C57" s="610" t="str">
        <f>iWeights1!C57</f>
        <v>SERV2_1_2</v>
      </c>
      <c r="D57" s="610">
        <f>iWeights1!D57</f>
        <v>19</v>
      </c>
      <c r="E57" s="611">
        <f ca="1">iWeights1!E57-1</f>
        <v>2</v>
      </c>
      <c r="F57" s="243" t="str">
        <f ca="1">REPT(" ",E57)&amp;iWeights1!F57</f>
        <v xml:space="preserve">  2.1.2) E-gov service portal for residents</v>
      </c>
      <c r="G57" s="244">
        <v>5</v>
      </c>
      <c r="H57" s="281">
        <f>INDEX(tblIndicators!AR$2:AR$71,D57)</f>
        <v>0.35714285714285715</v>
      </c>
      <c r="I57" s="228"/>
      <c r="J57" s="229" t="str">
        <f t="shared" si="10"/>
        <v>|||||||||||||||||</v>
      </c>
      <c r="K57" s="242"/>
      <c r="L57" s="237"/>
      <c r="M57" s="237"/>
      <c r="N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row>
    <row r="58" spans="1:55" ht="19.899999999999999" customHeight="1">
      <c r="A58" s="237"/>
      <c r="B58" s="237"/>
      <c r="C58" s="610" t="str">
        <f>iWeights1!C58</f>
        <v>SERV2_1_3</v>
      </c>
      <c r="D58" s="610">
        <f>iWeights1!D58</f>
        <v>20</v>
      </c>
      <c r="E58" s="611">
        <f ca="1">iWeights1!E58-1</f>
        <v>2</v>
      </c>
      <c r="F58" s="243" t="str">
        <f ca="1">REPT(" ",E58)&amp;iWeights1!F58</f>
        <v xml:space="preserve">  2.1.3) E-gov service portal for businesses</v>
      </c>
      <c r="G58" s="244">
        <v>4.5</v>
      </c>
      <c r="H58" s="281">
        <f>INDEX(tblIndicators!AR$2:AR$71,D58)</f>
        <v>0.32142857142857145</v>
      </c>
      <c r="I58" s="228"/>
      <c r="J58" s="229" t="str">
        <f t="shared" ref="J58" si="11">REPT("|",H58*50)</f>
        <v>||||||||||||||||</v>
      </c>
      <c r="K58" s="242"/>
      <c r="L58" s="237"/>
      <c r="M58" s="237"/>
      <c r="N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row>
    <row r="59" spans="1:55" ht="19.899999999999999" customHeight="1">
      <c r="A59" s="237"/>
      <c r="B59" s="237"/>
      <c r="C59" s="610" t="str">
        <f>iWeights1!C59</f>
        <v>SERV2_2</v>
      </c>
      <c r="D59" s="610">
        <f>iWeights1!D59</f>
        <v>21</v>
      </c>
      <c r="E59" s="611">
        <f ca="1">iWeights1!E59-1</f>
        <v>1</v>
      </c>
      <c r="F59" s="243" t="str">
        <f ca="1">REPT(" ",E59)&amp;iWeights1!F59</f>
        <v xml:space="preserve"> 2.2) Digital finance</v>
      </c>
      <c r="G59" s="529"/>
      <c r="H59" s="281"/>
      <c r="I59" s="228"/>
      <c r="J59" s="229"/>
      <c r="K59" s="242"/>
      <c r="L59" s="237"/>
      <c r="M59" s="237"/>
      <c r="N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row>
    <row r="60" spans="1:55" ht="19.899999999999999" customHeight="1">
      <c r="A60" s="237"/>
      <c r="B60" s="237"/>
      <c r="C60" s="610" t="str">
        <f>iWeights1!C60</f>
        <v>SERV2_2_1</v>
      </c>
      <c r="D60" s="610">
        <f>iWeights1!D60</f>
        <v>22</v>
      </c>
      <c r="E60" s="611">
        <f ca="1">iWeights1!E60-1</f>
        <v>2</v>
      </c>
      <c r="F60" s="243" t="str">
        <f ca="1">REPT(" ",E60)&amp;iWeights1!F60</f>
        <v xml:space="preserve">  2.2.1) Digital platforms for banking and personal finance</v>
      </c>
      <c r="G60" s="244">
        <v>4</v>
      </c>
      <c r="H60" s="281">
        <f>INDEX(tblIndicators!AR$2:AR$71,D60)</f>
        <v>0.34285714285714286</v>
      </c>
      <c r="I60" s="228"/>
      <c r="J60" s="229" t="str">
        <f t="shared" ref="J60" si="12">REPT("|",H60*50)</f>
        <v>|||||||||||||||||</v>
      </c>
      <c r="K60" s="242"/>
      <c r="L60" s="237"/>
      <c r="M60" s="237"/>
      <c r="N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row>
    <row r="61" spans="1:55" ht="19.899999999999999" customHeight="1">
      <c r="A61" s="237"/>
      <c r="B61" s="237"/>
      <c r="C61" s="610" t="str">
        <f>iWeights1!C61</f>
        <v>SERV2_2_2</v>
      </c>
      <c r="D61" s="610">
        <f>iWeights1!D61</f>
        <v>23</v>
      </c>
      <c r="E61" s="611">
        <f ca="1">iWeights1!E61-1</f>
        <v>2</v>
      </c>
      <c r="F61" s="243" t="str">
        <f ca="1">REPT(" ",E61)&amp;iWeights1!F61</f>
        <v xml:space="preserve">  2.2.2) Digital investment management tools</v>
      </c>
      <c r="G61" s="244">
        <v>2.6666666666666665</v>
      </c>
      <c r="H61" s="281">
        <f>INDEX(tblIndicators!AR$2:AR$71,D61)</f>
        <v>0.22857142857142856</v>
      </c>
      <c r="I61" s="228"/>
      <c r="J61" s="229" t="str">
        <f t="shared" si="8"/>
        <v>|||||||||||</v>
      </c>
      <c r="K61" s="242"/>
      <c r="L61" s="237"/>
      <c r="M61" s="237"/>
      <c r="N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row>
    <row r="62" spans="1:55" ht="19.899999999999999" customHeight="1">
      <c r="A62" s="237"/>
      <c r="B62" s="237"/>
      <c r="C62" s="610" t="str">
        <f>iWeights1!C62</f>
        <v>SERV2_2_3</v>
      </c>
      <c r="D62" s="610">
        <f>iWeights1!D62</f>
        <v>24</v>
      </c>
      <c r="E62" s="611">
        <f ca="1">iWeights1!E62-1</f>
        <v>2</v>
      </c>
      <c r="F62" s="243" t="str">
        <f ca="1">REPT(" ",E62)&amp;iWeights1!F62</f>
        <v xml:space="preserve">  2.2.3) E-payments</v>
      </c>
      <c r="G62" s="244">
        <v>5</v>
      </c>
      <c r="H62" s="281">
        <f>INDEX(tblIndicators!AR$2:AR$71,D62)</f>
        <v>0.4285714285714286</v>
      </c>
      <c r="I62" s="228"/>
      <c r="J62" s="229" t="str">
        <f t="shared" si="8"/>
        <v>|||||||||||||||||||||</v>
      </c>
      <c r="K62" s="242"/>
      <c r="L62" s="237"/>
      <c r="M62" s="237"/>
      <c r="N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row>
    <row r="63" spans="1:55" ht="19.899999999999999" customHeight="1">
      <c r="A63" s="237"/>
      <c r="B63" s="237"/>
      <c r="C63" s="610" t="str">
        <f>iWeights1!C63</f>
        <v>SERV2_3</v>
      </c>
      <c r="D63" s="610">
        <f>iWeights1!D63</f>
        <v>25</v>
      </c>
      <c r="E63" s="611">
        <f ca="1">iWeights1!E63-1</f>
        <v>1</v>
      </c>
      <c r="F63" s="243" t="str">
        <f ca="1">REPT(" ",E63)&amp;iWeights1!F63</f>
        <v xml:space="preserve"> 2.3) Transportation</v>
      </c>
      <c r="G63" s="529"/>
      <c r="H63" s="281"/>
      <c r="I63" s="228"/>
      <c r="J63" s="229"/>
      <c r="K63" s="242"/>
      <c r="L63" s="237"/>
      <c r="M63" s="237"/>
      <c r="N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7"/>
      <c r="AY63" s="237"/>
      <c r="AZ63" s="237"/>
      <c r="BA63" s="237"/>
      <c r="BB63" s="237"/>
      <c r="BC63" s="237"/>
    </row>
    <row r="64" spans="1:55" ht="19.899999999999999" customHeight="1">
      <c r="A64" s="237"/>
      <c r="B64" s="237"/>
      <c r="C64" s="610" t="str">
        <f>iWeights1!C64</f>
        <v>SERV2_3_1</v>
      </c>
      <c r="D64" s="610">
        <f>iWeights1!D64</f>
        <v>26</v>
      </c>
      <c r="E64" s="611">
        <f ca="1">iWeights1!E64-1</f>
        <v>2</v>
      </c>
      <c r="F64" s="243" t="str">
        <f ca="1">REPT(" ",E64)&amp;iWeights1!F64</f>
        <v xml:space="preserve">  2.3.1) Integrated public transport apps</v>
      </c>
      <c r="G64" s="244">
        <v>4.666666666666667</v>
      </c>
      <c r="H64" s="281">
        <f>INDEX(tblIndicators!AR$2:AR$71,D64)</f>
        <v>0.53846153846153844</v>
      </c>
      <c r="I64" s="228"/>
      <c r="J64" s="229" t="str">
        <f t="shared" ref="J64:J95" si="13">REPT("|",H64*50)</f>
        <v>||||||||||||||||||||||||||</v>
      </c>
      <c r="K64" s="242"/>
      <c r="L64" s="237"/>
      <c r="M64" s="237"/>
      <c r="N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7"/>
      <c r="AY64" s="237"/>
      <c r="AZ64" s="237"/>
      <c r="BA64" s="237"/>
      <c r="BB64" s="237"/>
      <c r="BC64" s="237"/>
    </row>
    <row r="65" spans="1:55" ht="19.899999999999999" customHeight="1">
      <c r="A65" s="237"/>
      <c r="B65" s="237"/>
      <c r="C65" s="610" t="str">
        <f>iWeights1!C65</f>
        <v>SERV2_3_2</v>
      </c>
      <c r="D65" s="610">
        <f>iWeights1!D65</f>
        <v>27</v>
      </c>
      <c r="E65" s="611">
        <f ca="1">iWeights1!E65-1</f>
        <v>2</v>
      </c>
      <c r="F65" s="243" t="str">
        <f ca="1">REPT(" ",E65)&amp;iWeights1!F65</f>
        <v xml:space="preserve">  2.3.2) Digital identification at airports</v>
      </c>
      <c r="G65" s="244">
        <v>4</v>
      </c>
      <c r="H65" s="281">
        <f>INDEX(tblIndicators!AR$2:AR$71,D65)</f>
        <v>0.46153846153846145</v>
      </c>
      <c r="I65" s="228"/>
      <c r="J65" s="229" t="str">
        <f t="shared" si="13"/>
        <v>|||||||||||||||||||||||</v>
      </c>
      <c r="K65" s="242"/>
      <c r="L65" s="237"/>
      <c r="M65" s="237"/>
      <c r="N65" s="237"/>
      <c r="AC65" s="237"/>
      <c r="AD65" s="237"/>
      <c r="AE65" s="237"/>
      <c r="AF65" s="237"/>
      <c r="AG65" s="237"/>
      <c r="AH65" s="237"/>
      <c r="AI65" s="237"/>
      <c r="AJ65" s="237"/>
      <c r="AK65" s="237"/>
      <c r="AL65" s="237"/>
      <c r="AM65" s="237"/>
      <c r="AN65" s="237"/>
      <c r="AO65" s="237"/>
      <c r="AP65" s="237"/>
      <c r="AQ65" s="237"/>
      <c r="AR65" s="237"/>
      <c r="AS65" s="237"/>
      <c r="AT65" s="237"/>
      <c r="AU65" s="237"/>
      <c r="AV65" s="237"/>
      <c r="AW65" s="237"/>
      <c r="AX65" s="237"/>
      <c r="AY65" s="237"/>
      <c r="AZ65" s="237"/>
      <c r="BA65" s="237"/>
      <c r="BB65" s="237"/>
      <c r="BC65" s="237"/>
    </row>
    <row r="66" spans="1:55" ht="19.899999999999999" customHeight="1">
      <c r="A66" s="237"/>
      <c r="B66" s="237"/>
      <c r="C66" s="610" t="str">
        <f>iWeights1!C66</f>
        <v>SERV2_4</v>
      </c>
      <c r="D66" s="610">
        <f>iWeights1!D66</f>
        <v>28</v>
      </c>
      <c r="E66" s="611">
        <f ca="1">iWeights1!E66-1</f>
        <v>1</v>
      </c>
      <c r="F66" s="243" t="str">
        <f ca="1">REPT(" ",E66)&amp;iWeights1!F66</f>
        <v xml:space="preserve"> 2.4) Healthcare</v>
      </c>
      <c r="G66" s="529"/>
      <c r="H66" s="281"/>
      <c r="I66" s="228"/>
      <c r="J66" s="229"/>
      <c r="K66" s="242"/>
      <c r="L66" s="237"/>
      <c r="M66" s="237"/>
      <c r="N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37"/>
      <c r="AZ66" s="237"/>
      <c r="BA66" s="237"/>
      <c r="BB66" s="237"/>
      <c r="BC66" s="237"/>
    </row>
    <row r="67" spans="1:55" ht="19.899999999999999" customHeight="1">
      <c r="A67" s="237"/>
      <c r="B67" s="237"/>
      <c r="C67" s="610" t="str">
        <f>iWeights1!C67</f>
        <v>SERV2_4_1</v>
      </c>
      <c r="D67" s="610">
        <f>iWeights1!D67</f>
        <v>29</v>
      </c>
      <c r="E67" s="611">
        <f ca="1">iWeights1!E67-1</f>
        <v>2</v>
      </c>
      <c r="F67" s="243" t="str">
        <f ca="1">REPT(" ",E67)&amp;iWeights1!F67</f>
        <v xml:space="preserve">  2.4.1) Telehealth &amp; telemedicine</v>
      </c>
      <c r="G67" s="244">
        <v>4</v>
      </c>
      <c r="H67" s="281">
        <f>INDEX(tblIndicators!AR$2:AR$71,D67)</f>
        <v>0.31578947368421051</v>
      </c>
      <c r="I67" s="228"/>
      <c r="J67" s="229" t="str">
        <f t="shared" si="13"/>
        <v>|||||||||||||||</v>
      </c>
      <c r="K67" s="242"/>
      <c r="L67" s="237"/>
      <c r="M67" s="237"/>
      <c r="N67" s="237"/>
      <c r="AC67" s="237"/>
      <c r="AD67" s="237"/>
      <c r="AE67" s="237"/>
      <c r="AF67" s="237"/>
      <c r="AG67" s="237"/>
      <c r="AH67" s="237"/>
      <c r="AI67" s="237"/>
      <c r="AJ67" s="237"/>
      <c r="AK67" s="237"/>
      <c r="AL67" s="237"/>
      <c r="AM67" s="237"/>
      <c r="AN67" s="237"/>
      <c r="AO67" s="237"/>
      <c r="AP67" s="237"/>
      <c r="AQ67" s="237"/>
      <c r="AR67" s="237"/>
      <c r="AS67" s="237"/>
      <c r="AT67" s="237"/>
      <c r="AU67" s="237"/>
      <c r="AV67" s="237"/>
      <c r="AW67" s="237"/>
      <c r="AX67" s="237"/>
      <c r="AY67" s="237"/>
      <c r="AZ67" s="237"/>
      <c r="BA67" s="237"/>
      <c r="BB67" s="237"/>
      <c r="BC67" s="237"/>
    </row>
    <row r="68" spans="1:55" ht="19.899999999999999" customHeight="1">
      <c r="A68" s="237"/>
      <c r="B68" s="237"/>
      <c r="C68" s="610" t="str">
        <f>iWeights1!C68</f>
        <v>SERV2_4_2</v>
      </c>
      <c r="D68" s="610">
        <f>iWeights1!D68</f>
        <v>30</v>
      </c>
      <c r="E68" s="611">
        <f ca="1">iWeights1!E68-1</f>
        <v>2</v>
      </c>
      <c r="F68" s="243" t="str">
        <f ca="1">REPT(" ",E68)&amp;iWeights1!F68</f>
        <v xml:space="preserve">  2.4.2) Electronic health records</v>
      </c>
      <c r="G68" s="244">
        <v>4.666666666666667</v>
      </c>
      <c r="H68" s="281">
        <f>INDEX(tblIndicators!AR$2:AR$71,D68)</f>
        <v>0.36842105263157893</v>
      </c>
      <c r="I68" s="228"/>
      <c r="J68" s="229" t="str">
        <f t="shared" si="13"/>
        <v>||||||||||||||||||</v>
      </c>
      <c r="K68" s="242"/>
      <c r="L68" s="237"/>
      <c r="M68" s="237"/>
      <c r="N68" s="237"/>
      <c r="AC68" s="237"/>
      <c r="AD68" s="237"/>
      <c r="AE68" s="237"/>
      <c r="AF68" s="237"/>
      <c r="AG68" s="237"/>
      <c r="AH68" s="237"/>
      <c r="AI68" s="237"/>
      <c r="AJ68" s="237"/>
      <c r="AK68" s="237"/>
      <c r="AL68" s="237"/>
      <c r="AM68" s="237"/>
      <c r="AN68" s="237"/>
      <c r="AO68" s="237"/>
      <c r="AP68" s="237"/>
      <c r="AQ68" s="237"/>
      <c r="AR68" s="237"/>
      <c r="AS68" s="237"/>
      <c r="AT68" s="237"/>
      <c r="AU68" s="237"/>
      <c r="AV68" s="237"/>
      <c r="AW68" s="237"/>
      <c r="AX68" s="237"/>
      <c r="AY68" s="237"/>
      <c r="AZ68" s="237"/>
      <c r="BA68" s="237"/>
      <c r="BB68" s="237"/>
      <c r="BC68" s="237"/>
    </row>
    <row r="69" spans="1:55" ht="19.899999999999999" customHeight="1">
      <c r="A69" s="237"/>
      <c r="B69" s="237"/>
      <c r="C69" s="610" t="str">
        <f>iWeights1!C69</f>
        <v>SERV2_4_3</v>
      </c>
      <c r="D69" s="610">
        <f>iWeights1!D69</f>
        <v>31</v>
      </c>
      <c r="E69" s="611">
        <f ca="1">iWeights1!E69-1</f>
        <v>2</v>
      </c>
      <c r="F69" s="243" t="str">
        <f ca="1">REPT(" ",E69)&amp;iWeights1!F69</f>
        <v xml:space="preserve">  2.4.3) Pandemic-related applications</v>
      </c>
      <c r="G69" s="244">
        <v>4</v>
      </c>
      <c r="H69" s="281">
        <f>INDEX(tblIndicators!AR$2:AR$71,D69)</f>
        <v>0.31578947368421051</v>
      </c>
      <c r="I69" s="228"/>
      <c r="J69" s="229" t="str">
        <f t="shared" si="13"/>
        <v>|||||||||||||||</v>
      </c>
      <c r="K69" s="242"/>
      <c r="L69" s="237"/>
      <c r="M69" s="237"/>
      <c r="N69" s="237"/>
      <c r="AC69" s="237"/>
      <c r="AD69" s="237"/>
      <c r="AE69" s="237"/>
      <c r="AF69" s="237"/>
      <c r="AG69" s="237"/>
      <c r="AH69" s="237"/>
      <c r="AI69" s="237"/>
      <c r="AJ69" s="237"/>
      <c r="AK69" s="237"/>
      <c r="AL69" s="237"/>
      <c r="AM69" s="237"/>
      <c r="AN69" s="237"/>
      <c r="AO69" s="237"/>
      <c r="AP69" s="237"/>
      <c r="AQ69" s="237"/>
      <c r="AR69" s="237"/>
      <c r="AS69" s="237"/>
      <c r="AT69" s="237"/>
      <c r="AU69" s="237"/>
      <c r="AV69" s="237"/>
      <c r="AW69" s="237"/>
      <c r="AX69" s="237"/>
      <c r="AY69" s="237"/>
      <c r="AZ69" s="237"/>
      <c r="BA69" s="237"/>
      <c r="BB69" s="237"/>
      <c r="BC69" s="237"/>
    </row>
    <row r="70" spans="1:55" ht="19.899999999999999" customHeight="1">
      <c r="A70" s="237"/>
      <c r="B70" s="237"/>
      <c r="C70" s="610" t="str">
        <f>iWeights1!C70</f>
        <v>SERV2_5</v>
      </c>
      <c r="D70" s="610">
        <f>iWeights1!D70</f>
        <v>32</v>
      </c>
      <c r="E70" s="611">
        <f ca="1">iWeights1!E70-1</f>
        <v>1</v>
      </c>
      <c r="F70" s="243" t="str">
        <f ca="1">REPT(" ",E70)&amp;iWeights1!F70</f>
        <v xml:space="preserve"> 2.5) Education</v>
      </c>
      <c r="G70" s="529"/>
      <c r="H70" s="281"/>
      <c r="I70" s="228"/>
      <c r="J70" s="229"/>
      <c r="K70" s="242"/>
      <c r="L70" s="237"/>
      <c r="M70" s="237"/>
      <c r="N70" s="237"/>
      <c r="AC70" s="237"/>
      <c r="AD70" s="237"/>
      <c r="AE70" s="237"/>
      <c r="AF70" s="237"/>
      <c r="AG70" s="237"/>
      <c r="AH70" s="237"/>
      <c r="AI70" s="237"/>
      <c r="AJ70" s="237"/>
      <c r="AK70" s="237"/>
      <c r="AL70" s="237"/>
      <c r="AM70" s="237"/>
      <c r="AN70" s="237"/>
      <c r="AO70" s="237"/>
      <c r="AP70" s="237"/>
      <c r="AQ70" s="237"/>
      <c r="AR70" s="237"/>
      <c r="AS70" s="237"/>
      <c r="AT70" s="237"/>
      <c r="AU70" s="237"/>
      <c r="AV70" s="237"/>
      <c r="AW70" s="237"/>
      <c r="AX70" s="237"/>
      <c r="AY70" s="237"/>
      <c r="AZ70" s="237"/>
      <c r="BA70" s="237"/>
      <c r="BB70" s="237"/>
      <c r="BC70" s="237"/>
    </row>
    <row r="71" spans="1:55" ht="19.899999999999999" customHeight="1">
      <c r="A71" s="237"/>
      <c r="B71" s="237"/>
      <c r="C71" s="610" t="str">
        <f>iWeights1!C71</f>
        <v>SERV2_5_1</v>
      </c>
      <c r="D71" s="610">
        <f>iWeights1!D71</f>
        <v>33</v>
      </c>
      <c r="E71" s="611">
        <f ca="1">iWeights1!E71-1</f>
        <v>2</v>
      </c>
      <c r="F71" s="243" t="str">
        <f ca="1">REPT(" ",E71)&amp;iWeights1!F71</f>
        <v xml:space="preserve">  2.5.1) Digital education</v>
      </c>
      <c r="G71" s="244">
        <v>1</v>
      </c>
      <c r="H71" s="281">
        <f>INDEX(tblIndicators!AR$2:AR$71,D71)</f>
        <v>1</v>
      </c>
      <c r="I71" s="228"/>
      <c r="J71" s="229" t="str">
        <f t="shared" si="13"/>
        <v>||||||||||||||||||||||||||||||||||||||||||||||||||</v>
      </c>
      <c r="K71" s="242"/>
      <c r="L71" s="237"/>
      <c r="M71" s="237"/>
      <c r="N71" s="237"/>
      <c r="AC71" s="237"/>
      <c r="AD71" s="237"/>
      <c r="AE71" s="237"/>
      <c r="AF71" s="237"/>
      <c r="AG71" s="237"/>
      <c r="AH71" s="237"/>
      <c r="AI71" s="237"/>
      <c r="AJ71" s="237"/>
      <c r="AK71" s="237"/>
      <c r="AL71" s="237"/>
      <c r="AM71" s="237"/>
      <c r="AN71" s="237"/>
      <c r="AO71" s="237"/>
      <c r="AP71" s="237"/>
      <c r="AQ71" s="237"/>
      <c r="AR71" s="237"/>
      <c r="AS71" s="237"/>
      <c r="AT71" s="237"/>
      <c r="AU71" s="237"/>
      <c r="AV71" s="237"/>
      <c r="AW71" s="237"/>
      <c r="AX71" s="237"/>
      <c r="AY71" s="237"/>
      <c r="AZ71" s="237"/>
      <c r="BA71" s="237"/>
      <c r="BB71" s="237"/>
      <c r="BC71" s="237"/>
    </row>
    <row r="72" spans="1:55" ht="19.899999999999999" customHeight="1">
      <c r="A72" s="237"/>
      <c r="B72" s="237"/>
      <c r="C72" s="610" t="str">
        <f>iWeights1!C72</f>
        <v>SERV2_6</v>
      </c>
      <c r="D72" s="610">
        <f>iWeights1!D72</f>
        <v>34</v>
      </c>
      <c r="E72" s="611">
        <f ca="1">iWeights1!E72-1</f>
        <v>1</v>
      </c>
      <c r="F72" s="243" t="str">
        <f ca="1">REPT(" ",E72)&amp;iWeights1!F72</f>
        <v xml:space="preserve"> 2.6) Retail and hospitality</v>
      </c>
      <c r="G72" s="529"/>
      <c r="H72" s="281"/>
      <c r="I72" s="228"/>
      <c r="J72" s="229"/>
      <c r="K72" s="242"/>
      <c r="L72" s="237"/>
      <c r="M72" s="237"/>
      <c r="N72" s="237"/>
      <c r="AC72" s="237"/>
      <c r="AD72" s="237"/>
      <c r="AE72" s="237"/>
      <c r="AF72" s="237"/>
      <c r="AG72" s="237"/>
      <c r="AH72" s="237"/>
      <c r="AI72" s="237"/>
      <c r="AJ72" s="237"/>
      <c r="AK72" s="237"/>
      <c r="AL72" s="237"/>
      <c r="AM72" s="237"/>
      <c r="AN72" s="237"/>
      <c r="AO72" s="237"/>
      <c r="AP72" s="237"/>
      <c r="AQ72" s="237"/>
      <c r="AR72" s="237"/>
      <c r="AS72" s="237"/>
      <c r="AT72" s="237"/>
      <c r="AU72" s="237"/>
      <c r="AV72" s="237"/>
      <c r="AW72" s="237"/>
      <c r="AX72" s="237"/>
      <c r="AY72" s="237"/>
      <c r="AZ72" s="237"/>
      <c r="BA72" s="237"/>
      <c r="BB72" s="237"/>
      <c r="BC72" s="237"/>
    </row>
    <row r="73" spans="1:55" ht="19.899999999999999" customHeight="1">
      <c r="A73" s="237"/>
      <c r="B73" s="237"/>
      <c r="C73" s="610" t="str">
        <f>iWeights1!C73</f>
        <v>SERV2_6_1</v>
      </c>
      <c r="D73" s="610">
        <f>iWeights1!D73</f>
        <v>35</v>
      </c>
      <c r="E73" s="611">
        <f ca="1">iWeights1!E73-1</f>
        <v>2</v>
      </c>
      <c r="F73" s="243" t="str">
        <f ca="1">REPT(" ",E73)&amp;iWeights1!F73</f>
        <v xml:space="preserve">  2.6.1) E-commerce penetration</v>
      </c>
      <c r="G73" s="244">
        <v>4.333333333333333</v>
      </c>
      <c r="H73" s="281">
        <f>INDEX(tblIndicators!AR$2:AR$71,D73)</f>
        <v>0.56521739130434778</v>
      </c>
      <c r="I73" s="228"/>
      <c r="J73" s="229" t="str">
        <f t="shared" si="13"/>
        <v>||||||||||||||||||||||||||||</v>
      </c>
      <c r="K73" s="242"/>
      <c r="L73" s="237"/>
      <c r="M73" s="237"/>
      <c r="N73" s="237"/>
      <c r="AC73" s="237"/>
      <c r="AD73" s="237"/>
      <c r="AE73" s="237"/>
      <c r="AF73" s="237"/>
      <c r="AG73" s="237"/>
      <c r="AH73" s="237"/>
      <c r="AI73" s="237"/>
      <c r="AJ73" s="237"/>
      <c r="AK73" s="237"/>
      <c r="AL73" s="237"/>
      <c r="AM73" s="237"/>
      <c r="AN73" s="237"/>
      <c r="AO73" s="237"/>
      <c r="AP73" s="237"/>
      <c r="AQ73" s="237"/>
      <c r="AR73" s="237"/>
      <c r="AS73" s="237"/>
      <c r="AT73" s="237"/>
      <c r="AU73" s="237"/>
      <c r="AV73" s="237"/>
      <c r="AW73" s="237"/>
      <c r="AX73" s="237"/>
      <c r="AY73" s="237"/>
      <c r="AZ73" s="237"/>
      <c r="BA73" s="237"/>
      <c r="BB73" s="237"/>
      <c r="BC73" s="237"/>
    </row>
    <row r="74" spans="1:55" ht="19.899999999999999" customHeight="1">
      <c r="A74" s="237"/>
      <c r="B74" s="237"/>
      <c r="C74" s="610" t="str">
        <f>iWeights1!C74</f>
        <v>SERV2_6_2</v>
      </c>
      <c r="D74" s="610">
        <f>iWeights1!D74</f>
        <v>36</v>
      </c>
      <c r="E74" s="611">
        <f ca="1">iWeights1!E74-1</f>
        <v>2</v>
      </c>
      <c r="F74" s="243" t="str">
        <f ca="1">REPT(" ",E74)&amp;iWeights1!F74</f>
        <v xml:space="preserve">  2.6.2) Digital tourist passes</v>
      </c>
      <c r="G74" s="244">
        <v>3.3333333333333335</v>
      </c>
      <c r="H74" s="281">
        <f>INDEX(tblIndicators!AR$2:AR$71,D74)</f>
        <v>0.43478260869565222</v>
      </c>
      <c r="I74" s="228"/>
      <c r="J74" s="229" t="str">
        <f t="shared" si="13"/>
        <v>|||||||||||||||||||||</v>
      </c>
      <c r="K74" s="242"/>
      <c r="L74" s="237"/>
      <c r="M74" s="237"/>
      <c r="N74" s="237"/>
      <c r="AC74" s="237"/>
      <c r="AD74" s="237"/>
      <c r="AE74" s="237"/>
      <c r="AF74" s="237"/>
      <c r="AG74" s="237"/>
      <c r="AH74" s="237"/>
      <c r="AI74" s="237"/>
      <c r="AJ74" s="237"/>
      <c r="AK74" s="237"/>
      <c r="AL74" s="237"/>
      <c r="AM74" s="237"/>
      <c r="AN74" s="237"/>
      <c r="AO74" s="237"/>
      <c r="AP74" s="237"/>
      <c r="AQ74" s="237"/>
      <c r="AR74" s="237"/>
      <c r="AS74" s="237"/>
      <c r="AT74" s="237"/>
      <c r="AU74" s="237"/>
      <c r="AV74" s="237"/>
      <c r="AW74" s="237"/>
      <c r="AX74" s="237"/>
      <c r="AY74" s="237"/>
      <c r="AZ74" s="237"/>
      <c r="BA74" s="237"/>
      <c r="BB74" s="237"/>
      <c r="BC74" s="237"/>
    </row>
    <row r="75" spans="1:55" ht="19.899999999999999" customHeight="1">
      <c r="A75" s="237"/>
      <c r="B75" s="237"/>
      <c r="C75" s="610" t="str">
        <f>iWeights1!C75</f>
        <v>CULT3_1</v>
      </c>
      <c r="D75" s="610">
        <f>iWeights1!D75</f>
        <v>38</v>
      </c>
      <c r="E75" s="611">
        <f ca="1">iWeights1!E75-1</f>
        <v>1</v>
      </c>
      <c r="F75" s="243" t="str">
        <f ca="1">REPT(" ",E75)&amp;iWeights1!F75</f>
        <v xml:space="preserve"> 3.1) Digital inclusion</v>
      </c>
      <c r="G75" s="529"/>
      <c r="H75" s="281"/>
      <c r="I75" s="228"/>
      <c r="J75" s="229"/>
      <c r="K75" s="242"/>
      <c r="L75" s="237"/>
      <c r="M75" s="237"/>
      <c r="N75" s="237"/>
      <c r="AC75" s="237"/>
      <c r="AD75" s="237"/>
      <c r="AE75" s="237"/>
      <c r="AF75" s="237"/>
      <c r="AG75" s="237"/>
      <c r="AH75" s="237"/>
      <c r="AI75" s="237"/>
      <c r="AJ75" s="237"/>
      <c r="AK75" s="237"/>
      <c r="AL75" s="237"/>
      <c r="AM75" s="237"/>
      <c r="AN75" s="237"/>
      <c r="AO75" s="237"/>
      <c r="AP75" s="237"/>
      <c r="AQ75" s="237"/>
      <c r="AR75" s="237"/>
      <c r="AS75" s="237"/>
      <c r="AT75" s="237"/>
      <c r="AU75" s="237"/>
      <c r="AV75" s="237"/>
      <c r="AW75" s="237"/>
      <c r="AX75" s="237"/>
      <c r="AY75" s="237"/>
      <c r="AZ75" s="237"/>
      <c r="BA75" s="237"/>
      <c r="BB75" s="237"/>
      <c r="BC75" s="237"/>
    </row>
    <row r="76" spans="1:55" ht="19.899999999999999" customHeight="1">
      <c r="A76" s="237"/>
      <c r="B76" s="237"/>
      <c r="C76" s="610" t="str">
        <f>iWeights1!C76</f>
        <v>CULT3_1_1</v>
      </c>
      <c r="D76" s="610">
        <f>iWeights1!D76</f>
        <v>39</v>
      </c>
      <c r="E76" s="611">
        <f ca="1">iWeights1!E76-1</f>
        <v>2</v>
      </c>
      <c r="F76" s="243" t="str">
        <f ca="1">REPT(" ",E76)&amp;iWeights1!F76</f>
        <v xml:space="preserve">  3.1.1) Internet usage</v>
      </c>
      <c r="G76" s="244">
        <v>3.5</v>
      </c>
      <c r="H76" s="281">
        <f>INDEX(tblIndicators!AR$2:AR$71,D76)</f>
        <v>0.36842105263157893</v>
      </c>
      <c r="I76" s="228"/>
      <c r="J76" s="229" t="str">
        <f t="shared" ref="J76:J78" si="14">REPT("|",H76*50)</f>
        <v>||||||||||||||||||</v>
      </c>
      <c r="K76" s="242"/>
      <c r="L76" s="237"/>
      <c r="M76" s="237"/>
      <c r="N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37"/>
      <c r="BC76" s="237"/>
    </row>
    <row r="77" spans="1:55" ht="19.899999999999999" customHeight="1">
      <c r="A77" s="237"/>
      <c r="B77" s="237"/>
      <c r="C77" s="610" t="str">
        <f>iWeights1!C77</f>
        <v>CULT3_1_2</v>
      </c>
      <c r="D77" s="610">
        <f>iWeights1!D77</f>
        <v>40</v>
      </c>
      <c r="E77" s="611">
        <f ca="1">iWeights1!E77-1</f>
        <v>2</v>
      </c>
      <c r="F77" s="243" t="str">
        <f ca="1">REPT(" ",E77)&amp;iWeights1!F77</f>
        <v xml:space="preserve">  3.1.2) Gap between female and male access to the internet</v>
      </c>
      <c r="G77" s="244">
        <v>3</v>
      </c>
      <c r="H77" s="281">
        <f>INDEX(tblIndicators!AR$2:AR$71,D77)</f>
        <v>0.31578947368421051</v>
      </c>
      <c r="I77" s="228"/>
      <c r="J77" s="229" t="str">
        <f t="shared" si="14"/>
        <v>|||||||||||||||</v>
      </c>
      <c r="K77" s="242"/>
      <c r="L77" s="237"/>
      <c r="M77" s="237"/>
      <c r="N77" s="237"/>
      <c r="AC77" s="237"/>
      <c r="AD77" s="237"/>
      <c r="AE77" s="237"/>
      <c r="AF77" s="237"/>
      <c r="AG77" s="237"/>
      <c r="AH77" s="237"/>
      <c r="AI77" s="237"/>
      <c r="AJ77" s="237"/>
      <c r="AK77" s="237"/>
      <c r="AL77" s="237"/>
      <c r="AM77" s="237"/>
      <c r="AN77" s="237"/>
      <c r="AO77" s="237"/>
      <c r="AP77" s="237"/>
      <c r="AQ77" s="237"/>
      <c r="AR77" s="237"/>
      <c r="AS77" s="237"/>
      <c r="AT77" s="237"/>
      <c r="AU77" s="237"/>
      <c r="AV77" s="237"/>
      <c r="AW77" s="237"/>
      <c r="AX77" s="237"/>
      <c r="AY77" s="237"/>
      <c r="AZ77" s="237"/>
      <c r="BA77" s="237"/>
      <c r="BB77" s="237"/>
      <c r="BC77" s="237"/>
    </row>
    <row r="78" spans="1:55" ht="19.899999999999999" customHeight="1">
      <c r="A78" s="237"/>
      <c r="B78" s="237"/>
      <c r="C78" s="610" t="str">
        <f>iWeights1!C78</f>
        <v>CULT3_1_3</v>
      </c>
      <c r="D78" s="610">
        <f>iWeights1!D78</f>
        <v>41</v>
      </c>
      <c r="E78" s="611">
        <f ca="1">iWeights1!E78-1</f>
        <v>2</v>
      </c>
      <c r="F78" s="243" t="str">
        <f ca="1">REPT(" ",E78)&amp;iWeights1!F78</f>
        <v xml:space="preserve">  3.1.3) Digital skills</v>
      </c>
      <c r="G78" s="244">
        <v>3</v>
      </c>
      <c r="H78" s="281">
        <f>INDEX(tblIndicators!AR$2:AR$71,D78)</f>
        <v>0.31578947368421051</v>
      </c>
      <c r="I78" s="228"/>
      <c r="J78" s="229" t="str">
        <f t="shared" si="14"/>
        <v>|||||||||||||||</v>
      </c>
      <c r="K78" s="242"/>
      <c r="L78" s="237"/>
      <c r="M78" s="237"/>
      <c r="N78" s="237"/>
      <c r="AC78" s="237"/>
      <c r="AD78" s="237"/>
      <c r="AE78" s="237"/>
      <c r="AF78" s="237"/>
      <c r="AG78" s="237"/>
      <c r="AH78" s="237"/>
      <c r="AI78" s="237"/>
      <c r="AJ78" s="237"/>
      <c r="AK78" s="237"/>
      <c r="AL78" s="237"/>
      <c r="AM78" s="237"/>
      <c r="AN78" s="237"/>
      <c r="AO78" s="237"/>
      <c r="AP78" s="237"/>
      <c r="AQ78" s="237"/>
      <c r="AR78" s="237"/>
      <c r="AS78" s="237"/>
      <c r="AT78" s="237"/>
      <c r="AU78" s="237"/>
      <c r="AV78" s="237"/>
      <c r="AW78" s="237"/>
      <c r="AX78" s="237"/>
      <c r="AY78" s="237"/>
      <c r="AZ78" s="237"/>
      <c r="BA78" s="237"/>
      <c r="BB78" s="237"/>
      <c r="BC78" s="237"/>
    </row>
    <row r="79" spans="1:55" ht="19.899999999999999" customHeight="1">
      <c r="A79" s="237"/>
      <c r="B79" s="237"/>
      <c r="C79" s="610" t="str">
        <f>iWeights1!C79</f>
        <v>CULT3_2</v>
      </c>
      <c r="D79" s="610">
        <f>iWeights1!D79</f>
        <v>42</v>
      </c>
      <c r="E79" s="611">
        <f ca="1">iWeights1!E79-1</f>
        <v>1</v>
      </c>
      <c r="F79" s="243" t="str">
        <f ca="1">REPT(" ",E79)&amp;iWeights1!F79</f>
        <v xml:space="preserve"> 3.2) Government support</v>
      </c>
      <c r="G79" s="529"/>
      <c r="H79" s="281"/>
      <c r="I79" s="228"/>
      <c r="J79" s="229"/>
      <c r="K79" s="242"/>
      <c r="L79" s="237"/>
      <c r="M79" s="237"/>
      <c r="N79" s="237"/>
      <c r="AC79" s="237"/>
      <c r="AD79" s="237"/>
      <c r="AE79" s="237"/>
      <c r="AF79" s="237"/>
      <c r="AG79" s="237"/>
      <c r="AH79" s="237"/>
      <c r="AI79" s="237"/>
      <c r="AJ79" s="237"/>
      <c r="AK79" s="237"/>
      <c r="AL79" s="237"/>
      <c r="AM79" s="237"/>
      <c r="AN79" s="237"/>
      <c r="AO79" s="237"/>
      <c r="AP79" s="237"/>
      <c r="AQ79" s="237"/>
      <c r="AR79" s="237"/>
      <c r="AS79" s="237"/>
      <c r="AT79" s="237"/>
      <c r="AU79" s="237"/>
      <c r="AV79" s="237"/>
      <c r="AW79" s="237"/>
      <c r="AX79" s="237"/>
      <c r="AY79" s="237"/>
      <c r="AZ79" s="237"/>
      <c r="BA79" s="237"/>
      <c r="BB79" s="237"/>
      <c r="BC79" s="237"/>
    </row>
    <row r="80" spans="1:55" ht="19.899999999999999" customHeight="1">
      <c r="A80" s="237"/>
      <c r="B80" s="237"/>
      <c r="C80" s="610" t="str">
        <f>iWeights1!C80</f>
        <v>CULT3_2_1</v>
      </c>
      <c r="D80" s="610">
        <f>iWeights1!D80</f>
        <v>43</v>
      </c>
      <c r="E80" s="611">
        <f ca="1">iWeights1!E80-1</f>
        <v>2</v>
      </c>
      <c r="F80" s="243" t="str">
        <f ca="1">REPT(" ",E80)&amp;iWeights1!F80</f>
        <v xml:space="preserve">  3.2.1) Data protection law</v>
      </c>
      <c r="G80" s="244">
        <v>1</v>
      </c>
      <c r="H80" s="281">
        <f>INDEX(tblIndicators!AR$2:AR$71,D80)</f>
        <v>0.2</v>
      </c>
      <c r="I80" s="228"/>
      <c r="J80" s="229" t="str">
        <f t="shared" si="13"/>
        <v>||||||||||</v>
      </c>
      <c r="K80" s="242"/>
      <c r="L80" s="237"/>
      <c r="M80" s="237"/>
      <c r="N80" s="237"/>
      <c r="AC80" s="237"/>
      <c r="AD80" s="237"/>
      <c r="AE80" s="237"/>
      <c r="AF80" s="237"/>
      <c r="AG80" s="237"/>
      <c r="AH80" s="237"/>
      <c r="AI80" s="237"/>
      <c r="AJ80" s="237"/>
      <c r="AK80" s="237"/>
      <c r="AL80" s="237"/>
      <c r="AM80" s="237"/>
      <c r="AN80" s="237"/>
      <c r="AO80" s="237"/>
      <c r="AP80" s="237"/>
      <c r="AQ80" s="237"/>
      <c r="AR80" s="237"/>
      <c r="AS80" s="237"/>
      <c r="AT80" s="237"/>
      <c r="AU80" s="237"/>
      <c r="AV80" s="237"/>
      <c r="AW80" s="237"/>
      <c r="AX80" s="237"/>
      <c r="AY80" s="237"/>
      <c r="AZ80" s="237"/>
      <c r="BA80" s="237"/>
      <c r="BB80" s="237"/>
      <c r="BC80" s="237"/>
    </row>
    <row r="81" spans="1:55" ht="19.899999999999999" customHeight="1">
      <c r="A81" s="237"/>
      <c r="B81" s="237"/>
      <c r="C81" s="610" t="str">
        <f>iWeights1!C81</f>
        <v>CULT3_2_2</v>
      </c>
      <c r="D81" s="610">
        <f>iWeights1!D81</f>
        <v>44</v>
      </c>
      <c r="E81" s="611">
        <f ca="1">iWeights1!E81-1</f>
        <v>2</v>
      </c>
      <c r="F81" s="243" t="str">
        <f ca="1">REPT(" ",E81)&amp;iWeights1!F81</f>
        <v xml:space="preserve">  3.2.2) Cyber security preparedness</v>
      </c>
      <c r="G81" s="244">
        <v>1</v>
      </c>
      <c r="H81" s="281">
        <f>INDEX(tblIndicators!AR$2:AR$71,D81)</f>
        <v>0.2</v>
      </c>
      <c r="I81" s="228"/>
      <c r="J81" s="229" t="str">
        <f t="shared" si="13"/>
        <v>||||||||||</v>
      </c>
      <c r="K81" s="242"/>
      <c r="L81" s="237"/>
      <c r="M81" s="237"/>
      <c r="N81" s="237"/>
      <c r="AC81" s="237"/>
      <c r="AD81" s="237"/>
      <c r="AE81" s="237"/>
      <c r="AF81" s="237"/>
      <c r="AG81" s="237"/>
      <c r="AH81" s="237"/>
      <c r="AI81" s="237"/>
      <c r="AJ81" s="237"/>
      <c r="AK81" s="237"/>
      <c r="AL81" s="237"/>
      <c r="AM81" s="237"/>
      <c r="AN81" s="237"/>
      <c r="AO81" s="237"/>
      <c r="AP81" s="237"/>
      <c r="AQ81" s="237"/>
      <c r="AR81" s="237"/>
      <c r="AS81" s="237"/>
      <c r="AT81" s="237"/>
      <c r="AU81" s="237"/>
      <c r="AV81" s="237"/>
      <c r="AW81" s="237"/>
      <c r="AX81" s="237"/>
      <c r="AY81" s="237"/>
      <c r="AZ81" s="237"/>
      <c r="BA81" s="237"/>
      <c r="BB81" s="237"/>
      <c r="BC81" s="237"/>
    </row>
    <row r="82" spans="1:55" ht="19.899999999999999" customHeight="1">
      <c r="A82" s="237"/>
      <c r="B82" s="237"/>
      <c r="C82" s="610" t="str">
        <f>iWeights1!C82</f>
        <v>CULT3_2_3</v>
      </c>
      <c r="D82" s="610">
        <f>iWeights1!D82</f>
        <v>45</v>
      </c>
      <c r="E82" s="611">
        <f ca="1">iWeights1!E82-1</f>
        <v>2</v>
      </c>
      <c r="F82" s="243" t="str">
        <f ca="1">REPT(" ",E82)&amp;iWeights1!F82</f>
        <v xml:space="preserve">  3.2.3) Cyber security risk awareness</v>
      </c>
      <c r="G82" s="244">
        <v>1</v>
      </c>
      <c r="H82" s="281">
        <f>INDEX(tblIndicators!AR$2:AR$71,D82)</f>
        <v>0.2</v>
      </c>
      <c r="I82" s="228"/>
      <c r="J82" s="229" t="str">
        <f t="shared" si="13"/>
        <v>||||||||||</v>
      </c>
      <c r="K82" s="242"/>
      <c r="L82" s="237"/>
      <c r="M82" s="237"/>
      <c r="N82" s="237"/>
      <c r="AC82" s="237"/>
      <c r="AD82" s="237"/>
      <c r="AE82" s="237"/>
      <c r="AF82" s="237"/>
      <c r="AG82" s="237"/>
      <c r="AH82" s="237"/>
      <c r="AI82" s="237"/>
      <c r="AJ82" s="237"/>
      <c r="AK82" s="237"/>
      <c r="AL82" s="237"/>
      <c r="AM82" s="237"/>
      <c r="AN82" s="237"/>
      <c r="AO82" s="237"/>
      <c r="AP82" s="237"/>
      <c r="AQ82" s="237"/>
      <c r="AR82" s="237"/>
      <c r="AS82" s="237"/>
      <c r="AT82" s="237"/>
      <c r="AU82" s="237"/>
      <c r="AV82" s="237"/>
      <c r="AW82" s="237"/>
      <c r="AX82" s="237"/>
      <c r="AY82" s="237"/>
      <c r="AZ82" s="237"/>
      <c r="BA82" s="237"/>
      <c r="BB82" s="237"/>
      <c r="BC82" s="237"/>
    </row>
    <row r="83" spans="1:55" ht="19.899999999999999" customHeight="1">
      <c r="A83" s="237"/>
      <c r="B83" s="237"/>
      <c r="C83" s="610" t="str">
        <f>iWeights1!C83</f>
        <v>CULT3_2_4</v>
      </c>
      <c r="D83" s="610">
        <f>iWeights1!D83</f>
        <v>46</v>
      </c>
      <c r="E83" s="611">
        <f ca="1">iWeights1!E83-1</f>
        <v>2</v>
      </c>
      <c r="F83" s="243" t="str">
        <f ca="1">REPT(" ",E83)&amp;iWeights1!F83</f>
        <v xml:space="preserve">  3.2.4) Open data access and use</v>
      </c>
      <c r="G83" s="244">
        <v>1</v>
      </c>
      <c r="H83" s="281">
        <f>INDEX(tblIndicators!AR$2:AR$71,D83)</f>
        <v>0.2</v>
      </c>
      <c r="I83" s="228"/>
      <c r="J83" s="229" t="str">
        <f t="shared" si="13"/>
        <v>||||||||||</v>
      </c>
      <c r="K83" s="242"/>
      <c r="L83" s="237"/>
      <c r="M83" s="237"/>
      <c r="N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237"/>
      <c r="AY83" s="237"/>
      <c r="AZ83" s="237"/>
      <c r="BA83" s="237"/>
      <c r="BB83" s="237"/>
      <c r="BC83" s="237"/>
    </row>
    <row r="84" spans="1:55" ht="19.899999999999999" customHeight="1">
      <c r="A84" s="237"/>
      <c r="B84" s="237"/>
      <c r="C84" s="610" t="str">
        <f>iWeights1!C84</f>
        <v>CULT3_2_5</v>
      </c>
      <c r="D84" s="610">
        <f>iWeights1!D84</f>
        <v>47</v>
      </c>
      <c r="E84" s="611">
        <f ca="1">iWeights1!E84-1</f>
        <v>2</v>
      </c>
      <c r="F84" s="243" t="str">
        <f ca="1">REPT(" ",E84)&amp;iWeights1!F84</f>
        <v xml:space="preserve">  3.2.5) Internet freedom</v>
      </c>
      <c r="G84" s="244">
        <v>1</v>
      </c>
      <c r="H84" s="281">
        <f>INDEX(tblIndicators!AR$2:AR$71,D84)</f>
        <v>0.2</v>
      </c>
      <c r="I84" s="228"/>
      <c r="J84" s="229" t="str">
        <f t="shared" ref="J84" si="15">REPT("|",H84*50)</f>
        <v>||||||||||</v>
      </c>
      <c r="K84" s="242"/>
      <c r="L84" s="237"/>
      <c r="M84" s="237"/>
      <c r="N84" s="237"/>
      <c r="AC84" s="237"/>
      <c r="AD84" s="237"/>
      <c r="AE84" s="237"/>
      <c r="AF84" s="237"/>
      <c r="AG84" s="237"/>
      <c r="AH84" s="237"/>
      <c r="AI84" s="237"/>
      <c r="AJ84" s="237"/>
      <c r="AK84" s="237"/>
      <c r="AL84" s="237"/>
      <c r="AM84" s="237"/>
      <c r="AN84" s="237"/>
      <c r="AO84" s="237"/>
      <c r="AP84" s="237"/>
      <c r="AQ84" s="237"/>
      <c r="AR84" s="237"/>
      <c r="AS84" s="237"/>
      <c r="AT84" s="237"/>
      <c r="AU84" s="237"/>
      <c r="AV84" s="237"/>
      <c r="AW84" s="237"/>
      <c r="AX84" s="237"/>
      <c r="AY84" s="237"/>
      <c r="AZ84" s="237"/>
      <c r="BA84" s="237"/>
      <c r="BB84" s="237"/>
      <c r="BC84" s="237"/>
    </row>
    <row r="85" spans="1:55" ht="19.899999999999999" customHeight="1">
      <c r="A85" s="237"/>
      <c r="B85" s="237"/>
      <c r="C85" s="610" t="str">
        <f>iWeights1!C85</f>
        <v>CULT3_3</v>
      </c>
      <c r="D85" s="610">
        <f>iWeights1!D85</f>
        <v>48</v>
      </c>
      <c r="E85" s="611">
        <f ca="1">iWeights1!E85-1</f>
        <v>1</v>
      </c>
      <c r="F85" s="243" t="str">
        <f ca="1">REPT(" ",E85)&amp;iWeights1!F85</f>
        <v xml:space="preserve"> 3.3) Innovation ecosystem</v>
      </c>
      <c r="G85" s="529"/>
      <c r="H85" s="281"/>
      <c r="I85" s="228"/>
      <c r="J85" s="229"/>
      <c r="K85" s="242"/>
      <c r="L85" s="237"/>
      <c r="M85" s="237"/>
      <c r="N85" s="237"/>
      <c r="AC85" s="237"/>
      <c r="AD85" s="237"/>
      <c r="AE85" s="237"/>
      <c r="AF85" s="237"/>
      <c r="AG85" s="237"/>
      <c r="AH85" s="237"/>
      <c r="AI85" s="237"/>
      <c r="AJ85" s="237"/>
      <c r="AK85" s="237"/>
      <c r="AL85" s="237"/>
      <c r="AM85" s="237"/>
      <c r="AN85" s="237"/>
      <c r="AO85" s="237"/>
      <c r="AP85" s="237"/>
      <c r="AQ85" s="237"/>
      <c r="AR85" s="237"/>
      <c r="AS85" s="237"/>
      <c r="AT85" s="237"/>
      <c r="AU85" s="237"/>
      <c r="AV85" s="237"/>
      <c r="AW85" s="237"/>
      <c r="AX85" s="237"/>
      <c r="AY85" s="237"/>
      <c r="AZ85" s="237"/>
      <c r="BA85" s="237"/>
      <c r="BB85" s="237"/>
      <c r="BC85" s="237"/>
    </row>
    <row r="86" spans="1:55" ht="19.899999999999999" customHeight="1">
      <c r="A86" s="237"/>
      <c r="B86" s="237"/>
      <c r="C86" s="610" t="str">
        <f>iWeights1!C86</f>
        <v>CULT3_3_1</v>
      </c>
      <c r="D86" s="610">
        <f>iWeights1!D86</f>
        <v>49</v>
      </c>
      <c r="E86" s="611">
        <f ca="1">iWeights1!E86-1</f>
        <v>2</v>
      </c>
      <c r="F86" s="243" t="str">
        <f ca="1">REPT(" ",E86)&amp;iWeights1!F86</f>
        <v xml:space="preserve">  3.3.1) AI readiness of government</v>
      </c>
      <c r="G86" s="244">
        <v>4.333333333333333</v>
      </c>
      <c r="H86" s="281">
        <f>INDEX(tblIndicators!AR$2:AR$71,D86)</f>
        <v>0.22417658216933956</v>
      </c>
      <c r="I86" s="228"/>
      <c r="J86" s="229" t="str">
        <f t="shared" si="13"/>
        <v>|||||||||||</v>
      </c>
      <c r="K86" s="242"/>
      <c r="L86" s="237"/>
      <c r="M86" s="237"/>
      <c r="N86" s="237"/>
      <c r="AC86" s="237"/>
      <c r="AD86" s="237"/>
      <c r="AE86" s="237"/>
      <c r="AF86" s="237"/>
      <c r="AG86" s="237"/>
      <c r="AH86" s="237"/>
      <c r="AI86" s="237"/>
      <c r="AJ86" s="237"/>
      <c r="AK86" s="237"/>
      <c r="AL86" s="237"/>
      <c r="AM86" s="237"/>
      <c r="AN86" s="237"/>
      <c r="AO86" s="237"/>
      <c r="AP86" s="237"/>
      <c r="AQ86" s="237"/>
      <c r="AR86" s="237"/>
      <c r="AS86" s="237"/>
      <c r="AT86" s="237"/>
      <c r="AU86" s="237"/>
      <c r="AV86" s="237"/>
      <c r="AW86" s="237"/>
      <c r="AX86" s="237"/>
      <c r="AY86" s="237"/>
      <c r="AZ86" s="237"/>
      <c r="BA86" s="237"/>
      <c r="BB86" s="237"/>
      <c r="BC86" s="237"/>
    </row>
    <row r="87" spans="1:55" ht="19.899999999999999" customHeight="1">
      <c r="A87" s="237"/>
      <c r="B87" s="237"/>
      <c r="C87" s="610" t="str">
        <f>iWeights1!C87</f>
        <v>CULT3_3_2</v>
      </c>
      <c r="D87" s="610">
        <f>iWeights1!D87</f>
        <v>50</v>
      </c>
      <c r="E87" s="611">
        <f ca="1">iWeights1!E87-1</f>
        <v>2</v>
      </c>
      <c r="F87" s="243" t="str">
        <f ca="1">REPT(" ",E87)&amp;iWeights1!F87</f>
        <v xml:space="preserve">  3.3.2) Blockchain technology strategy</v>
      </c>
      <c r="G87" s="244">
        <v>2.3333333333333335</v>
      </c>
      <c r="H87" s="281">
        <f>INDEX(tblIndicators!AR$2:AR$71,D87)</f>
        <v>0.12071046732195208</v>
      </c>
      <c r="I87" s="228"/>
      <c r="J87" s="229" t="str">
        <f t="shared" si="13"/>
        <v>||||||</v>
      </c>
      <c r="K87" s="242"/>
      <c r="L87" s="237"/>
      <c r="M87" s="237"/>
      <c r="N87" s="237"/>
      <c r="AC87" s="237"/>
      <c r="AD87" s="237"/>
      <c r="AE87" s="237"/>
      <c r="AF87" s="237"/>
      <c r="AG87" s="237"/>
      <c r="AH87" s="237"/>
      <c r="AI87" s="237"/>
      <c r="AJ87" s="237"/>
      <c r="AK87" s="237"/>
      <c r="AL87" s="237"/>
      <c r="AM87" s="237"/>
      <c r="AN87" s="237"/>
      <c r="AO87" s="237"/>
      <c r="AP87" s="237"/>
      <c r="AQ87" s="237"/>
      <c r="AR87" s="237"/>
      <c r="AS87" s="237"/>
      <c r="AT87" s="237"/>
      <c r="AU87" s="237"/>
      <c r="AV87" s="237"/>
      <c r="AW87" s="237"/>
      <c r="AX87" s="237"/>
      <c r="AY87" s="237"/>
      <c r="AZ87" s="237"/>
      <c r="BA87" s="237"/>
      <c r="BB87" s="237"/>
      <c r="BC87" s="237"/>
    </row>
    <row r="88" spans="1:55" ht="19.899999999999999" customHeight="1">
      <c r="A88" s="237"/>
      <c r="B88" s="237"/>
      <c r="C88" s="610" t="str">
        <f>iWeights1!C88</f>
        <v>CULT3_3_3</v>
      </c>
      <c r="D88" s="610">
        <f>iWeights1!D88</f>
        <v>51</v>
      </c>
      <c r="E88" s="611">
        <f ca="1">iWeights1!E88-1</f>
        <v>2</v>
      </c>
      <c r="F88" s="243" t="str">
        <f ca="1">REPT(" ",E88)&amp;iWeights1!F88</f>
        <v xml:space="preserve">  3.3.3) Tech startup ecosytem</v>
      </c>
      <c r="G88" s="244">
        <v>4.666666666666667</v>
      </c>
      <c r="H88" s="281">
        <f>INDEX(tblIndicators!AR$2:AR$71,D88)</f>
        <v>0.24142093464390416</v>
      </c>
      <c r="I88" s="228"/>
      <c r="J88" s="229" t="str">
        <f t="shared" si="13"/>
        <v>||||||||||||</v>
      </c>
      <c r="K88" s="242"/>
      <c r="L88" s="237"/>
      <c r="M88" s="237"/>
      <c r="N88" s="237"/>
      <c r="AC88" s="237"/>
      <c r="AD88" s="237"/>
      <c r="AE88" s="237"/>
      <c r="AF88" s="237"/>
      <c r="AG88" s="237"/>
      <c r="AH88" s="237"/>
      <c r="AI88" s="237"/>
      <c r="AJ88" s="237"/>
      <c r="AK88" s="237"/>
      <c r="AL88" s="237"/>
      <c r="AM88" s="237"/>
      <c r="AN88" s="237"/>
      <c r="AO88" s="237"/>
      <c r="AP88" s="237"/>
      <c r="AQ88" s="237"/>
      <c r="AR88" s="237"/>
      <c r="AS88" s="237"/>
      <c r="AT88" s="237"/>
      <c r="AU88" s="237"/>
      <c r="AV88" s="237"/>
      <c r="AW88" s="237"/>
      <c r="AX88" s="237"/>
      <c r="AY88" s="237"/>
      <c r="AZ88" s="237"/>
      <c r="BA88" s="237"/>
      <c r="BB88" s="237"/>
      <c r="BC88" s="237"/>
    </row>
    <row r="89" spans="1:55" ht="19.899999999999999" customHeight="1">
      <c r="A89" s="237"/>
      <c r="B89" s="237"/>
      <c r="C89" s="610" t="str">
        <f>iWeights1!C89</f>
        <v>CULT3_3_4</v>
      </c>
      <c r="D89" s="610">
        <f>iWeights1!D89</f>
        <v>52</v>
      </c>
      <c r="E89" s="611">
        <f ca="1">iWeights1!E89-1</f>
        <v>2</v>
      </c>
      <c r="F89" s="243" t="str">
        <f ca="1">REPT(" ",E89)&amp;iWeights1!F89</f>
        <v xml:space="preserve">  3.3.4) Intellectual Property Rights</v>
      </c>
      <c r="G89" s="244">
        <v>3.6666666666666665</v>
      </c>
      <c r="H89" s="281">
        <f>INDEX(tblIndicators!AR$2:AR$71,D89)</f>
        <v>0.18968787722021038</v>
      </c>
      <c r="I89" s="228"/>
      <c r="J89" s="229" t="str">
        <f t="shared" si="13"/>
        <v>|||||||||</v>
      </c>
      <c r="K89" s="242"/>
      <c r="L89" s="237"/>
      <c r="M89" s="237"/>
      <c r="N89" s="237"/>
      <c r="AC89" s="237"/>
      <c r="AD89" s="237"/>
      <c r="AE89" s="237"/>
      <c r="AF89" s="237"/>
      <c r="AG89" s="237"/>
      <c r="AH89" s="237"/>
      <c r="AI89" s="237"/>
      <c r="AJ89" s="237"/>
      <c r="AK89" s="237"/>
      <c r="AL89" s="237"/>
      <c r="AM89" s="237"/>
      <c r="AN89" s="237"/>
      <c r="AO89" s="237"/>
      <c r="AP89" s="237"/>
      <c r="AQ89" s="237"/>
      <c r="AR89" s="237"/>
      <c r="AS89" s="237"/>
      <c r="AT89" s="237"/>
      <c r="AU89" s="237"/>
      <c r="AV89" s="237"/>
      <c r="AW89" s="237"/>
      <c r="AX89" s="237"/>
      <c r="AY89" s="237"/>
      <c r="AZ89" s="237"/>
      <c r="BA89" s="237"/>
      <c r="BB89" s="237"/>
      <c r="BC89" s="237"/>
    </row>
    <row r="90" spans="1:55" ht="19.899999999999999" customHeight="1">
      <c r="A90" s="237"/>
      <c r="B90" s="237"/>
      <c r="C90" s="610" t="str">
        <f>iWeights1!C90</f>
        <v>CULT3_3_5</v>
      </c>
      <c r="D90" s="610">
        <f>iWeights1!D90</f>
        <v>53</v>
      </c>
      <c r="E90" s="611">
        <f ca="1">iWeights1!E90-1</f>
        <v>2</v>
      </c>
      <c r="F90" s="243" t="str">
        <f ca="1">REPT(" ",E90)&amp;iWeights1!F90</f>
        <v xml:space="preserve">  3.3.5) Business environment</v>
      </c>
      <c r="G90" s="244">
        <v>4.33</v>
      </c>
      <c r="H90" s="281">
        <f>INDEX(tblIndicators!AR$2:AR$71,D90)</f>
        <v>0.22400413864459393</v>
      </c>
      <c r="I90" s="228"/>
      <c r="J90" s="229" t="str">
        <f t="shared" ref="J90" si="16">REPT("|",H90*50)</f>
        <v>|||||||||||</v>
      </c>
      <c r="K90" s="242"/>
      <c r="L90" s="237"/>
      <c r="M90" s="237"/>
      <c r="N90" s="237"/>
      <c r="AC90" s="237"/>
      <c r="AD90" s="237"/>
      <c r="AE90" s="237"/>
      <c r="AF90" s="237"/>
      <c r="AG90" s="237"/>
      <c r="AH90" s="237"/>
      <c r="AI90" s="237"/>
      <c r="AJ90" s="237"/>
      <c r="AK90" s="237"/>
      <c r="AL90" s="237"/>
      <c r="AM90" s="237"/>
      <c r="AN90" s="237"/>
      <c r="AO90" s="237"/>
      <c r="AP90" s="237"/>
      <c r="AQ90" s="237"/>
      <c r="AR90" s="237"/>
      <c r="AS90" s="237"/>
      <c r="AT90" s="237"/>
      <c r="AU90" s="237"/>
      <c r="AV90" s="237"/>
      <c r="AW90" s="237"/>
      <c r="AX90" s="237"/>
      <c r="AY90" s="237"/>
      <c r="AZ90" s="237"/>
      <c r="BA90" s="237"/>
      <c r="BB90" s="237"/>
      <c r="BC90" s="237"/>
    </row>
    <row r="91" spans="1:55" ht="19.899999999999999" customHeight="1">
      <c r="A91" s="237"/>
      <c r="B91" s="237"/>
      <c r="C91" s="610" t="str">
        <f>iWeights1!C91</f>
        <v>CULT3_4</v>
      </c>
      <c r="D91" s="610">
        <f>iWeights1!D91</f>
        <v>54</v>
      </c>
      <c r="E91" s="611">
        <f ca="1">iWeights1!E91-1</f>
        <v>1</v>
      </c>
      <c r="F91" s="243" t="str">
        <f ca="1">REPT(" ",E91)&amp;iWeights1!F91</f>
        <v xml:space="preserve"> 3.4) Public attitude and engagement</v>
      </c>
      <c r="G91" s="529"/>
      <c r="H91" s="281"/>
      <c r="I91" s="228"/>
      <c r="J91" s="229"/>
      <c r="K91" s="242"/>
      <c r="L91" s="237"/>
      <c r="M91" s="237"/>
      <c r="N91" s="237"/>
      <c r="AC91" s="237"/>
      <c r="AD91" s="237"/>
      <c r="AE91" s="237"/>
      <c r="AF91" s="237"/>
      <c r="AG91" s="237"/>
      <c r="AH91" s="237"/>
      <c r="AI91" s="237"/>
      <c r="AJ91" s="237"/>
      <c r="AK91" s="237"/>
      <c r="AL91" s="237"/>
      <c r="AM91" s="237"/>
      <c r="AN91" s="237"/>
      <c r="AO91" s="237"/>
      <c r="AP91" s="237"/>
      <c r="AQ91" s="237"/>
      <c r="AR91" s="237"/>
      <c r="AS91" s="237"/>
      <c r="AT91" s="237"/>
      <c r="AU91" s="237"/>
      <c r="AV91" s="237"/>
      <c r="AW91" s="237"/>
      <c r="AX91" s="237"/>
      <c r="AY91" s="237"/>
      <c r="AZ91" s="237"/>
      <c r="BA91" s="237"/>
      <c r="BB91" s="237"/>
      <c r="BC91" s="237"/>
    </row>
    <row r="92" spans="1:55" ht="19.899999999999999" customHeight="1">
      <c r="A92" s="237"/>
      <c r="B92" s="237"/>
      <c r="C92" s="610" t="str">
        <f>iWeights1!C92</f>
        <v>CULT3_4_1</v>
      </c>
      <c r="D92" s="610">
        <f>iWeights1!D92</f>
        <v>55</v>
      </c>
      <c r="E92" s="611">
        <f ca="1">iWeights1!E92-1</f>
        <v>2</v>
      </c>
      <c r="F92" s="243" t="str">
        <f ca="1">REPT(" ",E92)&amp;iWeights1!F92</f>
        <v xml:space="preserve">  3.4.1) Online public comfort</v>
      </c>
      <c r="G92" s="244">
        <v>4.666666666666667</v>
      </c>
      <c r="H92" s="281">
        <f>INDEX(tblIndicators!AR$2:AR$71,D92)</f>
        <v>0.5</v>
      </c>
      <c r="I92" s="228"/>
      <c r="J92" s="229" t="str">
        <f t="shared" si="13"/>
        <v>|||||||||||||||||||||||||</v>
      </c>
      <c r="K92" s="242"/>
      <c r="L92" s="237"/>
      <c r="M92" s="237"/>
      <c r="N92" s="237"/>
      <c r="AC92" s="237"/>
      <c r="AD92" s="237"/>
      <c r="AE92" s="237"/>
      <c r="AF92" s="237"/>
      <c r="AG92" s="237"/>
      <c r="AH92" s="237"/>
      <c r="AI92" s="237"/>
      <c r="AJ92" s="237"/>
      <c r="AK92" s="237"/>
      <c r="AL92" s="237"/>
      <c r="AM92" s="237"/>
      <c r="AN92" s="237"/>
      <c r="AO92" s="237"/>
      <c r="AP92" s="237"/>
      <c r="AQ92" s="237"/>
      <c r="AR92" s="237"/>
      <c r="AS92" s="237"/>
      <c r="AT92" s="237"/>
      <c r="AU92" s="237"/>
      <c r="AV92" s="237"/>
      <c r="AW92" s="237"/>
      <c r="AX92" s="237"/>
      <c r="AY92" s="237"/>
      <c r="AZ92" s="237"/>
      <c r="BA92" s="237"/>
      <c r="BB92" s="237"/>
      <c r="BC92" s="237"/>
    </row>
    <row r="93" spans="1:55" ht="19.899999999999999" customHeight="1">
      <c r="A93" s="237"/>
      <c r="B93" s="237"/>
      <c r="C93" s="610" t="str">
        <f>iWeights1!C93</f>
        <v>CULT3_4_2</v>
      </c>
      <c r="D93" s="610">
        <f>iWeights1!D93</f>
        <v>56</v>
      </c>
      <c r="E93" s="611">
        <f ca="1">iWeights1!E93-1</f>
        <v>2</v>
      </c>
      <c r="F93" s="243" t="str">
        <f ca="1">REPT(" ",E93)&amp;iWeights1!F93</f>
        <v xml:space="preserve">  3.4.2) E-participation on government portals</v>
      </c>
      <c r="G93" s="244">
        <v>4.666666666666667</v>
      </c>
      <c r="H93" s="281">
        <f>INDEX(tblIndicators!AR$2:AR$71,D93)</f>
        <v>0.5</v>
      </c>
      <c r="I93" s="228"/>
      <c r="J93" s="229" t="str">
        <f t="shared" si="13"/>
        <v>|||||||||||||||||||||||||</v>
      </c>
      <c r="K93" s="242"/>
      <c r="L93" s="237"/>
      <c r="M93" s="237"/>
      <c r="N93" s="237"/>
      <c r="AC93" s="237"/>
      <c r="AD93" s="237"/>
      <c r="AE93" s="237"/>
      <c r="AF93" s="237"/>
      <c r="AG93" s="237"/>
      <c r="AH93" s="237"/>
      <c r="AI93" s="237"/>
      <c r="AJ93" s="237"/>
      <c r="AK93" s="237"/>
      <c r="AL93" s="237"/>
      <c r="AM93" s="237"/>
      <c r="AN93" s="237"/>
      <c r="AO93" s="237"/>
      <c r="AP93" s="237"/>
      <c r="AQ93" s="237"/>
      <c r="AR93" s="237"/>
      <c r="AS93" s="237"/>
      <c r="AT93" s="237"/>
      <c r="AU93" s="237"/>
      <c r="AV93" s="237"/>
      <c r="AW93" s="237"/>
      <c r="AX93" s="237"/>
      <c r="AY93" s="237"/>
      <c r="AZ93" s="237"/>
      <c r="BA93" s="237"/>
      <c r="BB93" s="237"/>
      <c r="BC93" s="237"/>
    </row>
    <row r="94" spans="1:55" ht="19.899999999999999" customHeight="1">
      <c r="A94" s="237"/>
      <c r="B94" s="237"/>
      <c r="C94" s="610" t="str">
        <f>iWeights1!C94</f>
        <v>SUST4_1</v>
      </c>
      <c r="D94" s="610">
        <f>iWeights1!D94</f>
        <v>58</v>
      </c>
      <c r="E94" s="611">
        <f ca="1">iWeights1!E94-1</f>
        <v>1</v>
      </c>
      <c r="F94" s="243" t="str">
        <f ca="1">REPT(" ",E94)&amp;iWeights1!F94</f>
        <v xml:space="preserve"> 4.1) Efficient resource management</v>
      </c>
      <c r="G94" s="529"/>
      <c r="H94" s="281"/>
      <c r="I94" s="228"/>
      <c r="J94" s="229"/>
      <c r="K94" s="242"/>
      <c r="L94" s="237"/>
      <c r="M94" s="237"/>
      <c r="N94" s="237"/>
      <c r="AC94" s="237"/>
      <c r="AD94" s="237"/>
      <c r="AE94" s="237"/>
      <c r="AF94" s="237"/>
      <c r="AG94" s="237"/>
      <c r="AH94" s="237"/>
      <c r="AI94" s="237"/>
      <c r="AJ94" s="237"/>
      <c r="AK94" s="237"/>
      <c r="AL94" s="237"/>
      <c r="AM94" s="237"/>
      <c r="AN94" s="237"/>
      <c r="AO94" s="237"/>
      <c r="AP94" s="237"/>
      <c r="AQ94" s="237"/>
      <c r="AR94" s="237"/>
      <c r="AS94" s="237"/>
      <c r="AT94" s="237"/>
      <c r="AU94" s="237"/>
      <c r="AV94" s="237"/>
      <c r="AW94" s="237"/>
      <c r="AX94" s="237"/>
      <c r="AY94" s="237"/>
      <c r="AZ94" s="237"/>
      <c r="BA94" s="237"/>
      <c r="BB94" s="237"/>
      <c r="BC94" s="237"/>
    </row>
    <row r="95" spans="1:55" ht="19.899999999999999" customHeight="1">
      <c r="A95" s="237"/>
      <c r="B95" s="237"/>
      <c r="C95" s="610" t="str">
        <f>iWeights1!C95</f>
        <v>SUST4_1_1</v>
      </c>
      <c r="D95" s="610">
        <f>iWeights1!D95</f>
        <v>59</v>
      </c>
      <c r="E95" s="611">
        <f ca="1">iWeights1!E95-1</f>
        <v>2</v>
      </c>
      <c r="F95" s="243" t="str">
        <f ca="1">REPT(" ",E95)&amp;iWeights1!F95</f>
        <v xml:space="preserve">  4.1.1) Smart utility management</v>
      </c>
      <c r="G95" s="244">
        <v>6.33</v>
      </c>
      <c r="H95" s="281">
        <f>INDEX(tblIndicators!AR$2:AR$71,D95)</f>
        <v>0.49986838641747833</v>
      </c>
      <c r="I95" s="228"/>
      <c r="J95" s="229" t="str">
        <f t="shared" si="13"/>
        <v>||||||||||||||||||||||||</v>
      </c>
      <c r="K95" s="242"/>
      <c r="L95" s="237"/>
      <c r="M95" s="237"/>
      <c r="N95" s="237"/>
      <c r="AC95" s="237"/>
      <c r="AD95" s="237"/>
      <c r="AE95" s="237"/>
      <c r="AF95" s="237"/>
      <c r="AG95" s="237"/>
      <c r="AH95" s="237"/>
      <c r="AI95" s="237"/>
      <c r="AJ95" s="237"/>
      <c r="AK95" s="237"/>
      <c r="AL95" s="237"/>
      <c r="AM95" s="237"/>
      <c r="AN95" s="237"/>
      <c r="AO95" s="237"/>
      <c r="AP95" s="237"/>
      <c r="AQ95" s="237"/>
      <c r="AR95" s="237"/>
      <c r="AS95" s="237"/>
      <c r="AT95" s="237"/>
      <c r="AU95" s="237"/>
      <c r="AV95" s="237"/>
      <c r="AW95" s="237"/>
      <c r="AX95" s="237"/>
      <c r="AY95" s="237"/>
      <c r="AZ95" s="237"/>
      <c r="BA95" s="237"/>
      <c r="BB95" s="237"/>
      <c r="BC95" s="237"/>
    </row>
    <row r="96" spans="1:55" ht="19.899999999999999" customHeight="1">
      <c r="A96" s="237"/>
      <c r="B96" s="237"/>
      <c r="C96" s="610" t="str">
        <f>iWeights1!C96</f>
        <v>SUST4_1_2</v>
      </c>
      <c r="D96" s="610">
        <f>iWeights1!D96</f>
        <v>60</v>
      </c>
      <c r="E96" s="611">
        <f ca="1">iWeights1!E96-1</f>
        <v>2</v>
      </c>
      <c r="F96" s="243" t="str">
        <f ca="1">REPT(" ",E96)&amp;iWeights1!F96</f>
        <v xml:space="preserve">  4.1.2) Smart urban agriculture</v>
      </c>
      <c r="G96" s="244">
        <v>2.6666666666666665</v>
      </c>
      <c r="H96" s="281">
        <f>INDEX(tblIndicators!AR$2:AR$71,D96)</f>
        <v>0.21058173203474601</v>
      </c>
      <c r="I96" s="228"/>
      <c r="J96" s="229" t="str">
        <f t="shared" ref="J96:J106" si="17">REPT("|",H96*50)</f>
        <v>||||||||||</v>
      </c>
      <c r="K96" s="242"/>
      <c r="L96" s="237"/>
      <c r="M96" s="237"/>
      <c r="N96" s="237"/>
      <c r="AC96" s="237"/>
      <c r="AD96" s="237"/>
      <c r="AE96" s="237"/>
      <c r="AF96" s="237"/>
      <c r="AG96" s="237"/>
      <c r="AH96" s="237"/>
      <c r="AI96" s="237"/>
      <c r="AJ96" s="237"/>
      <c r="AK96" s="237"/>
      <c r="AL96" s="237"/>
      <c r="AM96" s="237"/>
      <c r="AN96" s="237"/>
      <c r="AO96" s="237"/>
      <c r="AP96" s="237"/>
      <c r="AQ96" s="237"/>
      <c r="AR96" s="237"/>
      <c r="AS96" s="237"/>
      <c r="AT96" s="237"/>
      <c r="AU96" s="237"/>
      <c r="AV96" s="237"/>
      <c r="AW96" s="237"/>
      <c r="AX96" s="237"/>
      <c r="AY96" s="237"/>
      <c r="AZ96" s="237"/>
      <c r="BA96" s="237"/>
      <c r="BB96" s="237"/>
      <c r="BC96" s="237"/>
    </row>
    <row r="97" spans="1:55" ht="19.899999999999999" customHeight="1">
      <c r="A97" s="237"/>
      <c r="B97" s="237"/>
      <c r="C97" s="610" t="str">
        <f>iWeights1!C97</f>
        <v>SUST4_1_3</v>
      </c>
      <c r="D97" s="610">
        <f>iWeights1!D97</f>
        <v>61</v>
      </c>
      <c r="E97" s="611">
        <f ca="1">iWeights1!E97-1</f>
        <v>2</v>
      </c>
      <c r="F97" s="243" t="str">
        <f ca="1">REPT(" ",E97)&amp;iWeights1!F97</f>
        <v xml:space="preserve">  4.1.3) Smart construction</v>
      </c>
      <c r="G97" s="244">
        <v>3.6666666666666665</v>
      </c>
      <c r="H97" s="281">
        <f>INDEX(tblIndicators!AR$2:AR$71,D97)</f>
        <v>0.28954988154777572</v>
      </c>
      <c r="I97" s="228"/>
      <c r="J97" s="229" t="str">
        <f t="shared" si="17"/>
        <v>||||||||||||||</v>
      </c>
      <c r="K97" s="242"/>
      <c r="L97" s="237"/>
      <c r="M97" s="237"/>
      <c r="N97" s="237"/>
      <c r="AC97" s="237"/>
      <c r="AD97" s="237"/>
      <c r="AE97" s="237"/>
      <c r="AF97" s="237"/>
      <c r="AG97" s="237"/>
      <c r="AH97" s="237"/>
      <c r="AI97" s="237"/>
      <c r="AJ97" s="237"/>
      <c r="AK97" s="237"/>
      <c r="AL97" s="237"/>
      <c r="AM97" s="237"/>
      <c r="AN97" s="237"/>
      <c r="AO97" s="237"/>
      <c r="AP97" s="237"/>
      <c r="AQ97" s="237"/>
      <c r="AR97" s="237"/>
      <c r="AS97" s="237"/>
      <c r="AT97" s="237"/>
      <c r="AU97" s="237"/>
      <c r="AV97" s="237"/>
      <c r="AW97" s="237"/>
      <c r="AX97" s="237"/>
      <c r="AY97" s="237"/>
      <c r="AZ97" s="237"/>
      <c r="BA97" s="237"/>
      <c r="BB97" s="237"/>
      <c r="BC97" s="237"/>
    </row>
    <row r="98" spans="1:55" ht="19.899999999999999" customHeight="1">
      <c r="A98" s="237"/>
      <c r="B98" s="237"/>
      <c r="C98" s="610" t="str">
        <f>iWeights1!C98</f>
        <v>SUST4_2</v>
      </c>
      <c r="D98" s="610">
        <f>iWeights1!D98</f>
        <v>62</v>
      </c>
      <c r="E98" s="611">
        <f ca="1">iWeights1!E98-1</f>
        <v>1</v>
      </c>
      <c r="F98" s="243" t="str">
        <f ca="1">REPT(" ",E98)&amp;iWeights1!F98</f>
        <v xml:space="preserve"> 4.2) Emissions reduction</v>
      </c>
      <c r="G98" s="529"/>
      <c r="H98" s="281"/>
      <c r="I98" s="228"/>
      <c r="J98" s="229"/>
      <c r="K98" s="242"/>
      <c r="L98" s="237"/>
      <c r="M98" s="237"/>
      <c r="N98" s="237"/>
      <c r="AC98" s="237"/>
      <c r="AD98" s="237"/>
      <c r="AE98" s="237"/>
      <c r="AF98" s="237"/>
      <c r="AG98" s="237"/>
      <c r="AH98" s="237"/>
      <c r="AI98" s="237"/>
      <c r="AJ98" s="237"/>
      <c r="AK98" s="237"/>
      <c r="AL98" s="237"/>
      <c r="AM98" s="237"/>
      <c r="AN98" s="237"/>
      <c r="AO98" s="237"/>
      <c r="AP98" s="237"/>
      <c r="AQ98" s="237"/>
      <c r="AR98" s="237"/>
      <c r="AS98" s="237"/>
      <c r="AT98" s="237"/>
      <c r="AU98" s="237"/>
      <c r="AV98" s="237"/>
      <c r="AW98" s="237"/>
      <c r="AX98" s="237"/>
      <c r="AY98" s="237"/>
      <c r="AZ98" s="237"/>
      <c r="BA98" s="237"/>
      <c r="BB98" s="237"/>
      <c r="BC98" s="237"/>
    </row>
    <row r="99" spans="1:55" ht="19.899999999999999" customHeight="1">
      <c r="A99" s="237"/>
      <c r="B99" s="237"/>
      <c r="C99" s="610" t="str">
        <f>iWeights1!C99</f>
        <v>SUST4_2_1</v>
      </c>
      <c r="D99" s="610">
        <f>iWeights1!D99</f>
        <v>63</v>
      </c>
      <c r="E99" s="611">
        <f ca="1">iWeights1!E99-1</f>
        <v>2</v>
      </c>
      <c r="F99" s="243" t="str">
        <f ca="1">REPT(" ",E99)&amp;iWeights1!F99</f>
        <v xml:space="preserve">  4.2.1) Net-zero emission</v>
      </c>
      <c r="G99" s="244">
        <v>4</v>
      </c>
      <c r="H99" s="281">
        <f>INDEX(tblIndicators!AR$2:AR$71,D99)</f>
        <v>0.32432432432432429</v>
      </c>
      <c r="I99" s="228"/>
      <c r="J99" s="229" t="str">
        <f t="shared" si="17"/>
        <v>||||||||||||||||</v>
      </c>
      <c r="K99" s="242"/>
      <c r="L99" s="237"/>
      <c r="M99" s="237"/>
      <c r="N99" s="237"/>
      <c r="AC99" s="237"/>
      <c r="AD99" s="237"/>
      <c r="AE99" s="237"/>
      <c r="AF99" s="237"/>
      <c r="AG99" s="237"/>
      <c r="AH99" s="237"/>
      <c r="AI99" s="237"/>
      <c r="AJ99" s="237"/>
      <c r="AK99" s="237"/>
      <c r="AL99" s="237"/>
      <c r="AM99" s="237"/>
      <c r="AN99" s="237"/>
      <c r="AO99" s="237"/>
      <c r="AP99" s="237"/>
      <c r="AQ99" s="237"/>
      <c r="AR99" s="237"/>
      <c r="AS99" s="237"/>
      <c r="AT99" s="237"/>
      <c r="AU99" s="237"/>
      <c r="AV99" s="237"/>
      <c r="AW99" s="237"/>
      <c r="AX99" s="237"/>
      <c r="AY99" s="237"/>
      <c r="AZ99" s="237"/>
      <c r="BA99" s="237"/>
      <c r="BB99" s="237"/>
      <c r="BC99" s="237"/>
    </row>
    <row r="100" spans="1:55" ht="19.899999999999999" customHeight="1">
      <c r="A100" s="237"/>
      <c r="B100" s="237"/>
      <c r="C100" s="610" t="str">
        <f>iWeights1!C100</f>
        <v>SUST4_2_2</v>
      </c>
      <c r="D100" s="610">
        <f>iWeights1!D100</f>
        <v>64</v>
      </c>
      <c r="E100" s="611">
        <f ca="1">iWeights1!E100-1</f>
        <v>2</v>
      </c>
      <c r="F100" s="243" t="str">
        <f ca="1">REPT(" ",E100)&amp;iWeights1!F100</f>
        <v xml:space="preserve">  4.2.2) Traffic management </v>
      </c>
      <c r="G100" s="244">
        <v>4.666666666666667</v>
      </c>
      <c r="H100" s="281">
        <f>INDEX(tblIndicators!AR$2:AR$71,D100)</f>
        <v>0.3783783783783784</v>
      </c>
      <c r="I100" s="228"/>
      <c r="J100" s="229" t="str">
        <f t="shared" si="17"/>
        <v>||||||||||||||||||</v>
      </c>
      <c r="K100" s="242"/>
      <c r="L100" s="237"/>
      <c r="M100" s="237"/>
      <c r="N100" s="237"/>
      <c r="AC100" s="237"/>
      <c r="AD100" s="237"/>
      <c r="AE100" s="237"/>
      <c r="AF100" s="237"/>
      <c r="AG100" s="237"/>
      <c r="AH100" s="237"/>
      <c r="AI100" s="237"/>
      <c r="AJ100" s="237"/>
      <c r="AK100" s="237"/>
      <c r="AL100" s="237"/>
      <c r="AM100" s="237"/>
      <c r="AN100" s="237"/>
      <c r="AO100" s="237"/>
      <c r="AP100" s="237"/>
      <c r="AQ100" s="237"/>
      <c r="AR100" s="237"/>
      <c r="AS100" s="237"/>
      <c r="AT100" s="237"/>
      <c r="AU100" s="237"/>
      <c r="AV100" s="237"/>
      <c r="AW100" s="237"/>
      <c r="AX100" s="237"/>
      <c r="AY100" s="237"/>
      <c r="AZ100" s="237"/>
      <c r="BA100" s="237"/>
      <c r="BB100" s="237"/>
      <c r="BC100" s="237"/>
    </row>
    <row r="101" spans="1:55" ht="19.899999999999999" customHeight="1">
      <c r="A101" s="237"/>
      <c r="B101" s="237"/>
      <c r="C101" s="610" t="str">
        <f>iWeights1!C101</f>
        <v>SUST4_2_3</v>
      </c>
      <c r="D101" s="610">
        <f>iWeights1!D101</f>
        <v>65</v>
      </c>
      <c r="E101" s="611">
        <f ca="1">iWeights1!E101-1</f>
        <v>2</v>
      </c>
      <c r="F101" s="243" t="str">
        <f ca="1">REPT(" ",E101)&amp;iWeights1!F101</f>
        <v xml:space="preserve">  4.2.3) Support for autonomous vehicles</v>
      </c>
      <c r="G101" s="244">
        <v>3.6666666666666665</v>
      </c>
      <c r="H101" s="281">
        <f>INDEX(tblIndicators!AR$2:AR$71,D101)</f>
        <v>0.29729729729729726</v>
      </c>
      <c r="I101" s="228"/>
      <c r="J101" s="229" t="str">
        <f t="shared" si="17"/>
        <v>||||||||||||||</v>
      </c>
      <c r="K101" s="242"/>
      <c r="L101" s="237"/>
      <c r="M101" s="237"/>
      <c r="N101" s="237"/>
      <c r="AC101" s="237"/>
      <c r="AD101" s="237"/>
      <c r="AE101" s="237"/>
      <c r="AF101" s="237"/>
      <c r="AG101" s="237"/>
      <c r="AH101" s="237"/>
      <c r="AI101" s="237"/>
      <c r="AJ101" s="237"/>
      <c r="AK101" s="237"/>
      <c r="AL101" s="237"/>
      <c r="AM101" s="237"/>
      <c r="AN101" s="237"/>
      <c r="AO101" s="237"/>
      <c r="AP101" s="237"/>
      <c r="AQ101" s="237"/>
      <c r="AR101" s="237"/>
      <c r="AS101" s="237"/>
      <c r="AT101" s="237"/>
      <c r="AU101" s="237"/>
      <c r="AV101" s="237"/>
      <c r="AW101" s="237"/>
      <c r="AX101" s="237"/>
      <c r="AY101" s="237"/>
      <c r="AZ101" s="237"/>
      <c r="BA101" s="237"/>
      <c r="BB101" s="237"/>
      <c r="BC101" s="237"/>
    </row>
    <row r="102" spans="1:55" ht="19.899999999999999" customHeight="1">
      <c r="A102" s="237"/>
      <c r="B102" s="237"/>
      <c r="C102" s="610" t="str">
        <f>iWeights1!C102</f>
        <v>SUST4_3</v>
      </c>
      <c r="D102" s="610">
        <f>iWeights1!D102</f>
        <v>66</v>
      </c>
      <c r="E102" s="611">
        <f ca="1">iWeights1!E102-1</f>
        <v>1</v>
      </c>
      <c r="F102" s="243" t="str">
        <f ca="1">REPT(" ",E102)&amp;iWeights1!F102</f>
        <v xml:space="preserve"> 4.3) Pollution</v>
      </c>
      <c r="G102" s="529"/>
      <c r="H102" s="281"/>
      <c r="I102" s="228"/>
      <c r="J102" s="229"/>
      <c r="K102" s="242"/>
      <c r="L102" s="237"/>
      <c r="M102" s="237"/>
      <c r="N102" s="237"/>
      <c r="AC102" s="237"/>
      <c r="AD102" s="237"/>
      <c r="AE102" s="237"/>
      <c r="AF102" s="237"/>
      <c r="AG102" s="237"/>
      <c r="AH102" s="237"/>
      <c r="AI102" s="237"/>
      <c r="AJ102" s="237"/>
      <c r="AK102" s="237"/>
      <c r="AL102" s="237"/>
      <c r="AM102" s="237"/>
      <c r="AN102" s="237"/>
      <c r="AO102" s="237"/>
      <c r="AP102" s="237"/>
      <c r="AQ102" s="237"/>
      <c r="AR102" s="237"/>
      <c r="AS102" s="237"/>
      <c r="AT102" s="237"/>
      <c r="AU102" s="237"/>
      <c r="AV102" s="237"/>
      <c r="AW102" s="237"/>
      <c r="AX102" s="237"/>
      <c r="AY102" s="237"/>
      <c r="AZ102" s="237"/>
      <c r="BA102" s="237"/>
      <c r="BB102" s="237"/>
      <c r="BC102" s="237"/>
    </row>
    <row r="103" spans="1:55" ht="19.899999999999999" customHeight="1">
      <c r="A103" s="237"/>
      <c r="B103" s="237"/>
      <c r="C103" s="610" t="str">
        <f>iWeights1!C103</f>
        <v>SUST4_3_1</v>
      </c>
      <c r="D103" s="610">
        <f>iWeights1!D103</f>
        <v>67</v>
      </c>
      <c r="E103" s="611">
        <f ca="1">iWeights1!E103-1</f>
        <v>2</v>
      </c>
      <c r="F103" s="243" t="str">
        <f ca="1">REPT(" ",E103)&amp;iWeights1!F103</f>
        <v xml:space="preserve">  4.3.1) Air pollution</v>
      </c>
      <c r="G103" s="244">
        <v>1</v>
      </c>
      <c r="H103" s="281">
        <f>INDEX(tblIndicators!AR$2:AR$71,D103)</f>
        <v>1</v>
      </c>
      <c r="I103" s="228"/>
      <c r="J103" s="229" t="str">
        <f t="shared" si="17"/>
        <v>||||||||||||||||||||||||||||||||||||||||||||||||||</v>
      </c>
      <c r="K103" s="242"/>
      <c r="L103" s="237"/>
      <c r="M103" s="237"/>
      <c r="N103" s="237"/>
      <c r="AC103" s="237"/>
      <c r="AD103" s="237"/>
      <c r="AE103" s="237"/>
      <c r="AF103" s="237"/>
      <c r="AG103" s="237"/>
      <c r="AH103" s="237"/>
      <c r="AI103" s="237"/>
      <c r="AJ103" s="237"/>
      <c r="AK103" s="237"/>
      <c r="AL103" s="237"/>
      <c r="AM103" s="237"/>
      <c r="AN103" s="237"/>
      <c r="AO103" s="237"/>
      <c r="AP103" s="237"/>
      <c r="AQ103" s="237"/>
      <c r="AR103" s="237"/>
      <c r="AS103" s="237"/>
      <c r="AT103" s="237"/>
      <c r="AU103" s="237"/>
      <c r="AV103" s="237"/>
      <c r="AW103" s="237"/>
      <c r="AX103" s="237"/>
      <c r="AY103" s="237"/>
      <c r="AZ103" s="237"/>
      <c r="BA103" s="237"/>
      <c r="BB103" s="237"/>
      <c r="BC103" s="237"/>
    </row>
    <row r="104" spans="1:55" ht="19.899999999999999" customHeight="1">
      <c r="A104" s="237"/>
      <c r="B104" s="237"/>
      <c r="C104" s="610" t="str">
        <f>iWeights1!C104</f>
        <v>SUST4_4</v>
      </c>
      <c r="D104" s="610">
        <f>iWeights1!D104</f>
        <v>68</v>
      </c>
      <c r="E104" s="611">
        <f ca="1">iWeights1!E104-1</f>
        <v>1</v>
      </c>
      <c r="F104" s="243" t="str">
        <f ca="1">REPT(" ",E104)&amp;iWeights1!F104</f>
        <v xml:space="preserve"> 4.4) Circular economy</v>
      </c>
      <c r="G104" s="529"/>
      <c r="H104" s="281"/>
      <c r="I104" s="228"/>
      <c r="J104" s="229"/>
      <c r="K104" s="242"/>
      <c r="L104" s="237"/>
      <c r="M104" s="237"/>
      <c r="N104" s="237"/>
      <c r="AC104" s="237"/>
      <c r="AD104" s="237"/>
      <c r="AE104" s="237"/>
      <c r="AF104" s="237"/>
      <c r="AG104" s="237"/>
      <c r="AH104" s="237"/>
      <c r="AI104" s="237"/>
      <c r="AJ104" s="237"/>
      <c r="AK104" s="237"/>
      <c r="AL104" s="237"/>
      <c r="AM104" s="237"/>
      <c r="AN104" s="237"/>
      <c r="AO104" s="237"/>
      <c r="AP104" s="237"/>
      <c r="AQ104" s="237"/>
      <c r="AR104" s="237"/>
      <c r="AS104" s="237"/>
      <c r="AT104" s="237"/>
      <c r="AU104" s="237"/>
      <c r="AV104" s="237"/>
      <c r="AW104" s="237"/>
      <c r="AX104" s="237"/>
      <c r="AY104" s="237"/>
      <c r="AZ104" s="237"/>
      <c r="BA104" s="237"/>
      <c r="BB104" s="237"/>
      <c r="BC104" s="237"/>
    </row>
    <row r="105" spans="1:55" ht="19.899999999999999" customHeight="1">
      <c r="A105" s="237"/>
      <c r="B105" s="237"/>
      <c r="C105" s="610" t="str">
        <f>iWeights1!C105</f>
        <v>SUST4_4_1</v>
      </c>
      <c r="D105" s="610">
        <f>iWeights1!D105</f>
        <v>69</v>
      </c>
      <c r="E105" s="611">
        <f ca="1">iWeights1!E105-1</f>
        <v>2</v>
      </c>
      <c r="F105" s="243" t="str">
        <f ca="1">REPT(" ",E105)&amp;iWeights1!F105</f>
        <v xml:space="preserve">  4.4.1) Development of sharing economy </v>
      </c>
      <c r="G105" s="244">
        <v>4.333333333333333</v>
      </c>
      <c r="H105" s="281">
        <f>INDEX(tblIndicators!AR$2:AR$71,D105)</f>
        <v>0.61904761904761896</v>
      </c>
      <c r="I105" s="228"/>
      <c r="J105" s="229" t="str">
        <f t="shared" si="17"/>
        <v>||||||||||||||||||||||||||||||</v>
      </c>
      <c r="K105" s="242"/>
      <c r="L105" s="237"/>
      <c r="M105" s="237"/>
      <c r="N105" s="237"/>
      <c r="AC105" s="237"/>
      <c r="AD105" s="237"/>
      <c r="AE105" s="237"/>
      <c r="AF105" s="237"/>
      <c r="AG105" s="237"/>
      <c r="AH105" s="237"/>
      <c r="AI105" s="237"/>
      <c r="AJ105" s="237"/>
      <c r="AK105" s="237"/>
      <c r="AL105" s="237"/>
      <c r="AM105" s="237"/>
      <c r="AN105" s="237"/>
      <c r="AO105" s="237"/>
      <c r="AP105" s="237"/>
      <c r="AQ105" s="237"/>
      <c r="AR105" s="237"/>
      <c r="AS105" s="237"/>
      <c r="AT105" s="237"/>
      <c r="AU105" s="237"/>
      <c r="AV105" s="237"/>
      <c r="AW105" s="237"/>
      <c r="AX105" s="237"/>
      <c r="AY105" s="237"/>
      <c r="AZ105" s="237"/>
      <c r="BA105" s="237"/>
      <c r="BB105" s="237"/>
      <c r="BC105" s="237"/>
    </row>
    <row r="106" spans="1:55" ht="19.899999999999999" customHeight="1">
      <c r="A106" s="237"/>
      <c r="B106" s="237"/>
      <c r="C106" s="610" t="str">
        <f>iWeights1!C106</f>
        <v>SUST4_4_2</v>
      </c>
      <c r="D106" s="610">
        <f>iWeights1!D106</f>
        <v>70</v>
      </c>
      <c r="E106" s="611">
        <f ca="1">iWeights1!E106-1</f>
        <v>2</v>
      </c>
      <c r="F106" s="243" t="str">
        <f ca="1">REPT(" ",E106)&amp;iWeights1!F106</f>
        <v xml:space="preserve">  4.4.2) E-waste management</v>
      </c>
      <c r="G106" s="244">
        <v>2.6666666666666665</v>
      </c>
      <c r="H106" s="281">
        <f>INDEX(tblIndicators!AR$2:AR$71,D106)</f>
        <v>0.38095238095238093</v>
      </c>
      <c r="I106" s="228"/>
      <c r="J106" s="229" t="str">
        <f t="shared" si="17"/>
        <v>|||||||||||||||||||</v>
      </c>
      <c r="K106" s="242"/>
      <c r="L106" s="237"/>
      <c r="M106" s="237"/>
      <c r="N106" s="237"/>
      <c r="AC106" s="237"/>
      <c r="AD106" s="237"/>
      <c r="AE106" s="237"/>
      <c r="AF106" s="237"/>
      <c r="AG106" s="237"/>
      <c r="AH106" s="237"/>
      <c r="AI106" s="237"/>
      <c r="AJ106" s="237"/>
      <c r="AK106" s="237"/>
      <c r="AL106" s="237"/>
      <c r="AM106" s="237"/>
      <c r="AN106" s="237"/>
      <c r="AO106" s="237"/>
      <c r="AP106" s="237"/>
      <c r="AQ106" s="237"/>
      <c r="AR106" s="237"/>
      <c r="AS106" s="237"/>
      <c r="AT106" s="237"/>
      <c r="AU106" s="237"/>
      <c r="AV106" s="237"/>
      <c r="AW106" s="237"/>
      <c r="AX106" s="237"/>
      <c r="AY106" s="237"/>
      <c r="AZ106" s="237"/>
      <c r="BA106" s="237"/>
      <c r="BB106" s="237"/>
      <c r="BC106" s="237"/>
    </row>
    <row r="107" spans="1:55" ht="12" customHeight="1">
      <c r="A107" s="157"/>
      <c r="B107" s="157"/>
      <c r="C107" s="411"/>
      <c r="D107" s="411"/>
      <c r="E107" s="411"/>
      <c r="F107" s="157"/>
      <c r="G107" s="157"/>
      <c r="H107" s="157"/>
      <c r="I107" s="157"/>
      <c r="J107" s="157"/>
      <c r="K107" s="157"/>
      <c r="L107" s="157"/>
      <c r="M107" s="157"/>
      <c r="N107" s="157"/>
      <c r="AC107" s="157"/>
      <c r="AD107" s="157"/>
      <c r="AE107" s="157"/>
      <c r="AF107" s="157"/>
      <c r="AG107" s="157"/>
      <c r="AH107" s="157"/>
      <c r="AI107" s="157"/>
      <c r="AJ107" s="157"/>
      <c r="AK107" s="157"/>
      <c r="AL107" s="157"/>
      <c r="AM107" s="157"/>
      <c r="AN107" s="157"/>
      <c r="AO107" s="157"/>
      <c r="AP107" s="157"/>
      <c r="AQ107" s="157"/>
      <c r="AR107" s="157"/>
      <c r="AS107" s="157"/>
      <c r="AT107" s="157"/>
      <c r="AU107" s="157"/>
      <c r="AV107" s="157"/>
      <c r="AW107" s="157"/>
      <c r="AX107" s="157"/>
      <c r="AY107" s="157"/>
      <c r="AZ107" s="157"/>
      <c r="BA107" s="157"/>
      <c r="BB107" s="157"/>
      <c r="BC107" s="157"/>
    </row>
    <row r="108" spans="1:55" ht="12" customHeight="1">
      <c r="A108" s="157"/>
      <c r="B108" s="157"/>
      <c r="C108" s="411"/>
      <c r="D108" s="411"/>
      <c r="E108" s="411"/>
      <c r="F108" s="157"/>
      <c r="G108" s="157"/>
      <c r="H108" s="157"/>
      <c r="I108" s="157"/>
      <c r="J108" s="157"/>
      <c r="K108" s="157"/>
      <c r="L108" s="157"/>
      <c r="M108" s="157"/>
      <c r="N108" s="157"/>
      <c r="AC108" s="157"/>
      <c r="AD108" s="157"/>
      <c r="AE108" s="157"/>
      <c r="AF108" s="157"/>
      <c r="AG108" s="157"/>
      <c r="AH108" s="157"/>
      <c r="AI108" s="157"/>
      <c r="AJ108" s="157"/>
      <c r="AK108" s="157"/>
      <c r="AL108" s="157"/>
      <c r="AM108" s="157"/>
      <c r="AN108" s="157"/>
      <c r="AO108" s="157"/>
      <c r="AP108" s="157"/>
      <c r="AQ108" s="157"/>
      <c r="AR108" s="157"/>
      <c r="AS108" s="157"/>
      <c r="AT108" s="157"/>
      <c r="AU108" s="157"/>
      <c r="AV108" s="157"/>
      <c r="AW108" s="157"/>
      <c r="AX108" s="157"/>
      <c r="AY108" s="157"/>
      <c r="AZ108" s="157"/>
      <c r="BA108" s="157"/>
      <c r="BB108" s="157"/>
      <c r="BC108" s="157"/>
    </row>
    <row r="109" spans="1:55" ht="12" customHeight="1">
      <c r="A109" s="157"/>
      <c r="B109" s="157"/>
      <c r="C109" s="411"/>
      <c r="D109" s="411"/>
      <c r="E109" s="411"/>
      <c r="F109" s="157"/>
      <c r="G109" s="157"/>
      <c r="H109" s="157"/>
      <c r="I109" s="157"/>
      <c r="J109" s="157"/>
      <c r="K109" s="157"/>
      <c r="L109" s="157"/>
      <c r="M109" s="157"/>
      <c r="N109" s="157"/>
      <c r="AC109" s="157"/>
      <c r="AD109" s="157"/>
      <c r="AE109" s="157"/>
      <c r="AF109" s="157"/>
      <c r="AG109" s="157"/>
      <c r="AH109" s="157"/>
      <c r="AI109" s="157"/>
      <c r="AJ109" s="157"/>
      <c r="AK109" s="157"/>
      <c r="AL109" s="157"/>
      <c r="AM109" s="157"/>
      <c r="AN109" s="157"/>
      <c r="AO109" s="157"/>
      <c r="AP109" s="157"/>
      <c r="AQ109" s="157"/>
      <c r="AR109" s="157"/>
      <c r="AS109" s="157"/>
      <c r="AT109" s="157"/>
      <c r="AU109" s="157"/>
      <c r="AV109" s="157"/>
      <c r="AW109" s="157"/>
      <c r="AX109" s="157"/>
      <c r="AY109" s="157"/>
      <c r="AZ109" s="157"/>
      <c r="BA109" s="157"/>
      <c r="BB109" s="157"/>
      <c r="BC109" s="157"/>
    </row>
    <row r="110" spans="1:55">
      <c r="F110" s="157"/>
    </row>
  </sheetData>
  <phoneticPr fontId="4" type="noConversion"/>
  <conditionalFormatting sqref="F13:J16 F19:J39 F42:J106">
    <cfRule type="expression" dxfId="135" priority="26">
      <formula>$G13=0</formula>
    </cfRule>
  </conditionalFormatting>
  <conditionalFormatting sqref="F19:J39 F42:J106">
    <cfRule type="expression" dxfId="134" priority="24">
      <formula>$E19=1</formula>
    </cfRule>
  </conditionalFormatting>
  <conditionalFormatting sqref="F19:F39 F42:F106">
    <cfRule type="expression" dxfId="133" priority="25">
      <formula>$E19=1</formula>
    </cfRule>
  </conditionalFormatting>
  <pageMargins left="0.55118110236220474" right="0.55118110236220474" top="0.59055118110236227" bottom="0.78740157480314965" header="0.51181102362204722" footer="0.51181102362204722"/>
  <pageSetup paperSize="9" orientation="landscape" r:id="rId1"/>
  <headerFooter alignWithMargins="0">
    <oddHeader>&amp;RCity Water Optimization Index: 2020</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7505" r:id="rId4" name="Save_Weights">
              <controlPr defaultSize="0" print="0" autoFill="0" autoPict="0" macro="[0]!UniversalChanger">
                <anchor moveWithCells="1">
                  <from>
                    <xdr:col>9</xdr:col>
                    <xdr:colOff>133350</xdr:colOff>
                    <xdr:row>10</xdr:row>
                    <xdr:rowOff>95250</xdr:rowOff>
                  </from>
                  <to>
                    <xdr:col>9</xdr:col>
                    <xdr:colOff>1619250</xdr:colOff>
                    <xdr:row>10</xdr:row>
                    <xdr:rowOff>419100</xdr:rowOff>
                  </to>
                </anchor>
              </controlPr>
            </control>
          </mc:Choice>
        </mc:AlternateContent>
        <mc:AlternateContent xmlns:mc="http://schemas.openxmlformats.org/markup-compatibility/2006">
          <mc:Choice Requires="x14">
            <control shapeId="14357507" r:id="rId5" name="Weight_IndiLevel">
              <controlPr defaultSize="0" autoLine="0" autoPict="0" macro="[0]!UniversalChanger">
                <anchor>
                  <from>
                    <xdr:col>5</xdr:col>
                    <xdr:colOff>1847850</xdr:colOff>
                    <xdr:row>1</xdr:row>
                    <xdr:rowOff>527050</xdr:rowOff>
                  </from>
                  <to>
                    <xdr:col>5</xdr:col>
                    <xdr:colOff>3651250</xdr:colOff>
                    <xdr:row>1</xdr:row>
                    <xdr:rowOff>742950</xdr:rowOff>
                  </to>
                </anchor>
              </controlPr>
            </control>
          </mc:Choice>
        </mc:AlternateContent>
        <mc:AlternateContent xmlns:mc="http://schemas.openxmlformats.org/markup-compatibility/2006">
          <mc:Choice Requires="x14">
            <control shapeId="14357508" r:id="rId6" name="L_Weights">
              <controlPr defaultSize="0" autoLine="0" autoPict="0" macro="[0]!UniversalChanger">
                <anchor>
                  <from>
                    <xdr:col>0</xdr:col>
                    <xdr:colOff>107950</xdr:colOff>
                    <xdr:row>1</xdr:row>
                    <xdr:rowOff>527050</xdr:rowOff>
                  </from>
                  <to>
                    <xdr:col>5</xdr:col>
                    <xdr:colOff>1695450</xdr:colOff>
                    <xdr:row>1</xdr:row>
                    <xdr:rowOff>742950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sheetPr>
  <dimension ref="A1:CI89"/>
  <sheetViews>
    <sheetView showRowColHeaders="0" zoomScaleNormal="100" workbookViewId="0">
      <pane xSplit="5" ySplit="1" topLeftCell="F17" activePane="bottomRight" state="frozen"/>
      <selection pane="topRight" activeCell="F1" sqref="F1"/>
      <selection pane="bottomLeft" activeCell="A2" sqref="A2"/>
      <selection pane="bottomRight" activeCell="AG20" sqref="AG20"/>
    </sheetView>
  </sheetViews>
  <sheetFormatPr defaultRowHeight="20.149999999999999" customHeight="1"/>
  <cols>
    <col min="1" max="1" width="8.1796875" style="17" customWidth="1"/>
    <col min="2" max="2" width="10.26953125" style="367" hidden="1" customWidth="1"/>
    <col min="3" max="3" width="28.1796875" style="17" customWidth="1"/>
    <col min="4" max="4" width="14.1796875" style="17" customWidth="1"/>
    <col min="5" max="5" width="6.7265625" style="17" customWidth="1"/>
    <col min="6" max="6" width="64.81640625" style="17" customWidth="1"/>
    <col min="7" max="7" width="4.7265625" style="17" customWidth="1"/>
    <col min="8" max="8" width="47" style="17" hidden="1" customWidth="1"/>
    <col min="9" max="9" width="47.453125" style="17" customWidth="1"/>
    <col min="10" max="10" width="30" style="17" customWidth="1"/>
    <col min="11" max="11" width="17.453125" style="17" bestFit="1" customWidth="1"/>
    <col min="12" max="12" width="6.54296875" style="17" bestFit="1" customWidth="1"/>
    <col min="13" max="13" width="13.26953125" style="17" bestFit="1" customWidth="1"/>
    <col min="14" max="14" width="8.1796875" style="272" customWidth="1"/>
    <col min="15" max="15" width="13.81640625" style="17" hidden="1" customWidth="1"/>
    <col min="16" max="16" width="10.453125" customWidth="1"/>
    <col min="17" max="21" width="12.26953125" style="17" customWidth="1"/>
    <col min="22" max="22" width="13" customWidth="1"/>
    <col min="23" max="23" width="11.7265625" style="17" customWidth="1"/>
    <col min="24" max="53" width="9.81640625" style="272" customWidth="1"/>
    <col min="55" max="55" width="9.81640625" style="272" customWidth="1"/>
    <col min="56" max="56" width="1.1796875" customWidth="1"/>
    <col min="57" max="57" width="11.7265625" style="17" customWidth="1"/>
    <col min="58" max="87" width="9.81640625" style="272" customWidth="1"/>
  </cols>
  <sheetData>
    <row r="1" spans="1:87" s="978" customFormat="1" ht="43.5" customHeight="1">
      <c r="A1" s="974" t="str">
        <f>tblIndicators!A1</f>
        <v>line</v>
      </c>
      <c r="C1" s="974" t="s">
        <v>173</v>
      </c>
      <c r="D1" s="974" t="s">
        <v>586</v>
      </c>
      <c r="E1" s="974" t="s">
        <v>581</v>
      </c>
      <c r="F1" s="974" t="s">
        <v>289</v>
      </c>
      <c r="G1" s="974"/>
      <c r="H1" s="974"/>
      <c r="I1" s="974" t="s">
        <v>165</v>
      </c>
      <c r="J1" s="974" t="s">
        <v>117</v>
      </c>
      <c r="K1" s="974" t="s">
        <v>60</v>
      </c>
      <c r="L1" s="974" t="s">
        <v>253</v>
      </c>
      <c r="M1" s="974" t="s">
        <v>457</v>
      </c>
      <c r="N1" s="979" t="s">
        <v>252</v>
      </c>
      <c r="O1" s="974"/>
      <c r="Q1" s="974" t="s">
        <v>499</v>
      </c>
      <c r="R1" s="974" t="s">
        <v>500</v>
      </c>
      <c r="S1" s="974" t="s">
        <v>501</v>
      </c>
      <c r="T1" s="974" t="s">
        <v>502</v>
      </c>
      <c r="U1" s="974" t="s">
        <v>503</v>
      </c>
      <c r="W1" s="981" t="s">
        <v>99</v>
      </c>
      <c r="X1" s="979" t="s">
        <v>890</v>
      </c>
      <c r="Y1" s="979" t="s">
        <v>891</v>
      </c>
      <c r="Z1" s="979" t="s">
        <v>630</v>
      </c>
      <c r="AA1" s="979" t="s">
        <v>892</v>
      </c>
      <c r="AB1" s="979" t="s">
        <v>893</v>
      </c>
      <c r="AC1" s="979" t="s">
        <v>894</v>
      </c>
      <c r="AD1" s="979" t="s">
        <v>631</v>
      </c>
      <c r="AE1" s="979" t="s">
        <v>632</v>
      </c>
      <c r="AF1" s="979" t="s">
        <v>633</v>
      </c>
      <c r="AG1" s="979" t="s">
        <v>895</v>
      </c>
      <c r="AH1" s="979" t="s">
        <v>634</v>
      </c>
      <c r="AI1" s="979" t="s">
        <v>896</v>
      </c>
      <c r="AJ1" s="979" t="s">
        <v>635</v>
      </c>
      <c r="AK1" s="979" t="s">
        <v>897</v>
      </c>
      <c r="AL1" s="979" t="s">
        <v>636</v>
      </c>
      <c r="AM1" s="979" t="s">
        <v>637</v>
      </c>
      <c r="AN1" s="979" t="s">
        <v>898</v>
      </c>
      <c r="AO1" s="979" t="s">
        <v>899</v>
      </c>
      <c r="AP1" s="979" t="s">
        <v>900</v>
      </c>
      <c r="AQ1" s="979" t="s">
        <v>901</v>
      </c>
      <c r="AR1" s="979" t="s">
        <v>902</v>
      </c>
      <c r="AS1" s="979" t="s">
        <v>903</v>
      </c>
      <c r="AT1" s="979" t="s">
        <v>904</v>
      </c>
      <c r="AU1" s="979" t="s">
        <v>905</v>
      </c>
      <c r="AV1" s="979" t="s">
        <v>906</v>
      </c>
      <c r="AW1" s="979" t="s">
        <v>907</v>
      </c>
      <c r="AX1" s="979" t="s">
        <v>908</v>
      </c>
      <c r="AY1" s="979" t="s">
        <v>909</v>
      </c>
      <c r="AZ1" s="979" t="s">
        <v>910</v>
      </c>
      <c r="BA1" s="979" t="s">
        <v>911</v>
      </c>
      <c r="BC1" s="979" t="s">
        <v>296</v>
      </c>
      <c r="BE1" s="981" t="s">
        <v>1031</v>
      </c>
      <c r="BF1" s="979" t="s">
        <v>890</v>
      </c>
      <c r="BG1" s="979" t="s">
        <v>891</v>
      </c>
      <c r="BH1" s="979" t="s">
        <v>630</v>
      </c>
      <c r="BI1" s="979" t="s">
        <v>892</v>
      </c>
      <c r="BJ1" s="979" t="s">
        <v>893</v>
      </c>
      <c r="BK1" s="979" t="s">
        <v>894</v>
      </c>
      <c r="BL1" s="979" t="s">
        <v>631</v>
      </c>
      <c r="BM1" s="979" t="s">
        <v>632</v>
      </c>
      <c r="BN1" s="979" t="s">
        <v>633</v>
      </c>
      <c r="BO1" s="979" t="s">
        <v>895</v>
      </c>
      <c r="BP1" s="979" t="s">
        <v>634</v>
      </c>
      <c r="BQ1" s="979" t="s">
        <v>896</v>
      </c>
      <c r="BR1" s="979" t="s">
        <v>635</v>
      </c>
      <c r="BS1" s="979" t="s">
        <v>897</v>
      </c>
      <c r="BT1" s="979" t="s">
        <v>636</v>
      </c>
      <c r="BU1" s="979" t="s">
        <v>637</v>
      </c>
      <c r="BV1" s="979" t="s">
        <v>898</v>
      </c>
      <c r="BW1" s="979" t="s">
        <v>899</v>
      </c>
      <c r="BX1" s="979" t="s">
        <v>900</v>
      </c>
      <c r="BY1" s="979" t="s">
        <v>901</v>
      </c>
      <c r="BZ1" s="979" t="s">
        <v>902</v>
      </c>
      <c r="CA1" s="979" t="s">
        <v>903</v>
      </c>
      <c r="CB1" s="979" t="s">
        <v>904</v>
      </c>
      <c r="CC1" s="979" t="s">
        <v>905</v>
      </c>
      <c r="CD1" s="979" t="s">
        <v>906</v>
      </c>
      <c r="CE1" s="979" t="s">
        <v>907</v>
      </c>
      <c r="CF1" s="979" t="s">
        <v>908</v>
      </c>
      <c r="CG1" s="979" t="s">
        <v>909</v>
      </c>
      <c r="CH1" s="979" t="s">
        <v>910</v>
      </c>
      <c r="CI1" s="979" t="s">
        <v>911</v>
      </c>
    </row>
    <row r="2" spans="1:87" s="17" customFormat="1" ht="24" customHeight="1">
      <c r="A2" s="353">
        <f>tblIndicators!A2</f>
        <v>1</v>
      </c>
      <c r="B2" s="17">
        <f>tblIndicators!G2</f>
        <v>0</v>
      </c>
      <c r="C2" s="353" t="s">
        <v>8</v>
      </c>
      <c r="D2" s="353" t="s">
        <v>8</v>
      </c>
      <c r="E2" s="353" t="s">
        <v>8</v>
      </c>
      <c r="F2" s="353"/>
      <c r="G2" s="353"/>
      <c r="H2" s="353"/>
      <c r="I2" s="353"/>
      <c r="J2" s="353" t="s">
        <v>1156</v>
      </c>
      <c r="K2" s="353"/>
      <c r="L2" s="353"/>
      <c r="M2" s="353"/>
      <c r="N2" s="1069">
        <v>1</v>
      </c>
      <c r="O2" s="353"/>
      <c r="Q2" s="353"/>
      <c r="R2" s="353"/>
      <c r="S2" s="353"/>
      <c r="T2" s="353"/>
      <c r="U2" s="353"/>
      <c r="W2" s="353"/>
      <c r="X2" s="982"/>
      <c r="Y2" s="982"/>
      <c r="Z2" s="982"/>
      <c r="AA2" s="982"/>
      <c r="AB2" s="982"/>
      <c r="AC2" s="982"/>
      <c r="AD2" s="982"/>
      <c r="AE2" s="982"/>
      <c r="AF2" s="982"/>
      <c r="AG2" s="982"/>
      <c r="AH2" s="982"/>
      <c r="AI2" s="982"/>
      <c r="AJ2" s="982"/>
      <c r="AK2" s="982"/>
      <c r="AL2" s="982"/>
      <c r="AM2" s="982"/>
      <c r="AN2" s="982"/>
      <c r="AO2" s="982"/>
      <c r="AP2" s="982"/>
      <c r="AQ2" s="982"/>
      <c r="AR2" s="982"/>
      <c r="AS2" s="982"/>
      <c r="AT2" s="982"/>
      <c r="AU2" s="982"/>
      <c r="AV2" s="982"/>
      <c r="AW2" s="982"/>
      <c r="AX2" s="982"/>
      <c r="AY2" s="982"/>
      <c r="AZ2" s="982"/>
      <c r="BA2" s="982"/>
      <c r="BC2" s="1069">
        <v>1</v>
      </c>
      <c r="BE2" s="353"/>
      <c r="BF2" s="982"/>
      <c r="BG2" s="982"/>
      <c r="BH2" s="982"/>
      <c r="BI2" s="982"/>
      <c r="BJ2" s="982"/>
      <c r="BK2" s="982"/>
      <c r="BL2" s="982"/>
      <c r="BM2" s="982"/>
      <c r="BN2" s="982"/>
      <c r="BO2" s="982"/>
      <c r="BP2" s="982"/>
      <c r="BQ2" s="982"/>
      <c r="BR2" s="982"/>
      <c r="BS2" s="982"/>
      <c r="BT2" s="982"/>
      <c r="BU2" s="982"/>
      <c r="BV2" s="982"/>
      <c r="BW2" s="982"/>
      <c r="BX2" s="982"/>
      <c r="BY2" s="982"/>
      <c r="BZ2" s="982"/>
      <c r="CA2" s="982"/>
      <c r="CB2" s="982"/>
      <c r="CC2" s="982"/>
      <c r="CD2" s="982"/>
      <c r="CE2" s="982"/>
      <c r="CF2" s="982"/>
      <c r="CG2" s="982"/>
      <c r="CH2" s="982"/>
      <c r="CI2" s="982"/>
    </row>
    <row r="3" spans="1:87" s="367" customFormat="1" ht="20.149999999999999" customHeight="1">
      <c r="A3" s="837">
        <f>tblIndicators!A3</f>
        <v>2</v>
      </c>
      <c r="B3" s="367">
        <f>tblIndicators!G3</f>
        <v>1</v>
      </c>
      <c r="C3" s="837" t="s">
        <v>769</v>
      </c>
      <c r="D3" s="837" t="s">
        <v>769</v>
      </c>
      <c r="E3" s="837" t="s">
        <v>769</v>
      </c>
      <c r="F3" s="837"/>
      <c r="G3" s="837"/>
      <c r="H3" s="837"/>
      <c r="I3" s="837"/>
      <c r="J3" s="353" t="s">
        <v>1156</v>
      </c>
      <c r="K3" s="837"/>
      <c r="L3" s="837"/>
      <c r="M3" s="837"/>
      <c r="N3" s="975">
        <v>1</v>
      </c>
      <c r="O3" s="837"/>
      <c r="P3"/>
      <c r="Q3" s="837"/>
      <c r="R3" s="837"/>
      <c r="S3" s="837"/>
      <c r="T3" s="837"/>
      <c r="U3" s="837"/>
      <c r="V3"/>
      <c r="W3" s="837"/>
      <c r="X3" s="975"/>
      <c r="Y3" s="975"/>
      <c r="Z3" s="975"/>
      <c r="AA3" s="975"/>
      <c r="AB3" s="975"/>
      <c r="AC3" s="975"/>
      <c r="AD3" s="975"/>
      <c r="AE3" s="975"/>
      <c r="AF3" s="975"/>
      <c r="AG3" s="975"/>
      <c r="AH3" s="975"/>
      <c r="AI3" s="975"/>
      <c r="AJ3" s="975"/>
      <c r="AK3" s="975"/>
      <c r="AL3" s="975"/>
      <c r="AM3" s="975"/>
      <c r="AN3" s="975"/>
      <c r="AO3" s="975"/>
      <c r="AP3" s="975"/>
      <c r="AQ3" s="975"/>
      <c r="AR3" s="975"/>
      <c r="AS3" s="975"/>
      <c r="AT3" s="975"/>
      <c r="AU3" s="975"/>
      <c r="AV3" s="975"/>
      <c r="AW3" s="975"/>
      <c r="AX3" s="975"/>
      <c r="AY3" s="975"/>
      <c r="AZ3" s="975"/>
      <c r="BA3" s="975"/>
      <c r="BC3" s="975">
        <v>1</v>
      </c>
      <c r="BE3" s="837"/>
      <c r="BF3" s="975"/>
      <c r="BG3" s="975"/>
      <c r="BH3" s="975"/>
      <c r="BI3" s="975"/>
      <c r="BJ3" s="975"/>
      <c r="BK3" s="975"/>
      <c r="BL3" s="975"/>
      <c r="BM3" s="975"/>
      <c r="BN3" s="975"/>
      <c r="BO3" s="975"/>
      <c r="BP3" s="975"/>
      <c r="BQ3" s="975"/>
      <c r="BR3" s="975"/>
      <c r="BS3" s="975"/>
      <c r="BT3" s="975"/>
      <c r="BU3" s="975"/>
      <c r="BV3" s="975"/>
      <c r="BW3" s="975"/>
      <c r="BX3" s="975"/>
      <c r="BY3" s="975"/>
      <c r="BZ3" s="975"/>
      <c r="CA3" s="975"/>
      <c r="CB3" s="975"/>
      <c r="CC3" s="975"/>
      <c r="CD3" s="975"/>
      <c r="CE3" s="975"/>
      <c r="CF3" s="975"/>
      <c r="CG3" s="975"/>
      <c r="CH3" s="975"/>
      <c r="CI3" s="975"/>
    </row>
    <row r="4" spans="1:87" s="367" customFormat="1" ht="20.149999999999999" customHeight="1">
      <c r="A4" s="837">
        <f>tblIndicators!A4</f>
        <v>3</v>
      </c>
      <c r="B4" s="367">
        <f>tblIndicators!G4</f>
        <v>2</v>
      </c>
      <c r="C4" s="837" t="s">
        <v>770</v>
      </c>
      <c r="D4" s="837" t="s">
        <v>770</v>
      </c>
      <c r="E4" s="837" t="s">
        <v>770</v>
      </c>
      <c r="F4" s="837"/>
      <c r="G4" s="837"/>
      <c r="H4" s="837"/>
      <c r="I4" s="837"/>
      <c r="J4" s="353" t="s">
        <v>1156</v>
      </c>
      <c r="K4" s="837"/>
      <c r="L4" s="837"/>
      <c r="M4" s="837"/>
      <c r="N4" s="975">
        <v>1</v>
      </c>
      <c r="O4" s="837"/>
      <c r="P4"/>
      <c r="Q4" s="837"/>
      <c r="R4" s="837"/>
      <c r="S4" s="837"/>
      <c r="T4" s="837"/>
      <c r="U4" s="837"/>
      <c r="V4"/>
      <c r="W4" s="837"/>
      <c r="X4" s="975"/>
      <c r="Y4" s="975"/>
      <c r="Z4" s="975"/>
      <c r="AA4" s="975"/>
      <c r="AB4" s="975"/>
      <c r="AC4" s="975"/>
      <c r="AD4" s="975"/>
      <c r="AE4" s="975"/>
      <c r="AF4" s="975"/>
      <c r="AG4" s="975"/>
      <c r="AH4" s="975"/>
      <c r="AI4" s="975"/>
      <c r="AJ4" s="975"/>
      <c r="AK4" s="975"/>
      <c r="AL4" s="975"/>
      <c r="AM4" s="975"/>
      <c r="AN4" s="975"/>
      <c r="AO4" s="975"/>
      <c r="AP4" s="975"/>
      <c r="AQ4" s="975"/>
      <c r="AR4" s="975"/>
      <c r="AS4" s="975"/>
      <c r="AT4" s="975"/>
      <c r="AU4" s="975"/>
      <c r="AV4" s="975"/>
      <c r="AW4" s="975"/>
      <c r="AX4" s="975"/>
      <c r="AY4" s="975"/>
      <c r="AZ4" s="975"/>
      <c r="BA4" s="975"/>
      <c r="BC4" s="975">
        <v>1</v>
      </c>
      <c r="BE4" s="837"/>
      <c r="BF4" s="975"/>
      <c r="BG4" s="975"/>
      <c r="BH4" s="975"/>
      <c r="BI4" s="975"/>
      <c r="BJ4" s="975"/>
      <c r="BK4" s="975"/>
      <c r="BL4" s="975"/>
      <c r="BM4" s="975"/>
      <c r="BN4" s="975"/>
      <c r="BO4" s="975"/>
      <c r="BP4" s="975"/>
      <c r="BQ4" s="975"/>
      <c r="BR4" s="975"/>
      <c r="BS4" s="975"/>
      <c r="BT4" s="975"/>
      <c r="BU4" s="975"/>
      <c r="BV4" s="975"/>
      <c r="BW4" s="975"/>
      <c r="BX4" s="975"/>
      <c r="BY4" s="975"/>
      <c r="BZ4" s="975"/>
      <c r="CA4" s="975"/>
      <c r="CB4" s="975"/>
      <c r="CC4" s="975"/>
      <c r="CD4" s="975"/>
      <c r="CE4" s="975"/>
      <c r="CF4" s="975"/>
      <c r="CG4" s="975"/>
      <c r="CH4" s="975"/>
      <c r="CI4" s="975"/>
    </row>
    <row r="5" spans="1:87" s="367" customFormat="1" ht="30" customHeight="1">
      <c r="A5" s="837">
        <f>tblIndicators!A5</f>
        <v>4</v>
      </c>
      <c r="B5" s="367">
        <f>tblIndicators!G5</f>
        <v>3</v>
      </c>
      <c r="C5" s="837" t="s">
        <v>771</v>
      </c>
      <c r="D5" s="837" t="s">
        <v>771</v>
      </c>
      <c r="E5" s="837" t="s">
        <v>419</v>
      </c>
      <c r="F5" s="837" t="s">
        <v>1230</v>
      </c>
      <c r="G5" s="837"/>
      <c r="H5" s="837"/>
      <c r="I5" s="837" t="s">
        <v>1023</v>
      </c>
      <c r="J5" s="837" t="s">
        <v>1150</v>
      </c>
      <c r="K5" s="837" t="s">
        <v>801</v>
      </c>
      <c r="L5" s="837">
        <v>2020</v>
      </c>
      <c r="M5" s="837" t="s">
        <v>575</v>
      </c>
      <c r="N5" s="975">
        <v>1</v>
      </c>
      <c r="O5" s="837"/>
      <c r="P5" s="272">
        <f>tblIndicators!AS5</f>
        <v>1</v>
      </c>
      <c r="Q5" s="837"/>
      <c r="R5" s="837"/>
      <c r="S5" s="837"/>
      <c r="T5" s="837"/>
      <c r="U5" s="837"/>
      <c r="V5"/>
      <c r="W5" s="837"/>
      <c r="X5" s="975">
        <v>126.26</v>
      </c>
      <c r="Y5" s="975">
        <v>114.72</v>
      </c>
      <c r="Z5" s="975">
        <v>100.86</v>
      </c>
      <c r="AA5" s="975">
        <v>103.49</v>
      </c>
      <c r="AB5" s="975">
        <v>97.1</v>
      </c>
      <c r="AC5" s="975">
        <v>90.69</v>
      </c>
      <c r="AD5" s="975">
        <v>80.650000000000006</v>
      </c>
      <c r="AE5" s="975">
        <v>136.81</v>
      </c>
      <c r="AF5" s="975">
        <v>148.68</v>
      </c>
      <c r="AG5" s="975">
        <v>209.89</v>
      </c>
      <c r="AH5" s="975">
        <v>90.69</v>
      </c>
      <c r="AI5" s="975">
        <v>141.86000000000001</v>
      </c>
      <c r="AJ5" s="975">
        <v>88.4</v>
      </c>
      <c r="AK5" s="975">
        <v>124.28</v>
      </c>
      <c r="AL5" s="975">
        <v>110.86</v>
      </c>
      <c r="AM5" s="975">
        <v>103.49</v>
      </c>
      <c r="AN5" s="975">
        <v>65.959999999999994</v>
      </c>
      <c r="AO5" s="975">
        <v>75.72</v>
      </c>
      <c r="AP5" s="975">
        <v>52.98</v>
      </c>
      <c r="AQ5" s="975">
        <v>148.68</v>
      </c>
      <c r="AR5" s="975">
        <v>100.15</v>
      </c>
      <c r="AS5" s="975">
        <v>92.61</v>
      </c>
      <c r="AT5" s="975">
        <v>90.1</v>
      </c>
      <c r="AU5" s="975">
        <v>116.9</v>
      </c>
      <c r="AV5" s="975">
        <v>144.05000000000001</v>
      </c>
      <c r="AW5" s="975">
        <v>128.76</v>
      </c>
      <c r="AX5" s="975">
        <v>200.85</v>
      </c>
      <c r="AY5" s="975">
        <v>82.06</v>
      </c>
      <c r="AZ5" s="975">
        <v>148.68</v>
      </c>
      <c r="BA5" s="975">
        <v>106.15</v>
      </c>
      <c r="BC5" s="975">
        <v>2</v>
      </c>
      <c r="BE5" s="837"/>
      <c r="BF5" s="975"/>
      <c r="BG5" s="975"/>
      <c r="BH5" s="975"/>
      <c r="BI5" s="975"/>
      <c r="BJ5" s="975"/>
      <c r="BK5" s="975"/>
      <c r="BL5" s="975"/>
      <c r="BM5" s="975"/>
      <c r="BN5" s="975"/>
      <c r="BO5" s="975"/>
      <c r="BP5" s="975"/>
      <c r="BQ5" s="975"/>
      <c r="BR5" s="975"/>
      <c r="BS5" s="975"/>
      <c r="BT5" s="975"/>
      <c r="BU5" s="975"/>
      <c r="BV5" s="975"/>
      <c r="BW5" s="975"/>
      <c r="BX5" s="975"/>
      <c r="BY5" s="975"/>
      <c r="BZ5" s="975"/>
      <c r="CA5" s="975"/>
      <c r="CB5" s="975"/>
      <c r="CC5" s="975"/>
      <c r="CD5" s="975"/>
      <c r="CE5" s="975"/>
      <c r="CF5" s="975"/>
      <c r="CG5" s="975"/>
      <c r="CH5" s="975"/>
      <c r="CI5" s="975"/>
    </row>
    <row r="6" spans="1:87" s="367" customFormat="1" ht="30" customHeight="1">
      <c r="A6" s="837">
        <f>tblIndicators!A6</f>
        <v>5</v>
      </c>
      <c r="B6" s="367">
        <f>tblIndicators!G6</f>
        <v>3</v>
      </c>
      <c r="C6" s="837" t="s">
        <v>983</v>
      </c>
      <c r="D6" s="837" t="s">
        <v>983</v>
      </c>
      <c r="E6" s="837" t="s">
        <v>420</v>
      </c>
      <c r="F6" s="837" t="s">
        <v>1231</v>
      </c>
      <c r="G6" s="837"/>
      <c r="H6" s="837"/>
      <c r="I6" s="837" t="s">
        <v>1020</v>
      </c>
      <c r="J6" s="837" t="s">
        <v>1150</v>
      </c>
      <c r="K6" s="837" t="s">
        <v>801</v>
      </c>
      <c r="L6" s="837">
        <v>2020</v>
      </c>
      <c r="M6" s="837" t="s">
        <v>575</v>
      </c>
      <c r="N6" s="975">
        <v>1</v>
      </c>
      <c r="O6" s="837"/>
      <c r="P6" s="272">
        <f>tblIndicators!AS6</f>
        <v>1</v>
      </c>
      <c r="Q6" s="837"/>
      <c r="R6" s="837"/>
      <c r="S6" s="837"/>
      <c r="T6" s="837"/>
      <c r="U6" s="837"/>
      <c r="V6"/>
      <c r="W6" s="837"/>
      <c r="X6" s="975">
        <v>43.92</v>
      </c>
      <c r="Y6" s="975">
        <v>34.72</v>
      </c>
      <c r="Z6" s="975">
        <v>16.62</v>
      </c>
      <c r="AA6" s="975">
        <v>33.9</v>
      </c>
      <c r="AB6" s="975">
        <v>33.6</v>
      </c>
      <c r="AC6" s="975">
        <v>43.02</v>
      </c>
      <c r="AD6" s="975">
        <v>21.18</v>
      </c>
      <c r="AE6" s="975">
        <v>44.4</v>
      </c>
      <c r="AF6" s="975">
        <v>36.409999999999997</v>
      </c>
      <c r="AG6" s="975">
        <v>32.81</v>
      </c>
      <c r="AH6" s="975">
        <v>43.02</v>
      </c>
      <c r="AI6" s="975">
        <v>38.299999999999997</v>
      </c>
      <c r="AJ6" s="975">
        <v>3.92</v>
      </c>
      <c r="AK6" s="975">
        <v>10.38</v>
      </c>
      <c r="AL6" s="975">
        <v>40.49</v>
      </c>
      <c r="AM6" s="975">
        <v>33.9</v>
      </c>
      <c r="AN6" s="975">
        <v>5.48</v>
      </c>
      <c r="AO6" s="975">
        <v>16.45</v>
      </c>
      <c r="AP6" s="975">
        <v>1.62</v>
      </c>
      <c r="AQ6" s="975">
        <v>36.409999999999997</v>
      </c>
      <c r="AR6" s="975">
        <v>46.92</v>
      </c>
      <c r="AS6" s="975">
        <v>29.53</v>
      </c>
      <c r="AT6" s="975">
        <v>17.100000000000001</v>
      </c>
      <c r="AU6" s="975">
        <v>43.55</v>
      </c>
      <c r="AV6" s="975">
        <v>25.94</v>
      </c>
      <c r="AW6" s="975">
        <v>35.049999999999997</v>
      </c>
      <c r="AX6" s="975">
        <v>34.5</v>
      </c>
      <c r="AY6" s="975">
        <v>41.8</v>
      </c>
      <c r="AZ6" s="975">
        <v>36.409999999999997</v>
      </c>
      <c r="BA6" s="975">
        <v>46.48</v>
      </c>
      <c r="BC6" s="975">
        <v>2</v>
      </c>
      <c r="BE6" s="837"/>
      <c r="BF6" s="975"/>
      <c r="BG6" s="975"/>
      <c r="BH6" s="975"/>
      <c r="BI6" s="975"/>
      <c r="BJ6" s="975"/>
      <c r="BK6" s="975"/>
      <c r="BL6" s="975"/>
      <c r="BM6" s="975"/>
      <c r="BN6" s="975"/>
      <c r="BO6" s="975"/>
      <c r="BP6" s="975"/>
      <c r="BQ6" s="975"/>
      <c r="BR6" s="975"/>
      <c r="BS6" s="975"/>
      <c r="BT6" s="975"/>
      <c r="BU6" s="975"/>
      <c r="BV6" s="975"/>
      <c r="BW6" s="975"/>
      <c r="BX6" s="975"/>
      <c r="BY6" s="975"/>
      <c r="BZ6" s="975"/>
      <c r="CA6" s="975"/>
      <c r="CB6" s="975"/>
      <c r="CC6" s="975"/>
      <c r="CD6" s="975"/>
      <c r="CE6" s="975"/>
      <c r="CF6" s="975"/>
      <c r="CG6" s="975"/>
      <c r="CH6" s="975"/>
      <c r="CI6" s="975"/>
    </row>
    <row r="7" spans="1:87" s="367" customFormat="1" ht="30" customHeight="1">
      <c r="A7" s="837">
        <f>tblIndicators!A7</f>
        <v>6</v>
      </c>
      <c r="B7" s="367">
        <f>tblIndicators!G7</f>
        <v>3</v>
      </c>
      <c r="C7" s="837" t="s">
        <v>772</v>
      </c>
      <c r="D7" s="837" t="s">
        <v>772</v>
      </c>
      <c r="E7" s="837" t="s">
        <v>421</v>
      </c>
      <c r="F7" s="837" t="s">
        <v>1010</v>
      </c>
      <c r="G7" s="837"/>
      <c r="H7" s="837"/>
      <c r="I7" s="837" t="s">
        <v>1232</v>
      </c>
      <c r="J7" s="837" t="s">
        <v>1103</v>
      </c>
      <c r="K7" s="837" t="s">
        <v>1197</v>
      </c>
      <c r="L7" s="837">
        <v>2021</v>
      </c>
      <c r="M7" s="837" t="s">
        <v>575</v>
      </c>
      <c r="N7" s="975">
        <v>0</v>
      </c>
      <c r="O7" s="837"/>
      <c r="P7" s="272">
        <f>tblIndicators!AS7</f>
        <v>4</v>
      </c>
      <c r="Q7" s="837" t="s">
        <v>1027</v>
      </c>
      <c r="R7" s="837" t="s">
        <v>1026</v>
      </c>
      <c r="S7" s="837" t="s">
        <v>1024</v>
      </c>
      <c r="T7" s="837" t="s">
        <v>1025</v>
      </c>
      <c r="U7" s="837"/>
      <c r="V7"/>
      <c r="W7" s="837"/>
      <c r="X7" s="975">
        <v>3</v>
      </c>
      <c r="Y7" s="975">
        <v>3</v>
      </c>
      <c r="Z7" s="975">
        <v>2</v>
      </c>
      <c r="AA7" s="975">
        <v>3</v>
      </c>
      <c r="AB7" s="975">
        <v>3</v>
      </c>
      <c r="AC7" s="975">
        <v>3</v>
      </c>
      <c r="AD7" s="975">
        <v>3</v>
      </c>
      <c r="AE7" s="975">
        <v>3</v>
      </c>
      <c r="AF7" s="975">
        <v>3</v>
      </c>
      <c r="AG7" s="975">
        <v>3</v>
      </c>
      <c r="AH7" s="975">
        <v>3</v>
      </c>
      <c r="AI7" s="975">
        <v>3</v>
      </c>
      <c r="AJ7" s="975">
        <v>3</v>
      </c>
      <c r="AK7" s="975">
        <v>3</v>
      </c>
      <c r="AL7" s="975">
        <v>3</v>
      </c>
      <c r="AM7" s="975">
        <v>3</v>
      </c>
      <c r="AN7" s="975">
        <v>3</v>
      </c>
      <c r="AO7" s="975">
        <v>3</v>
      </c>
      <c r="AP7" s="975">
        <v>3</v>
      </c>
      <c r="AQ7" s="975">
        <v>3</v>
      </c>
      <c r="AR7" s="975">
        <v>3</v>
      </c>
      <c r="AS7" s="975">
        <v>3</v>
      </c>
      <c r="AT7" s="975">
        <v>3</v>
      </c>
      <c r="AU7" s="975">
        <v>3</v>
      </c>
      <c r="AV7" s="975">
        <v>3</v>
      </c>
      <c r="AW7" s="975">
        <v>3</v>
      </c>
      <c r="AX7" s="975">
        <v>3</v>
      </c>
      <c r="AY7" s="975">
        <v>3</v>
      </c>
      <c r="AZ7" s="975">
        <v>3</v>
      </c>
      <c r="BA7" s="975">
        <v>3</v>
      </c>
      <c r="BC7" s="975">
        <v>2</v>
      </c>
      <c r="BE7" s="837"/>
      <c r="BF7" s="975" t="s">
        <v>1032</v>
      </c>
      <c r="BG7" s="975" t="s">
        <v>1033</v>
      </c>
      <c r="BH7" s="975" t="s">
        <v>1034</v>
      </c>
      <c r="BI7" s="975" t="s">
        <v>1035</v>
      </c>
      <c r="BJ7" s="975" t="s">
        <v>1036</v>
      </c>
      <c r="BK7" s="975" t="s">
        <v>1037</v>
      </c>
      <c r="BL7" s="975" t="s">
        <v>1038</v>
      </c>
      <c r="BM7" s="975" t="s">
        <v>1039</v>
      </c>
      <c r="BN7" s="975" t="s">
        <v>1040</v>
      </c>
      <c r="BO7" s="975" t="s">
        <v>1041</v>
      </c>
      <c r="BP7" s="975" t="s">
        <v>1042</v>
      </c>
      <c r="BQ7" s="975" t="s">
        <v>1043</v>
      </c>
      <c r="BR7" s="975" t="s">
        <v>1044</v>
      </c>
      <c r="BS7" s="975" t="s">
        <v>1045</v>
      </c>
      <c r="BT7" s="975" t="s">
        <v>1046</v>
      </c>
      <c r="BU7" s="975" t="s">
        <v>1047</v>
      </c>
      <c r="BV7" s="975" t="s">
        <v>1048</v>
      </c>
      <c r="BW7" s="975" t="s">
        <v>1049</v>
      </c>
      <c r="BX7" s="975" t="s">
        <v>1050</v>
      </c>
      <c r="BY7" s="975" t="s">
        <v>1051</v>
      </c>
      <c r="BZ7" s="975" t="s">
        <v>1052</v>
      </c>
      <c r="CA7" s="975" t="s">
        <v>1053</v>
      </c>
      <c r="CB7" s="975" t="s">
        <v>1054</v>
      </c>
      <c r="CC7" s="975" t="s">
        <v>1055</v>
      </c>
      <c r="CD7" s="975" t="s">
        <v>1056</v>
      </c>
      <c r="CE7" s="975" t="s">
        <v>1057</v>
      </c>
      <c r="CF7" s="975" t="s">
        <v>1058</v>
      </c>
      <c r="CG7" s="975" t="s">
        <v>1059</v>
      </c>
      <c r="CH7" s="975" t="s">
        <v>1060</v>
      </c>
      <c r="CI7" s="975" t="s">
        <v>1061</v>
      </c>
    </row>
    <row r="8" spans="1:87" s="367" customFormat="1" ht="30" customHeight="1">
      <c r="A8" s="837">
        <f>tblIndicators!A8</f>
        <v>7</v>
      </c>
      <c r="B8" s="367">
        <f>tblIndicators!G8</f>
        <v>3</v>
      </c>
      <c r="C8" s="837" t="s">
        <v>984</v>
      </c>
      <c r="D8" s="837" t="s">
        <v>984</v>
      </c>
      <c r="E8" s="837" t="s">
        <v>422</v>
      </c>
      <c r="F8" s="837" t="s">
        <v>1233</v>
      </c>
      <c r="G8" s="837"/>
      <c r="H8" s="837"/>
      <c r="I8" s="837" t="s">
        <v>1151</v>
      </c>
      <c r="J8" s="837" t="s">
        <v>1103</v>
      </c>
      <c r="K8" s="837" t="s">
        <v>1198</v>
      </c>
      <c r="L8" s="837">
        <v>2021</v>
      </c>
      <c r="M8" s="837" t="s">
        <v>575</v>
      </c>
      <c r="N8" s="975">
        <v>0</v>
      </c>
      <c r="O8" s="837"/>
      <c r="P8" s="272">
        <f>tblIndicators!AS8</f>
        <v>3</v>
      </c>
      <c r="Q8" s="837" t="s">
        <v>1098</v>
      </c>
      <c r="R8" s="837" t="s">
        <v>1099</v>
      </c>
      <c r="S8" s="837" t="s">
        <v>1100</v>
      </c>
      <c r="T8" s="837"/>
      <c r="U8" s="837"/>
      <c r="V8"/>
      <c r="W8" s="837"/>
      <c r="X8" s="975">
        <v>2</v>
      </c>
      <c r="Y8" s="975">
        <v>2</v>
      </c>
      <c r="Z8" s="975">
        <v>2</v>
      </c>
      <c r="AA8" s="975">
        <v>2</v>
      </c>
      <c r="AB8" s="975">
        <v>2</v>
      </c>
      <c r="AC8" s="975">
        <v>2</v>
      </c>
      <c r="AD8" s="975">
        <v>2</v>
      </c>
      <c r="AE8" s="975">
        <v>2</v>
      </c>
      <c r="AF8" s="975">
        <v>2</v>
      </c>
      <c r="AG8" s="975">
        <v>2</v>
      </c>
      <c r="AH8" s="975">
        <v>2</v>
      </c>
      <c r="AI8" s="975">
        <v>2</v>
      </c>
      <c r="AJ8" s="975">
        <v>2</v>
      </c>
      <c r="AK8" s="975">
        <v>2</v>
      </c>
      <c r="AL8" s="975">
        <v>2</v>
      </c>
      <c r="AM8" s="975">
        <v>2</v>
      </c>
      <c r="AN8" s="975">
        <v>2</v>
      </c>
      <c r="AO8" s="975">
        <v>2</v>
      </c>
      <c r="AP8" s="975">
        <v>1</v>
      </c>
      <c r="AQ8" s="975">
        <v>2</v>
      </c>
      <c r="AR8" s="975">
        <v>2</v>
      </c>
      <c r="AS8" s="975">
        <v>2</v>
      </c>
      <c r="AT8" s="975">
        <v>2</v>
      </c>
      <c r="AU8" s="975">
        <v>2</v>
      </c>
      <c r="AV8" s="975">
        <v>2</v>
      </c>
      <c r="AW8" s="975">
        <v>2</v>
      </c>
      <c r="AX8" s="975">
        <v>2</v>
      </c>
      <c r="AY8" s="975">
        <v>2</v>
      </c>
      <c r="AZ8" s="975">
        <v>2</v>
      </c>
      <c r="BA8" s="975">
        <v>2</v>
      </c>
      <c r="BC8" s="975">
        <v>2</v>
      </c>
      <c r="BE8" s="837"/>
      <c r="BF8" s="975" t="s">
        <v>1062</v>
      </c>
      <c r="BG8" s="975" t="s">
        <v>1063</v>
      </c>
      <c r="BH8" s="975" t="s">
        <v>1064</v>
      </c>
      <c r="BI8" s="975" t="s">
        <v>1065</v>
      </c>
      <c r="BJ8" s="975" t="s">
        <v>1066</v>
      </c>
      <c r="BK8" s="975" t="s">
        <v>1067</v>
      </c>
      <c r="BL8" s="975" t="s">
        <v>1068</v>
      </c>
      <c r="BM8" s="975" t="s">
        <v>1069</v>
      </c>
      <c r="BN8" s="975" t="s">
        <v>1070</v>
      </c>
      <c r="BO8" s="975" t="s">
        <v>1071</v>
      </c>
      <c r="BP8" s="975" t="s">
        <v>1072</v>
      </c>
      <c r="BQ8" s="975" t="s">
        <v>1073</v>
      </c>
      <c r="BR8" s="975" t="s">
        <v>1074</v>
      </c>
      <c r="BS8" s="975" t="s">
        <v>1075</v>
      </c>
      <c r="BT8" s="975" t="s">
        <v>1076</v>
      </c>
      <c r="BU8" s="975" t="s">
        <v>1077</v>
      </c>
      <c r="BV8" s="975" t="s">
        <v>1078</v>
      </c>
      <c r="BW8" s="975" t="s">
        <v>1079</v>
      </c>
      <c r="BX8" s="975" t="s">
        <v>1080</v>
      </c>
      <c r="BY8" s="975" t="s">
        <v>1081</v>
      </c>
      <c r="BZ8" s="975" t="s">
        <v>1082</v>
      </c>
      <c r="CA8" s="975" t="s">
        <v>1083</v>
      </c>
      <c r="CB8" s="975" t="s">
        <v>1084</v>
      </c>
      <c r="CC8" s="975" t="s">
        <v>1085</v>
      </c>
      <c r="CD8" s="975" t="s">
        <v>1086</v>
      </c>
      <c r="CE8" s="975" t="s">
        <v>1087</v>
      </c>
      <c r="CF8" s="975" t="s">
        <v>1088</v>
      </c>
      <c r="CG8" s="975" t="s">
        <v>1089</v>
      </c>
      <c r="CH8" s="975" t="s">
        <v>1090</v>
      </c>
      <c r="CI8" s="975" t="s">
        <v>1091</v>
      </c>
    </row>
    <row r="9" spans="1:87" s="367" customFormat="1" ht="20.149999999999999" customHeight="1" thickBot="1">
      <c r="A9" s="837">
        <f>tblIndicators!A9</f>
        <v>8</v>
      </c>
      <c r="B9" s="367">
        <f>tblIndicators!G9</f>
        <v>2</v>
      </c>
      <c r="C9" s="837" t="s">
        <v>773</v>
      </c>
      <c r="D9" s="837" t="s">
        <v>773</v>
      </c>
      <c r="E9" s="837" t="s">
        <v>773</v>
      </c>
      <c r="F9" s="837"/>
      <c r="G9" s="837"/>
      <c r="H9" s="837"/>
      <c r="I9" s="837"/>
      <c r="J9" s="353" t="s">
        <v>1156</v>
      </c>
      <c r="K9" s="837"/>
      <c r="L9" s="837"/>
      <c r="M9" s="837"/>
      <c r="N9" s="975">
        <v>1</v>
      </c>
      <c r="O9" s="837"/>
      <c r="P9" s="272">
        <f>tblIndicators!AS9</f>
        <v>1</v>
      </c>
      <c r="Q9" s="837"/>
      <c r="R9" s="837"/>
      <c r="S9" s="837"/>
      <c r="T9" s="837"/>
      <c r="U9" s="837"/>
      <c r="V9"/>
      <c r="W9" s="837"/>
      <c r="X9" s="975"/>
      <c r="Y9" s="975"/>
      <c r="Z9" s="975"/>
      <c r="AA9" s="975"/>
      <c r="AB9" s="975"/>
      <c r="AC9" s="975"/>
      <c r="AD9" s="975"/>
      <c r="AE9" s="975"/>
      <c r="AF9" s="975"/>
      <c r="AG9" s="975"/>
      <c r="AH9" s="975"/>
      <c r="AI9" s="975"/>
      <c r="AJ9" s="975"/>
      <c r="AK9" s="975"/>
      <c r="AL9" s="975"/>
      <c r="AM9" s="975"/>
      <c r="AN9" s="975"/>
      <c r="AO9" s="975"/>
      <c r="AP9" s="975"/>
      <c r="AQ9" s="975"/>
      <c r="AR9" s="975"/>
      <c r="AS9" s="975"/>
      <c r="AT9" s="975"/>
      <c r="AU9" s="975"/>
      <c r="AV9" s="975"/>
      <c r="AW9" s="975"/>
      <c r="AX9" s="975"/>
      <c r="AY9" s="975"/>
      <c r="AZ9" s="975"/>
      <c r="BA9" s="975"/>
      <c r="BC9" s="975">
        <v>1</v>
      </c>
      <c r="BE9" s="837"/>
      <c r="BF9" s="975"/>
      <c r="BG9" s="975"/>
      <c r="BH9" s="975"/>
      <c r="BI9" s="975"/>
      <c r="BJ9" s="975"/>
      <c r="BK9" s="975"/>
      <c r="BL9" s="975"/>
      <c r="BM9" s="975"/>
      <c r="BN9" s="975"/>
      <c r="BO9" s="975"/>
      <c r="BP9" s="975"/>
      <c r="BQ9" s="975"/>
      <c r="BR9" s="975"/>
      <c r="BS9" s="975"/>
      <c r="BT9" s="975"/>
      <c r="BU9" s="975"/>
      <c r="BV9" s="975"/>
      <c r="BW9" s="975"/>
      <c r="BX9" s="975"/>
      <c r="BY9" s="975"/>
      <c r="BZ9" s="975"/>
      <c r="CA9" s="975"/>
      <c r="CB9" s="975"/>
      <c r="CC9" s="975"/>
      <c r="CD9" s="975"/>
      <c r="CE9" s="975"/>
      <c r="CF9" s="975"/>
      <c r="CG9" s="975"/>
      <c r="CH9" s="975"/>
      <c r="CI9" s="975"/>
    </row>
    <row r="10" spans="1:87" s="367" customFormat="1" ht="30" customHeight="1" thickBot="1">
      <c r="A10" s="837">
        <f>tblIndicators!A10</f>
        <v>9</v>
      </c>
      <c r="B10" s="367">
        <f>tblIndicators!G10</f>
        <v>3</v>
      </c>
      <c r="C10" s="837" t="s">
        <v>774</v>
      </c>
      <c r="D10" s="837" t="s">
        <v>774</v>
      </c>
      <c r="E10" s="837" t="s">
        <v>423</v>
      </c>
      <c r="F10" s="837" t="s">
        <v>1222</v>
      </c>
      <c r="G10" s="837"/>
      <c r="H10" s="837"/>
      <c r="I10" s="1086" t="s">
        <v>1218</v>
      </c>
      <c r="J10" s="837" t="s">
        <v>811</v>
      </c>
      <c r="K10" s="837" t="s">
        <v>1152</v>
      </c>
      <c r="L10" s="837">
        <v>2021</v>
      </c>
      <c r="M10" s="837" t="s">
        <v>575</v>
      </c>
      <c r="N10" s="975">
        <v>2</v>
      </c>
      <c r="O10" s="837"/>
      <c r="P10" s="272">
        <f>tblIndicators!AS10</f>
        <v>1</v>
      </c>
      <c r="Q10" s="837"/>
      <c r="R10" s="837"/>
      <c r="S10" s="837"/>
      <c r="T10" s="837"/>
      <c r="U10" s="837"/>
      <c r="V10"/>
      <c r="W10" s="837"/>
      <c r="X10" s="975">
        <v>14.05</v>
      </c>
      <c r="Y10" s="975">
        <v>10.32</v>
      </c>
      <c r="Z10" s="975">
        <v>11.87</v>
      </c>
      <c r="AA10" s="975">
        <v>9.68</v>
      </c>
      <c r="AB10" s="975">
        <v>21.86</v>
      </c>
      <c r="AC10" s="975">
        <v>10.6</v>
      </c>
      <c r="AD10" s="975">
        <v>7.24</v>
      </c>
      <c r="AE10" s="975">
        <v>16.489999999999998</v>
      </c>
      <c r="AF10" s="975">
        <v>8.81</v>
      </c>
      <c r="AG10" s="975">
        <v>23.2</v>
      </c>
      <c r="AH10" s="975">
        <v>10.6</v>
      </c>
      <c r="AI10" s="975">
        <v>9.7899999999999991</v>
      </c>
      <c r="AJ10" s="975">
        <v>9.85</v>
      </c>
      <c r="AK10" s="975">
        <v>7.89</v>
      </c>
      <c r="AL10" s="975">
        <v>8.1</v>
      </c>
      <c r="AM10" s="975">
        <v>9.68</v>
      </c>
      <c r="AN10" s="975">
        <v>5.39</v>
      </c>
      <c r="AO10" s="975">
        <v>8.9499999999999993</v>
      </c>
      <c r="AP10" s="975">
        <v>3.36</v>
      </c>
      <c r="AQ10" s="975">
        <v>8.81</v>
      </c>
      <c r="AR10" s="975">
        <v>7.66</v>
      </c>
      <c r="AS10" s="975">
        <v>9.3699999999999992</v>
      </c>
      <c r="AT10" s="975">
        <v>7.66</v>
      </c>
      <c r="AU10" s="975">
        <v>14.87</v>
      </c>
      <c r="AV10" s="975">
        <v>15.79</v>
      </c>
      <c r="AW10" s="975">
        <v>10.83</v>
      </c>
      <c r="AX10" s="975">
        <v>8.69</v>
      </c>
      <c r="AY10" s="975">
        <v>8.5399999999999991</v>
      </c>
      <c r="AZ10" s="975">
        <v>8.81</v>
      </c>
      <c r="BA10" s="975">
        <v>19.8</v>
      </c>
      <c r="BC10" s="975">
        <v>2</v>
      </c>
      <c r="BE10" s="837"/>
      <c r="BF10" s="975"/>
      <c r="BG10" s="975"/>
      <c r="BH10" s="975"/>
      <c r="BI10" s="975"/>
      <c r="BJ10" s="975"/>
      <c r="BK10" s="975"/>
      <c r="BL10" s="975"/>
      <c r="BM10" s="975"/>
      <c r="BN10" s="975"/>
      <c r="BO10" s="975"/>
      <c r="BP10" s="975"/>
      <c r="BQ10" s="975"/>
      <c r="BR10" s="975"/>
      <c r="BS10" s="975"/>
      <c r="BT10" s="975"/>
      <c r="BU10" s="975"/>
      <c r="BV10" s="975"/>
      <c r="BW10" s="975"/>
      <c r="BX10" s="975"/>
      <c r="BY10" s="975"/>
      <c r="BZ10" s="975"/>
      <c r="CA10" s="975"/>
      <c r="CB10" s="975"/>
      <c r="CC10" s="975"/>
      <c r="CD10" s="975"/>
      <c r="CE10" s="975"/>
      <c r="CF10" s="975"/>
      <c r="CG10" s="975"/>
      <c r="CH10" s="975"/>
      <c r="CI10" s="975"/>
    </row>
    <row r="11" spans="1:87" s="367" customFormat="1" ht="30" customHeight="1" thickBot="1">
      <c r="A11" s="837">
        <f>tblIndicators!A11</f>
        <v>10</v>
      </c>
      <c r="B11" s="367">
        <f>tblIndicators!G11</f>
        <v>3</v>
      </c>
      <c r="C11" s="837" t="s">
        <v>775</v>
      </c>
      <c r="D11" s="837" t="s">
        <v>775</v>
      </c>
      <c r="E11" s="837" t="s">
        <v>424</v>
      </c>
      <c r="F11" s="837" t="s">
        <v>1153</v>
      </c>
      <c r="G11" s="837"/>
      <c r="H11" s="837"/>
      <c r="I11" s="1086" t="s">
        <v>1216</v>
      </c>
      <c r="J11" s="837" t="s">
        <v>811</v>
      </c>
      <c r="K11" s="837" t="s">
        <v>1152</v>
      </c>
      <c r="L11" s="837">
        <v>2021</v>
      </c>
      <c r="M11" s="837" t="s">
        <v>575</v>
      </c>
      <c r="N11" s="975">
        <v>2</v>
      </c>
      <c r="O11" s="837"/>
      <c r="P11" s="272">
        <f>tblIndicators!AS11</f>
        <v>1</v>
      </c>
      <c r="Q11" s="837"/>
      <c r="R11" s="837"/>
      <c r="S11" s="837"/>
      <c r="T11" s="837"/>
      <c r="U11" s="837"/>
      <c r="V11"/>
      <c r="W11" s="837"/>
      <c r="X11" s="975">
        <v>91.66</v>
      </c>
      <c r="Y11" s="975">
        <v>43.44</v>
      </c>
      <c r="Z11" s="975">
        <v>31.38</v>
      </c>
      <c r="AA11" s="975">
        <v>34.630000000000003</v>
      </c>
      <c r="AB11" s="975">
        <v>78.61</v>
      </c>
      <c r="AC11" s="975">
        <v>51.81</v>
      </c>
      <c r="AD11" s="975">
        <v>22.1</v>
      </c>
      <c r="AE11" s="975">
        <v>75.84</v>
      </c>
      <c r="AF11" s="975">
        <v>53.2</v>
      </c>
      <c r="AG11" s="975">
        <v>127.81</v>
      </c>
      <c r="AH11" s="975">
        <v>51.81</v>
      </c>
      <c r="AI11" s="975">
        <v>43.88</v>
      </c>
      <c r="AJ11" s="975">
        <v>16.16</v>
      </c>
      <c r="AK11" s="975">
        <v>23.74</v>
      </c>
      <c r="AL11" s="975">
        <v>44.49</v>
      </c>
      <c r="AM11" s="975">
        <v>34.630000000000003</v>
      </c>
      <c r="AN11" s="975">
        <v>18.21</v>
      </c>
      <c r="AO11" s="975">
        <v>22.87</v>
      </c>
      <c r="AP11" s="975">
        <v>13.45</v>
      </c>
      <c r="AQ11" s="975">
        <v>53.2</v>
      </c>
      <c r="AR11" s="975">
        <v>52.7</v>
      </c>
      <c r="AS11" s="975">
        <v>35.31</v>
      </c>
      <c r="AT11" s="975">
        <v>22.6</v>
      </c>
      <c r="AU11" s="975">
        <v>98.93</v>
      </c>
      <c r="AV11" s="975">
        <v>68.319999999999993</v>
      </c>
      <c r="AW11" s="975">
        <v>79.239999999999995</v>
      </c>
      <c r="AX11" s="975">
        <v>40.51</v>
      </c>
      <c r="AY11" s="975">
        <v>70.33</v>
      </c>
      <c r="AZ11" s="975">
        <v>53.2</v>
      </c>
      <c r="BA11" s="975">
        <v>80.45</v>
      </c>
      <c r="BC11" s="975">
        <v>2</v>
      </c>
      <c r="BE11" s="837"/>
      <c r="BF11" s="975"/>
      <c r="BG11" s="975"/>
      <c r="BH11" s="975"/>
      <c r="BI11" s="975"/>
      <c r="BJ11" s="975"/>
      <c r="BK11" s="975"/>
      <c r="BL11" s="975"/>
      <c r="BM11" s="975"/>
      <c r="BN11" s="975"/>
      <c r="BO11" s="975"/>
      <c r="BP11" s="975"/>
      <c r="BQ11" s="975"/>
      <c r="BR11" s="975"/>
      <c r="BS11" s="975"/>
      <c r="BT11" s="975"/>
      <c r="BU11" s="975"/>
      <c r="BV11" s="975"/>
      <c r="BW11" s="975"/>
      <c r="BX11" s="975"/>
      <c r="BY11" s="975"/>
      <c r="BZ11" s="975"/>
      <c r="CA11" s="975"/>
      <c r="CB11" s="975"/>
      <c r="CC11" s="975"/>
      <c r="CD11" s="975"/>
      <c r="CE11" s="975"/>
      <c r="CF11" s="975"/>
      <c r="CG11" s="975"/>
      <c r="CH11" s="975"/>
      <c r="CI11" s="975"/>
    </row>
    <row r="12" spans="1:87" s="367" customFormat="1" ht="30" customHeight="1" thickBot="1">
      <c r="A12" s="837">
        <f>tblIndicators!A12</f>
        <v>11</v>
      </c>
      <c r="B12" s="367">
        <f>tblIndicators!G12</f>
        <v>3</v>
      </c>
      <c r="C12" s="837" t="s">
        <v>985</v>
      </c>
      <c r="D12" s="837" t="s">
        <v>985</v>
      </c>
      <c r="E12" s="837" t="s">
        <v>504</v>
      </c>
      <c r="F12" s="837" t="s">
        <v>1011</v>
      </c>
      <c r="G12" s="837"/>
      <c r="H12" s="837"/>
      <c r="I12" s="1086" t="s">
        <v>1217</v>
      </c>
      <c r="J12" s="837" t="s">
        <v>811</v>
      </c>
      <c r="K12" s="837" t="s">
        <v>1154</v>
      </c>
      <c r="L12" s="837">
        <v>2021</v>
      </c>
      <c r="M12" s="837" t="s">
        <v>1111</v>
      </c>
      <c r="N12" s="975">
        <v>0</v>
      </c>
      <c r="O12" s="837"/>
      <c r="P12" s="272">
        <f>tblIndicators!AS12</f>
        <v>1</v>
      </c>
      <c r="Q12" s="837"/>
      <c r="R12" s="837"/>
      <c r="S12" s="837"/>
      <c r="T12" s="837"/>
      <c r="U12" s="837"/>
      <c r="V12"/>
      <c r="W12" s="837"/>
      <c r="X12" s="975">
        <v>24</v>
      </c>
      <c r="Y12" s="975">
        <v>32</v>
      </c>
      <c r="Z12" s="975">
        <v>24</v>
      </c>
      <c r="AA12" s="975">
        <v>36</v>
      </c>
      <c r="AB12" s="975">
        <v>24</v>
      </c>
      <c r="AC12" s="975">
        <v>27</v>
      </c>
      <c r="AD12" s="975">
        <v>30</v>
      </c>
      <c r="AE12" s="975">
        <v>21</v>
      </c>
      <c r="AF12" s="975">
        <v>32</v>
      </c>
      <c r="AG12" s="975">
        <v>19</v>
      </c>
      <c r="AH12" s="975">
        <v>27</v>
      </c>
      <c r="AI12" s="975">
        <v>20</v>
      </c>
      <c r="AJ12" s="975">
        <v>27</v>
      </c>
      <c r="AK12" s="975">
        <v>28</v>
      </c>
      <c r="AL12" s="975">
        <v>35</v>
      </c>
      <c r="AM12" s="975">
        <v>36</v>
      </c>
      <c r="AN12" s="975">
        <v>24</v>
      </c>
      <c r="AO12" s="975">
        <v>34</v>
      </c>
      <c r="AP12" s="975">
        <v>36</v>
      </c>
      <c r="AQ12" s="975">
        <v>32</v>
      </c>
      <c r="AR12" s="975">
        <v>33</v>
      </c>
      <c r="AS12" s="975">
        <v>37</v>
      </c>
      <c r="AT12" s="975">
        <v>29</v>
      </c>
      <c r="AU12" s="975">
        <v>28</v>
      </c>
      <c r="AV12" s="975">
        <v>18</v>
      </c>
      <c r="AW12" s="975">
        <v>23</v>
      </c>
      <c r="AX12" s="975">
        <v>38</v>
      </c>
      <c r="AY12" s="975">
        <v>25</v>
      </c>
      <c r="AZ12" s="975">
        <v>32</v>
      </c>
      <c r="BA12" s="975">
        <v>22</v>
      </c>
      <c r="BC12" s="975">
        <v>2</v>
      </c>
      <c r="BE12" s="837"/>
      <c r="BF12" s="975"/>
      <c r="BG12" s="975"/>
      <c r="BH12" s="975"/>
      <c r="BI12" s="975"/>
      <c r="BJ12" s="975"/>
      <c r="BK12" s="975"/>
      <c r="BL12" s="975"/>
      <c r="BM12" s="975"/>
      <c r="BN12" s="975"/>
      <c r="BO12" s="975"/>
      <c r="BP12" s="975"/>
      <c r="BQ12" s="975"/>
      <c r="BR12" s="975"/>
      <c r="BS12" s="975"/>
      <c r="BT12" s="975"/>
      <c r="BU12" s="975"/>
      <c r="BV12" s="975"/>
      <c r="BW12" s="975"/>
      <c r="BX12" s="975"/>
      <c r="BY12" s="975"/>
      <c r="BZ12" s="975"/>
      <c r="CA12" s="975"/>
      <c r="CB12" s="975"/>
      <c r="CC12" s="975"/>
      <c r="CD12" s="975"/>
      <c r="CE12" s="975"/>
      <c r="CF12" s="975"/>
      <c r="CG12" s="975"/>
      <c r="CH12" s="975"/>
      <c r="CI12" s="975"/>
    </row>
    <row r="13" spans="1:87" s="367" customFormat="1" ht="30" customHeight="1" thickBot="1">
      <c r="A13" s="837">
        <f>tblIndicators!A13</f>
        <v>12</v>
      </c>
      <c r="B13" s="367">
        <f>tblIndicators!G13</f>
        <v>3</v>
      </c>
      <c r="C13" s="837" t="s">
        <v>986</v>
      </c>
      <c r="D13" s="837" t="s">
        <v>986</v>
      </c>
      <c r="E13" s="837" t="s">
        <v>979</v>
      </c>
      <c r="F13" s="837" t="s">
        <v>1012</v>
      </c>
      <c r="G13" s="837"/>
      <c r="H13" s="837"/>
      <c r="I13" s="1086" t="s">
        <v>1217</v>
      </c>
      <c r="J13" s="837" t="s">
        <v>811</v>
      </c>
      <c r="K13" s="837" t="s">
        <v>1154</v>
      </c>
      <c r="L13" s="837">
        <v>2021</v>
      </c>
      <c r="M13" s="837" t="s">
        <v>1111</v>
      </c>
      <c r="N13" s="975">
        <v>0</v>
      </c>
      <c r="O13" s="837"/>
      <c r="P13" s="272">
        <f>tblIndicators!AS13</f>
        <v>1</v>
      </c>
      <c r="Q13" s="837"/>
      <c r="R13" s="837"/>
      <c r="S13" s="837"/>
      <c r="T13" s="837"/>
      <c r="U13" s="837"/>
      <c r="W13" s="837"/>
      <c r="X13" s="975">
        <v>10</v>
      </c>
      <c r="Y13" s="975">
        <v>6</v>
      </c>
      <c r="Z13" s="975">
        <v>5</v>
      </c>
      <c r="AA13" s="975">
        <v>13</v>
      </c>
      <c r="AB13" s="975">
        <v>9</v>
      </c>
      <c r="AC13" s="975">
        <v>14</v>
      </c>
      <c r="AD13" s="975">
        <v>14</v>
      </c>
      <c r="AE13" s="975">
        <v>8</v>
      </c>
      <c r="AF13" s="975">
        <v>14</v>
      </c>
      <c r="AG13" s="975">
        <v>4</v>
      </c>
      <c r="AH13" s="975">
        <v>14</v>
      </c>
      <c r="AI13" s="975">
        <v>4</v>
      </c>
      <c r="AJ13" s="975">
        <v>8</v>
      </c>
      <c r="AK13" s="975">
        <v>8</v>
      </c>
      <c r="AL13" s="975">
        <v>15</v>
      </c>
      <c r="AM13" s="975">
        <v>13</v>
      </c>
      <c r="AN13" s="975">
        <v>6</v>
      </c>
      <c r="AO13" s="975">
        <v>11</v>
      </c>
      <c r="AP13" s="975">
        <v>6</v>
      </c>
      <c r="AQ13" s="975">
        <v>14</v>
      </c>
      <c r="AR13" s="975">
        <v>12</v>
      </c>
      <c r="AS13" s="975">
        <v>14</v>
      </c>
      <c r="AT13" s="975">
        <v>5</v>
      </c>
      <c r="AU13" s="975">
        <v>6</v>
      </c>
      <c r="AV13" s="975">
        <v>4</v>
      </c>
      <c r="AW13" s="975">
        <v>10</v>
      </c>
      <c r="AX13" s="975">
        <v>11</v>
      </c>
      <c r="AY13" s="975">
        <v>11</v>
      </c>
      <c r="AZ13" s="975">
        <v>14</v>
      </c>
      <c r="BA13" s="975">
        <v>8</v>
      </c>
      <c r="BC13" s="975">
        <v>2</v>
      </c>
      <c r="BE13" s="837"/>
      <c r="BF13" s="975"/>
      <c r="BG13" s="975"/>
      <c r="BH13" s="975"/>
      <c r="BI13" s="975"/>
      <c r="BJ13" s="975"/>
      <c r="BK13" s="975"/>
      <c r="BL13" s="975"/>
      <c r="BM13" s="975"/>
      <c r="BN13" s="975"/>
      <c r="BO13" s="975"/>
      <c r="BP13" s="975"/>
      <c r="BQ13" s="975"/>
      <c r="BR13" s="975"/>
      <c r="BS13" s="975"/>
      <c r="BT13" s="975"/>
      <c r="BU13" s="975"/>
      <c r="BV13" s="975"/>
      <c r="BW13" s="975"/>
      <c r="BX13" s="975"/>
      <c r="BY13" s="975"/>
      <c r="BZ13" s="975"/>
      <c r="CA13" s="975"/>
      <c r="CB13" s="975"/>
      <c r="CC13" s="975"/>
      <c r="CD13" s="975"/>
      <c r="CE13" s="975"/>
      <c r="CF13" s="975"/>
      <c r="CG13" s="975"/>
      <c r="CH13" s="975"/>
      <c r="CI13" s="975"/>
    </row>
    <row r="14" spans="1:87" s="367" customFormat="1" ht="20.149999999999999" customHeight="1">
      <c r="A14" s="837">
        <f>tblIndicators!A14</f>
        <v>13</v>
      </c>
      <c r="B14" s="367">
        <f>tblIndicators!G14</f>
        <v>2</v>
      </c>
      <c r="C14" s="837" t="s">
        <v>776</v>
      </c>
      <c r="D14" s="837" t="s">
        <v>776</v>
      </c>
      <c r="E14" s="837" t="s">
        <v>776</v>
      </c>
      <c r="F14" s="837"/>
      <c r="G14" s="837"/>
      <c r="H14" s="837"/>
      <c r="I14" s="837"/>
      <c r="J14" s="353" t="s">
        <v>1156</v>
      </c>
      <c r="K14" s="837"/>
      <c r="L14" s="837"/>
      <c r="M14" s="837"/>
      <c r="N14" s="975">
        <v>1</v>
      </c>
      <c r="O14" s="837"/>
      <c r="P14" s="272">
        <f>tblIndicators!AS14</f>
        <v>1</v>
      </c>
      <c r="Q14" s="837"/>
      <c r="R14" s="837"/>
      <c r="S14" s="837"/>
      <c r="T14" s="837"/>
      <c r="U14" s="837"/>
      <c r="V14"/>
      <c r="W14" s="837"/>
      <c r="X14" s="975"/>
      <c r="Y14" s="975"/>
      <c r="Z14" s="975"/>
      <c r="AA14" s="975"/>
      <c r="AB14" s="975"/>
      <c r="AC14" s="975"/>
      <c r="AD14" s="975"/>
      <c r="AE14" s="975"/>
      <c r="AF14" s="975"/>
      <c r="AG14" s="975"/>
      <c r="AH14" s="975"/>
      <c r="AI14" s="975"/>
      <c r="AJ14" s="975"/>
      <c r="AK14" s="975"/>
      <c r="AL14" s="975"/>
      <c r="AM14" s="975"/>
      <c r="AN14" s="975"/>
      <c r="AO14" s="975"/>
      <c r="AP14" s="975"/>
      <c r="AQ14" s="975"/>
      <c r="AR14" s="975"/>
      <c r="AS14" s="975"/>
      <c r="AT14" s="975"/>
      <c r="AU14" s="975"/>
      <c r="AV14" s="975"/>
      <c r="AW14" s="975"/>
      <c r="AX14" s="975"/>
      <c r="AY14" s="975"/>
      <c r="AZ14" s="975"/>
      <c r="BA14" s="975"/>
      <c r="BC14" s="975">
        <v>1</v>
      </c>
      <c r="BE14" s="837"/>
      <c r="BF14" s="975"/>
      <c r="BG14" s="975"/>
      <c r="BH14" s="975"/>
      <c r="BI14" s="975"/>
      <c r="BJ14" s="975"/>
      <c r="BK14" s="975"/>
      <c r="BL14" s="975"/>
      <c r="BM14" s="975"/>
      <c r="BN14" s="975"/>
      <c r="BO14" s="975"/>
      <c r="BP14" s="975"/>
      <c r="BQ14" s="975"/>
      <c r="BR14" s="975"/>
      <c r="BS14" s="975"/>
      <c r="BT14" s="975"/>
      <c r="BU14" s="975"/>
      <c r="BV14" s="975"/>
      <c r="BW14" s="975"/>
      <c r="BX14" s="975"/>
      <c r="BY14" s="975"/>
      <c r="BZ14" s="975"/>
      <c r="CA14" s="975"/>
      <c r="CB14" s="975"/>
      <c r="CC14" s="975"/>
      <c r="CD14" s="975"/>
      <c r="CE14" s="975"/>
      <c r="CF14" s="975"/>
      <c r="CG14" s="975"/>
      <c r="CH14" s="975"/>
      <c r="CI14" s="975"/>
    </row>
    <row r="15" spans="1:87" s="367" customFormat="1" ht="30" customHeight="1">
      <c r="A15" s="837">
        <f>tblIndicators!A15</f>
        <v>14</v>
      </c>
      <c r="B15" s="367">
        <f>tblIndicators!G15</f>
        <v>3</v>
      </c>
      <c r="C15" s="837" t="s">
        <v>987</v>
      </c>
      <c r="D15" s="837" t="s">
        <v>987</v>
      </c>
      <c r="E15" s="837" t="s">
        <v>385</v>
      </c>
      <c r="F15" s="837" t="s">
        <v>1013</v>
      </c>
      <c r="G15" s="837"/>
      <c r="H15" s="837"/>
      <c r="I15" s="837" t="s">
        <v>1021</v>
      </c>
      <c r="J15" s="837" t="s">
        <v>1028</v>
      </c>
      <c r="K15" s="837" t="s">
        <v>350</v>
      </c>
      <c r="L15" s="837">
        <v>2021</v>
      </c>
      <c r="M15" s="837" t="s">
        <v>1111</v>
      </c>
      <c r="N15" s="975">
        <v>3</v>
      </c>
      <c r="O15" s="837"/>
      <c r="P15" s="272">
        <f>tblIndicators!AS15</f>
        <v>1</v>
      </c>
      <c r="Q15" s="837"/>
      <c r="R15" s="837"/>
      <c r="S15" s="837"/>
      <c r="T15" s="837"/>
      <c r="U15" s="837"/>
      <c r="V15"/>
      <c r="W15" s="837"/>
      <c r="X15" s="975">
        <v>0.11767673582644889</v>
      </c>
      <c r="Y15" s="975">
        <v>0.37626160678239806</v>
      </c>
      <c r="Z15" s="975">
        <v>0.17840112201963537</v>
      </c>
      <c r="AA15" s="975">
        <v>7.3696201277797038E-2</v>
      </c>
      <c r="AB15" s="975">
        <v>4.8711943793911007E-2</v>
      </c>
      <c r="AC15" s="975">
        <v>0.17786353271355904</v>
      </c>
      <c r="AD15" s="975">
        <v>0.31077257889009791</v>
      </c>
      <c r="AE15" s="975">
        <v>2.8476164729206097E-2</v>
      </c>
      <c r="AF15" s="975">
        <v>8.0022428708747206E-2</v>
      </c>
      <c r="AG15" s="975">
        <v>0.55502276176024279</v>
      </c>
      <c r="AH15" s="975">
        <v>0.10694510362284448</v>
      </c>
      <c r="AI15" s="975">
        <v>7.6666666666666661E-2</v>
      </c>
      <c r="AJ15" s="975">
        <v>9.2664092664092659E-2</v>
      </c>
      <c r="AK15" s="975">
        <v>0.10240675040751748</v>
      </c>
      <c r="AL15" s="975">
        <v>4.2839903459372483E-2</v>
      </c>
      <c r="AM15" s="975">
        <v>6.2597282402927931E-2</v>
      </c>
      <c r="AN15" s="975">
        <v>0.3062725306416727</v>
      </c>
      <c r="AO15" s="975">
        <v>0.29031611307892802</v>
      </c>
      <c r="AP15" s="975">
        <v>0.28012358393408859</v>
      </c>
      <c r="AQ15" s="975">
        <v>5.7583399380358814E-2</v>
      </c>
      <c r="AR15" s="975">
        <v>1.3067382008445988E-2</v>
      </c>
      <c r="AS15" s="975">
        <v>1.281290781824653E-2</v>
      </c>
      <c r="AT15" s="975">
        <v>0.15418994413407822</v>
      </c>
      <c r="AU15" s="975">
        <v>0.31886505657828068</v>
      </c>
      <c r="AV15" s="975">
        <v>4.058330747750543E-2</v>
      </c>
      <c r="AW15" s="975">
        <v>2.693516321426281E-2</v>
      </c>
      <c r="AX15" s="975">
        <v>0.16248698020991909</v>
      </c>
      <c r="AY15" s="975">
        <v>0.25455219729278694</v>
      </c>
      <c r="AZ15" s="975">
        <v>5.8818334363684534E-2</v>
      </c>
      <c r="BA15" s="975">
        <v>0.11100519012816439</v>
      </c>
      <c r="BC15" s="975">
        <v>2</v>
      </c>
      <c r="BE15" s="837"/>
      <c r="BF15" s="975"/>
      <c r="BG15" s="975"/>
      <c r="BH15" s="975"/>
      <c r="BI15" s="975"/>
      <c r="BJ15" s="975"/>
      <c r="BK15" s="975"/>
      <c r="BL15" s="975"/>
      <c r="BM15" s="975"/>
      <c r="BN15" s="975"/>
      <c r="BO15" s="975"/>
      <c r="BP15" s="975"/>
      <c r="BQ15" s="975"/>
      <c r="BR15" s="975"/>
      <c r="BS15" s="975"/>
      <c r="BT15" s="975"/>
      <c r="BU15" s="975"/>
      <c r="BV15" s="975"/>
      <c r="BW15" s="975"/>
      <c r="BX15" s="975"/>
      <c r="BY15" s="975"/>
      <c r="BZ15" s="975"/>
      <c r="CA15" s="975"/>
      <c r="CB15" s="975"/>
      <c r="CC15" s="975"/>
      <c r="CD15" s="975"/>
      <c r="CE15" s="975"/>
      <c r="CF15" s="975"/>
      <c r="CG15" s="975"/>
      <c r="CH15" s="975"/>
      <c r="CI15" s="975"/>
    </row>
    <row r="16" spans="1:87" s="367" customFormat="1" ht="30" customHeight="1">
      <c r="A16" s="837">
        <f>tblIndicators!A16</f>
        <v>15</v>
      </c>
      <c r="B16" s="367">
        <f>tblIndicators!G16</f>
        <v>3</v>
      </c>
      <c r="C16" s="837" t="s">
        <v>988</v>
      </c>
      <c r="D16" s="837" t="s">
        <v>988</v>
      </c>
      <c r="E16" s="837" t="s">
        <v>386</v>
      </c>
      <c r="F16" s="837" t="s">
        <v>1014</v>
      </c>
      <c r="G16" s="837"/>
      <c r="H16" s="837"/>
      <c r="I16" s="837" t="s">
        <v>1022</v>
      </c>
      <c r="J16" s="837" t="s">
        <v>715</v>
      </c>
      <c r="K16" s="837" t="s">
        <v>350</v>
      </c>
      <c r="L16" s="837">
        <v>2021</v>
      </c>
      <c r="M16" s="837" t="s">
        <v>1111</v>
      </c>
      <c r="N16" s="975">
        <v>2</v>
      </c>
      <c r="O16" s="837"/>
      <c r="P16" s="272">
        <f>tblIndicators!AS16</f>
        <v>1</v>
      </c>
      <c r="Q16" s="837"/>
      <c r="R16" s="837"/>
      <c r="S16" s="837"/>
      <c r="T16" s="837"/>
      <c r="U16" s="837"/>
      <c r="V16"/>
      <c r="W16" s="837"/>
      <c r="X16" s="975">
        <v>2.6793034169999999</v>
      </c>
      <c r="Y16" s="975">
        <v>3.0563059340000001</v>
      </c>
      <c r="Z16" s="975">
        <v>4.7223579219999996</v>
      </c>
      <c r="AA16" s="975">
        <v>3.8206555959999999</v>
      </c>
      <c r="AB16" s="975">
        <v>0.92950638129999996</v>
      </c>
      <c r="AC16" s="975">
        <v>2.3473325479999998</v>
      </c>
      <c r="AD16" s="975">
        <v>6.7562883610000002</v>
      </c>
      <c r="AE16" s="975">
        <v>1.26881139</v>
      </c>
      <c r="AF16" s="975">
        <v>1.1471089400000001</v>
      </c>
      <c r="AG16" s="975">
        <v>6.9265214820000001</v>
      </c>
      <c r="AH16" s="975">
        <v>1.156010577</v>
      </c>
      <c r="AI16" s="975">
        <v>2.6779348760000001</v>
      </c>
      <c r="AJ16" s="975">
        <v>6.7982925959999996</v>
      </c>
      <c r="AK16" s="975">
        <v>4.1411837949999999</v>
      </c>
      <c r="AL16" s="975">
        <v>1.0745104089999999</v>
      </c>
      <c r="AM16" s="975">
        <v>2.764472917</v>
      </c>
      <c r="AN16" s="975">
        <v>5.2399991259999998</v>
      </c>
      <c r="AO16" s="975">
        <v>2.0168443190000001</v>
      </c>
      <c r="AP16" s="975">
        <v>6.9765574539999999</v>
      </c>
      <c r="AQ16" s="975">
        <v>0.64828878160000003</v>
      </c>
      <c r="AR16" s="975">
        <v>2.2761679639999999</v>
      </c>
      <c r="AS16" s="975">
        <v>2.2597721019999999</v>
      </c>
      <c r="AT16" s="975">
        <v>4.1883923029999997</v>
      </c>
      <c r="AU16" s="975">
        <v>1.1706738050000001</v>
      </c>
      <c r="AV16" s="975">
        <v>1.279691109</v>
      </c>
      <c r="AW16" s="975">
        <v>2.0260681850000002</v>
      </c>
      <c r="AX16" s="975">
        <v>2.5201147270000002</v>
      </c>
      <c r="AY16" s="975">
        <v>3.2347709990000002</v>
      </c>
      <c r="AZ16" s="975">
        <v>0.88315817360000004</v>
      </c>
      <c r="BA16" s="975">
        <v>1.5771750760000001</v>
      </c>
      <c r="BC16" s="975">
        <v>2</v>
      </c>
      <c r="BE16" s="837"/>
      <c r="BF16" s="975"/>
      <c r="BG16" s="975"/>
      <c r="BH16" s="975"/>
      <c r="BI16" s="975"/>
      <c r="BJ16" s="975"/>
      <c r="BK16" s="975"/>
      <c r="BL16" s="975"/>
      <c r="BM16" s="975"/>
      <c r="BN16" s="975"/>
      <c r="BO16" s="975"/>
      <c r="BP16" s="975"/>
      <c r="BQ16" s="975"/>
      <c r="BR16" s="975"/>
      <c r="BS16" s="975"/>
      <c r="BT16" s="975"/>
      <c r="BU16" s="975"/>
      <c r="BV16" s="975"/>
      <c r="BW16" s="975"/>
      <c r="BX16" s="975"/>
      <c r="BY16" s="975"/>
      <c r="BZ16" s="975"/>
      <c r="CA16" s="975"/>
      <c r="CB16" s="975"/>
      <c r="CC16" s="975"/>
      <c r="CD16" s="975"/>
      <c r="CE16" s="975"/>
      <c r="CF16" s="975"/>
      <c r="CG16" s="975"/>
      <c r="CH16" s="975"/>
      <c r="CI16" s="975"/>
    </row>
    <row r="17" spans="1:87" s="367" customFormat="1" ht="20.149999999999999" customHeight="1">
      <c r="A17" s="837">
        <f>tblIndicators!A17</f>
        <v>16</v>
      </c>
      <c r="B17" s="367">
        <f>tblIndicators!G17</f>
        <v>1</v>
      </c>
      <c r="C17" s="837" t="s">
        <v>777</v>
      </c>
      <c r="D17" s="837" t="s">
        <v>777</v>
      </c>
      <c r="E17" s="837" t="s">
        <v>777</v>
      </c>
      <c r="F17" s="837"/>
      <c r="G17" s="837"/>
      <c r="H17" s="837"/>
      <c r="I17" s="837"/>
      <c r="J17" s="353" t="s">
        <v>1156</v>
      </c>
      <c r="K17" s="837"/>
      <c r="L17" s="837"/>
      <c r="M17" s="837"/>
      <c r="N17" s="975">
        <v>1</v>
      </c>
      <c r="O17" s="837"/>
      <c r="P17" s="272">
        <f>tblIndicators!AS17</f>
        <v>1</v>
      </c>
      <c r="Q17" s="837"/>
      <c r="R17" s="837"/>
      <c r="S17" s="837"/>
      <c r="T17" s="837"/>
      <c r="U17" s="837"/>
      <c r="V17"/>
      <c r="W17" s="837"/>
      <c r="X17" s="975"/>
      <c r="Y17" s="975"/>
      <c r="Z17" s="975"/>
      <c r="AA17" s="975"/>
      <c r="AB17" s="975"/>
      <c r="AC17" s="975"/>
      <c r="AD17" s="975"/>
      <c r="AE17" s="975"/>
      <c r="AF17" s="975"/>
      <c r="AG17" s="975"/>
      <c r="AH17" s="975"/>
      <c r="AI17" s="975"/>
      <c r="AJ17" s="975"/>
      <c r="AK17" s="975"/>
      <c r="AL17" s="975"/>
      <c r="AM17" s="975"/>
      <c r="AN17" s="975"/>
      <c r="AO17" s="975"/>
      <c r="AP17" s="975"/>
      <c r="AQ17" s="975"/>
      <c r="AR17" s="975"/>
      <c r="AS17" s="975"/>
      <c r="AT17" s="975"/>
      <c r="AU17" s="975"/>
      <c r="AV17" s="975"/>
      <c r="AW17" s="975"/>
      <c r="AX17" s="975"/>
      <c r="AY17" s="975"/>
      <c r="AZ17" s="975"/>
      <c r="BA17" s="975"/>
      <c r="BC17" s="975">
        <v>1</v>
      </c>
      <c r="BE17" s="837"/>
      <c r="BF17" s="975"/>
      <c r="BG17" s="975"/>
      <c r="BH17" s="975"/>
      <c r="BI17" s="975"/>
      <c r="BJ17" s="975"/>
      <c r="BK17" s="975"/>
      <c r="BL17" s="975"/>
      <c r="BM17" s="975"/>
      <c r="BN17" s="975"/>
      <c r="BO17" s="975"/>
      <c r="BP17" s="975"/>
      <c r="BQ17" s="975"/>
      <c r="BR17" s="975"/>
      <c r="BS17" s="975"/>
      <c r="BT17" s="975"/>
      <c r="BU17" s="975"/>
      <c r="BV17" s="975"/>
      <c r="BW17" s="975"/>
      <c r="BX17" s="975"/>
      <c r="BY17" s="975"/>
      <c r="BZ17" s="975"/>
      <c r="CA17" s="975"/>
      <c r="CB17" s="975"/>
      <c r="CC17" s="975"/>
      <c r="CD17" s="975"/>
      <c r="CE17" s="975"/>
      <c r="CF17" s="975"/>
      <c r="CG17" s="975"/>
      <c r="CH17" s="975"/>
      <c r="CI17" s="975"/>
    </row>
    <row r="18" spans="1:87" s="367" customFormat="1" ht="20.149999999999999" customHeight="1" thickBot="1">
      <c r="A18" s="837">
        <f>tblIndicators!A18</f>
        <v>17</v>
      </c>
      <c r="B18" s="367">
        <f>tblIndicators!G18</f>
        <v>2</v>
      </c>
      <c r="C18" s="837" t="s">
        <v>778</v>
      </c>
      <c r="D18" s="837" t="s">
        <v>778</v>
      </c>
      <c r="E18" s="837" t="s">
        <v>778</v>
      </c>
      <c r="F18" s="837"/>
      <c r="G18" s="837"/>
      <c r="H18" s="837"/>
      <c r="I18" s="837"/>
      <c r="J18" s="353" t="s">
        <v>1156</v>
      </c>
      <c r="K18" s="837"/>
      <c r="L18" s="837"/>
      <c r="M18" s="837"/>
      <c r="N18" s="975">
        <v>1</v>
      </c>
      <c r="O18" s="837"/>
      <c r="P18" s="272">
        <f>tblIndicators!AS18</f>
        <v>1</v>
      </c>
      <c r="Q18" s="837"/>
      <c r="R18" s="837"/>
      <c r="S18" s="837"/>
      <c r="T18" s="837"/>
      <c r="U18" s="837"/>
      <c r="V18"/>
      <c r="W18" s="837"/>
      <c r="X18" s="975"/>
      <c r="Y18" s="975"/>
      <c r="Z18" s="975"/>
      <c r="AA18" s="975"/>
      <c r="AB18" s="975"/>
      <c r="AC18" s="975"/>
      <c r="AD18" s="975"/>
      <c r="AE18" s="975"/>
      <c r="AF18" s="975"/>
      <c r="AG18" s="975"/>
      <c r="AH18" s="975"/>
      <c r="AI18" s="975"/>
      <c r="AJ18" s="975"/>
      <c r="AK18" s="975"/>
      <c r="AL18" s="975"/>
      <c r="AM18" s="975"/>
      <c r="AN18" s="975"/>
      <c r="AO18" s="975"/>
      <c r="AP18" s="975"/>
      <c r="AQ18" s="975"/>
      <c r="AR18" s="975"/>
      <c r="AS18" s="975"/>
      <c r="AT18" s="975"/>
      <c r="AU18" s="975"/>
      <c r="AV18" s="975"/>
      <c r="AW18" s="975"/>
      <c r="AX18" s="975"/>
      <c r="AY18" s="975"/>
      <c r="AZ18" s="975"/>
      <c r="BA18" s="975"/>
      <c r="BC18" s="975">
        <v>1</v>
      </c>
      <c r="BE18" s="837"/>
      <c r="BF18" s="975"/>
      <c r="BG18" s="975"/>
      <c r="BH18" s="975"/>
      <c r="BI18" s="975"/>
      <c r="BJ18" s="975"/>
      <c r="BK18" s="975"/>
      <c r="BL18" s="975"/>
      <c r="BM18" s="975"/>
      <c r="BN18" s="975"/>
      <c r="BO18" s="975"/>
      <c r="BP18" s="975"/>
      <c r="BQ18" s="975"/>
      <c r="BR18" s="975"/>
      <c r="BS18" s="975"/>
      <c r="BT18" s="975"/>
      <c r="BU18" s="975"/>
      <c r="BV18" s="975"/>
      <c r="BW18" s="975"/>
      <c r="BX18" s="975"/>
      <c r="BY18" s="975"/>
      <c r="BZ18" s="975"/>
      <c r="CA18" s="975"/>
      <c r="CB18" s="975"/>
      <c r="CC18" s="975"/>
      <c r="CD18" s="975"/>
      <c r="CE18" s="975"/>
      <c r="CF18" s="975"/>
      <c r="CG18" s="975"/>
      <c r="CH18" s="975"/>
      <c r="CI18" s="975"/>
    </row>
    <row r="19" spans="1:87" s="367" customFormat="1" ht="30" customHeight="1" thickBot="1">
      <c r="A19" s="837">
        <f>tblIndicators!A19</f>
        <v>18</v>
      </c>
      <c r="B19" s="367">
        <f>tblIndicators!G19</f>
        <v>3</v>
      </c>
      <c r="C19" s="837" t="s">
        <v>1297</v>
      </c>
      <c r="D19" s="837" t="s">
        <v>1297</v>
      </c>
      <c r="E19" s="837" t="s">
        <v>425</v>
      </c>
      <c r="F19" s="837" t="s">
        <v>1234</v>
      </c>
      <c r="G19" s="837"/>
      <c r="H19" s="837"/>
      <c r="I19" s="837" t="s">
        <v>1298</v>
      </c>
      <c r="J19" s="837" t="s">
        <v>1103</v>
      </c>
      <c r="K19" s="837" t="s">
        <v>1199</v>
      </c>
      <c r="L19" s="837">
        <v>2021</v>
      </c>
      <c r="M19" s="837" t="s">
        <v>575</v>
      </c>
      <c r="N19" s="975">
        <v>0</v>
      </c>
      <c r="O19" s="837"/>
      <c r="P19" s="272">
        <f>tblIndicators!AS19</f>
        <v>2</v>
      </c>
      <c r="Q19" s="1080" t="s">
        <v>1299</v>
      </c>
      <c r="R19" s="1080" t="s">
        <v>1300</v>
      </c>
      <c r="S19" s="837"/>
      <c r="T19" s="837"/>
      <c r="U19" s="837"/>
      <c r="V19"/>
      <c r="W19" s="837"/>
      <c r="X19" s="1079">
        <v>0</v>
      </c>
      <c r="Y19" s="1079">
        <v>0</v>
      </c>
      <c r="Z19" s="1079">
        <v>0</v>
      </c>
      <c r="AA19" s="1079">
        <v>0</v>
      </c>
      <c r="AB19" s="1079">
        <v>0</v>
      </c>
      <c r="AC19" s="1079">
        <v>1</v>
      </c>
      <c r="AD19" s="1079">
        <v>0</v>
      </c>
      <c r="AE19" s="1079">
        <v>0</v>
      </c>
      <c r="AF19" s="1079">
        <v>0</v>
      </c>
      <c r="AG19" s="1079">
        <v>0</v>
      </c>
      <c r="AH19" s="1079">
        <v>1</v>
      </c>
      <c r="AI19" s="1079">
        <v>0</v>
      </c>
      <c r="AJ19" s="1079">
        <v>0</v>
      </c>
      <c r="AK19" s="1079">
        <v>0</v>
      </c>
      <c r="AL19" s="1079">
        <v>0</v>
      </c>
      <c r="AM19" s="1079">
        <v>0</v>
      </c>
      <c r="AN19" s="1079">
        <v>0</v>
      </c>
      <c r="AO19" s="1079">
        <v>0</v>
      </c>
      <c r="AP19" s="1079">
        <v>1</v>
      </c>
      <c r="AQ19" s="1079">
        <v>0</v>
      </c>
      <c r="AR19" s="1079">
        <v>0</v>
      </c>
      <c r="AS19" s="1079">
        <v>0</v>
      </c>
      <c r="AT19" s="1079">
        <v>1</v>
      </c>
      <c r="AU19" s="1079">
        <v>0</v>
      </c>
      <c r="AV19" s="1079">
        <v>1</v>
      </c>
      <c r="AW19" s="1079">
        <v>0</v>
      </c>
      <c r="AX19" s="1079">
        <v>0</v>
      </c>
      <c r="AY19" s="1079">
        <v>1</v>
      </c>
      <c r="AZ19" s="1079">
        <v>0</v>
      </c>
      <c r="BA19" s="1079">
        <v>0</v>
      </c>
      <c r="BC19" s="975">
        <v>2</v>
      </c>
      <c r="BE19" s="837"/>
      <c r="BF19" s="975"/>
      <c r="BG19" s="975"/>
      <c r="BH19" s="975"/>
      <c r="BI19" s="975"/>
      <c r="BJ19" s="975"/>
      <c r="BK19" s="975"/>
      <c r="BL19" s="975"/>
      <c r="BM19" s="975"/>
      <c r="BN19" s="975"/>
      <c r="BO19" s="975"/>
      <c r="BP19" s="975"/>
      <c r="BQ19" s="975"/>
      <c r="BR19" s="975"/>
      <c r="BS19" s="975"/>
      <c r="BT19" s="975"/>
      <c r="BU19" s="975"/>
      <c r="BV19" s="975"/>
      <c r="BW19" s="975"/>
      <c r="BX19" s="975"/>
      <c r="BY19" s="975"/>
      <c r="BZ19" s="975"/>
      <c r="CA19" s="975"/>
      <c r="CB19" s="975"/>
      <c r="CC19" s="975"/>
      <c r="CD19" s="975"/>
      <c r="CE19" s="975"/>
      <c r="CF19" s="975"/>
      <c r="CG19" s="975"/>
      <c r="CH19" s="975"/>
      <c r="CI19" s="975"/>
    </row>
    <row r="20" spans="1:87" s="367" customFormat="1" ht="30" customHeight="1" thickBot="1">
      <c r="A20" s="837">
        <f>tblIndicators!A20</f>
        <v>19</v>
      </c>
      <c r="B20" s="367">
        <f>tblIndicators!G20</f>
        <v>3</v>
      </c>
      <c r="C20" s="837" t="s">
        <v>989</v>
      </c>
      <c r="D20" s="837" t="s">
        <v>989</v>
      </c>
      <c r="E20" s="837" t="s">
        <v>426</v>
      </c>
      <c r="F20" s="837" t="s">
        <v>1235</v>
      </c>
      <c r="G20" s="837"/>
      <c r="H20" s="837"/>
      <c r="I20" s="837" t="s">
        <v>1236</v>
      </c>
      <c r="J20" s="837" t="s">
        <v>1029</v>
      </c>
      <c r="K20" s="837" t="s">
        <v>1199</v>
      </c>
      <c r="L20" s="837">
        <v>2020</v>
      </c>
      <c r="M20" s="837" t="s">
        <v>575</v>
      </c>
      <c r="N20" s="975">
        <v>3</v>
      </c>
      <c r="O20" s="837"/>
      <c r="P20" s="272">
        <f>tblIndicators!AS20</f>
        <v>1</v>
      </c>
      <c r="Q20" s="837"/>
      <c r="R20" s="837"/>
      <c r="S20" s="837"/>
      <c r="T20" s="837"/>
      <c r="U20" s="837"/>
      <c r="V20"/>
      <c r="W20" s="837"/>
      <c r="X20" s="1079">
        <v>0.91</v>
      </c>
      <c r="Y20" s="1079">
        <v>0.93</v>
      </c>
      <c r="Z20" s="1079">
        <v>0.79</v>
      </c>
      <c r="AA20" s="1079">
        <v>0.89</v>
      </c>
      <c r="AB20" s="1079">
        <v>0.91</v>
      </c>
      <c r="AC20" s="1079">
        <v>0.74</v>
      </c>
      <c r="AD20" s="1079">
        <v>0.85</v>
      </c>
      <c r="AE20" s="1079">
        <v>0.97</v>
      </c>
      <c r="AF20" s="1079">
        <v>0.95</v>
      </c>
      <c r="AG20" s="1079">
        <v>0.9</v>
      </c>
      <c r="AH20" s="1079">
        <v>0.74</v>
      </c>
      <c r="AI20" s="1079">
        <v>0.94</v>
      </c>
      <c r="AJ20" s="1079">
        <v>0.68</v>
      </c>
      <c r="AK20" s="1079">
        <v>0.85</v>
      </c>
      <c r="AL20" s="1079">
        <v>0.96</v>
      </c>
      <c r="AM20" s="1079">
        <v>0.89</v>
      </c>
      <c r="AN20" s="1079">
        <v>0.73</v>
      </c>
      <c r="AO20" s="1079">
        <v>0.82</v>
      </c>
      <c r="AP20" s="1079">
        <v>0.85</v>
      </c>
      <c r="AQ20" s="1079">
        <v>0.95</v>
      </c>
      <c r="AR20" s="1079">
        <v>0.88</v>
      </c>
      <c r="AS20" s="1079">
        <v>0.83</v>
      </c>
      <c r="AT20" s="1079">
        <v>0.87</v>
      </c>
      <c r="AU20" s="1079">
        <v>1</v>
      </c>
      <c r="AV20" s="1079">
        <v>0.96</v>
      </c>
      <c r="AW20" s="1079">
        <v>0.95</v>
      </c>
      <c r="AX20" s="1079">
        <v>0.91</v>
      </c>
      <c r="AY20" s="1079">
        <v>0.84</v>
      </c>
      <c r="AZ20" s="1079">
        <v>0.95</v>
      </c>
      <c r="BA20" s="1079">
        <v>0.83</v>
      </c>
      <c r="BC20" s="975">
        <v>2</v>
      </c>
      <c r="BE20" s="837"/>
      <c r="BF20" s="975"/>
      <c r="BG20" s="975"/>
      <c r="BH20" s="975"/>
      <c r="BI20" s="975"/>
      <c r="BJ20" s="975"/>
      <c r="BK20" s="975"/>
      <c r="BL20" s="975"/>
      <c r="BM20" s="975"/>
      <c r="BN20" s="975"/>
      <c r="BO20" s="975"/>
      <c r="BP20" s="975"/>
      <c r="BQ20" s="975"/>
      <c r="BR20" s="975"/>
      <c r="BS20" s="975"/>
      <c r="BT20" s="975"/>
      <c r="BU20" s="975"/>
      <c r="BV20" s="975"/>
      <c r="BW20" s="975"/>
      <c r="BX20" s="975"/>
      <c r="BY20" s="975"/>
      <c r="BZ20" s="975"/>
      <c r="CA20" s="975"/>
      <c r="CB20" s="975"/>
      <c r="CC20" s="975"/>
      <c r="CD20" s="975"/>
      <c r="CE20" s="975"/>
      <c r="CF20" s="975"/>
      <c r="CG20" s="975"/>
      <c r="CH20" s="975"/>
      <c r="CI20" s="975"/>
    </row>
    <row r="21" spans="1:87" s="367" customFormat="1" ht="30" customHeight="1" thickBot="1">
      <c r="A21" s="837">
        <f>tblIndicators!A21</f>
        <v>20</v>
      </c>
      <c r="B21" s="367">
        <f>tblIndicators!G21</f>
        <v>3</v>
      </c>
      <c r="C21" s="837" t="s">
        <v>990</v>
      </c>
      <c r="D21" s="837" t="s">
        <v>990</v>
      </c>
      <c r="E21" s="837" t="s">
        <v>724</v>
      </c>
      <c r="F21" s="837" t="s">
        <v>1237</v>
      </c>
      <c r="G21" s="837"/>
      <c r="H21" s="837"/>
      <c r="I21" s="837" t="s">
        <v>1215</v>
      </c>
      <c r="J21" s="837" t="s">
        <v>1103</v>
      </c>
      <c r="K21" s="837" t="s">
        <v>1198</v>
      </c>
      <c r="L21" s="837">
        <v>2021</v>
      </c>
      <c r="M21" s="837" t="s">
        <v>575</v>
      </c>
      <c r="N21" s="975">
        <v>0</v>
      </c>
      <c r="O21" s="837"/>
      <c r="P21" s="272">
        <f>tblIndicators!AS21</f>
        <v>3</v>
      </c>
      <c r="Q21" s="837" t="s">
        <v>1271</v>
      </c>
      <c r="R21" s="837" t="s">
        <v>1270</v>
      </c>
      <c r="S21" s="837" t="s">
        <v>928</v>
      </c>
      <c r="T21" s="837"/>
      <c r="U21" s="837"/>
      <c r="V21"/>
      <c r="W21" s="837"/>
      <c r="X21" s="1074">
        <v>1</v>
      </c>
      <c r="Y21" s="1074">
        <v>2</v>
      </c>
      <c r="Z21" s="1074">
        <v>2</v>
      </c>
      <c r="AA21" s="1074">
        <v>2</v>
      </c>
      <c r="AB21" s="1074">
        <v>2</v>
      </c>
      <c r="AC21" s="1074">
        <v>2</v>
      </c>
      <c r="AD21" s="1081">
        <v>1</v>
      </c>
      <c r="AE21" s="1074">
        <v>2</v>
      </c>
      <c r="AF21" s="1074">
        <v>2</v>
      </c>
      <c r="AG21" s="1074">
        <v>2</v>
      </c>
      <c r="AH21" s="1074">
        <v>2</v>
      </c>
      <c r="AI21" s="1074">
        <v>2</v>
      </c>
      <c r="AJ21" s="1074">
        <v>2</v>
      </c>
      <c r="AK21" s="1074">
        <v>2</v>
      </c>
      <c r="AL21" s="1074">
        <v>2</v>
      </c>
      <c r="AM21" s="1074">
        <v>2</v>
      </c>
      <c r="AN21" s="1074">
        <v>2</v>
      </c>
      <c r="AO21" s="1074">
        <v>2</v>
      </c>
      <c r="AP21" s="1074">
        <v>2</v>
      </c>
      <c r="AQ21" s="1074">
        <v>2</v>
      </c>
      <c r="AR21" s="1074">
        <v>2</v>
      </c>
      <c r="AS21" s="1074">
        <v>2</v>
      </c>
      <c r="AT21" s="1081">
        <v>2</v>
      </c>
      <c r="AU21" s="1074">
        <v>1</v>
      </c>
      <c r="AV21" s="1074">
        <v>2</v>
      </c>
      <c r="AW21" s="1074">
        <v>2</v>
      </c>
      <c r="AX21" s="1074">
        <v>2</v>
      </c>
      <c r="AY21" s="1074">
        <v>2</v>
      </c>
      <c r="AZ21" s="1074">
        <v>2</v>
      </c>
      <c r="BA21" s="1074">
        <v>2</v>
      </c>
      <c r="BC21" s="975">
        <v>2</v>
      </c>
      <c r="BE21" s="837"/>
      <c r="BF21" s="975"/>
      <c r="BG21" s="975"/>
      <c r="BH21" s="975"/>
      <c r="BI21" s="975"/>
      <c r="BJ21" s="975"/>
      <c r="BK21" s="975"/>
      <c r="BL21" s="975"/>
      <c r="BM21" s="975"/>
      <c r="BN21" s="975"/>
      <c r="BO21" s="975"/>
      <c r="BP21" s="975"/>
      <c r="BQ21" s="975"/>
      <c r="BR21" s="975"/>
      <c r="BS21" s="975"/>
      <c r="BT21" s="975"/>
      <c r="BU21" s="975"/>
      <c r="BV21" s="975"/>
      <c r="BW21" s="975"/>
      <c r="BX21" s="975"/>
      <c r="BY21" s="975"/>
      <c r="BZ21" s="975"/>
      <c r="CA21" s="975"/>
      <c r="CB21" s="975"/>
      <c r="CC21" s="975"/>
      <c r="CD21" s="975"/>
      <c r="CE21" s="975"/>
      <c r="CF21" s="975"/>
      <c r="CG21" s="975"/>
      <c r="CH21" s="975"/>
      <c r="CI21" s="975"/>
    </row>
    <row r="22" spans="1:87" s="367" customFormat="1" ht="20.149999999999999" customHeight="1" thickBot="1">
      <c r="A22" s="837">
        <f>tblIndicators!A22</f>
        <v>21</v>
      </c>
      <c r="B22" s="367">
        <f>tblIndicators!G22</f>
        <v>2</v>
      </c>
      <c r="C22" s="837" t="s">
        <v>991</v>
      </c>
      <c r="D22" s="837" t="s">
        <v>991</v>
      </c>
      <c r="E22" s="837" t="s">
        <v>779</v>
      </c>
      <c r="F22" s="837"/>
      <c r="G22" s="837"/>
      <c r="H22" s="837"/>
      <c r="I22" s="837"/>
      <c r="J22" s="353" t="s">
        <v>1156</v>
      </c>
      <c r="K22" s="837"/>
      <c r="L22" s="837"/>
      <c r="M22" s="837"/>
      <c r="N22" s="975">
        <v>1</v>
      </c>
      <c r="O22" s="837"/>
      <c r="P22" s="272">
        <f>tblIndicators!AS22</f>
        <v>1</v>
      </c>
      <c r="Q22" s="837"/>
      <c r="R22" s="837"/>
      <c r="S22" s="837"/>
      <c r="T22" s="837"/>
      <c r="U22" s="837"/>
      <c r="V22"/>
      <c r="W22" s="837"/>
      <c r="X22" s="975"/>
      <c r="Y22" s="975"/>
      <c r="Z22" s="975"/>
      <c r="AA22" s="975"/>
      <c r="AB22" s="975"/>
      <c r="AC22" s="975"/>
      <c r="AD22" s="975"/>
      <c r="AE22" s="975"/>
      <c r="AF22" s="975"/>
      <c r="AG22" s="975"/>
      <c r="AH22" s="975"/>
      <c r="AI22" s="975"/>
      <c r="AJ22" s="975"/>
      <c r="AK22" s="975"/>
      <c r="AL22" s="975"/>
      <c r="AM22" s="975"/>
      <c r="AN22" s="975"/>
      <c r="AO22" s="975"/>
      <c r="AP22" s="975"/>
      <c r="AQ22" s="975"/>
      <c r="AR22" s="975"/>
      <c r="AS22" s="975"/>
      <c r="AT22" s="975"/>
      <c r="AU22" s="975"/>
      <c r="AV22" s="975"/>
      <c r="AW22" s="975"/>
      <c r="AX22" s="975"/>
      <c r="AY22" s="975"/>
      <c r="AZ22" s="975"/>
      <c r="BA22" s="975"/>
      <c r="BC22" s="975">
        <v>1</v>
      </c>
      <c r="BE22" s="837"/>
      <c r="BF22" s="975"/>
      <c r="BG22" s="975"/>
      <c r="BH22" s="975"/>
      <c r="BI22" s="975"/>
      <c r="BJ22" s="975"/>
      <c r="BK22" s="975"/>
      <c r="BL22" s="975"/>
      <c r="BM22" s="975"/>
      <c r="BN22" s="975"/>
      <c r="BO22" s="975"/>
      <c r="BP22" s="975"/>
      <c r="BQ22" s="975"/>
      <c r="BR22" s="975"/>
      <c r="BS22" s="975"/>
      <c r="BT22" s="975"/>
      <c r="BU22" s="975"/>
      <c r="BV22" s="975"/>
      <c r="BW22" s="975"/>
      <c r="BX22" s="975"/>
      <c r="BY22" s="975"/>
      <c r="BZ22" s="975"/>
      <c r="CA22" s="975"/>
      <c r="CB22" s="975"/>
      <c r="CC22" s="975"/>
      <c r="CD22" s="975"/>
      <c r="CE22" s="975"/>
      <c r="CF22" s="975"/>
      <c r="CG22" s="975"/>
      <c r="CH22" s="975"/>
      <c r="CI22" s="975"/>
    </row>
    <row r="23" spans="1:87" s="367" customFormat="1" ht="30" customHeight="1" thickBot="1">
      <c r="A23" s="837">
        <f>tblIndicators!A23</f>
        <v>22</v>
      </c>
      <c r="B23" s="367">
        <f>tblIndicators!G23</f>
        <v>3</v>
      </c>
      <c r="C23" s="837" t="s">
        <v>992</v>
      </c>
      <c r="D23" s="837" t="s">
        <v>992</v>
      </c>
      <c r="E23" s="837" t="s">
        <v>427</v>
      </c>
      <c r="F23" s="837" t="s">
        <v>1095</v>
      </c>
      <c r="G23" s="837"/>
      <c r="H23" s="837"/>
      <c r="I23" s="837" t="s">
        <v>1092</v>
      </c>
      <c r="J23" s="837" t="s">
        <v>1113</v>
      </c>
      <c r="K23" s="837" t="s">
        <v>350</v>
      </c>
      <c r="L23" s="837">
        <v>2021</v>
      </c>
      <c r="M23" s="837" t="s">
        <v>575</v>
      </c>
      <c r="N23" s="975">
        <v>0</v>
      </c>
      <c r="O23" s="837"/>
      <c r="P23" s="272">
        <f>tblIndicators!AS23</f>
        <v>1</v>
      </c>
      <c r="Q23" s="837"/>
      <c r="R23" s="837"/>
      <c r="S23" s="837"/>
      <c r="T23" s="837"/>
      <c r="U23" s="837"/>
      <c r="V23"/>
      <c r="W23" s="837"/>
      <c r="X23" s="1081">
        <v>68</v>
      </c>
      <c r="Y23" s="1081">
        <v>74</v>
      </c>
      <c r="Z23" s="1081">
        <v>83</v>
      </c>
      <c r="AA23" s="1081">
        <v>67</v>
      </c>
      <c r="AB23" s="1081">
        <v>86</v>
      </c>
      <c r="AC23" s="1081">
        <v>63</v>
      </c>
      <c r="AD23" s="1081">
        <v>64</v>
      </c>
      <c r="AE23" s="1081">
        <v>74</v>
      </c>
      <c r="AF23" s="1081">
        <v>58</v>
      </c>
      <c r="AG23" s="1081">
        <v>83</v>
      </c>
      <c r="AH23" s="1081">
        <v>69</v>
      </c>
      <c r="AI23" s="1081">
        <v>63</v>
      </c>
      <c r="AJ23" s="1081">
        <v>84</v>
      </c>
      <c r="AK23" s="1081">
        <v>53</v>
      </c>
      <c r="AL23" s="1081">
        <v>56</v>
      </c>
      <c r="AM23" s="1081">
        <v>64</v>
      </c>
      <c r="AN23" s="1081">
        <v>60</v>
      </c>
      <c r="AO23" s="1081">
        <v>65</v>
      </c>
      <c r="AP23" s="1081">
        <v>88</v>
      </c>
      <c r="AQ23" s="1081">
        <v>58</v>
      </c>
      <c r="AR23" s="1081">
        <v>76</v>
      </c>
      <c r="AS23" s="1081">
        <v>68</v>
      </c>
      <c r="AT23" s="1081">
        <v>69</v>
      </c>
      <c r="AU23" s="1081">
        <v>83</v>
      </c>
      <c r="AV23" s="1081">
        <v>75</v>
      </c>
      <c r="AW23" s="1081">
        <v>53</v>
      </c>
      <c r="AX23" s="1081">
        <v>42</v>
      </c>
      <c r="AY23" s="1081">
        <v>59</v>
      </c>
      <c r="AZ23" s="1081">
        <v>61</v>
      </c>
      <c r="BA23" s="1081">
        <v>66</v>
      </c>
      <c r="BC23" s="975">
        <v>2</v>
      </c>
      <c r="BE23" s="837"/>
      <c r="BF23" s="975"/>
      <c r="BG23" s="975"/>
      <c r="BH23" s="975"/>
      <c r="BI23" s="975"/>
      <c r="BJ23" s="975"/>
      <c r="BK23" s="975"/>
      <c r="BL23" s="975"/>
      <c r="BM23" s="975"/>
      <c r="BN23" s="975"/>
      <c r="BO23" s="975"/>
      <c r="BP23" s="975"/>
      <c r="BQ23" s="975"/>
      <c r="BR23" s="975"/>
      <c r="BS23" s="975"/>
      <c r="BT23" s="975"/>
      <c r="BU23" s="975"/>
      <c r="BV23" s="975"/>
      <c r="BW23" s="975"/>
      <c r="BX23" s="975"/>
      <c r="BY23" s="975"/>
      <c r="BZ23" s="975"/>
      <c r="CA23" s="975"/>
      <c r="CB23" s="975"/>
      <c r="CC23" s="975"/>
      <c r="CD23" s="975"/>
      <c r="CE23" s="975"/>
      <c r="CF23" s="975"/>
      <c r="CG23" s="975"/>
      <c r="CH23" s="975"/>
      <c r="CI23" s="975"/>
    </row>
    <row r="24" spans="1:87" s="367" customFormat="1" ht="30" customHeight="1" thickBot="1">
      <c r="A24" s="837">
        <f>tblIndicators!A24</f>
        <v>23</v>
      </c>
      <c r="B24" s="367">
        <f>tblIndicators!G24</f>
        <v>3</v>
      </c>
      <c r="C24" s="837" t="s">
        <v>993</v>
      </c>
      <c r="D24" s="837" t="s">
        <v>993</v>
      </c>
      <c r="E24" s="837" t="s">
        <v>428</v>
      </c>
      <c r="F24" s="837" t="s">
        <v>1096</v>
      </c>
      <c r="G24" s="837"/>
      <c r="H24" s="837"/>
      <c r="I24" s="837" t="s">
        <v>1093</v>
      </c>
      <c r="J24" s="837" t="s">
        <v>1113</v>
      </c>
      <c r="K24" s="837" t="s">
        <v>350</v>
      </c>
      <c r="L24" s="837">
        <v>2021</v>
      </c>
      <c r="M24" s="837" t="s">
        <v>575</v>
      </c>
      <c r="N24" s="975">
        <v>0</v>
      </c>
      <c r="O24" s="837"/>
      <c r="P24" s="272">
        <f>tblIndicators!AS24</f>
        <v>1</v>
      </c>
      <c r="Q24" s="837"/>
      <c r="R24" s="837"/>
      <c r="S24" s="837"/>
      <c r="T24" s="837"/>
      <c r="U24" s="837"/>
      <c r="V24"/>
      <c r="W24" s="837"/>
      <c r="X24" s="1081">
        <v>10</v>
      </c>
      <c r="Y24" s="1081">
        <v>20</v>
      </c>
      <c r="Z24" s="1081">
        <v>66</v>
      </c>
      <c r="AA24" s="1081">
        <v>25</v>
      </c>
      <c r="AB24" s="1081">
        <v>65</v>
      </c>
      <c r="AC24" s="1081">
        <v>6</v>
      </c>
      <c r="AD24" s="1081">
        <v>29</v>
      </c>
      <c r="AE24" s="1081">
        <v>14</v>
      </c>
      <c r="AF24" s="1081">
        <v>27</v>
      </c>
      <c r="AG24" s="1081">
        <v>63</v>
      </c>
      <c r="AH24" s="1081">
        <v>15</v>
      </c>
      <c r="AI24" s="1081">
        <v>41</v>
      </c>
      <c r="AJ24" s="1081">
        <v>69</v>
      </c>
      <c r="AK24" s="1081">
        <v>35</v>
      </c>
      <c r="AL24" s="1081">
        <v>10</v>
      </c>
      <c r="AM24" s="1081">
        <v>26</v>
      </c>
      <c r="AN24" s="1081">
        <v>40</v>
      </c>
      <c r="AO24" s="1081">
        <v>34</v>
      </c>
      <c r="AP24" s="1081">
        <v>77</v>
      </c>
      <c r="AQ24" s="1081">
        <v>26</v>
      </c>
      <c r="AR24" s="1081">
        <v>18</v>
      </c>
      <c r="AS24" s="1081">
        <v>18</v>
      </c>
      <c r="AT24" s="1081">
        <v>39</v>
      </c>
      <c r="AU24" s="1081">
        <v>54</v>
      </c>
      <c r="AV24" s="1081">
        <v>39</v>
      </c>
      <c r="AW24" s="1081">
        <v>11</v>
      </c>
      <c r="AX24" s="1081">
        <v>17</v>
      </c>
      <c r="AY24" s="1081">
        <v>16</v>
      </c>
      <c r="AZ24" s="1081">
        <v>31</v>
      </c>
      <c r="BA24" s="1081">
        <v>23</v>
      </c>
      <c r="BC24" s="975">
        <v>2</v>
      </c>
      <c r="BE24" s="837"/>
      <c r="BF24" s="975"/>
      <c r="BG24" s="975"/>
      <c r="BH24" s="975"/>
      <c r="BI24" s="975"/>
      <c r="BJ24" s="975"/>
      <c r="BK24" s="975"/>
      <c r="BL24" s="975"/>
      <c r="BM24" s="975"/>
      <c r="BN24" s="975"/>
      <c r="BO24" s="975"/>
      <c r="BP24" s="975"/>
      <c r="BQ24" s="975"/>
      <c r="BR24" s="975"/>
      <c r="BS24" s="975"/>
      <c r="BT24" s="975"/>
      <c r="BU24" s="975"/>
      <c r="BV24" s="975"/>
      <c r="BW24" s="975"/>
      <c r="BX24" s="975"/>
      <c r="BY24" s="975"/>
      <c r="BZ24" s="975"/>
      <c r="CA24" s="975"/>
      <c r="CB24" s="975"/>
      <c r="CC24" s="975"/>
      <c r="CD24" s="975"/>
      <c r="CE24" s="975"/>
      <c r="CF24" s="975"/>
      <c r="CG24" s="975"/>
      <c r="CH24" s="975"/>
      <c r="CI24" s="975"/>
    </row>
    <row r="25" spans="1:87" s="367" customFormat="1" ht="30" customHeight="1">
      <c r="A25" s="837">
        <f>tblIndicators!A25</f>
        <v>24</v>
      </c>
      <c r="B25" s="367">
        <f>tblIndicators!G25</f>
        <v>3</v>
      </c>
      <c r="C25" s="837" t="s">
        <v>994</v>
      </c>
      <c r="D25" s="837" t="s">
        <v>994</v>
      </c>
      <c r="E25" s="837" t="s">
        <v>725</v>
      </c>
      <c r="F25" s="837" t="s">
        <v>1015</v>
      </c>
      <c r="G25" s="837"/>
      <c r="H25" s="837"/>
      <c r="I25" s="837" t="s">
        <v>1094</v>
      </c>
      <c r="J25" s="837" t="s">
        <v>1104</v>
      </c>
      <c r="K25" s="837" t="s">
        <v>350</v>
      </c>
      <c r="L25" s="837">
        <v>2021</v>
      </c>
      <c r="M25" s="837" t="s">
        <v>575</v>
      </c>
      <c r="N25" s="975">
        <v>1</v>
      </c>
      <c r="O25" s="837"/>
      <c r="P25" s="272">
        <f>tblIndicators!AS25</f>
        <v>1</v>
      </c>
      <c r="Q25" s="837"/>
      <c r="R25" s="837"/>
      <c r="S25" s="837"/>
      <c r="T25" s="837"/>
      <c r="U25" s="837"/>
      <c r="V25"/>
      <c r="W25" s="837"/>
      <c r="X25" s="975">
        <v>84.84</v>
      </c>
      <c r="Y25" s="975">
        <v>84.03</v>
      </c>
      <c r="Z25" s="975">
        <v>38.340000000000003</v>
      </c>
      <c r="AA25" s="975">
        <v>53.33</v>
      </c>
      <c r="AB25" s="975">
        <v>81.96</v>
      </c>
      <c r="AC25" s="975">
        <v>54.48</v>
      </c>
      <c r="AD25" s="975">
        <v>56.389999999999993</v>
      </c>
      <c r="AE25" s="975">
        <v>87.3</v>
      </c>
      <c r="AF25" s="975">
        <v>85.75</v>
      </c>
      <c r="AG25" s="975">
        <v>51.470000000000006</v>
      </c>
      <c r="AH25" s="975">
        <v>54.48</v>
      </c>
      <c r="AI25" s="975">
        <v>89.570000000000007</v>
      </c>
      <c r="AJ25" s="975">
        <v>36.720000000000006</v>
      </c>
      <c r="AK25" s="975">
        <v>46.29</v>
      </c>
      <c r="AL25" s="975">
        <v>80.910000000000011</v>
      </c>
      <c r="AM25" s="975">
        <v>53.33</v>
      </c>
      <c r="AN25" s="975">
        <v>38.79</v>
      </c>
      <c r="AO25" s="975">
        <v>42.53</v>
      </c>
      <c r="AP25" s="975">
        <v>47.31</v>
      </c>
      <c r="AQ25" s="975">
        <v>85.75</v>
      </c>
      <c r="AR25" s="975">
        <v>79.510000000000005</v>
      </c>
      <c r="AS25" s="975">
        <v>55.110000000000007</v>
      </c>
      <c r="AT25" s="975">
        <v>58.17</v>
      </c>
      <c r="AU25" s="975">
        <v>84.13000000000001</v>
      </c>
      <c r="AV25" s="975">
        <v>68.63</v>
      </c>
      <c r="AW25" s="975">
        <v>86.460000000000008</v>
      </c>
      <c r="AX25" s="975">
        <v>41</v>
      </c>
      <c r="AY25" s="975">
        <v>91.17</v>
      </c>
      <c r="AZ25" s="975">
        <v>85.75</v>
      </c>
      <c r="BA25" s="975">
        <v>82</v>
      </c>
      <c r="BC25" s="975">
        <v>2</v>
      </c>
      <c r="BE25" s="837"/>
      <c r="BF25" s="975"/>
      <c r="BG25" s="975"/>
      <c r="BH25" s="975"/>
      <c r="BI25" s="975"/>
      <c r="BJ25" s="975"/>
      <c r="BK25" s="975"/>
      <c r="BL25" s="975"/>
      <c r="BM25" s="975"/>
      <c r="BN25" s="975"/>
      <c r="BO25" s="975"/>
      <c r="BP25" s="975"/>
      <c r="BQ25" s="975"/>
      <c r="BR25" s="975"/>
      <c r="BS25" s="975"/>
      <c r="BT25" s="975"/>
      <c r="BU25" s="975"/>
      <c r="BV25" s="975"/>
      <c r="BW25" s="975"/>
      <c r="BX25" s="975"/>
      <c r="BY25" s="975"/>
      <c r="BZ25" s="975"/>
      <c r="CA25" s="975"/>
      <c r="CB25" s="975"/>
      <c r="CC25" s="975"/>
      <c r="CD25" s="975"/>
      <c r="CE25" s="975"/>
      <c r="CF25" s="975"/>
      <c r="CG25" s="975"/>
      <c r="CH25" s="975"/>
      <c r="CI25" s="975"/>
    </row>
    <row r="26" spans="1:87" s="367" customFormat="1" ht="20.149999999999999" customHeight="1" thickBot="1">
      <c r="A26" s="837">
        <f>tblIndicators!A26</f>
        <v>25</v>
      </c>
      <c r="B26" s="367">
        <f>tblIndicators!G26</f>
        <v>2</v>
      </c>
      <c r="C26" s="837" t="s">
        <v>995</v>
      </c>
      <c r="D26" s="837" t="s">
        <v>995</v>
      </c>
      <c r="E26" s="837" t="s">
        <v>780</v>
      </c>
      <c r="F26" s="837"/>
      <c r="G26" s="837"/>
      <c r="H26" s="837"/>
      <c r="I26" s="837"/>
      <c r="J26" s="353" t="s">
        <v>1156</v>
      </c>
      <c r="K26" s="837"/>
      <c r="L26" s="837"/>
      <c r="M26" s="837"/>
      <c r="N26" s="975">
        <v>1</v>
      </c>
      <c r="O26" s="837"/>
      <c r="P26" s="272">
        <f>tblIndicators!AS26</f>
        <v>1</v>
      </c>
      <c r="Q26" s="837"/>
      <c r="R26" s="837"/>
      <c r="S26" s="837"/>
      <c r="T26" s="837"/>
      <c r="U26" s="837"/>
      <c r="V26"/>
      <c r="W26" s="837"/>
      <c r="X26" s="975"/>
      <c r="Y26" s="975"/>
      <c r="Z26" s="975"/>
      <c r="AA26" s="975"/>
      <c r="AB26" s="975"/>
      <c r="AC26" s="975"/>
      <c r="AD26" s="975"/>
      <c r="AE26" s="975"/>
      <c r="AF26" s="975"/>
      <c r="AG26" s="975"/>
      <c r="AH26" s="975"/>
      <c r="AI26" s="975"/>
      <c r="AJ26" s="975"/>
      <c r="AK26" s="975"/>
      <c r="AL26" s="975"/>
      <c r="AM26" s="975"/>
      <c r="AN26" s="975"/>
      <c r="AO26" s="975"/>
      <c r="AP26" s="975"/>
      <c r="AQ26" s="975"/>
      <c r="AR26" s="975"/>
      <c r="AS26" s="975"/>
      <c r="AT26" s="975"/>
      <c r="AU26" s="975"/>
      <c r="AV26" s="975"/>
      <c r="AW26" s="975"/>
      <c r="AX26" s="975"/>
      <c r="AY26" s="975"/>
      <c r="AZ26" s="975"/>
      <c r="BA26" s="975"/>
      <c r="BC26" s="975">
        <v>1</v>
      </c>
      <c r="BE26" s="837"/>
      <c r="BF26" s="975"/>
      <c r="BG26" s="975"/>
      <c r="BH26" s="975"/>
      <c r="BI26" s="975"/>
      <c r="BJ26" s="975"/>
      <c r="BK26" s="975"/>
      <c r="BL26" s="975"/>
      <c r="BM26" s="975"/>
      <c r="BN26" s="975"/>
      <c r="BO26" s="975"/>
      <c r="BP26" s="975"/>
      <c r="BQ26" s="975"/>
      <c r="BR26" s="975"/>
      <c r="BS26" s="975"/>
      <c r="BT26" s="975"/>
      <c r="BU26" s="975"/>
      <c r="BV26" s="975"/>
      <c r="BW26" s="975"/>
      <c r="BX26" s="975"/>
      <c r="BY26" s="975"/>
      <c r="BZ26" s="975"/>
      <c r="CA26" s="975"/>
      <c r="CB26" s="975"/>
      <c r="CC26" s="975"/>
      <c r="CD26" s="975"/>
      <c r="CE26" s="975"/>
      <c r="CF26" s="975"/>
      <c r="CG26" s="975"/>
      <c r="CH26" s="975"/>
      <c r="CI26" s="975"/>
    </row>
    <row r="27" spans="1:87" s="367" customFormat="1" ht="30" customHeight="1" thickBot="1">
      <c r="A27" s="837">
        <f>tblIndicators!A27</f>
        <v>26</v>
      </c>
      <c r="B27" s="367">
        <f>tblIndicators!G27</f>
        <v>3</v>
      </c>
      <c r="C27" s="837" t="s">
        <v>996</v>
      </c>
      <c r="D27" s="837" t="s">
        <v>996</v>
      </c>
      <c r="E27" s="837" t="s">
        <v>387</v>
      </c>
      <c r="F27" s="837" t="s">
        <v>1238</v>
      </c>
      <c r="G27" s="837"/>
      <c r="H27" s="837"/>
      <c r="I27" s="837" t="s">
        <v>1214</v>
      </c>
      <c r="J27" s="837" t="s">
        <v>1103</v>
      </c>
      <c r="K27" s="837" t="s">
        <v>1197</v>
      </c>
      <c r="L27" s="837">
        <v>2021</v>
      </c>
      <c r="M27" s="837" t="s">
        <v>575</v>
      </c>
      <c r="N27" s="975">
        <v>0</v>
      </c>
      <c r="O27" s="837"/>
      <c r="P27" s="272">
        <f>tblIndicators!AS27</f>
        <v>4</v>
      </c>
      <c r="Q27" s="837" t="s">
        <v>1273</v>
      </c>
      <c r="R27" s="837" t="s">
        <v>1175</v>
      </c>
      <c r="S27" s="837" t="s">
        <v>1176</v>
      </c>
      <c r="T27" s="837" t="s">
        <v>1274</v>
      </c>
      <c r="U27" s="837"/>
      <c r="V27"/>
      <c r="W27" s="837"/>
      <c r="X27" s="1081">
        <v>3</v>
      </c>
      <c r="Y27" s="1081">
        <v>1</v>
      </c>
      <c r="Z27" s="1081">
        <v>0</v>
      </c>
      <c r="AA27" s="1081">
        <v>3</v>
      </c>
      <c r="AB27" s="1081">
        <v>2</v>
      </c>
      <c r="AC27" s="1081">
        <v>3</v>
      </c>
      <c r="AD27" s="1081">
        <v>2</v>
      </c>
      <c r="AE27" s="1081">
        <v>2</v>
      </c>
      <c r="AF27" s="1081">
        <v>3</v>
      </c>
      <c r="AG27" s="1081">
        <v>3</v>
      </c>
      <c r="AH27" s="1081">
        <v>3</v>
      </c>
      <c r="AI27" s="1081">
        <v>2</v>
      </c>
      <c r="AJ27" s="1081">
        <v>3</v>
      </c>
      <c r="AK27" s="1081">
        <v>2</v>
      </c>
      <c r="AL27" s="1081">
        <v>2</v>
      </c>
      <c r="AM27" s="1081">
        <v>1</v>
      </c>
      <c r="AN27" s="1081">
        <v>0</v>
      </c>
      <c r="AO27" s="1081">
        <v>0</v>
      </c>
      <c r="AP27" s="1081">
        <v>1</v>
      </c>
      <c r="AQ27" s="1081">
        <v>2</v>
      </c>
      <c r="AR27" s="1081">
        <v>3</v>
      </c>
      <c r="AS27" s="1081">
        <v>3</v>
      </c>
      <c r="AT27" s="1081">
        <v>0</v>
      </c>
      <c r="AU27" s="1081">
        <v>2</v>
      </c>
      <c r="AV27" s="1081">
        <v>2</v>
      </c>
      <c r="AW27" s="1081">
        <v>3</v>
      </c>
      <c r="AX27" s="1081">
        <v>1</v>
      </c>
      <c r="AY27" s="1081">
        <v>2</v>
      </c>
      <c r="AZ27" s="1081">
        <v>2</v>
      </c>
      <c r="BA27" s="1081">
        <v>3</v>
      </c>
      <c r="BC27" s="975">
        <v>2</v>
      </c>
      <c r="BE27" s="837"/>
      <c r="BF27" s="975"/>
      <c r="BG27" s="975"/>
      <c r="BH27" s="975"/>
      <c r="BI27" s="975"/>
      <c r="BJ27" s="975"/>
      <c r="BK27" s="975"/>
      <c r="BL27" s="975"/>
      <c r="BM27" s="975"/>
      <c r="BN27" s="975"/>
      <c r="BO27" s="975"/>
      <c r="BP27" s="975"/>
      <c r="BQ27" s="975"/>
      <c r="BR27" s="975"/>
      <c r="BS27" s="975"/>
      <c r="BT27" s="975"/>
      <c r="BU27" s="975"/>
      <c r="BV27" s="975"/>
      <c r="BW27" s="975"/>
      <c r="BX27" s="975"/>
      <c r="BY27" s="975"/>
      <c r="BZ27" s="975"/>
      <c r="CA27" s="975"/>
      <c r="CB27" s="975"/>
      <c r="CC27" s="975"/>
      <c r="CD27" s="975"/>
      <c r="CE27" s="975"/>
      <c r="CF27" s="975"/>
      <c r="CG27" s="975"/>
      <c r="CH27" s="975"/>
      <c r="CI27" s="975"/>
    </row>
    <row r="28" spans="1:87" s="367" customFormat="1" ht="30" customHeight="1" thickBot="1">
      <c r="A28" s="837">
        <f>tblIndicators!A28</f>
        <v>27</v>
      </c>
      <c r="B28" s="367">
        <f>tblIndicators!G28</f>
        <v>3</v>
      </c>
      <c r="C28" s="837" t="s">
        <v>781</v>
      </c>
      <c r="D28" s="837" t="s">
        <v>781</v>
      </c>
      <c r="E28" s="837" t="s">
        <v>388</v>
      </c>
      <c r="F28" s="837" t="s">
        <v>1239</v>
      </c>
      <c r="G28" s="837"/>
      <c r="H28" s="837"/>
      <c r="I28" s="837" t="s">
        <v>1221</v>
      </c>
      <c r="J28" s="837" t="s">
        <v>1103</v>
      </c>
      <c r="K28" s="837" t="s">
        <v>1198</v>
      </c>
      <c r="L28" s="837">
        <v>2021</v>
      </c>
      <c r="M28" s="837" t="s">
        <v>575</v>
      </c>
      <c r="N28" s="975">
        <v>0</v>
      </c>
      <c r="O28" s="837"/>
      <c r="P28" s="272">
        <f>tblIndicators!AS28</f>
        <v>3</v>
      </c>
      <c r="Q28" s="837" t="s">
        <v>1177</v>
      </c>
      <c r="R28" s="837" t="s">
        <v>1178</v>
      </c>
      <c r="S28" s="837" t="s">
        <v>1272</v>
      </c>
      <c r="T28" s="837"/>
      <c r="U28" s="837"/>
      <c r="V28"/>
      <c r="W28" s="837"/>
      <c r="X28" s="1082">
        <v>2</v>
      </c>
      <c r="Y28" s="1082">
        <v>1</v>
      </c>
      <c r="Z28" s="1082">
        <v>1</v>
      </c>
      <c r="AA28" s="1082">
        <v>2</v>
      </c>
      <c r="AB28" s="1082">
        <v>2</v>
      </c>
      <c r="AC28" s="1082">
        <v>1</v>
      </c>
      <c r="AD28" s="1082">
        <v>1</v>
      </c>
      <c r="AE28" s="1082">
        <v>1</v>
      </c>
      <c r="AF28" s="1082">
        <v>1</v>
      </c>
      <c r="AG28" s="1082">
        <v>2</v>
      </c>
      <c r="AH28" s="1082">
        <v>2</v>
      </c>
      <c r="AI28" s="1082">
        <v>2</v>
      </c>
      <c r="AJ28" s="1082">
        <v>1</v>
      </c>
      <c r="AK28" s="1082">
        <v>2</v>
      </c>
      <c r="AL28" s="1082">
        <v>2</v>
      </c>
      <c r="AM28" s="1082">
        <v>2</v>
      </c>
      <c r="AN28" s="1082">
        <v>1</v>
      </c>
      <c r="AO28" s="1082">
        <v>1</v>
      </c>
      <c r="AP28" s="1082">
        <v>0</v>
      </c>
      <c r="AQ28" s="1082">
        <v>1</v>
      </c>
      <c r="AR28" s="1082">
        <v>2</v>
      </c>
      <c r="AS28" s="1082">
        <v>2</v>
      </c>
      <c r="AT28" s="1082">
        <v>0</v>
      </c>
      <c r="AU28" s="1082">
        <v>2</v>
      </c>
      <c r="AV28" s="1082">
        <v>2</v>
      </c>
      <c r="AW28" s="1082">
        <v>2</v>
      </c>
      <c r="AX28" s="1082">
        <v>2</v>
      </c>
      <c r="AY28" s="1082">
        <v>0</v>
      </c>
      <c r="AZ28" s="1082">
        <v>1</v>
      </c>
      <c r="BA28" s="1082">
        <v>1</v>
      </c>
      <c r="BC28" s="975">
        <v>2</v>
      </c>
      <c r="BE28" s="837"/>
      <c r="BF28" s="975"/>
      <c r="BG28" s="975"/>
      <c r="BH28" s="975"/>
      <c r="BI28" s="975"/>
      <c r="BJ28" s="975"/>
      <c r="BK28" s="975"/>
      <c r="BL28" s="975"/>
      <c r="BM28" s="975"/>
      <c r="BN28" s="975"/>
      <c r="BO28" s="975"/>
      <c r="BP28" s="975"/>
      <c r="BQ28" s="975"/>
      <c r="BR28" s="975"/>
      <c r="BS28" s="975"/>
      <c r="BT28" s="975"/>
      <c r="BU28" s="975"/>
      <c r="BV28" s="975"/>
      <c r="BW28" s="975"/>
      <c r="BX28" s="975"/>
      <c r="BY28" s="975"/>
      <c r="BZ28" s="975"/>
      <c r="CA28" s="975"/>
      <c r="CB28" s="975"/>
      <c r="CC28" s="975"/>
      <c r="CD28" s="975"/>
      <c r="CE28" s="975"/>
      <c r="CF28" s="975"/>
      <c r="CG28" s="975"/>
      <c r="CH28" s="975"/>
      <c r="CI28" s="975"/>
    </row>
    <row r="29" spans="1:87" s="367" customFormat="1" ht="20.149999999999999" customHeight="1" thickBot="1">
      <c r="A29" s="837">
        <f>tblIndicators!A29</f>
        <v>28</v>
      </c>
      <c r="B29" s="367">
        <f>tblIndicators!G29</f>
        <v>2</v>
      </c>
      <c r="C29" s="837" t="s">
        <v>782</v>
      </c>
      <c r="D29" s="837" t="s">
        <v>782</v>
      </c>
      <c r="E29" s="837" t="s">
        <v>782</v>
      </c>
      <c r="F29" s="837"/>
      <c r="G29" s="837"/>
      <c r="H29" s="837"/>
      <c r="I29" s="837"/>
      <c r="J29" s="353" t="s">
        <v>1156</v>
      </c>
      <c r="K29" s="837"/>
      <c r="L29" s="837"/>
      <c r="M29" s="837"/>
      <c r="N29" s="975">
        <v>1</v>
      </c>
      <c r="O29" s="837"/>
      <c r="P29" s="272">
        <f>tblIndicators!AS29</f>
        <v>1</v>
      </c>
      <c r="Q29" s="837"/>
      <c r="R29" s="837"/>
      <c r="S29" s="837"/>
      <c r="T29" s="837"/>
      <c r="U29" s="837"/>
      <c r="V29"/>
      <c r="W29" s="837"/>
      <c r="X29" s="975"/>
      <c r="Y29" s="975"/>
      <c r="Z29" s="975"/>
      <c r="AA29" s="975"/>
      <c r="AB29" s="975"/>
      <c r="AC29" s="975"/>
      <c r="AD29" s="975"/>
      <c r="AE29" s="975"/>
      <c r="AF29" s="975"/>
      <c r="AG29" s="975"/>
      <c r="AH29" s="975"/>
      <c r="AI29" s="975"/>
      <c r="AJ29" s="975"/>
      <c r="AK29" s="975"/>
      <c r="AL29" s="975"/>
      <c r="AM29" s="975"/>
      <c r="AN29" s="975"/>
      <c r="AO29" s="975"/>
      <c r="AP29" s="975"/>
      <c r="AQ29" s="975"/>
      <c r="AR29" s="975"/>
      <c r="AS29" s="975"/>
      <c r="AT29" s="975"/>
      <c r="AU29" s="975"/>
      <c r="AV29" s="975"/>
      <c r="AW29" s="975"/>
      <c r="AX29" s="975"/>
      <c r="AY29" s="975"/>
      <c r="AZ29" s="975"/>
      <c r="BA29" s="975"/>
      <c r="BC29" s="975">
        <v>1</v>
      </c>
      <c r="BE29" s="837"/>
      <c r="BF29" s="975"/>
      <c r="BG29" s="975"/>
      <c r="BH29" s="975"/>
      <c r="BI29" s="975"/>
      <c r="BJ29" s="975"/>
      <c r="BK29" s="975"/>
      <c r="BL29" s="975"/>
      <c r="BM29" s="975"/>
      <c r="BN29" s="975"/>
      <c r="BO29" s="975"/>
      <c r="BP29" s="975"/>
      <c r="BQ29" s="975"/>
      <c r="BR29" s="975"/>
      <c r="BS29" s="975"/>
      <c r="BT29" s="975"/>
      <c r="BU29" s="975"/>
      <c r="BV29" s="975"/>
      <c r="BW29" s="975"/>
      <c r="BX29" s="975"/>
      <c r="BY29" s="975"/>
      <c r="BZ29" s="975"/>
      <c r="CA29" s="975"/>
      <c r="CB29" s="975"/>
      <c r="CC29" s="975"/>
      <c r="CD29" s="975"/>
      <c r="CE29" s="975"/>
      <c r="CF29" s="975"/>
      <c r="CG29" s="975"/>
      <c r="CH29" s="975"/>
      <c r="CI29" s="975"/>
    </row>
    <row r="30" spans="1:87" s="367" customFormat="1" ht="30" customHeight="1" thickBot="1">
      <c r="A30" s="837">
        <f>tblIndicators!A30</f>
        <v>29</v>
      </c>
      <c r="B30" s="367">
        <f>tblIndicators!G30</f>
        <v>3</v>
      </c>
      <c r="C30" s="837" t="s">
        <v>997</v>
      </c>
      <c r="D30" s="837" t="s">
        <v>997</v>
      </c>
      <c r="E30" s="837" t="s">
        <v>429</v>
      </c>
      <c r="F30" s="837" t="s">
        <v>1240</v>
      </c>
      <c r="G30" s="837"/>
      <c r="H30" s="837"/>
      <c r="I30" s="837" t="s">
        <v>1193</v>
      </c>
      <c r="J30" s="837" t="s">
        <v>1155</v>
      </c>
      <c r="K30" s="837" t="s">
        <v>1198</v>
      </c>
      <c r="L30" s="837">
        <v>2021</v>
      </c>
      <c r="M30" s="837" t="s">
        <v>575</v>
      </c>
      <c r="N30" s="975">
        <v>2</v>
      </c>
      <c r="O30" s="837"/>
      <c r="P30" s="272">
        <f>tblIndicators!AS30</f>
        <v>1</v>
      </c>
      <c r="Q30" s="837"/>
      <c r="R30" s="837"/>
      <c r="S30" s="837"/>
      <c r="T30" s="837"/>
      <c r="U30" s="837"/>
      <c r="V30" t="s">
        <v>1182</v>
      </c>
      <c r="W30" s="837"/>
      <c r="X30" s="1081">
        <v>1.58</v>
      </c>
      <c r="Y30" s="1081">
        <v>1.55</v>
      </c>
      <c r="Z30" s="1081">
        <v>0.9</v>
      </c>
      <c r="AA30" s="1081">
        <v>1.85</v>
      </c>
      <c r="AB30" s="1081">
        <v>1.89</v>
      </c>
      <c r="AC30" s="1081">
        <v>1.34</v>
      </c>
      <c r="AD30" s="1081">
        <v>1.81</v>
      </c>
      <c r="AE30" s="1081">
        <v>1.61</v>
      </c>
      <c r="AF30" s="1081">
        <v>0.67</v>
      </c>
      <c r="AG30" s="1081">
        <v>2</v>
      </c>
      <c r="AH30" s="1081">
        <v>0.43</v>
      </c>
      <c r="AI30" s="1075">
        <v>1.78</v>
      </c>
      <c r="AJ30" s="1081">
        <v>0.98</v>
      </c>
      <c r="AK30" s="1081">
        <v>1.89</v>
      </c>
      <c r="AL30" s="1081">
        <v>1.59</v>
      </c>
      <c r="AM30" s="1081">
        <v>0.79</v>
      </c>
      <c r="AN30" s="1081">
        <v>0.9</v>
      </c>
      <c r="AO30" s="1081">
        <v>0.84</v>
      </c>
      <c r="AP30" s="1081">
        <v>1.99</v>
      </c>
      <c r="AQ30" s="1081">
        <v>1.71</v>
      </c>
      <c r="AR30" s="1081">
        <v>1.72</v>
      </c>
      <c r="AS30" s="1081">
        <v>0.65</v>
      </c>
      <c r="AT30" s="1081">
        <v>0.81</v>
      </c>
      <c r="AU30" s="1081">
        <v>0.78</v>
      </c>
      <c r="AV30" s="1081">
        <v>1.72</v>
      </c>
      <c r="AW30" s="1081">
        <v>1.6</v>
      </c>
      <c r="AX30" s="1081">
        <v>0.48</v>
      </c>
      <c r="AY30" s="1081">
        <v>0.55000000000000004</v>
      </c>
      <c r="AZ30" s="1081">
        <v>0.78</v>
      </c>
      <c r="BA30" s="1081">
        <v>0.65</v>
      </c>
      <c r="BC30" s="975">
        <v>2</v>
      </c>
      <c r="BE30" s="837"/>
      <c r="BF30" s="975"/>
      <c r="BG30" s="975"/>
      <c r="BH30" s="975"/>
      <c r="BI30" s="975"/>
      <c r="BJ30" s="975"/>
      <c r="BK30" s="975"/>
      <c r="BL30" s="975"/>
      <c r="BM30" s="975"/>
      <c r="BN30" s="975"/>
      <c r="BO30" s="975"/>
      <c r="BP30" s="975"/>
      <c r="BQ30" s="975"/>
      <c r="BR30" s="975"/>
      <c r="BS30" s="975"/>
      <c r="BT30" s="975"/>
      <c r="BU30" s="975"/>
      <c r="BV30" s="975"/>
      <c r="BW30" s="975"/>
      <c r="BX30" s="975"/>
      <c r="BY30" s="975"/>
      <c r="BZ30" s="975"/>
      <c r="CA30" s="975"/>
      <c r="CB30" s="975"/>
      <c r="CC30" s="975"/>
      <c r="CD30" s="975"/>
      <c r="CE30" s="975"/>
      <c r="CF30" s="975"/>
      <c r="CG30" s="975"/>
      <c r="CH30" s="975"/>
      <c r="CI30" s="975"/>
    </row>
    <row r="31" spans="1:87" s="367" customFormat="1" ht="30" customHeight="1" thickBot="1">
      <c r="A31" s="837">
        <f>tblIndicators!A31</f>
        <v>30</v>
      </c>
      <c r="B31" s="367">
        <f>tblIndicators!G31</f>
        <v>3</v>
      </c>
      <c r="C31" s="837" t="s">
        <v>1180</v>
      </c>
      <c r="D31" s="837" t="s">
        <v>1180</v>
      </c>
      <c r="E31" s="837" t="s">
        <v>430</v>
      </c>
      <c r="F31" s="837" t="s">
        <v>1241</v>
      </c>
      <c r="G31" s="837"/>
      <c r="H31" s="837"/>
      <c r="I31" s="837" t="s">
        <v>1213</v>
      </c>
      <c r="J31" s="837" t="s">
        <v>1103</v>
      </c>
      <c r="K31" s="837" t="s">
        <v>1198</v>
      </c>
      <c r="L31" s="837">
        <v>2021</v>
      </c>
      <c r="M31" s="837" t="s">
        <v>575</v>
      </c>
      <c r="N31" s="975">
        <v>0</v>
      </c>
      <c r="O31" s="837"/>
      <c r="P31" s="272">
        <f>tblIndicators!AS31</f>
        <v>3</v>
      </c>
      <c r="Q31" s="837" t="s">
        <v>1294</v>
      </c>
      <c r="R31" s="837" t="s">
        <v>1292</v>
      </c>
      <c r="S31" s="837" t="s">
        <v>1293</v>
      </c>
      <c r="T31" s="837"/>
      <c r="U31" s="837"/>
      <c r="V31" s="837" t="s">
        <v>1182</v>
      </c>
      <c r="W31" s="837"/>
      <c r="X31" s="1079">
        <v>2</v>
      </c>
      <c r="Y31" s="1079">
        <v>0</v>
      </c>
      <c r="Z31" s="1079">
        <v>1</v>
      </c>
      <c r="AA31" s="1079">
        <v>2</v>
      </c>
      <c r="AB31" s="1079">
        <v>2</v>
      </c>
      <c r="AC31" s="1079">
        <v>1</v>
      </c>
      <c r="AD31" s="1079">
        <v>2</v>
      </c>
      <c r="AE31" s="1079">
        <v>2</v>
      </c>
      <c r="AF31" s="1079">
        <v>2</v>
      </c>
      <c r="AG31" s="1079">
        <v>1</v>
      </c>
      <c r="AH31" s="1079">
        <v>1</v>
      </c>
      <c r="AI31" s="1079">
        <v>1</v>
      </c>
      <c r="AJ31" s="1079">
        <v>0</v>
      </c>
      <c r="AK31" s="1079">
        <v>1</v>
      </c>
      <c r="AL31" s="1079">
        <v>2</v>
      </c>
      <c r="AM31" s="1079">
        <v>2</v>
      </c>
      <c r="AN31" s="1079">
        <v>1</v>
      </c>
      <c r="AO31" s="1079">
        <v>1</v>
      </c>
      <c r="AP31" s="1079">
        <v>1</v>
      </c>
      <c r="AQ31" s="1079">
        <v>2</v>
      </c>
      <c r="AR31" s="1079">
        <v>1</v>
      </c>
      <c r="AS31" s="1079">
        <v>2</v>
      </c>
      <c r="AT31" s="1079">
        <v>2</v>
      </c>
      <c r="AU31" s="1079">
        <v>2</v>
      </c>
      <c r="AV31" s="1079">
        <v>1</v>
      </c>
      <c r="AW31" s="1079">
        <v>2</v>
      </c>
      <c r="AX31" s="1079">
        <v>1</v>
      </c>
      <c r="AY31" s="1079">
        <v>2</v>
      </c>
      <c r="AZ31" s="1079">
        <v>2</v>
      </c>
      <c r="BA31" s="1079">
        <v>2</v>
      </c>
      <c r="BC31" s="975">
        <v>2</v>
      </c>
      <c r="BE31" s="837"/>
      <c r="BF31" s="975"/>
      <c r="BG31" s="975"/>
      <c r="BH31" s="975"/>
      <c r="BI31" s="975"/>
      <c r="BJ31" s="975"/>
      <c r="BK31" s="975"/>
      <c r="BL31" s="975"/>
      <c r="BM31" s="975"/>
      <c r="BN31" s="975"/>
      <c r="BO31" s="975"/>
      <c r="BP31" s="975"/>
      <c r="BQ31" s="975"/>
      <c r="BR31" s="975"/>
      <c r="BS31" s="975"/>
      <c r="BT31" s="975"/>
      <c r="BU31" s="975"/>
      <c r="BV31" s="975"/>
      <c r="BW31" s="975"/>
      <c r="BX31" s="975"/>
      <c r="BY31" s="975"/>
      <c r="BZ31" s="975"/>
      <c r="CA31" s="975"/>
      <c r="CB31" s="975"/>
      <c r="CC31" s="975"/>
      <c r="CD31" s="975"/>
      <c r="CE31" s="975"/>
      <c r="CF31" s="975"/>
      <c r="CG31" s="975"/>
      <c r="CH31" s="975"/>
      <c r="CI31" s="975"/>
    </row>
    <row r="32" spans="1:87" s="367" customFormat="1" ht="30" customHeight="1" thickBot="1">
      <c r="A32" s="837">
        <f>tblIndicators!A32</f>
        <v>31</v>
      </c>
      <c r="B32" s="367">
        <f>tblIndicators!G32</f>
        <v>3</v>
      </c>
      <c r="C32" s="837" t="s">
        <v>998</v>
      </c>
      <c r="D32" s="837" t="s">
        <v>998</v>
      </c>
      <c r="E32" s="837" t="s">
        <v>431</v>
      </c>
      <c r="F32" s="837" t="s">
        <v>1242</v>
      </c>
      <c r="G32" s="837"/>
      <c r="H32" s="837"/>
      <c r="I32" s="837" t="s">
        <v>1290</v>
      </c>
      <c r="J32" s="837" t="s">
        <v>1103</v>
      </c>
      <c r="K32" s="837" t="s">
        <v>1198</v>
      </c>
      <c r="L32" s="837">
        <v>2021</v>
      </c>
      <c r="M32" s="837" t="s">
        <v>575</v>
      </c>
      <c r="N32" s="975">
        <v>0</v>
      </c>
      <c r="O32" s="837"/>
      <c r="P32" s="272">
        <f>tblIndicators!AS32</f>
        <v>3</v>
      </c>
      <c r="Q32" s="837" t="s">
        <v>1243</v>
      </c>
      <c r="R32" s="837" t="s">
        <v>931</v>
      </c>
      <c r="S32" s="837" t="s">
        <v>932</v>
      </c>
      <c r="T32" s="837"/>
      <c r="U32" s="837"/>
      <c r="V32"/>
      <c r="W32" s="837"/>
      <c r="X32" s="1083">
        <v>2</v>
      </c>
      <c r="Y32" s="1083">
        <v>2</v>
      </c>
      <c r="Z32" s="1083">
        <v>2</v>
      </c>
      <c r="AA32" s="1083">
        <v>2</v>
      </c>
      <c r="AB32" s="1083">
        <v>2</v>
      </c>
      <c r="AC32" s="1083">
        <v>2</v>
      </c>
      <c r="AD32" s="1083">
        <v>1</v>
      </c>
      <c r="AE32" s="1083">
        <v>2</v>
      </c>
      <c r="AF32" s="1083">
        <v>2</v>
      </c>
      <c r="AG32" s="1083">
        <v>2</v>
      </c>
      <c r="AH32" s="1083">
        <v>2</v>
      </c>
      <c r="AI32" s="1083">
        <v>2</v>
      </c>
      <c r="AJ32" s="1083">
        <v>2</v>
      </c>
      <c r="AK32" s="1083">
        <v>2</v>
      </c>
      <c r="AL32" s="1083">
        <v>2</v>
      </c>
      <c r="AM32" s="1083">
        <v>2</v>
      </c>
      <c r="AN32" s="1083">
        <v>2</v>
      </c>
      <c r="AO32" s="1083">
        <v>0</v>
      </c>
      <c r="AP32" s="1083">
        <v>2</v>
      </c>
      <c r="AQ32" s="1083">
        <v>2</v>
      </c>
      <c r="AR32" s="1083">
        <v>2</v>
      </c>
      <c r="AS32" s="1083">
        <v>2</v>
      </c>
      <c r="AT32" s="1083">
        <v>0</v>
      </c>
      <c r="AU32" s="1083">
        <v>0</v>
      </c>
      <c r="AV32" s="1083">
        <v>2</v>
      </c>
      <c r="AW32" s="1083">
        <v>2</v>
      </c>
      <c r="AX32" s="1083">
        <v>2</v>
      </c>
      <c r="AY32" s="1083">
        <v>2</v>
      </c>
      <c r="AZ32" s="1083">
        <v>2</v>
      </c>
      <c r="BA32" s="1083">
        <v>2</v>
      </c>
      <c r="BC32" s="975">
        <v>2</v>
      </c>
      <c r="BE32" s="837"/>
      <c r="BF32" s="975"/>
      <c r="BG32" s="975"/>
      <c r="BH32" s="975"/>
      <c r="BI32" s="975"/>
      <c r="BJ32" s="975"/>
      <c r="BK32" s="975"/>
      <c r="BL32" s="975"/>
      <c r="BM32" s="975"/>
      <c r="BN32" s="975"/>
      <c r="BO32" s="975"/>
      <c r="BP32" s="975"/>
      <c r="BQ32" s="975"/>
      <c r="BR32" s="975"/>
      <c r="BS32" s="975"/>
      <c r="BT32" s="975"/>
      <c r="BU32" s="975"/>
      <c r="BV32" s="975"/>
      <c r="BW32" s="975"/>
      <c r="BX32" s="975"/>
      <c r="BY32" s="975"/>
      <c r="BZ32" s="975"/>
      <c r="CA32" s="975"/>
      <c r="CB32" s="975"/>
      <c r="CC32" s="975"/>
      <c r="CD32" s="975"/>
      <c r="CE32" s="975"/>
      <c r="CF32" s="975"/>
      <c r="CG32" s="975"/>
      <c r="CH32" s="975"/>
      <c r="CI32" s="975"/>
    </row>
    <row r="33" spans="1:87" s="367" customFormat="1" ht="20.149999999999999" customHeight="1">
      <c r="A33" s="837">
        <f>tblIndicators!A33</f>
        <v>32</v>
      </c>
      <c r="B33" s="367">
        <f>tblIndicators!G33</f>
        <v>2</v>
      </c>
      <c r="C33" s="837" t="s">
        <v>783</v>
      </c>
      <c r="D33" s="837" t="s">
        <v>783</v>
      </c>
      <c r="E33" s="837" t="s">
        <v>783</v>
      </c>
      <c r="F33" s="837"/>
      <c r="G33" s="837"/>
      <c r="H33" s="837"/>
      <c r="I33" s="837"/>
      <c r="J33" s="353" t="s">
        <v>1156</v>
      </c>
      <c r="K33" s="837"/>
      <c r="L33" s="837"/>
      <c r="M33" s="837"/>
      <c r="N33" s="975">
        <v>1</v>
      </c>
      <c r="O33" s="837"/>
      <c r="P33" s="272">
        <f>tblIndicators!AS33</f>
        <v>1</v>
      </c>
      <c r="Q33" s="837"/>
      <c r="R33" s="837"/>
      <c r="S33" s="837"/>
      <c r="T33" s="837"/>
      <c r="U33" s="837"/>
      <c r="V33"/>
      <c r="W33" s="837"/>
      <c r="X33" s="975"/>
      <c r="Y33" s="975"/>
      <c r="Z33" s="975"/>
      <c r="AA33" s="975"/>
      <c r="AB33" s="975"/>
      <c r="AC33" s="975"/>
      <c r="AD33" s="975"/>
      <c r="AE33" s="975"/>
      <c r="AF33" s="975"/>
      <c r="AG33" s="975"/>
      <c r="AH33" s="975"/>
      <c r="AI33" s="975"/>
      <c r="AJ33" s="975"/>
      <c r="AK33" s="975"/>
      <c r="AL33" s="975"/>
      <c r="AM33" s="975"/>
      <c r="AN33" s="975"/>
      <c r="AO33" s="975"/>
      <c r="AP33" s="975"/>
      <c r="AQ33" s="975"/>
      <c r="AR33" s="975"/>
      <c r="AS33" s="975"/>
      <c r="AT33" s="975"/>
      <c r="AU33" s="975"/>
      <c r="AV33" s="975"/>
      <c r="AW33" s="975"/>
      <c r="AX33" s="975"/>
      <c r="AY33" s="975"/>
      <c r="AZ33" s="975"/>
      <c r="BA33" s="975"/>
      <c r="BC33" s="975">
        <v>1</v>
      </c>
      <c r="BE33" s="837"/>
      <c r="BF33" s="975"/>
      <c r="BG33" s="975"/>
      <c r="BH33" s="975"/>
      <c r="BI33" s="975"/>
      <c r="BJ33" s="975"/>
      <c r="BK33" s="975"/>
      <c r="BL33" s="975"/>
      <c r="BM33" s="975"/>
      <c r="BN33" s="975"/>
      <c r="BO33" s="975"/>
      <c r="BP33" s="975"/>
      <c r="BQ33" s="975"/>
      <c r="BR33" s="975"/>
      <c r="BS33" s="975"/>
      <c r="BT33" s="975"/>
      <c r="BU33" s="975"/>
      <c r="BV33" s="975"/>
      <c r="BW33" s="975"/>
      <c r="BX33" s="975"/>
      <c r="BY33" s="975"/>
      <c r="BZ33" s="975"/>
      <c r="CA33" s="975"/>
      <c r="CB33" s="975"/>
      <c r="CC33" s="975"/>
      <c r="CD33" s="975"/>
      <c r="CE33" s="975"/>
      <c r="CF33" s="975"/>
      <c r="CG33" s="975"/>
      <c r="CH33" s="975"/>
      <c r="CI33" s="975"/>
    </row>
    <row r="34" spans="1:87" s="367" customFormat="1" ht="30" customHeight="1">
      <c r="A34" s="837">
        <f>tblIndicators!A34</f>
        <v>33</v>
      </c>
      <c r="B34" s="367">
        <f>tblIndicators!G34</f>
        <v>3</v>
      </c>
      <c r="C34" s="837" t="s">
        <v>1102</v>
      </c>
      <c r="D34" s="837" t="s">
        <v>1102</v>
      </c>
      <c r="E34" s="837" t="s">
        <v>506</v>
      </c>
      <c r="F34" s="837" t="s">
        <v>1244</v>
      </c>
      <c r="G34" s="837"/>
      <c r="H34" s="837"/>
      <c r="I34" s="837" t="s">
        <v>1245</v>
      </c>
      <c r="J34" s="837" t="s">
        <v>1103</v>
      </c>
      <c r="K34" s="837" t="s">
        <v>1198</v>
      </c>
      <c r="L34" s="837">
        <v>2021</v>
      </c>
      <c r="M34" s="837" t="s">
        <v>575</v>
      </c>
      <c r="N34" s="975">
        <v>0</v>
      </c>
      <c r="O34" s="837"/>
      <c r="P34" s="272">
        <f>tblIndicators!AS34</f>
        <v>3</v>
      </c>
      <c r="Q34" s="837" t="s">
        <v>1276</v>
      </c>
      <c r="R34" s="837" t="s">
        <v>1101</v>
      </c>
      <c r="S34" s="837" t="s">
        <v>1275</v>
      </c>
      <c r="T34" s="837"/>
      <c r="U34" s="837"/>
      <c r="V34"/>
      <c r="W34" s="837"/>
      <c r="X34" s="975">
        <v>2</v>
      </c>
      <c r="Y34" s="975">
        <v>1</v>
      </c>
      <c r="Z34" s="975">
        <v>1</v>
      </c>
      <c r="AA34" s="975">
        <v>2</v>
      </c>
      <c r="AB34" s="975">
        <v>1</v>
      </c>
      <c r="AC34" s="975">
        <v>2</v>
      </c>
      <c r="AD34" s="975">
        <v>0</v>
      </c>
      <c r="AE34" s="975">
        <v>2</v>
      </c>
      <c r="AF34" s="975">
        <v>2</v>
      </c>
      <c r="AG34" s="975">
        <v>1</v>
      </c>
      <c r="AH34" s="975">
        <v>2</v>
      </c>
      <c r="AI34" s="975">
        <v>2</v>
      </c>
      <c r="AJ34" s="975">
        <v>0</v>
      </c>
      <c r="AK34" s="975">
        <v>1</v>
      </c>
      <c r="AL34" s="975">
        <v>2</v>
      </c>
      <c r="AM34" s="975">
        <v>2</v>
      </c>
      <c r="AN34" s="975">
        <v>1</v>
      </c>
      <c r="AO34" s="975">
        <v>1</v>
      </c>
      <c r="AP34" s="975">
        <v>1</v>
      </c>
      <c r="AQ34" s="975">
        <v>2</v>
      </c>
      <c r="AR34" s="975">
        <v>1</v>
      </c>
      <c r="AS34" s="975">
        <v>2</v>
      </c>
      <c r="AT34" s="975">
        <v>1</v>
      </c>
      <c r="AU34" s="975">
        <v>1</v>
      </c>
      <c r="AV34" s="975">
        <v>2</v>
      </c>
      <c r="AW34" s="975">
        <v>2</v>
      </c>
      <c r="AX34" s="975">
        <v>2</v>
      </c>
      <c r="AY34" s="975">
        <v>2</v>
      </c>
      <c r="AZ34" s="975">
        <v>2</v>
      </c>
      <c r="BA34" s="975">
        <v>1</v>
      </c>
      <c r="BC34" s="975">
        <v>2</v>
      </c>
      <c r="BE34" s="837"/>
      <c r="BF34" s="975"/>
      <c r="BG34" s="975"/>
      <c r="BH34" s="975"/>
      <c r="BI34" s="975"/>
      <c r="BJ34" s="975"/>
      <c r="BK34" s="975"/>
      <c r="BL34" s="975"/>
      <c r="BM34" s="975"/>
      <c r="BN34" s="975"/>
      <c r="BO34" s="975"/>
      <c r="BP34" s="975"/>
      <c r="BQ34" s="975"/>
      <c r="BR34" s="975"/>
      <c r="BS34" s="975"/>
      <c r="BT34" s="975"/>
      <c r="BU34" s="975"/>
      <c r="BV34" s="975"/>
      <c r="BW34" s="975"/>
      <c r="BX34" s="975"/>
      <c r="BY34" s="975"/>
      <c r="BZ34" s="975"/>
      <c r="CA34" s="975"/>
      <c r="CB34" s="975"/>
      <c r="CC34" s="975"/>
      <c r="CD34" s="975"/>
      <c r="CE34" s="975"/>
      <c r="CF34" s="975"/>
      <c r="CG34" s="975"/>
      <c r="CH34" s="975"/>
      <c r="CI34" s="975"/>
    </row>
    <row r="35" spans="1:87" s="367" customFormat="1" ht="20.149999999999999" customHeight="1">
      <c r="A35" s="837">
        <f>tblIndicators!A35</f>
        <v>34</v>
      </c>
      <c r="B35" s="367">
        <f>tblIndicators!G35</f>
        <v>2</v>
      </c>
      <c r="C35" s="837" t="s">
        <v>784</v>
      </c>
      <c r="D35" s="837" t="s">
        <v>784</v>
      </c>
      <c r="E35" s="837" t="s">
        <v>784</v>
      </c>
      <c r="F35" s="837"/>
      <c r="G35" s="837"/>
      <c r="H35" s="837"/>
      <c r="I35" s="837"/>
      <c r="J35" s="353" t="s">
        <v>1156</v>
      </c>
      <c r="K35" s="837"/>
      <c r="L35" s="837"/>
      <c r="M35" s="837"/>
      <c r="N35" s="975">
        <v>1</v>
      </c>
      <c r="O35" s="837"/>
      <c r="P35" s="272">
        <f>tblIndicators!AS35</f>
        <v>1</v>
      </c>
      <c r="Q35" s="837"/>
      <c r="R35" s="837"/>
      <c r="S35" s="837"/>
      <c r="T35" s="837"/>
      <c r="U35" s="837"/>
      <c r="V35"/>
      <c r="W35" s="837"/>
      <c r="X35" s="975"/>
      <c r="Y35" s="975"/>
      <c r="Z35" s="975"/>
      <c r="AA35" s="975"/>
      <c r="AB35" s="975"/>
      <c r="AC35" s="975"/>
      <c r="AD35" s="975"/>
      <c r="AE35" s="975"/>
      <c r="AF35" s="975"/>
      <c r="AG35" s="975"/>
      <c r="AH35" s="975"/>
      <c r="AI35" s="975"/>
      <c r="AJ35" s="975"/>
      <c r="AK35" s="975"/>
      <c r="AL35" s="975"/>
      <c r="AM35" s="975"/>
      <c r="AN35" s="975"/>
      <c r="AO35" s="975"/>
      <c r="AP35" s="975"/>
      <c r="AQ35" s="975"/>
      <c r="AR35" s="975"/>
      <c r="AS35" s="975"/>
      <c r="AT35" s="975"/>
      <c r="AU35" s="975"/>
      <c r="AV35" s="975"/>
      <c r="AW35" s="975"/>
      <c r="AX35" s="975"/>
      <c r="AY35" s="975"/>
      <c r="AZ35" s="975"/>
      <c r="BA35" s="975"/>
      <c r="BC35" s="975">
        <v>1</v>
      </c>
      <c r="BE35" s="837"/>
      <c r="BF35" s="975"/>
      <c r="BG35" s="975"/>
      <c r="BH35" s="975"/>
      <c r="BI35" s="975"/>
      <c r="BJ35" s="975"/>
      <c r="BK35" s="975"/>
      <c r="BL35" s="975"/>
      <c r="BM35" s="975"/>
      <c r="BN35" s="975"/>
      <c r="BO35" s="975"/>
      <c r="BP35" s="975"/>
      <c r="BQ35" s="975"/>
      <c r="BR35" s="975"/>
      <c r="BS35" s="975"/>
      <c r="BT35" s="975"/>
      <c r="BU35" s="975"/>
      <c r="BV35" s="975"/>
      <c r="BW35" s="975"/>
      <c r="BX35" s="975"/>
      <c r="BY35" s="975"/>
      <c r="BZ35" s="975"/>
      <c r="CA35" s="975"/>
      <c r="CB35" s="975"/>
      <c r="CC35" s="975"/>
      <c r="CD35" s="975"/>
      <c r="CE35" s="975"/>
      <c r="CF35" s="975"/>
      <c r="CG35" s="975"/>
      <c r="CH35" s="975"/>
      <c r="CI35" s="975"/>
    </row>
    <row r="36" spans="1:87" s="367" customFormat="1" ht="30" customHeight="1" thickBot="1">
      <c r="A36" s="837">
        <f>tblIndicators!A36</f>
        <v>35</v>
      </c>
      <c r="B36" s="367">
        <f>tblIndicators!G36</f>
        <v>3</v>
      </c>
      <c r="C36" s="837" t="s">
        <v>999</v>
      </c>
      <c r="D36" s="837" t="s">
        <v>999</v>
      </c>
      <c r="E36" s="837" t="s">
        <v>726</v>
      </c>
      <c r="F36" s="837" t="s">
        <v>1246</v>
      </c>
      <c r="G36" s="837"/>
      <c r="H36" s="837"/>
      <c r="I36" s="837" t="s">
        <v>1249</v>
      </c>
      <c r="J36" s="837" t="s">
        <v>1104</v>
      </c>
      <c r="K36" s="837" t="s">
        <v>350</v>
      </c>
      <c r="L36" s="837">
        <v>2021</v>
      </c>
      <c r="M36" s="837" t="s">
        <v>575</v>
      </c>
      <c r="N36" s="975">
        <v>1</v>
      </c>
      <c r="O36" s="837"/>
      <c r="P36" s="272">
        <f>tblIndicators!AS36</f>
        <v>1</v>
      </c>
      <c r="Q36" s="837"/>
      <c r="R36" s="837"/>
      <c r="S36" s="837"/>
      <c r="T36" s="837"/>
      <c r="U36" s="837"/>
      <c r="V36"/>
      <c r="W36" s="837"/>
      <c r="X36" s="975">
        <v>13.270000000000001</v>
      </c>
      <c r="Y36" s="975">
        <v>7.64</v>
      </c>
      <c r="Z36" s="975">
        <v>11.4</v>
      </c>
      <c r="AA36" s="975">
        <v>10.11</v>
      </c>
      <c r="AB36" s="975">
        <v>9.2799999999999994</v>
      </c>
      <c r="AC36" s="975">
        <v>10.18</v>
      </c>
      <c r="AD36" s="975">
        <v>8.57</v>
      </c>
      <c r="AE36" s="975">
        <v>17.66</v>
      </c>
      <c r="AF36" s="975">
        <v>10.27</v>
      </c>
      <c r="AG36" s="975">
        <v>5.94</v>
      </c>
      <c r="AH36" s="975">
        <v>10.18</v>
      </c>
      <c r="AI36" s="975">
        <v>9.48</v>
      </c>
      <c r="AJ36" s="975">
        <v>6.5699999999999994</v>
      </c>
      <c r="AK36" s="975">
        <v>4.2700000000000005</v>
      </c>
      <c r="AL36" s="975">
        <v>16.950000000000003</v>
      </c>
      <c r="AM36" s="975">
        <v>10.11</v>
      </c>
      <c r="AN36" s="975">
        <v>2.4</v>
      </c>
      <c r="AO36" s="975">
        <v>5.24</v>
      </c>
      <c r="AP36" s="975">
        <v>6.64</v>
      </c>
      <c r="AQ36" s="975">
        <v>10.27</v>
      </c>
      <c r="AR36" s="975">
        <v>11.84</v>
      </c>
      <c r="AS36" s="975">
        <v>5.59</v>
      </c>
      <c r="AT36" s="975">
        <v>4.25</v>
      </c>
      <c r="AU36" s="975">
        <v>7.35</v>
      </c>
      <c r="AV36" s="975">
        <v>5.19</v>
      </c>
      <c r="AW36" s="975">
        <v>5.5</v>
      </c>
      <c r="AX36" s="975">
        <v>8.99</v>
      </c>
      <c r="AY36" s="975">
        <v>8.85</v>
      </c>
      <c r="AZ36" s="975">
        <v>10.27</v>
      </c>
      <c r="BA36" s="975">
        <v>10.050000000000001</v>
      </c>
      <c r="BC36" s="975">
        <v>2</v>
      </c>
      <c r="BE36" s="837"/>
      <c r="BF36" s="975"/>
      <c r="BG36" s="975"/>
      <c r="BH36" s="975"/>
      <c r="BI36" s="975"/>
      <c r="BJ36" s="975"/>
      <c r="BK36" s="975"/>
      <c r="BL36" s="975"/>
      <c r="BM36" s="975"/>
      <c r="BN36" s="975"/>
      <c r="BO36" s="975"/>
      <c r="BP36" s="975"/>
      <c r="BQ36" s="975"/>
      <c r="BR36" s="975"/>
      <c r="BS36" s="975"/>
      <c r="BT36" s="975"/>
      <c r="BU36" s="975"/>
      <c r="BV36" s="975"/>
      <c r="BW36" s="975"/>
      <c r="BX36" s="975"/>
      <c r="BY36" s="975"/>
      <c r="BZ36" s="975"/>
      <c r="CA36" s="975"/>
      <c r="CB36" s="975"/>
      <c r="CC36" s="975"/>
      <c r="CD36" s="975"/>
      <c r="CE36" s="975"/>
      <c r="CF36" s="975"/>
      <c r="CG36" s="975"/>
      <c r="CH36" s="975"/>
      <c r="CI36" s="975"/>
    </row>
    <row r="37" spans="1:87" s="367" customFormat="1" ht="30" customHeight="1" thickBot="1">
      <c r="A37" s="837">
        <f>tblIndicators!A37</f>
        <v>36</v>
      </c>
      <c r="B37" s="367">
        <f>tblIndicators!G37</f>
        <v>3</v>
      </c>
      <c r="C37" s="837" t="s">
        <v>1105</v>
      </c>
      <c r="D37" s="837" t="s">
        <v>1105</v>
      </c>
      <c r="E37" s="837" t="s">
        <v>727</v>
      </c>
      <c r="F37" s="837" t="s">
        <v>1247</v>
      </c>
      <c r="G37" s="837"/>
      <c r="H37" s="837"/>
      <c r="I37" s="837" t="s">
        <v>1248</v>
      </c>
      <c r="J37" s="837" t="s">
        <v>1103</v>
      </c>
      <c r="K37" s="837" t="s">
        <v>1199</v>
      </c>
      <c r="L37" s="837">
        <v>2021</v>
      </c>
      <c r="M37" s="837" t="s">
        <v>575</v>
      </c>
      <c r="N37" s="975">
        <v>0</v>
      </c>
      <c r="O37" s="837"/>
      <c r="P37" s="272">
        <f>tblIndicators!AS37</f>
        <v>2</v>
      </c>
      <c r="Q37" s="837" t="s">
        <v>929</v>
      </c>
      <c r="R37" s="837" t="s">
        <v>930</v>
      </c>
      <c r="S37" s="837"/>
      <c r="T37" s="837"/>
      <c r="U37" s="837"/>
      <c r="V37"/>
      <c r="W37" s="837"/>
      <c r="X37" s="1074">
        <v>0</v>
      </c>
      <c r="Y37" s="1074">
        <v>0</v>
      </c>
      <c r="Z37" s="1074">
        <v>1</v>
      </c>
      <c r="AA37" s="1074">
        <v>0</v>
      </c>
      <c r="AB37" s="1074">
        <v>0</v>
      </c>
      <c r="AC37" s="1074">
        <v>1</v>
      </c>
      <c r="AD37" s="1074">
        <v>0</v>
      </c>
      <c r="AE37" s="1079">
        <v>1</v>
      </c>
      <c r="AF37" s="1074">
        <v>0</v>
      </c>
      <c r="AG37" s="1079">
        <v>1</v>
      </c>
      <c r="AH37" s="1074">
        <v>0</v>
      </c>
      <c r="AI37" s="1074">
        <v>0</v>
      </c>
      <c r="AJ37" s="1074">
        <v>0</v>
      </c>
      <c r="AK37" s="1074">
        <v>0</v>
      </c>
      <c r="AL37" s="1074">
        <v>0</v>
      </c>
      <c r="AM37" s="1074">
        <v>0</v>
      </c>
      <c r="AN37" s="1074">
        <v>0</v>
      </c>
      <c r="AO37" s="1074">
        <v>0</v>
      </c>
      <c r="AP37" s="1074">
        <v>0</v>
      </c>
      <c r="AQ37" s="1074">
        <v>0</v>
      </c>
      <c r="AR37" s="1074">
        <v>1</v>
      </c>
      <c r="AS37" s="1074">
        <v>0</v>
      </c>
      <c r="AT37" s="1074">
        <v>0</v>
      </c>
      <c r="AU37" s="1074">
        <v>1</v>
      </c>
      <c r="AV37" s="1074">
        <v>0</v>
      </c>
      <c r="AW37" s="1074">
        <v>0</v>
      </c>
      <c r="AX37" s="1074">
        <v>0</v>
      </c>
      <c r="AY37" s="1074">
        <v>0</v>
      </c>
      <c r="AZ37" s="1074">
        <v>0</v>
      </c>
      <c r="BA37" s="1074">
        <v>1</v>
      </c>
      <c r="BC37" s="975">
        <v>2</v>
      </c>
      <c r="BE37" s="837"/>
      <c r="BF37" s="975"/>
      <c r="BG37" s="975"/>
      <c r="BH37" s="975"/>
      <c r="BI37" s="975"/>
      <c r="BJ37" s="975"/>
      <c r="BK37" s="975"/>
      <c r="BL37" s="975"/>
      <c r="BM37" s="975"/>
      <c r="BN37" s="975"/>
      <c r="BO37" s="975"/>
      <c r="BP37" s="975"/>
      <c r="BQ37" s="975"/>
      <c r="BR37" s="975"/>
      <c r="BS37" s="975"/>
      <c r="BT37" s="975"/>
      <c r="BU37" s="975"/>
      <c r="BV37" s="975"/>
      <c r="BW37" s="975"/>
      <c r="BX37" s="975"/>
      <c r="BY37" s="975"/>
      <c r="BZ37" s="975"/>
      <c r="CA37" s="975"/>
      <c r="CB37" s="975"/>
      <c r="CC37" s="975"/>
      <c r="CD37" s="975"/>
      <c r="CE37" s="975"/>
      <c r="CF37" s="975"/>
      <c r="CG37" s="975"/>
      <c r="CH37" s="975"/>
      <c r="CI37" s="975"/>
    </row>
    <row r="38" spans="1:87" s="367" customFormat="1" ht="20.149999999999999" customHeight="1">
      <c r="A38" s="837">
        <f>tblIndicators!A38</f>
        <v>37</v>
      </c>
      <c r="B38" s="367">
        <f>tblIndicators!G38</f>
        <v>1</v>
      </c>
      <c r="C38" s="837" t="s">
        <v>785</v>
      </c>
      <c r="D38" s="837" t="s">
        <v>785</v>
      </c>
      <c r="E38" s="837" t="s">
        <v>785</v>
      </c>
      <c r="F38" s="837"/>
      <c r="G38" s="837"/>
      <c r="H38" s="837"/>
      <c r="I38" s="837"/>
      <c r="J38" s="353" t="s">
        <v>1156</v>
      </c>
      <c r="K38" s="837"/>
      <c r="L38" s="837"/>
      <c r="M38" s="837"/>
      <c r="N38" s="975">
        <v>1</v>
      </c>
      <c r="O38" s="837"/>
      <c r="P38" s="272">
        <f>tblIndicators!AS38</f>
        <v>1</v>
      </c>
      <c r="Q38" s="837"/>
      <c r="R38" s="837"/>
      <c r="S38" s="837"/>
      <c r="T38" s="837"/>
      <c r="U38" s="837"/>
      <c r="V38"/>
      <c r="W38" s="837"/>
      <c r="X38" s="975"/>
      <c r="Y38" s="975"/>
      <c r="Z38" s="975"/>
      <c r="AA38" s="975"/>
      <c r="AB38" s="975"/>
      <c r="AC38" s="975"/>
      <c r="AD38" s="975"/>
      <c r="AE38" s="975"/>
      <c r="AF38" s="975"/>
      <c r="AG38" s="975"/>
      <c r="AH38" s="975"/>
      <c r="AI38" s="975"/>
      <c r="AJ38" s="975"/>
      <c r="AK38" s="975"/>
      <c r="AL38" s="975"/>
      <c r="AM38" s="975"/>
      <c r="AN38" s="975"/>
      <c r="AO38" s="975"/>
      <c r="AP38" s="975"/>
      <c r="AQ38" s="975"/>
      <c r="AR38" s="975"/>
      <c r="AS38" s="975"/>
      <c r="AT38" s="975"/>
      <c r="AU38" s="975"/>
      <c r="AV38" s="975"/>
      <c r="AW38" s="975"/>
      <c r="AX38" s="975"/>
      <c r="AY38" s="975"/>
      <c r="AZ38" s="975"/>
      <c r="BA38" s="975"/>
      <c r="BC38" s="975">
        <v>1</v>
      </c>
      <c r="BE38" s="837"/>
      <c r="BF38" s="975"/>
      <c r="BG38" s="975"/>
      <c r="BH38" s="975"/>
      <c r="BI38" s="975"/>
      <c r="BJ38" s="975"/>
      <c r="BK38" s="975"/>
      <c r="BL38" s="975"/>
      <c r="BM38" s="975"/>
      <c r="BN38" s="975"/>
      <c r="BO38" s="975"/>
      <c r="BP38" s="975"/>
      <c r="BQ38" s="975"/>
      <c r="BR38" s="975"/>
      <c r="BS38" s="975"/>
      <c r="BT38" s="975"/>
      <c r="BU38" s="975"/>
      <c r="BV38" s="975"/>
      <c r="BW38" s="975"/>
      <c r="BX38" s="975"/>
      <c r="BY38" s="975"/>
      <c r="BZ38" s="975"/>
      <c r="CA38" s="975"/>
      <c r="CB38" s="975"/>
      <c r="CC38" s="975"/>
      <c r="CD38" s="975"/>
      <c r="CE38" s="975"/>
      <c r="CF38" s="975"/>
      <c r="CG38" s="975"/>
      <c r="CH38" s="975"/>
      <c r="CI38" s="975"/>
    </row>
    <row r="39" spans="1:87" s="367" customFormat="1" ht="20.149999999999999" customHeight="1" thickBot="1">
      <c r="A39" s="837">
        <f>tblIndicators!A39</f>
        <v>38</v>
      </c>
      <c r="B39" s="367">
        <f>tblIndicators!G39</f>
        <v>2</v>
      </c>
      <c r="C39" s="837" t="s">
        <v>1229</v>
      </c>
      <c r="D39" s="837" t="s">
        <v>1229</v>
      </c>
      <c r="E39" s="837" t="s">
        <v>1229</v>
      </c>
      <c r="F39" s="837"/>
      <c r="G39" s="837"/>
      <c r="H39" s="837"/>
      <c r="I39" s="837"/>
      <c r="J39" s="353" t="s">
        <v>1156</v>
      </c>
      <c r="K39" s="837"/>
      <c r="L39" s="837"/>
      <c r="M39" s="837"/>
      <c r="N39" s="975">
        <v>1</v>
      </c>
      <c r="O39" s="837"/>
      <c r="P39" s="272">
        <f>tblIndicators!AS39</f>
        <v>1</v>
      </c>
      <c r="Q39" s="837"/>
      <c r="R39" s="837"/>
      <c r="S39" s="837"/>
      <c r="T39" s="837"/>
      <c r="U39" s="837"/>
      <c r="V39"/>
      <c r="W39" s="837"/>
      <c r="X39" s="975"/>
      <c r="Y39" s="975"/>
      <c r="Z39" s="975"/>
      <c r="AA39" s="975"/>
      <c r="AB39" s="975"/>
      <c r="AC39" s="975"/>
      <c r="AD39" s="975"/>
      <c r="AE39" s="975"/>
      <c r="AF39" s="975"/>
      <c r="AG39" s="975"/>
      <c r="AH39" s="975"/>
      <c r="AI39" s="975"/>
      <c r="AJ39" s="975"/>
      <c r="AK39" s="975"/>
      <c r="AL39" s="975"/>
      <c r="AM39" s="975"/>
      <c r="AN39" s="975"/>
      <c r="AO39" s="975"/>
      <c r="AP39" s="975"/>
      <c r="AQ39" s="975"/>
      <c r="AR39" s="975"/>
      <c r="AS39" s="975"/>
      <c r="AT39" s="975"/>
      <c r="AU39" s="975"/>
      <c r="AV39" s="975"/>
      <c r="AW39" s="975"/>
      <c r="AX39" s="975"/>
      <c r="AY39" s="975"/>
      <c r="AZ39" s="975"/>
      <c r="BA39" s="975"/>
      <c r="BC39" s="975">
        <v>1</v>
      </c>
      <c r="BE39" s="837"/>
      <c r="BF39" s="975"/>
      <c r="BG39" s="975"/>
      <c r="BH39" s="975"/>
      <c r="BI39" s="975"/>
      <c r="BJ39" s="975"/>
      <c r="BK39" s="975"/>
      <c r="BL39" s="975"/>
      <c r="BM39" s="975"/>
      <c r="BN39" s="975"/>
      <c r="BO39" s="975"/>
      <c r="BP39" s="975"/>
      <c r="BQ39" s="975"/>
      <c r="BR39" s="975"/>
      <c r="BS39" s="975"/>
      <c r="BT39" s="975"/>
      <c r="BU39" s="975"/>
      <c r="BV39" s="975"/>
      <c r="BW39" s="975"/>
      <c r="BX39" s="975"/>
      <c r="BY39" s="975"/>
      <c r="BZ39" s="975"/>
      <c r="CA39" s="975"/>
      <c r="CB39" s="975"/>
      <c r="CC39" s="975"/>
      <c r="CD39" s="975"/>
      <c r="CE39" s="975"/>
      <c r="CF39" s="975"/>
      <c r="CG39" s="975"/>
      <c r="CH39" s="975"/>
      <c r="CI39" s="975"/>
    </row>
    <row r="40" spans="1:87" s="367" customFormat="1" ht="30" customHeight="1" thickBot="1">
      <c r="A40" s="837">
        <f>tblIndicators!A40</f>
        <v>39</v>
      </c>
      <c r="B40" s="367">
        <f>tblIndicators!G40</f>
        <v>3</v>
      </c>
      <c r="C40" s="837" t="s">
        <v>786</v>
      </c>
      <c r="D40" s="837" t="s">
        <v>1106</v>
      </c>
      <c r="E40" s="837" t="s">
        <v>432</v>
      </c>
      <c r="F40" s="837" t="s">
        <v>1016</v>
      </c>
      <c r="G40" s="837"/>
      <c r="H40" s="837"/>
      <c r="I40" s="837" t="s">
        <v>1107</v>
      </c>
      <c r="J40" s="837" t="s">
        <v>1108</v>
      </c>
      <c r="K40" s="837" t="s">
        <v>350</v>
      </c>
      <c r="L40" s="837">
        <v>2021</v>
      </c>
      <c r="M40" s="837" t="s">
        <v>575</v>
      </c>
      <c r="N40" s="975">
        <v>1</v>
      </c>
      <c r="O40" s="837"/>
      <c r="P40" s="272">
        <f>tblIndicators!AS40</f>
        <v>1</v>
      </c>
      <c r="Q40" s="837"/>
      <c r="R40" s="837"/>
      <c r="S40" s="837"/>
      <c r="T40" s="837"/>
      <c r="U40" s="837"/>
      <c r="V40"/>
      <c r="W40" s="837"/>
      <c r="X40" s="1083">
        <v>94.3</v>
      </c>
      <c r="Y40" s="1083">
        <v>93.5</v>
      </c>
      <c r="Z40" s="1083">
        <v>89.3</v>
      </c>
      <c r="AA40" s="1083">
        <v>93</v>
      </c>
      <c r="AB40" s="1083">
        <v>77.8</v>
      </c>
      <c r="AC40" s="1083">
        <v>90.8</v>
      </c>
      <c r="AD40" s="1083">
        <v>87.6</v>
      </c>
      <c r="AE40" s="1083">
        <v>98.1</v>
      </c>
      <c r="AF40" s="1083">
        <v>91.5</v>
      </c>
      <c r="AG40" s="1083">
        <v>100</v>
      </c>
      <c r="AH40" s="1083">
        <v>90.8</v>
      </c>
      <c r="AI40" s="1083">
        <v>92.8</v>
      </c>
      <c r="AJ40" s="1083">
        <v>85</v>
      </c>
      <c r="AK40" s="1083">
        <v>92.8</v>
      </c>
      <c r="AL40" s="1083">
        <v>96.1</v>
      </c>
      <c r="AM40" s="1083">
        <v>96</v>
      </c>
      <c r="AN40" s="1083">
        <v>84</v>
      </c>
      <c r="AO40" s="1083">
        <v>84.4</v>
      </c>
      <c r="AP40" s="1083">
        <v>56</v>
      </c>
      <c r="AQ40" s="1083">
        <v>98.4</v>
      </c>
      <c r="AR40" s="1083">
        <v>86.2</v>
      </c>
      <c r="AS40" s="1083">
        <v>78.5</v>
      </c>
      <c r="AT40" s="1083">
        <v>80.400000000000006</v>
      </c>
      <c r="AU40" s="1083">
        <v>98</v>
      </c>
      <c r="AV40" s="1083">
        <v>80.400000000000006</v>
      </c>
      <c r="AW40" s="1083">
        <v>91.7</v>
      </c>
      <c r="AX40" s="1083">
        <v>93.9</v>
      </c>
      <c r="AY40" s="1083">
        <v>98.01</v>
      </c>
      <c r="AZ40" s="1083">
        <v>91.5</v>
      </c>
      <c r="BA40" s="1083">
        <v>95.5</v>
      </c>
      <c r="BC40" s="975">
        <v>2</v>
      </c>
      <c r="BE40" s="837"/>
      <c r="BF40" s="975"/>
      <c r="BG40" s="975"/>
      <c r="BH40" s="975"/>
      <c r="BI40" s="975"/>
      <c r="BJ40" s="975"/>
      <c r="BK40" s="975"/>
      <c r="BL40" s="975"/>
      <c r="BM40" s="975"/>
      <c r="BN40" s="975"/>
      <c r="BO40" s="975"/>
      <c r="BP40" s="975"/>
      <c r="BQ40" s="975"/>
      <c r="BR40" s="975"/>
      <c r="BS40" s="975"/>
      <c r="BT40" s="975"/>
      <c r="BU40" s="975"/>
      <c r="BV40" s="975"/>
      <c r="BW40" s="975"/>
      <c r="BX40" s="975"/>
      <c r="BY40" s="975"/>
      <c r="BZ40" s="975"/>
      <c r="CA40" s="975"/>
      <c r="CB40" s="975"/>
      <c r="CC40" s="975"/>
      <c r="CD40" s="975"/>
      <c r="CE40" s="975"/>
      <c r="CF40" s="975"/>
      <c r="CG40" s="975"/>
      <c r="CH40" s="975"/>
      <c r="CI40" s="975"/>
    </row>
    <row r="41" spans="1:87" s="367" customFormat="1" ht="30" customHeight="1" thickBot="1">
      <c r="A41" s="837">
        <f>tblIndicators!A41</f>
        <v>40</v>
      </c>
      <c r="B41" s="367">
        <f>tblIndicators!G41</f>
        <v>3</v>
      </c>
      <c r="C41" s="837" t="s">
        <v>1000</v>
      </c>
      <c r="D41" s="837" t="s">
        <v>1000</v>
      </c>
      <c r="E41" s="837" t="s">
        <v>433</v>
      </c>
      <c r="F41" s="837" t="s">
        <v>1250</v>
      </c>
      <c r="G41" s="837"/>
      <c r="H41" s="837"/>
      <c r="I41" s="837" t="s">
        <v>1109</v>
      </c>
      <c r="J41" s="837" t="s">
        <v>1110</v>
      </c>
      <c r="K41" s="837" t="s">
        <v>350</v>
      </c>
      <c r="L41" s="837">
        <v>2020</v>
      </c>
      <c r="M41" s="837" t="s">
        <v>1111</v>
      </c>
      <c r="N41" s="975">
        <v>1</v>
      </c>
      <c r="O41" s="837"/>
      <c r="P41" s="272">
        <f>tblIndicators!AS41</f>
        <v>1</v>
      </c>
      <c r="Q41" s="837"/>
      <c r="R41" s="837"/>
      <c r="S41" s="837"/>
      <c r="T41" s="837"/>
      <c r="U41" s="837"/>
      <c r="V41"/>
      <c r="W41" s="837"/>
      <c r="X41" s="1083">
        <v>4.13</v>
      </c>
      <c r="Y41" s="1083">
        <v>2.13</v>
      </c>
      <c r="Z41" s="1083">
        <v>2.86</v>
      </c>
      <c r="AA41" s="1083">
        <v>0</v>
      </c>
      <c r="AB41" s="1083">
        <v>-0.99</v>
      </c>
      <c r="AC41" s="1083">
        <v>5.84</v>
      </c>
      <c r="AD41" s="1083">
        <v>2.31</v>
      </c>
      <c r="AE41" s="1083">
        <v>1.78</v>
      </c>
      <c r="AF41" s="1083">
        <v>-5.26</v>
      </c>
      <c r="AG41" s="1083">
        <v>0</v>
      </c>
      <c r="AH41" s="1083">
        <v>5.84</v>
      </c>
      <c r="AI41" s="1083">
        <v>2.63</v>
      </c>
      <c r="AJ41" s="1083">
        <v>11.61</v>
      </c>
      <c r="AK41" s="1083">
        <v>4.0999999999999996</v>
      </c>
      <c r="AL41" s="1083">
        <v>0.85</v>
      </c>
      <c r="AM41" s="1083">
        <v>0</v>
      </c>
      <c r="AN41" s="1083">
        <v>2.4700000000000002</v>
      </c>
      <c r="AO41" s="1083">
        <v>1.96</v>
      </c>
      <c r="AP41" s="1083">
        <v>67.790000000000006</v>
      </c>
      <c r="AQ41" s="1083">
        <v>-5.26</v>
      </c>
      <c r="AR41" s="1083">
        <v>2.92</v>
      </c>
      <c r="AS41" s="1083">
        <v>7.38</v>
      </c>
      <c r="AT41" s="1083">
        <v>1.22</v>
      </c>
      <c r="AU41" s="1083">
        <v>1.67</v>
      </c>
      <c r="AV41" s="1083">
        <v>-2.2200000000000002</v>
      </c>
      <c r="AW41" s="1083">
        <v>1.05</v>
      </c>
      <c r="AX41" s="1083">
        <v>3.96</v>
      </c>
      <c r="AY41" s="1083">
        <v>-2.11</v>
      </c>
      <c r="AZ41" s="1083">
        <v>-5.26</v>
      </c>
      <c r="BA41" s="1083">
        <v>4.16</v>
      </c>
      <c r="BC41" s="975">
        <v>2</v>
      </c>
      <c r="BE41" s="837"/>
      <c r="BF41" s="975"/>
      <c r="BG41" s="975"/>
      <c r="BH41" s="975"/>
      <c r="BI41" s="975"/>
      <c r="BJ41" s="975"/>
      <c r="BK41" s="975"/>
      <c r="BL41" s="975"/>
      <c r="BM41" s="975"/>
      <c r="BN41" s="975"/>
      <c r="BO41" s="975"/>
      <c r="BP41" s="975"/>
      <c r="BQ41" s="975"/>
      <c r="BR41" s="975"/>
      <c r="BS41" s="975"/>
      <c r="BT41" s="975"/>
      <c r="BU41" s="975"/>
      <c r="BV41" s="975"/>
      <c r="BW41" s="975"/>
      <c r="BX41" s="975"/>
      <c r="BY41" s="975"/>
      <c r="BZ41" s="975"/>
      <c r="CA41" s="975"/>
      <c r="CB41" s="975"/>
      <c r="CC41" s="975"/>
      <c r="CD41" s="975"/>
      <c r="CE41" s="975"/>
      <c r="CF41" s="975"/>
      <c r="CG41" s="975"/>
      <c r="CH41" s="975"/>
      <c r="CI41" s="975"/>
    </row>
    <row r="42" spans="1:87" s="367" customFormat="1" ht="30" customHeight="1">
      <c r="A42" s="837">
        <f>tblIndicators!A42</f>
        <v>41</v>
      </c>
      <c r="B42" s="367">
        <f>tblIndicators!G42</f>
        <v>3</v>
      </c>
      <c r="C42" s="837" t="s">
        <v>1001</v>
      </c>
      <c r="D42" s="837" t="s">
        <v>1001</v>
      </c>
      <c r="E42" s="837" t="s">
        <v>728</v>
      </c>
      <c r="F42" s="837" t="s">
        <v>1112</v>
      </c>
      <c r="G42" s="837"/>
      <c r="H42" s="837"/>
      <c r="I42" s="837" t="s">
        <v>1212</v>
      </c>
      <c r="J42" s="837" t="s">
        <v>1113</v>
      </c>
      <c r="K42" s="837" t="s">
        <v>1200</v>
      </c>
      <c r="L42" s="837">
        <v>2021</v>
      </c>
      <c r="M42" s="837" t="s">
        <v>575</v>
      </c>
      <c r="N42" s="975">
        <v>1</v>
      </c>
      <c r="O42" s="837"/>
      <c r="P42" s="272">
        <f>tblIndicators!AS42</f>
        <v>1</v>
      </c>
      <c r="Q42" s="837"/>
      <c r="R42" s="837"/>
      <c r="S42" s="837"/>
      <c r="T42" s="837"/>
      <c r="U42" s="837"/>
      <c r="V42"/>
      <c r="W42" s="837"/>
      <c r="X42" s="975">
        <v>36.799999999999997</v>
      </c>
      <c r="Y42" s="975">
        <v>42.3</v>
      </c>
      <c r="Z42" s="975">
        <v>62.65</v>
      </c>
      <c r="AA42" s="975">
        <v>49.05</v>
      </c>
      <c r="AB42" s="975">
        <v>63.9</v>
      </c>
      <c r="AC42" s="975">
        <v>36.950000000000003</v>
      </c>
      <c r="AD42" s="975">
        <v>56.85</v>
      </c>
      <c r="AE42" s="975">
        <v>47.35</v>
      </c>
      <c r="AF42" s="975">
        <v>57.65</v>
      </c>
      <c r="AG42" s="975">
        <v>72.900000000000006</v>
      </c>
      <c r="AH42" s="975">
        <v>39.450000000000003</v>
      </c>
      <c r="AI42" s="975">
        <v>40.799999999999997</v>
      </c>
      <c r="AJ42" s="975">
        <v>72.150000000000006</v>
      </c>
      <c r="AK42" s="975">
        <v>52.15</v>
      </c>
      <c r="AL42" s="975">
        <v>34.65</v>
      </c>
      <c r="AM42" s="975">
        <v>51.65</v>
      </c>
      <c r="AN42" s="975">
        <v>62.75</v>
      </c>
      <c r="AO42" s="975">
        <v>63.85</v>
      </c>
      <c r="AP42" s="975">
        <v>82.35</v>
      </c>
      <c r="AQ42" s="975">
        <v>45.2</v>
      </c>
      <c r="AR42" s="975">
        <v>38.4</v>
      </c>
      <c r="AS42" s="975">
        <v>51.25</v>
      </c>
      <c r="AT42" s="975">
        <v>57.65</v>
      </c>
      <c r="AU42" s="975">
        <v>47.85</v>
      </c>
      <c r="AV42" s="975">
        <v>44.65</v>
      </c>
      <c r="AW42" s="975">
        <v>30.1</v>
      </c>
      <c r="AX42" s="975">
        <v>34.25</v>
      </c>
      <c r="AY42" s="975">
        <v>41.15</v>
      </c>
      <c r="AZ42" s="975">
        <v>45.45</v>
      </c>
      <c r="BA42" s="975">
        <v>37.75</v>
      </c>
      <c r="BC42" s="975">
        <v>2</v>
      </c>
      <c r="BE42" s="837"/>
      <c r="BF42" s="975"/>
      <c r="BG42" s="975"/>
      <c r="BH42" s="975"/>
      <c r="BI42" s="975"/>
      <c r="BJ42" s="975"/>
      <c r="BK42" s="975"/>
      <c r="BL42" s="975"/>
      <c r="BM42" s="975"/>
      <c r="BN42" s="975"/>
      <c r="BO42" s="975"/>
      <c r="BP42" s="975"/>
      <c r="BQ42" s="975"/>
      <c r="BR42" s="975"/>
      <c r="BS42" s="975"/>
      <c r="BT42" s="975"/>
      <c r="BU42" s="975"/>
      <c r="BV42" s="975"/>
      <c r="BW42" s="975"/>
      <c r="BX42" s="975"/>
      <c r="BY42" s="975"/>
      <c r="BZ42" s="975"/>
      <c r="CA42" s="975"/>
      <c r="CB42" s="975"/>
      <c r="CC42" s="975"/>
      <c r="CD42" s="975"/>
      <c r="CE42" s="975"/>
      <c r="CF42" s="975"/>
      <c r="CG42" s="975"/>
      <c r="CH42" s="975"/>
      <c r="CI42" s="975"/>
    </row>
    <row r="43" spans="1:87" s="367" customFormat="1" ht="20.149999999999999" customHeight="1" thickBot="1">
      <c r="A43" s="837">
        <f>tblIndicators!A43</f>
        <v>42</v>
      </c>
      <c r="B43" s="367">
        <f>tblIndicators!G43</f>
        <v>2</v>
      </c>
      <c r="C43" s="837" t="s">
        <v>1228</v>
      </c>
      <c r="D43" s="837" t="s">
        <v>1228</v>
      </c>
      <c r="E43" s="837" t="s">
        <v>1228</v>
      </c>
      <c r="F43" s="837"/>
      <c r="G43" s="837"/>
      <c r="H43" s="837"/>
      <c r="I43" s="837"/>
      <c r="J43" s="353" t="s">
        <v>1156</v>
      </c>
      <c r="K43" s="837"/>
      <c r="L43" s="837"/>
      <c r="M43" s="837"/>
      <c r="N43" s="975">
        <v>1</v>
      </c>
      <c r="O43" s="837"/>
      <c r="P43" s="272">
        <f>tblIndicators!AS43</f>
        <v>1</v>
      </c>
      <c r="Q43" s="837"/>
      <c r="R43" s="837"/>
      <c r="S43" s="837"/>
      <c r="T43" s="837"/>
      <c r="U43" s="837"/>
      <c r="V43"/>
      <c r="W43" s="837"/>
      <c r="X43" s="975"/>
      <c r="Y43" s="975"/>
      <c r="Z43" s="975"/>
      <c r="AA43" s="975"/>
      <c r="AB43" s="975"/>
      <c r="AC43" s="975"/>
      <c r="AD43" s="975"/>
      <c r="AE43" s="975"/>
      <c r="AF43" s="975"/>
      <c r="AG43" s="975"/>
      <c r="AH43" s="975"/>
      <c r="AI43" s="975"/>
      <c r="AJ43" s="975"/>
      <c r="AK43" s="975"/>
      <c r="AL43" s="975"/>
      <c r="AM43" s="975"/>
      <c r="AN43" s="975"/>
      <c r="AO43" s="975"/>
      <c r="AP43" s="975"/>
      <c r="AQ43" s="975"/>
      <c r="AR43" s="975"/>
      <c r="AS43" s="975"/>
      <c r="AT43" s="975"/>
      <c r="AU43" s="975"/>
      <c r="AV43" s="975"/>
      <c r="AW43" s="975"/>
      <c r="AX43" s="975"/>
      <c r="AY43" s="975"/>
      <c r="AZ43" s="975"/>
      <c r="BA43" s="975"/>
      <c r="BC43" s="975">
        <v>1</v>
      </c>
      <c r="BE43" s="837"/>
      <c r="BF43" s="975"/>
      <c r="BG43" s="975"/>
      <c r="BH43" s="975"/>
      <c r="BI43" s="975"/>
      <c r="BJ43" s="975"/>
      <c r="BK43" s="975"/>
      <c r="BL43" s="975"/>
      <c r="BM43" s="975"/>
      <c r="BN43" s="975"/>
      <c r="BO43" s="975"/>
      <c r="BP43" s="975"/>
      <c r="BQ43" s="975"/>
      <c r="BR43" s="975"/>
      <c r="BS43" s="975"/>
      <c r="BT43" s="975"/>
      <c r="BU43" s="975"/>
      <c r="BV43" s="975"/>
      <c r="BW43" s="975"/>
      <c r="BX43" s="975"/>
      <c r="BY43" s="975"/>
      <c r="BZ43" s="975"/>
      <c r="CA43" s="975"/>
      <c r="CB43" s="975"/>
      <c r="CC43" s="975"/>
      <c r="CD43" s="975"/>
      <c r="CE43" s="975"/>
      <c r="CF43" s="975"/>
      <c r="CG43" s="975"/>
      <c r="CH43" s="975"/>
      <c r="CI43" s="975"/>
    </row>
    <row r="44" spans="1:87" s="367" customFormat="1" ht="30" customHeight="1" thickBot="1">
      <c r="A44" s="837">
        <f>tblIndicators!A44</f>
        <v>43</v>
      </c>
      <c r="B44" s="367">
        <f>tblIndicators!G44</f>
        <v>3</v>
      </c>
      <c r="C44" s="837" t="s">
        <v>1114</v>
      </c>
      <c r="D44" s="837" t="s">
        <v>1114</v>
      </c>
      <c r="E44" s="837" t="s">
        <v>434</v>
      </c>
      <c r="F44" s="837" t="s">
        <v>1251</v>
      </c>
      <c r="G44" s="837"/>
      <c r="H44" s="837"/>
      <c r="I44" s="837" t="s">
        <v>1211</v>
      </c>
      <c r="J44" s="837" t="s">
        <v>1103</v>
      </c>
      <c r="K44" s="837" t="s">
        <v>1198</v>
      </c>
      <c r="L44" s="837">
        <v>2021</v>
      </c>
      <c r="M44" s="837" t="s">
        <v>575</v>
      </c>
      <c r="N44" s="975">
        <v>0</v>
      </c>
      <c r="O44" s="837"/>
      <c r="P44" s="272">
        <f>tblIndicators!AS44</f>
        <v>3</v>
      </c>
      <c r="Q44" s="837" t="s">
        <v>1277</v>
      </c>
      <c r="R44" s="837" t="s">
        <v>1278</v>
      </c>
      <c r="S44" s="837" t="s">
        <v>1279</v>
      </c>
      <c r="T44" s="837"/>
      <c r="U44" s="837"/>
      <c r="V44"/>
      <c r="W44" s="837"/>
      <c r="X44" s="1083">
        <v>2</v>
      </c>
      <c r="Y44" s="1083">
        <v>2</v>
      </c>
      <c r="Z44" s="1083">
        <v>1</v>
      </c>
      <c r="AA44" s="1083">
        <v>2</v>
      </c>
      <c r="AB44" s="1083">
        <v>2</v>
      </c>
      <c r="AC44" s="1083">
        <v>2</v>
      </c>
      <c r="AD44" s="1083">
        <v>2</v>
      </c>
      <c r="AE44" s="1083">
        <v>2</v>
      </c>
      <c r="AF44" s="1083">
        <v>1</v>
      </c>
      <c r="AG44" s="1083">
        <v>1</v>
      </c>
      <c r="AH44" s="1083">
        <v>2</v>
      </c>
      <c r="AI44" s="1083">
        <v>2</v>
      </c>
      <c r="AJ44" s="1083">
        <v>1</v>
      </c>
      <c r="AK44" s="1083">
        <v>2</v>
      </c>
      <c r="AL44" s="1083">
        <v>2</v>
      </c>
      <c r="AM44" s="1083">
        <v>2</v>
      </c>
      <c r="AN44" s="1083">
        <v>2</v>
      </c>
      <c r="AO44" s="1083">
        <v>2</v>
      </c>
      <c r="AP44" s="1083">
        <v>1</v>
      </c>
      <c r="AQ44" s="1083">
        <v>1</v>
      </c>
      <c r="AR44" s="1083">
        <v>2</v>
      </c>
      <c r="AS44" s="1083">
        <v>2</v>
      </c>
      <c r="AT44" s="1083">
        <v>2</v>
      </c>
      <c r="AU44" s="1083">
        <v>2</v>
      </c>
      <c r="AV44" s="1083">
        <v>2</v>
      </c>
      <c r="AW44" s="1083">
        <v>2</v>
      </c>
      <c r="AX44" s="1083">
        <v>2</v>
      </c>
      <c r="AY44" s="1083">
        <v>2</v>
      </c>
      <c r="AZ44" s="1083">
        <v>2</v>
      </c>
      <c r="BA44" s="1083">
        <v>2</v>
      </c>
      <c r="BC44" s="975">
        <v>2</v>
      </c>
      <c r="BE44" s="837"/>
      <c r="BF44" s="975"/>
      <c r="BG44" s="975"/>
      <c r="BH44" s="975"/>
      <c r="BI44" s="975"/>
      <c r="BJ44" s="975"/>
      <c r="BK44" s="975"/>
      <c r="BL44" s="975"/>
      <c r="BM44" s="975"/>
      <c r="BN44" s="975"/>
      <c r="BO44" s="975"/>
      <c r="BP44" s="975"/>
      <c r="BQ44" s="975"/>
      <c r="BR44" s="975"/>
      <c r="BS44" s="975"/>
      <c r="BT44" s="975"/>
      <c r="BU44" s="975"/>
      <c r="BV44" s="975"/>
      <c r="BW44" s="975"/>
      <c r="BX44" s="975"/>
      <c r="BY44" s="975"/>
      <c r="BZ44" s="975"/>
      <c r="CA44" s="975"/>
      <c r="CB44" s="975"/>
      <c r="CC44" s="975"/>
      <c r="CD44" s="975"/>
      <c r="CE44" s="975"/>
      <c r="CF44" s="975"/>
      <c r="CG44" s="975"/>
      <c r="CH44" s="975"/>
      <c r="CI44" s="975"/>
    </row>
    <row r="45" spans="1:87" s="367" customFormat="1" ht="30" customHeight="1" thickBot="1">
      <c r="A45" s="837">
        <f>tblIndicators!A45</f>
        <v>44</v>
      </c>
      <c r="B45" s="367">
        <f>tblIndicators!G45</f>
        <v>3</v>
      </c>
      <c r="C45" s="837" t="s">
        <v>1002</v>
      </c>
      <c r="D45" s="837" t="s">
        <v>1002</v>
      </c>
      <c r="E45" s="837" t="s">
        <v>435</v>
      </c>
      <c r="F45" s="837" t="s">
        <v>1017</v>
      </c>
      <c r="G45" s="837"/>
      <c r="H45" s="837"/>
      <c r="I45" s="837" t="s">
        <v>1210</v>
      </c>
      <c r="J45" s="837" t="s">
        <v>1252</v>
      </c>
      <c r="K45" s="837" t="s">
        <v>1201</v>
      </c>
      <c r="L45" s="837">
        <v>2021</v>
      </c>
      <c r="M45" s="837" t="s">
        <v>575</v>
      </c>
      <c r="N45" s="975">
        <v>0</v>
      </c>
      <c r="O45" s="837"/>
      <c r="P45" s="272">
        <f>tblIndicators!AS45</f>
        <v>5</v>
      </c>
      <c r="Q45" s="837" t="s">
        <v>933</v>
      </c>
      <c r="R45" s="837" t="s">
        <v>934</v>
      </c>
      <c r="S45" s="837" t="s">
        <v>935</v>
      </c>
      <c r="T45" s="837" t="s">
        <v>936</v>
      </c>
      <c r="U45" s="837" t="s">
        <v>937</v>
      </c>
      <c r="V45"/>
      <c r="W45" s="837"/>
      <c r="X45" s="1083">
        <v>3</v>
      </c>
      <c r="Y45" s="1083">
        <v>4</v>
      </c>
      <c r="Z45" s="1083">
        <v>2</v>
      </c>
      <c r="AA45" s="1083">
        <v>3</v>
      </c>
      <c r="AB45" s="1083">
        <v>3</v>
      </c>
      <c r="AC45" s="1083">
        <v>3</v>
      </c>
      <c r="AD45" s="1083">
        <v>3</v>
      </c>
      <c r="AE45" s="1083">
        <v>4</v>
      </c>
      <c r="AF45" s="1083">
        <v>4</v>
      </c>
      <c r="AG45" s="1083">
        <v>3</v>
      </c>
      <c r="AH45" s="1083">
        <v>3</v>
      </c>
      <c r="AI45" s="1083">
        <v>2</v>
      </c>
      <c r="AJ45" s="1083">
        <v>3</v>
      </c>
      <c r="AK45" s="1083">
        <v>4</v>
      </c>
      <c r="AL45" s="1083">
        <v>3</v>
      </c>
      <c r="AM45" s="1083">
        <v>3</v>
      </c>
      <c r="AN45" s="1083">
        <v>2</v>
      </c>
      <c r="AO45" s="1083">
        <v>2</v>
      </c>
      <c r="AP45" s="1083">
        <v>2</v>
      </c>
      <c r="AQ45" s="1083">
        <v>4</v>
      </c>
      <c r="AR45" s="1083">
        <v>3</v>
      </c>
      <c r="AS45" s="1083">
        <v>2</v>
      </c>
      <c r="AT45" s="1083">
        <v>3</v>
      </c>
      <c r="AU45" s="1083">
        <v>4</v>
      </c>
      <c r="AV45" s="1083">
        <v>3</v>
      </c>
      <c r="AW45" s="1083">
        <v>3</v>
      </c>
      <c r="AX45" s="1083">
        <v>3</v>
      </c>
      <c r="AY45" s="1083">
        <v>4</v>
      </c>
      <c r="AZ45" s="1083">
        <v>4</v>
      </c>
      <c r="BA45" s="1083">
        <v>4</v>
      </c>
      <c r="BC45" s="975">
        <v>2</v>
      </c>
      <c r="BE45" s="837"/>
      <c r="BF45" s="975"/>
      <c r="BG45" s="975"/>
      <c r="BH45" s="975"/>
      <c r="BI45" s="975"/>
      <c r="BJ45" s="975"/>
      <c r="BK45" s="975"/>
      <c r="BL45" s="975"/>
      <c r="BM45" s="975"/>
      <c r="BN45" s="975"/>
      <c r="BO45" s="975"/>
      <c r="BP45" s="975"/>
      <c r="BQ45" s="975"/>
      <c r="BR45" s="975"/>
      <c r="BS45" s="975"/>
      <c r="BT45" s="975"/>
      <c r="BU45" s="975"/>
      <c r="BV45" s="975"/>
      <c r="BW45" s="975"/>
      <c r="BX45" s="975"/>
      <c r="BY45" s="975"/>
      <c r="BZ45" s="975"/>
      <c r="CA45" s="975"/>
      <c r="CB45" s="975"/>
      <c r="CC45" s="975"/>
      <c r="CD45" s="975"/>
      <c r="CE45" s="975"/>
      <c r="CF45" s="975"/>
      <c r="CG45" s="975"/>
      <c r="CH45" s="975"/>
      <c r="CI45" s="975"/>
    </row>
    <row r="46" spans="1:87" s="367" customFormat="1" ht="30" customHeight="1" thickBot="1">
      <c r="A46" s="837">
        <f>tblIndicators!A46</f>
        <v>45</v>
      </c>
      <c r="B46" s="367">
        <f>tblIndicators!G46</f>
        <v>3</v>
      </c>
      <c r="C46" s="837" t="s">
        <v>787</v>
      </c>
      <c r="D46" s="837" t="s">
        <v>787</v>
      </c>
      <c r="E46" s="837" t="s">
        <v>729</v>
      </c>
      <c r="F46" s="837" t="s">
        <v>1291</v>
      </c>
      <c r="G46" s="837"/>
      <c r="H46" s="837"/>
      <c r="I46" s="837" t="s">
        <v>1194</v>
      </c>
      <c r="J46" s="837" t="s">
        <v>1103</v>
      </c>
      <c r="K46" s="837" t="s">
        <v>1202</v>
      </c>
      <c r="L46" s="837">
        <v>2021</v>
      </c>
      <c r="M46" s="837" t="s">
        <v>575</v>
      </c>
      <c r="N46" s="975">
        <v>0</v>
      </c>
      <c r="O46" s="837"/>
      <c r="P46" s="272">
        <f>tblIndicators!AS46</f>
        <v>1</v>
      </c>
      <c r="Q46" s="837"/>
      <c r="R46" s="837"/>
      <c r="S46" s="837"/>
      <c r="T46" s="837"/>
      <c r="U46" s="837"/>
      <c r="V46"/>
      <c r="W46" s="837"/>
      <c r="X46" s="1083">
        <v>2</v>
      </c>
      <c r="Y46" s="1083">
        <v>2</v>
      </c>
      <c r="Z46" s="1083">
        <v>2</v>
      </c>
      <c r="AA46" s="1083">
        <v>2</v>
      </c>
      <c r="AB46" s="1083">
        <v>3</v>
      </c>
      <c r="AC46" s="1083">
        <v>3</v>
      </c>
      <c r="AD46" s="1083">
        <v>2</v>
      </c>
      <c r="AE46" s="1083">
        <v>2</v>
      </c>
      <c r="AF46" s="1083">
        <v>3</v>
      </c>
      <c r="AG46" s="1083">
        <v>2</v>
      </c>
      <c r="AH46" s="1083">
        <v>3</v>
      </c>
      <c r="AI46" s="1083">
        <v>2</v>
      </c>
      <c r="AJ46" s="1083">
        <v>1</v>
      </c>
      <c r="AK46" s="1083">
        <v>3</v>
      </c>
      <c r="AL46" s="1083">
        <v>3</v>
      </c>
      <c r="AM46" s="1083">
        <v>2</v>
      </c>
      <c r="AN46" s="1083">
        <v>3</v>
      </c>
      <c r="AO46" s="1083">
        <v>2</v>
      </c>
      <c r="AP46" s="1083">
        <v>3</v>
      </c>
      <c r="AQ46" s="1083">
        <v>3</v>
      </c>
      <c r="AR46" s="1083">
        <v>3</v>
      </c>
      <c r="AS46" s="1083">
        <v>3</v>
      </c>
      <c r="AT46" s="1083">
        <v>3</v>
      </c>
      <c r="AU46" s="1083">
        <v>2</v>
      </c>
      <c r="AV46" s="1083">
        <v>4</v>
      </c>
      <c r="AW46" s="1083">
        <v>3</v>
      </c>
      <c r="AX46" s="1083">
        <v>3</v>
      </c>
      <c r="AY46" s="1083">
        <v>4</v>
      </c>
      <c r="AZ46" s="1083">
        <v>3</v>
      </c>
      <c r="BA46" s="1083">
        <v>3</v>
      </c>
      <c r="BC46" s="975">
        <v>2</v>
      </c>
      <c r="BE46" s="837"/>
      <c r="BF46" s="975"/>
      <c r="BG46" s="975"/>
      <c r="BH46" s="975"/>
      <c r="BI46" s="975"/>
      <c r="BJ46" s="975"/>
      <c r="BK46" s="975"/>
      <c r="BL46" s="975"/>
      <c r="BM46" s="975"/>
      <c r="BN46" s="975"/>
      <c r="BO46" s="975"/>
      <c r="BP46" s="975"/>
      <c r="BQ46" s="975"/>
      <c r="BR46" s="975"/>
      <c r="BS46" s="975"/>
      <c r="BT46" s="975"/>
      <c r="BU46" s="975"/>
      <c r="BV46" s="975"/>
      <c r="BW46" s="975"/>
      <c r="BX46" s="975"/>
      <c r="BY46" s="975"/>
      <c r="BZ46" s="975"/>
      <c r="CA46" s="975"/>
      <c r="CB46" s="975"/>
      <c r="CC46" s="975"/>
      <c r="CD46" s="975"/>
      <c r="CE46" s="975"/>
      <c r="CF46" s="975"/>
      <c r="CG46" s="975"/>
      <c r="CH46" s="975"/>
      <c r="CI46" s="975"/>
    </row>
    <row r="47" spans="1:87" s="367" customFormat="1" ht="30" customHeight="1" thickBot="1">
      <c r="A47" s="837">
        <f>tblIndicators!A47</f>
        <v>46</v>
      </c>
      <c r="B47" s="367">
        <f>tblIndicators!G47</f>
        <v>3</v>
      </c>
      <c r="C47" s="837" t="s">
        <v>1003</v>
      </c>
      <c r="D47" s="837" t="s">
        <v>1003</v>
      </c>
      <c r="E47" s="837" t="s">
        <v>730</v>
      </c>
      <c r="F47" s="837" t="s">
        <v>1253</v>
      </c>
      <c r="G47" s="837"/>
      <c r="H47" s="837"/>
      <c r="I47" s="1084" t="s">
        <v>1179</v>
      </c>
      <c r="J47" s="1084" t="s">
        <v>1172</v>
      </c>
      <c r="K47" s="837" t="s">
        <v>1200</v>
      </c>
      <c r="L47" s="837">
        <v>2017</v>
      </c>
      <c r="M47" s="837" t="s">
        <v>575</v>
      </c>
      <c r="N47" s="975">
        <v>0</v>
      </c>
      <c r="O47" s="837"/>
      <c r="P47" s="272">
        <f>tblIndicators!AS47</f>
        <v>1</v>
      </c>
      <c r="Q47" s="837"/>
      <c r="R47" s="837"/>
      <c r="S47" s="837"/>
      <c r="T47" s="837"/>
      <c r="U47" s="837"/>
      <c r="V47"/>
      <c r="W47" s="837"/>
      <c r="X47" s="1083">
        <v>75</v>
      </c>
      <c r="Y47" s="1083">
        <v>79</v>
      </c>
      <c r="Z47" s="1083">
        <v>28</v>
      </c>
      <c r="AA47" s="1083">
        <v>73</v>
      </c>
      <c r="AB47" s="1083">
        <v>20</v>
      </c>
      <c r="AC47" s="1083">
        <v>70</v>
      </c>
      <c r="AD47" s="1083">
        <v>38</v>
      </c>
      <c r="AE47" s="1083">
        <v>71</v>
      </c>
      <c r="AF47" s="1083">
        <v>82</v>
      </c>
      <c r="AG47" s="1083">
        <v>26</v>
      </c>
      <c r="AH47" s="1083">
        <v>70</v>
      </c>
      <c r="AI47" s="1083">
        <v>58.67</v>
      </c>
      <c r="AJ47" s="1083">
        <v>38</v>
      </c>
      <c r="AK47" s="1083">
        <v>28</v>
      </c>
      <c r="AL47" s="1083">
        <v>100</v>
      </c>
      <c r="AM47" s="1083">
        <v>73</v>
      </c>
      <c r="AN47" s="1083">
        <v>55</v>
      </c>
      <c r="AO47" s="1083">
        <v>73</v>
      </c>
      <c r="AP47" s="1083">
        <v>43</v>
      </c>
      <c r="AQ47" s="1083">
        <v>82</v>
      </c>
      <c r="AR47" s="1083">
        <v>85</v>
      </c>
      <c r="AS47" s="1083">
        <v>56</v>
      </c>
      <c r="AT47" s="1083">
        <v>59</v>
      </c>
      <c r="AU47" s="1083">
        <v>81</v>
      </c>
      <c r="AV47" s="1083">
        <v>53</v>
      </c>
      <c r="AW47" s="1083">
        <v>81</v>
      </c>
      <c r="AX47" s="1083">
        <v>75</v>
      </c>
      <c r="AY47" s="1083">
        <v>90</v>
      </c>
      <c r="AZ47" s="1083">
        <v>82</v>
      </c>
      <c r="BA47" s="1083">
        <v>58</v>
      </c>
      <c r="BC47" s="975">
        <v>2</v>
      </c>
      <c r="BE47" s="837"/>
      <c r="BF47" s="975"/>
      <c r="BG47" s="975"/>
      <c r="BH47" s="975"/>
      <c r="BI47" s="975"/>
      <c r="BJ47" s="975"/>
      <c r="BK47" s="975"/>
      <c r="BL47" s="975"/>
      <c r="BM47" s="975"/>
      <c r="BN47" s="975"/>
      <c r="BO47" s="975"/>
      <c r="BP47" s="975"/>
      <c r="BQ47" s="975"/>
      <c r="BR47" s="975"/>
      <c r="BS47" s="975"/>
      <c r="BT47" s="975"/>
      <c r="BU47" s="975"/>
      <c r="BV47" s="975"/>
      <c r="BW47" s="975"/>
      <c r="BX47" s="975"/>
      <c r="BY47" s="975"/>
      <c r="BZ47" s="975"/>
      <c r="CA47" s="975"/>
      <c r="CB47" s="975"/>
      <c r="CC47" s="975"/>
      <c r="CD47" s="975"/>
      <c r="CE47" s="975"/>
      <c r="CF47" s="975"/>
      <c r="CG47" s="975"/>
      <c r="CH47" s="975"/>
      <c r="CI47" s="975"/>
    </row>
    <row r="48" spans="1:87" s="367" customFormat="1" ht="30" customHeight="1" thickBot="1">
      <c r="A48" s="837">
        <f>tblIndicators!A48</f>
        <v>47</v>
      </c>
      <c r="B48" s="367">
        <f>tblIndicators!G48</f>
        <v>3</v>
      </c>
      <c r="C48" s="837" t="s">
        <v>1189</v>
      </c>
      <c r="D48" s="837" t="s">
        <v>1189</v>
      </c>
      <c r="E48" s="837" t="s">
        <v>1183</v>
      </c>
      <c r="F48" s="837" t="s">
        <v>1254</v>
      </c>
      <c r="G48" s="837"/>
      <c r="H48" s="837"/>
      <c r="I48" s="1084" t="s">
        <v>1190</v>
      </c>
      <c r="J48" s="1084" t="s">
        <v>1191</v>
      </c>
      <c r="K48" s="837" t="s">
        <v>1200</v>
      </c>
      <c r="L48" s="837">
        <v>2021</v>
      </c>
      <c r="M48" s="837" t="s">
        <v>575</v>
      </c>
      <c r="N48" s="975">
        <v>1</v>
      </c>
      <c r="O48" s="837"/>
      <c r="P48" s="272">
        <f>tblIndicators!AS49</f>
        <v>1</v>
      </c>
      <c r="Q48" s="837"/>
      <c r="R48" s="837"/>
      <c r="S48" s="837"/>
      <c r="T48" s="837"/>
      <c r="U48" s="837"/>
      <c r="W48" s="837"/>
      <c r="X48" s="1083">
        <v>78.5</v>
      </c>
      <c r="Y48" s="1083">
        <v>75</v>
      </c>
      <c r="Z48" s="1083">
        <v>36</v>
      </c>
      <c r="AA48" s="1083">
        <v>73.5</v>
      </c>
      <c r="AB48" s="1083">
        <v>10</v>
      </c>
      <c r="AC48" s="1083">
        <v>79</v>
      </c>
      <c r="AD48" s="1083">
        <v>71</v>
      </c>
      <c r="AE48" s="1083">
        <v>89.33</v>
      </c>
      <c r="AF48" s="1083">
        <v>75</v>
      </c>
      <c r="AG48" s="1083">
        <v>27</v>
      </c>
      <c r="AH48" s="1083">
        <v>79</v>
      </c>
      <c r="AI48" s="1083">
        <v>51</v>
      </c>
      <c r="AJ48" s="1083">
        <v>48</v>
      </c>
      <c r="AK48" s="1083">
        <v>58</v>
      </c>
      <c r="AL48" s="1083">
        <v>78</v>
      </c>
      <c r="AM48" s="1083">
        <v>73.5</v>
      </c>
      <c r="AN48" s="1083">
        <v>65</v>
      </c>
      <c r="AO48" s="1083">
        <v>60</v>
      </c>
      <c r="AP48" s="1083">
        <v>49</v>
      </c>
      <c r="AQ48" s="1083">
        <v>75</v>
      </c>
      <c r="AR48" s="1083">
        <v>78</v>
      </c>
      <c r="AS48" s="1083">
        <v>76</v>
      </c>
      <c r="AT48" s="1083">
        <v>64</v>
      </c>
      <c r="AU48" s="1083">
        <v>67</v>
      </c>
      <c r="AV48" s="1083">
        <v>54</v>
      </c>
      <c r="AW48" s="1083">
        <v>75</v>
      </c>
      <c r="AX48" s="1083">
        <v>76</v>
      </c>
      <c r="AY48" s="1083">
        <v>87</v>
      </c>
      <c r="AZ48" s="1083">
        <v>75</v>
      </c>
      <c r="BA48" s="1083">
        <v>78.5</v>
      </c>
      <c r="BC48" s="975">
        <v>2</v>
      </c>
      <c r="BE48" s="837"/>
      <c r="BF48" s="975"/>
      <c r="BG48" s="975"/>
      <c r="BH48" s="975"/>
      <c r="BI48" s="975"/>
      <c r="BJ48" s="975"/>
      <c r="BK48" s="975"/>
      <c r="BL48" s="975"/>
      <c r="BM48" s="975"/>
      <c r="BN48" s="975"/>
      <c r="BO48" s="975"/>
      <c r="BP48" s="975"/>
      <c r="BQ48" s="975"/>
      <c r="BR48" s="975"/>
      <c r="BS48" s="975"/>
      <c r="BT48" s="975"/>
      <c r="BU48" s="975"/>
      <c r="BV48" s="975"/>
      <c r="BW48" s="975"/>
      <c r="BX48" s="975"/>
      <c r="BY48" s="975"/>
      <c r="BZ48" s="975"/>
      <c r="CA48" s="975"/>
      <c r="CB48" s="975"/>
      <c r="CC48" s="975"/>
      <c r="CD48" s="975"/>
      <c r="CE48" s="975"/>
      <c r="CF48" s="975"/>
      <c r="CG48" s="975"/>
      <c r="CH48" s="975"/>
      <c r="CI48" s="975"/>
    </row>
    <row r="49" spans="1:87" s="367" customFormat="1" ht="20.149999999999999" customHeight="1">
      <c r="A49" s="837">
        <f>tblIndicators!A49</f>
        <v>48</v>
      </c>
      <c r="B49" s="367">
        <f>tblIndicators!G49</f>
        <v>2</v>
      </c>
      <c r="C49" s="837" t="s">
        <v>788</v>
      </c>
      <c r="D49" s="837" t="s">
        <v>788</v>
      </c>
      <c r="E49" s="837" t="s">
        <v>788</v>
      </c>
      <c r="F49" s="837"/>
      <c r="G49" s="837"/>
      <c r="H49" s="837"/>
      <c r="I49" s="837"/>
      <c r="J49" s="353" t="s">
        <v>1156</v>
      </c>
      <c r="K49" s="837"/>
      <c r="L49" s="837"/>
      <c r="M49" s="837"/>
      <c r="N49" s="975">
        <v>1</v>
      </c>
      <c r="O49" s="837"/>
      <c r="P49" s="272">
        <f>tblIndicators!AS49</f>
        <v>1</v>
      </c>
      <c r="Q49" s="837"/>
      <c r="R49" s="837"/>
      <c r="S49" s="837"/>
      <c r="T49" s="837"/>
      <c r="U49" s="837"/>
      <c r="V49"/>
      <c r="W49" s="837"/>
      <c r="X49" s="975"/>
      <c r="Y49" s="975"/>
      <c r="Z49" s="975"/>
      <c r="AA49" s="975"/>
      <c r="AB49" s="975"/>
      <c r="AC49" s="975"/>
      <c r="AD49" s="975"/>
      <c r="AE49" s="975"/>
      <c r="AF49" s="975"/>
      <c r="AG49" s="975"/>
      <c r="AH49" s="975"/>
      <c r="AI49" s="975"/>
      <c r="AJ49" s="975"/>
      <c r="AK49" s="975"/>
      <c r="AL49" s="975"/>
      <c r="AM49" s="975"/>
      <c r="AN49" s="975"/>
      <c r="AO49" s="975"/>
      <c r="AP49" s="975"/>
      <c r="AQ49" s="975"/>
      <c r="AR49" s="975"/>
      <c r="AS49" s="975"/>
      <c r="AT49" s="975"/>
      <c r="AU49" s="975"/>
      <c r="AV49" s="975"/>
      <c r="AW49" s="975"/>
      <c r="AX49" s="975"/>
      <c r="AY49" s="975"/>
      <c r="AZ49" s="975"/>
      <c r="BA49" s="975"/>
      <c r="BC49" s="975">
        <v>1</v>
      </c>
      <c r="BE49" s="837"/>
      <c r="BF49" s="975"/>
      <c r="BG49" s="975"/>
      <c r="BH49" s="975"/>
      <c r="BI49" s="975"/>
      <c r="BJ49" s="975"/>
      <c r="BK49" s="975"/>
      <c r="BL49" s="975"/>
      <c r="BM49" s="975"/>
      <c r="BN49" s="975"/>
      <c r="BO49" s="975"/>
      <c r="BP49" s="975"/>
      <c r="BQ49" s="975"/>
      <c r="BR49" s="975"/>
      <c r="BS49" s="975"/>
      <c r="BT49" s="975"/>
      <c r="BU49" s="975"/>
      <c r="BV49" s="975"/>
      <c r="BW49" s="975"/>
      <c r="BX49" s="975"/>
      <c r="BY49" s="975"/>
      <c r="BZ49" s="975"/>
      <c r="CA49" s="975"/>
      <c r="CB49" s="975"/>
      <c r="CC49" s="975"/>
      <c r="CD49" s="975"/>
      <c r="CE49" s="975"/>
      <c r="CF49" s="975"/>
      <c r="CG49" s="975"/>
      <c r="CH49" s="975"/>
      <c r="CI49" s="975"/>
    </row>
    <row r="50" spans="1:87" s="367" customFormat="1" ht="30" customHeight="1">
      <c r="A50" s="837">
        <f>tblIndicators!A50</f>
        <v>49</v>
      </c>
      <c r="B50" s="367">
        <f>tblIndicators!G50</f>
        <v>3</v>
      </c>
      <c r="C50" s="837" t="s">
        <v>1004</v>
      </c>
      <c r="D50" s="837" t="s">
        <v>1004</v>
      </c>
      <c r="E50" s="837" t="s">
        <v>436</v>
      </c>
      <c r="F50" s="837" t="s">
        <v>1255</v>
      </c>
      <c r="G50" s="837"/>
      <c r="H50" s="837"/>
      <c r="I50" s="837" t="s">
        <v>880</v>
      </c>
      <c r="J50" s="837" t="s">
        <v>1115</v>
      </c>
      <c r="K50" s="837" t="s">
        <v>1200</v>
      </c>
      <c r="L50" s="837">
        <v>2020</v>
      </c>
      <c r="M50" s="837" t="s">
        <v>575</v>
      </c>
      <c r="N50" s="975">
        <v>1</v>
      </c>
      <c r="O50" s="837"/>
      <c r="P50" s="272">
        <f>tblIndicators!AS50</f>
        <v>1</v>
      </c>
      <c r="Q50" s="837"/>
      <c r="R50" s="837"/>
      <c r="S50" s="837"/>
      <c r="T50" s="837"/>
      <c r="U50" s="837"/>
      <c r="V50"/>
      <c r="W50" s="837"/>
      <c r="X50" s="975">
        <v>75.296999999999997</v>
      </c>
      <c r="Y50" s="975">
        <v>68.146000000000001</v>
      </c>
      <c r="Z50" s="975">
        <v>48.155999999999999</v>
      </c>
      <c r="AA50" s="975">
        <v>68.040999999999997</v>
      </c>
      <c r="AB50" s="975">
        <v>69.08</v>
      </c>
      <c r="AC50" s="975">
        <v>78.974000000000004</v>
      </c>
      <c r="AD50" s="975">
        <v>50.753999999999998</v>
      </c>
      <c r="AE50" s="975">
        <v>75.617999999999995</v>
      </c>
      <c r="AF50" s="975">
        <v>85.478999999999999</v>
      </c>
      <c r="AG50" s="975">
        <v>72.394999999999996</v>
      </c>
      <c r="AH50" s="975">
        <v>78.974000000000004</v>
      </c>
      <c r="AI50" s="975">
        <v>68.840999999999994</v>
      </c>
      <c r="AJ50" s="975">
        <v>47.527999999999999</v>
      </c>
      <c r="AK50" s="975">
        <v>63.662999999999997</v>
      </c>
      <c r="AL50" s="975">
        <v>81.123999999999995</v>
      </c>
      <c r="AM50" s="975">
        <v>68.040999999999997</v>
      </c>
      <c r="AN50" s="975">
        <v>42.944000000000003</v>
      </c>
      <c r="AO50" s="975">
        <v>49.357999999999997</v>
      </c>
      <c r="AP50" s="975">
        <v>55.982999999999997</v>
      </c>
      <c r="AQ50" s="975">
        <v>85.478999999999999</v>
      </c>
      <c r="AR50" s="975">
        <v>73.766999999999996</v>
      </c>
      <c r="AS50" s="975">
        <v>65.391000000000005</v>
      </c>
      <c r="AT50" s="975">
        <v>47.463999999999999</v>
      </c>
      <c r="AU50" s="975">
        <v>77.694999999999993</v>
      </c>
      <c r="AV50" s="975">
        <v>78.703999999999994</v>
      </c>
      <c r="AW50" s="975">
        <v>73.576999999999998</v>
      </c>
      <c r="AX50" s="975">
        <v>73.302999999999997</v>
      </c>
      <c r="AY50" s="975">
        <v>73.158000000000001</v>
      </c>
      <c r="AZ50" s="975">
        <v>85.478999999999999</v>
      </c>
      <c r="BA50" s="975">
        <v>69.218999999999994</v>
      </c>
      <c r="BC50" s="975">
        <v>2</v>
      </c>
      <c r="BE50" s="837"/>
      <c r="BF50" s="975"/>
      <c r="BG50" s="975"/>
      <c r="BH50" s="975"/>
      <c r="BI50" s="975"/>
      <c r="BJ50" s="975"/>
      <c r="BK50" s="975"/>
      <c r="BL50" s="975"/>
      <c r="BM50" s="975"/>
      <c r="BN50" s="975"/>
      <c r="BO50" s="975"/>
      <c r="BP50" s="975"/>
      <c r="BQ50" s="975"/>
      <c r="BR50" s="975"/>
      <c r="BS50" s="975"/>
      <c r="BT50" s="975"/>
      <c r="BU50" s="975"/>
      <c r="BV50" s="975"/>
      <c r="BW50" s="975"/>
      <c r="BX50" s="975"/>
      <c r="BY50" s="975"/>
      <c r="BZ50" s="975"/>
      <c r="CA50" s="975"/>
      <c r="CB50" s="975"/>
      <c r="CC50" s="975"/>
      <c r="CD50" s="975"/>
      <c r="CE50" s="975"/>
      <c r="CF50" s="975"/>
      <c r="CG50" s="975"/>
      <c r="CH50" s="975"/>
      <c r="CI50" s="975"/>
    </row>
    <row r="51" spans="1:87" s="367" customFormat="1" ht="30" customHeight="1">
      <c r="A51" s="837">
        <f>tblIndicators!A51</f>
        <v>50</v>
      </c>
      <c r="B51" s="367">
        <f>tblIndicators!G51</f>
        <v>3</v>
      </c>
      <c r="C51" s="837" t="s">
        <v>1005</v>
      </c>
      <c r="D51" s="837" t="s">
        <v>1005</v>
      </c>
      <c r="E51" s="837" t="s">
        <v>437</v>
      </c>
      <c r="F51" s="837" t="s">
        <v>1256</v>
      </c>
      <c r="G51" s="837"/>
      <c r="H51" s="837"/>
      <c r="I51" s="837" t="s">
        <v>1209</v>
      </c>
      <c r="J51" s="837" t="s">
        <v>1103</v>
      </c>
      <c r="K51" s="837" t="s">
        <v>1197</v>
      </c>
      <c r="L51" s="837">
        <v>2021</v>
      </c>
      <c r="M51" s="837" t="s">
        <v>575</v>
      </c>
      <c r="N51" s="975">
        <v>0</v>
      </c>
      <c r="O51" s="837"/>
      <c r="P51" s="272">
        <f>tblIndicators!AS51</f>
        <v>4</v>
      </c>
      <c r="Q51" s="837" t="s">
        <v>1280</v>
      </c>
      <c r="R51" s="837" t="s">
        <v>1281</v>
      </c>
      <c r="S51" s="837" t="s">
        <v>1282</v>
      </c>
      <c r="T51" s="837" t="s">
        <v>1283</v>
      </c>
      <c r="U51" s="837"/>
      <c r="V51"/>
      <c r="W51" s="837"/>
      <c r="X51" s="975">
        <v>1</v>
      </c>
      <c r="Y51" s="975">
        <v>0</v>
      </c>
      <c r="Z51" s="975">
        <v>0</v>
      </c>
      <c r="AA51" s="975">
        <v>2</v>
      </c>
      <c r="AB51" s="975">
        <v>3</v>
      </c>
      <c r="AC51" s="975">
        <v>2</v>
      </c>
      <c r="AD51" s="975">
        <v>0</v>
      </c>
      <c r="AE51" s="975">
        <v>1</v>
      </c>
      <c r="AF51" s="975">
        <v>0</v>
      </c>
      <c r="AG51" s="975">
        <v>3</v>
      </c>
      <c r="AH51" s="975">
        <v>2</v>
      </c>
      <c r="AI51" s="975">
        <v>0</v>
      </c>
      <c r="AJ51" s="975">
        <v>0</v>
      </c>
      <c r="AK51" s="975">
        <v>0</v>
      </c>
      <c r="AL51" s="975">
        <v>0</v>
      </c>
      <c r="AM51" s="975">
        <v>0</v>
      </c>
      <c r="AN51" s="975">
        <v>0</v>
      </c>
      <c r="AO51" s="975">
        <v>0</v>
      </c>
      <c r="AP51" s="975">
        <v>3</v>
      </c>
      <c r="AQ51" s="975">
        <v>0</v>
      </c>
      <c r="AR51" s="975">
        <v>1</v>
      </c>
      <c r="AS51" s="975">
        <v>1</v>
      </c>
      <c r="AT51" s="975">
        <v>2</v>
      </c>
      <c r="AU51" s="975">
        <v>3</v>
      </c>
      <c r="AV51" s="975">
        <v>3</v>
      </c>
      <c r="AW51" s="975">
        <v>3</v>
      </c>
      <c r="AX51" s="975">
        <v>0</v>
      </c>
      <c r="AY51" s="975">
        <v>0</v>
      </c>
      <c r="AZ51" s="975">
        <v>0</v>
      </c>
      <c r="BA51" s="975">
        <v>2</v>
      </c>
      <c r="BC51" s="975">
        <v>2</v>
      </c>
      <c r="BE51" s="837"/>
      <c r="BF51" s="975"/>
      <c r="BG51" s="975"/>
      <c r="BH51" s="975"/>
      <c r="BI51" s="975"/>
      <c r="BJ51" s="975"/>
      <c r="BK51" s="975"/>
      <c r="BL51" s="975"/>
      <c r="BM51" s="975"/>
      <c r="BN51" s="975"/>
      <c r="BO51" s="975"/>
      <c r="BP51" s="975"/>
      <c r="BQ51" s="975"/>
      <c r="BR51" s="975"/>
      <c r="BS51" s="975"/>
      <c r="BT51" s="975"/>
      <c r="BU51" s="975"/>
      <c r="BV51" s="975"/>
      <c r="BW51" s="975"/>
      <c r="BX51" s="975"/>
      <c r="BY51" s="975"/>
      <c r="BZ51" s="975"/>
      <c r="CA51" s="975"/>
      <c r="CB51" s="975"/>
      <c r="CC51" s="975"/>
      <c r="CD51" s="975"/>
      <c r="CE51" s="975"/>
      <c r="CF51" s="975"/>
      <c r="CG51" s="975"/>
      <c r="CH51" s="975"/>
      <c r="CI51" s="975"/>
    </row>
    <row r="52" spans="1:87" s="367" customFormat="1" ht="30" customHeight="1">
      <c r="A52" s="837">
        <f>tblIndicators!A52</f>
        <v>51</v>
      </c>
      <c r="B52" s="367">
        <f>tblIndicators!G52</f>
        <v>3</v>
      </c>
      <c r="C52" s="837" t="s">
        <v>1258</v>
      </c>
      <c r="D52" s="837" t="s">
        <v>1258</v>
      </c>
      <c r="E52" s="837" t="s">
        <v>519</v>
      </c>
      <c r="F52" s="837" t="s">
        <v>1257</v>
      </c>
      <c r="G52" s="837"/>
      <c r="H52" s="837"/>
      <c r="I52" s="837" t="s">
        <v>1116</v>
      </c>
      <c r="J52" s="837" t="s">
        <v>1117</v>
      </c>
      <c r="K52" s="837" t="s">
        <v>31</v>
      </c>
      <c r="L52" s="837">
        <v>2021</v>
      </c>
      <c r="M52" s="837" t="s">
        <v>575</v>
      </c>
      <c r="N52" s="975">
        <v>1</v>
      </c>
      <c r="O52" s="837"/>
      <c r="P52" s="272">
        <f>tblIndicators!AS52</f>
        <v>1</v>
      </c>
      <c r="Q52" s="837"/>
      <c r="R52" s="837"/>
      <c r="S52" s="837"/>
      <c r="T52" s="837"/>
      <c r="U52" s="837"/>
      <c r="V52"/>
      <c r="W52" s="837"/>
      <c r="X52" s="975">
        <v>10.280000000000001</v>
      </c>
      <c r="Y52" s="975">
        <v>1.5</v>
      </c>
      <c r="Z52" s="975">
        <v>4.1999999999999993</v>
      </c>
      <c r="AA52" s="975">
        <v>8.6</v>
      </c>
      <c r="AB52" s="975">
        <v>63.62</v>
      </c>
      <c r="AC52" s="975">
        <v>20.380000000000003</v>
      </c>
      <c r="AD52" s="975">
        <v>5.17</v>
      </c>
      <c r="AE52" s="975">
        <v>3.41</v>
      </c>
      <c r="AF52" s="975">
        <v>11.74</v>
      </c>
      <c r="AG52" s="975">
        <v>4.08</v>
      </c>
      <c r="AH52" s="975">
        <v>1.9500000000000002</v>
      </c>
      <c r="AI52" s="975">
        <v>10.95</v>
      </c>
      <c r="AJ52" s="975">
        <v>11.459999999999999</v>
      </c>
      <c r="AK52" s="975">
        <v>3.23</v>
      </c>
      <c r="AL52" s="975">
        <v>53.209999999999994</v>
      </c>
      <c r="AM52" s="975">
        <v>6.24</v>
      </c>
      <c r="AN52" s="975">
        <v>3.69</v>
      </c>
      <c r="AO52" s="975">
        <v>5.84</v>
      </c>
      <c r="AP52" s="975">
        <v>19.78</v>
      </c>
      <c r="AQ52" s="975">
        <v>106.97999999999999</v>
      </c>
      <c r="AR52" s="975">
        <v>21.89</v>
      </c>
      <c r="AS52" s="975">
        <v>1.1499999999999999</v>
      </c>
      <c r="AT52" s="975">
        <v>15.350000000000001</v>
      </c>
      <c r="AU52" s="975">
        <v>13.43</v>
      </c>
      <c r="AV52" s="975">
        <v>12.41</v>
      </c>
      <c r="AW52" s="975">
        <v>8.5</v>
      </c>
      <c r="AX52" s="975">
        <v>18.5</v>
      </c>
      <c r="AY52" s="975">
        <v>12.129999999999999</v>
      </c>
      <c r="AZ52" s="975">
        <v>14.26</v>
      </c>
      <c r="BA52" s="975">
        <v>3.98</v>
      </c>
      <c r="BC52" s="975">
        <v>2</v>
      </c>
      <c r="BE52" s="837"/>
      <c r="BF52" s="975"/>
      <c r="BG52" s="975"/>
      <c r="BH52" s="975"/>
      <c r="BI52" s="975"/>
      <c r="BJ52" s="975"/>
      <c r="BK52" s="975"/>
      <c r="BL52" s="975"/>
      <c r="BM52" s="975"/>
      <c r="BN52" s="975"/>
      <c r="BO52" s="975"/>
      <c r="BP52" s="975"/>
      <c r="BQ52" s="975"/>
      <c r="BR52" s="975"/>
      <c r="BS52" s="975"/>
      <c r="BT52" s="975"/>
      <c r="BU52" s="975"/>
      <c r="BV52" s="975"/>
      <c r="BW52" s="975"/>
      <c r="BX52" s="975"/>
      <c r="BY52" s="975"/>
      <c r="BZ52" s="975"/>
      <c r="CA52" s="975"/>
      <c r="CB52" s="975"/>
      <c r="CC52" s="975"/>
      <c r="CD52" s="975"/>
      <c r="CE52" s="975"/>
      <c r="CF52" s="975"/>
      <c r="CG52" s="975"/>
      <c r="CH52" s="975"/>
      <c r="CI52" s="975"/>
    </row>
    <row r="53" spans="1:87" s="367" customFormat="1" ht="30" customHeight="1" thickBot="1">
      <c r="A53" s="837">
        <f>tblIndicators!A53</f>
        <v>52</v>
      </c>
      <c r="B53" s="367">
        <f>tblIndicators!G53</f>
        <v>3</v>
      </c>
      <c r="C53" s="837" t="s">
        <v>1118</v>
      </c>
      <c r="D53" s="837" t="s">
        <v>789</v>
      </c>
      <c r="E53" s="837" t="s">
        <v>731</v>
      </c>
      <c r="F53" s="837" t="s">
        <v>1259</v>
      </c>
      <c r="G53" s="837"/>
      <c r="H53" s="837"/>
      <c r="I53" s="837" t="s">
        <v>1208</v>
      </c>
      <c r="J53" s="837" t="s">
        <v>715</v>
      </c>
      <c r="K53" s="837" t="s">
        <v>1203</v>
      </c>
      <c r="L53" s="837">
        <v>2021</v>
      </c>
      <c r="M53" s="837" t="s">
        <v>575</v>
      </c>
      <c r="N53" s="975">
        <v>0</v>
      </c>
      <c r="O53" s="837"/>
      <c r="P53" s="272">
        <f>tblIndicators!AS53</f>
        <v>5</v>
      </c>
      <c r="Q53" s="837" t="s">
        <v>1288</v>
      </c>
      <c r="R53" s="837" t="s">
        <v>1168</v>
      </c>
      <c r="S53" s="837" t="s">
        <v>1169</v>
      </c>
      <c r="T53" s="837" t="s">
        <v>1170</v>
      </c>
      <c r="U53" s="837" t="s">
        <v>1289</v>
      </c>
      <c r="V53"/>
      <c r="W53" s="837"/>
      <c r="X53" s="975">
        <v>5</v>
      </c>
      <c r="Y53" s="975">
        <v>4.4000000000000004</v>
      </c>
      <c r="Z53" s="975">
        <v>2</v>
      </c>
      <c r="AA53" s="975">
        <v>4</v>
      </c>
      <c r="AB53" s="975">
        <v>2.4</v>
      </c>
      <c r="AC53" s="975">
        <v>5</v>
      </c>
      <c r="AD53" s="975">
        <v>3</v>
      </c>
      <c r="AE53" s="975">
        <v>5</v>
      </c>
      <c r="AF53" s="975">
        <v>5</v>
      </c>
      <c r="AG53" s="975">
        <v>3.6</v>
      </c>
      <c r="AH53" s="975">
        <v>5</v>
      </c>
      <c r="AI53" s="975">
        <v>4</v>
      </c>
      <c r="AJ53" s="975">
        <v>2</v>
      </c>
      <c r="AK53" s="975">
        <v>3</v>
      </c>
      <c r="AL53" s="975">
        <v>5</v>
      </c>
      <c r="AM53" s="975">
        <v>4</v>
      </c>
      <c r="AN53" s="975">
        <v>2</v>
      </c>
      <c r="AO53" s="975">
        <v>3</v>
      </c>
      <c r="AP53" s="975">
        <v>1.3</v>
      </c>
      <c r="AQ53" s="975">
        <v>5</v>
      </c>
      <c r="AR53" s="975">
        <v>5</v>
      </c>
      <c r="AS53" s="975">
        <v>4</v>
      </c>
      <c r="AT53" s="975">
        <v>3</v>
      </c>
      <c r="AU53" s="975">
        <v>3.4</v>
      </c>
      <c r="AV53" s="975">
        <v>5</v>
      </c>
      <c r="AW53" s="975">
        <v>5</v>
      </c>
      <c r="AX53" s="975">
        <v>4</v>
      </c>
      <c r="AY53" s="975">
        <v>5</v>
      </c>
      <c r="AZ53" s="975">
        <v>5</v>
      </c>
      <c r="BA53" s="975">
        <v>5</v>
      </c>
      <c r="BC53" s="975">
        <v>2</v>
      </c>
      <c r="BE53" s="837"/>
      <c r="BF53" s="975"/>
      <c r="BG53" s="975"/>
      <c r="BH53" s="975"/>
      <c r="BI53" s="975"/>
      <c r="BJ53" s="975"/>
      <c r="BK53" s="975"/>
      <c r="BL53" s="975"/>
      <c r="BM53" s="975"/>
      <c r="BN53" s="975"/>
      <c r="BO53" s="975"/>
      <c r="BP53" s="975"/>
      <c r="BQ53" s="975"/>
      <c r="BR53" s="975"/>
      <c r="BS53" s="975"/>
      <c r="BT53" s="975"/>
      <c r="BU53" s="975"/>
      <c r="BV53" s="975"/>
      <c r="BW53" s="975"/>
      <c r="BX53" s="975"/>
      <c r="BY53" s="975"/>
      <c r="BZ53" s="975"/>
      <c r="CA53" s="975"/>
      <c r="CB53" s="975"/>
      <c r="CC53" s="975"/>
      <c r="CD53" s="975"/>
      <c r="CE53" s="975"/>
      <c r="CF53" s="975"/>
      <c r="CG53" s="975"/>
      <c r="CH53" s="975"/>
      <c r="CI53" s="975"/>
    </row>
    <row r="54" spans="1:87" s="367" customFormat="1" ht="30" customHeight="1" thickBot="1">
      <c r="A54" s="837">
        <f>tblIndicators!A54</f>
        <v>53</v>
      </c>
      <c r="B54" s="367">
        <f>tblIndicators!G54</f>
        <v>3</v>
      </c>
      <c r="C54" s="837" t="s">
        <v>1192</v>
      </c>
      <c r="D54" s="837" t="s">
        <v>1192</v>
      </c>
      <c r="E54" s="837" t="s">
        <v>1186</v>
      </c>
      <c r="F54" s="837" t="s">
        <v>1260</v>
      </c>
      <c r="G54" s="837"/>
      <c r="H54" s="837"/>
      <c r="I54" s="837" t="s">
        <v>1220</v>
      </c>
      <c r="J54" s="837" t="s">
        <v>715</v>
      </c>
      <c r="K54" s="837" t="s">
        <v>1200</v>
      </c>
      <c r="L54" s="837">
        <v>2021</v>
      </c>
      <c r="M54" s="837" t="s">
        <v>575</v>
      </c>
      <c r="N54" s="975">
        <v>1</v>
      </c>
      <c r="O54" s="837"/>
      <c r="P54" s="272">
        <f>tblIndicators!AS54</f>
        <v>1</v>
      </c>
      <c r="Q54" s="837"/>
      <c r="R54" s="837"/>
      <c r="S54" s="837"/>
      <c r="T54" s="837"/>
      <c r="U54" s="837"/>
      <c r="W54" s="837"/>
      <c r="X54" s="1079">
        <v>95</v>
      </c>
      <c r="Y54" s="1079">
        <v>98.33</v>
      </c>
      <c r="Z54" s="1079">
        <v>76.67</v>
      </c>
      <c r="AA54" s="1079">
        <v>83.33</v>
      </c>
      <c r="AB54" s="1079">
        <v>65</v>
      </c>
      <c r="AC54" s="1079">
        <v>88.33</v>
      </c>
      <c r="AD54" s="1079">
        <v>55</v>
      </c>
      <c r="AE54" s="1079">
        <v>95</v>
      </c>
      <c r="AF54" s="1079">
        <v>100</v>
      </c>
      <c r="AG54" s="1079">
        <v>85</v>
      </c>
      <c r="AH54" s="1079">
        <v>88.33</v>
      </c>
      <c r="AI54" s="1079">
        <v>88.33</v>
      </c>
      <c r="AJ54" s="1079">
        <v>65</v>
      </c>
      <c r="AK54" s="1079">
        <v>76.67</v>
      </c>
      <c r="AL54" s="1079">
        <v>93.33</v>
      </c>
      <c r="AM54" s="1079">
        <v>83.33</v>
      </c>
      <c r="AN54" s="1079">
        <v>65</v>
      </c>
      <c r="AO54" s="1079">
        <v>66.67</v>
      </c>
      <c r="AP54" s="1079">
        <v>70</v>
      </c>
      <c r="AQ54" s="1079">
        <v>100</v>
      </c>
      <c r="AR54" s="1079">
        <v>83.33</v>
      </c>
      <c r="AS54" s="1079">
        <v>70</v>
      </c>
      <c r="AT54" s="1079">
        <v>81.67</v>
      </c>
      <c r="AU54" s="1079">
        <v>81.67</v>
      </c>
      <c r="AV54" s="1079">
        <v>98.33</v>
      </c>
      <c r="AW54" s="1079">
        <v>90</v>
      </c>
      <c r="AX54" s="1079">
        <v>80</v>
      </c>
      <c r="AY54" s="1079">
        <v>98.33</v>
      </c>
      <c r="AZ54" s="1079">
        <v>100</v>
      </c>
      <c r="BA54" s="1079">
        <v>90</v>
      </c>
      <c r="BC54" s="975">
        <v>2</v>
      </c>
      <c r="BE54" s="837"/>
      <c r="BF54" s="975"/>
      <c r="BG54" s="975"/>
      <c r="BH54" s="975"/>
      <c r="BI54" s="975"/>
      <c r="BJ54" s="975"/>
      <c r="BK54" s="975"/>
      <c r="BL54" s="975"/>
      <c r="BM54" s="975"/>
      <c r="BN54" s="975"/>
      <c r="BO54" s="975"/>
      <c r="BP54" s="975"/>
      <c r="BQ54" s="975"/>
      <c r="BR54" s="975"/>
      <c r="BS54" s="975"/>
      <c r="BT54" s="975"/>
      <c r="BU54" s="975"/>
      <c r="BV54" s="975"/>
      <c r="BW54" s="975"/>
      <c r="BX54" s="975"/>
      <c r="BY54" s="975"/>
      <c r="BZ54" s="975"/>
      <c r="CA54" s="975"/>
      <c r="CB54" s="975"/>
      <c r="CC54" s="975"/>
      <c r="CD54" s="975"/>
      <c r="CE54" s="975"/>
      <c r="CF54" s="975"/>
      <c r="CG54" s="975"/>
      <c r="CH54" s="975"/>
      <c r="CI54" s="975"/>
    </row>
    <row r="55" spans="1:87" s="367" customFormat="1" ht="20.149999999999999" customHeight="1" thickBot="1">
      <c r="A55" s="837">
        <f>tblIndicators!A55</f>
        <v>54</v>
      </c>
      <c r="B55" s="367">
        <f>tblIndicators!G55</f>
        <v>2</v>
      </c>
      <c r="C55" s="837" t="s">
        <v>1119</v>
      </c>
      <c r="D55" s="837" t="s">
        <v>1119</v>
      </c>
      <c r="E55" s="837" t="s">
        <v>1119</v>
      </c>
      <c r="F55" s="837"/>
      <c r="G55" s="837"/>
      <c r="H55" s="837"/>
      <c r="I55" s="837"/>
      <c r="J55" s="353" t="s">
        <v>1156</v>
      </c>
      <c r="K55" s="837"/>
      <c r="L55" s="837"/>
      <c r="M55" s="837"/>
      <c r="N55" s="975">
        <v>1</v>
      </c>
      <c r="O55" s="837"/>
      <c r="P55" s="272">
        <f>tblIndicators!AS55</f>
        <v>1</v>
      </c>
      <c r="Q55" s="837"/>
      <c r="R55" s="837"/>
      <c r="S55" s="837"/>
      <c r="T55" s="837"/>
      <c r="U55" s="837"/>
      <c r="V55"/>
      <c r="W55" s="837"/>
      <c r="X55" s="975"/>
      <c r="Y55" s="975"/>
      <c r="Z55" s="975"/>
      <c r="AA55" s="975"/>
      <c r="AB55" s="975"/>
      <c r="AC55" s="975"/>
      <c r="AD55" s="975"/>
      <c r="AE55" s="975"/>
      <c r="AF55" s="975"/>
      <c r="AG55" s="975"/>
      <c r="AH55" s="975"/>
      <c r="AI55" s="975"/>
      <c r="AJ55" s="975"/>
      <c r="AK55" s="975"/>
      <c r="AL55" s="975"/>
      <c r="AM55" s="975"/>
      <c r="AN55" s="975"/>
      <c r="AO55" s="975"/>
      <c r="AP55" s="975"/>
      <c r="AQ55" s="975"/>
      <c r="AR55" s="975"/>
      <c r="AS55" s="975"/>
      <c r="AT55" s="975"/>
      <c r="AU55" s="975"/>
      <c r="AV55" s="975"/>
      <c r="AW55" s="975"/>
      <c r="AX55" s="975"/>
      <c r="AY55" s="975"/>
      <c r="AZ55" s="975"/>
      <c r="BA55" s="975"/>
      <c r="BC55" s="975">
        <v>1</v>
      </c>
      <c r="BE55" s="837"/>
      <c r="BF55" s="975"/>
      <c r="BG55" s="975"/>
      <c r="BH55" s="975"/>
      <c r="BI55" s="975"/>
      <c r="BJ55" s="975"/>
      <c r="BK55" s="975"/>
      <c r="BL55" s="975"/>
      <c r="BM55" s="975"/>
      <c r="BN55" s="975"/>
      <c r="BO55" s="975"/>
      <c r="BP55" s="975"/>
      <c r="BQ55" s="975"/>
      <c r="BR55" s="975"/>
      <c r="BS55" s="975"/>
      <c r="BT55" s="975"/>
      <c r="BU55" s="975"/>
      <c r="BV55" s="975"/>
      <c r="BW55" s="975"/>
      <c r="BX55" s="975"/>
      <c r="BY55" s="975"/>
      <c r="BZ55" s="975"/>
      <c r="CA55" s="975"/>
      <c r="CB55" s="975"/>
      <c r="CC55" s="975"/>
      <c r="CD55" s="975"/>
      <c r="CE55" s="975"/>
      <c r="CF55" s="975"/>
      <c r="CG55" s="975"/>
      <c r="CH55" s="975"/>
      <c r="CI55" s="975"/>
    </row>
    <row r="56" spans="1:87" s="367" customFormat="1" ht="30" customHeight="1" thickBot="1">
      <c r="A56" s="837">
        <f>tblIndicators!A56</f>
        <v>55</v>
      </c>
      <c r="B56" s="367">
        <f>tblIndicators!G56</f>
        <v>3</v>
      </c>
      <c r="C56" s="837" t="s">
        <v>1120</v>
      </c>
      <c r="D56" s="837" t="s">
        <v>1121</v>
      </c>
      <c r="E56" s="837" t="s">
        <v>389</v>
      </c>
      <c r="F56" s="837" t="s">
        <v>1261</v>
      </c>
      <c r="G56" s="837"/>
      <c r="H56" s="837"/>
      <c r="I56" s="837" t="s">
        <v>1263</v>
      </c>
      <c r="J56" s="837" t="s">
        <v>1122</v>
      </c>
      <c r="K56" s="837" t="s">
        <v>1200</v>
      </c>
      <c r="L56" s="837">
        <v>2021</v>
      </c>
      <c r="M56" s="837" t="s">
        <v>575</v>
      </c>
      <c r="N56" s="975">
        <v>0</v>
      </c>
      <c r="O56" s="837"/>
      <c r="P56" s="272">
        <f>tblIndicators!AS56</f>
        <v>1</v>
      </c>
      <c r="Q56" s="837"/>
      <c r="R56" s="837"/>
      <c r="S56" s="837"/>
      <c r="T56" s="837"/>
      <c r="U56" s="837"/>
      <c r="V56"/>
      <c r="W56" s="837"/>
      <c r="X56" s="1079">
        <v>46.67</v>
      </c>
      <c r="Y56" s="1079">
        <v>66.67</v>
      </c>
      <c r="Z56" s="1079">
        <v>53.33</v>
      </c>
      <c r="AA56" s="1079">
        <v>46.67</v>
      </c>
      <c r="AB56" s="1079">
        <v>53.33</v>
      </c>
      <c r="AC56" s="1079">
        <v>46.67</v>
      </c>
      <c r="AD56" s="1079">
        <v>60</v>
      </c>
      <c r="AE56" s="1079">
        <v>53.33</v>
      </c>
      <c r="AF56" s="1079">
        <v>46.67</v>
      </c>
      <c r="AG56" s="1079">
        <v>60</v>
      </c>
      <c r="AH56" s="1079">
        <v>46.67</v>
      </c>
      <c r="AI56" s="1079">
        <v>33.33</v>
      </c>
      <c r="AJ56" s="1079">
        <v>60</v>
      </c>
      <c r="AK56" s="1079">
        <v>60</v>
      </c>
      <c r="AL56" s="1079">
        <v>40</v>
      </c>
      <c r="AM56" s="1079">
        <v>40</v>
      </c>
      <c r="AN56" s="1079">
        <v>46.67</v>
      </c>
      <c r="AO56" s="1079">
        <v>46.67</v>
      </c>
      <c r="AP56" s="1079">
        <v>53.33</v>
      </c>
      <c r="AQ56" s="1079">
        <v>46.67</v>
      </c>
      <c r="AR56" s="1079">
        <v>53.33</v>
      </c>
      <c r="AS56" s="1079">
        <v>40</v>
      </c>
      <c r="AT56" s="1079">
        <v>53.33</v>
      </c>
      <c r="AU56" s="1079">
        <v>53.33</v>
      </c>
      <c r="AV56" s="1079">
        <v>40</v>
      </c>
      <c r="AW56" s="1079">
        <v>40</v>
      </c>
      <c r="AX56" s="1079">
        <v>46.67</v>
      </c>
      <c r="AY56" s="1079">
        <v>46.67</v>
      </c>
      <c r="AZ56" s="1079">
        <v>46.67</v>
      </c>
      <c r="BA56" s="1079">
        <v>46.67</v>
      </c>
      <c r="BC56" s="975">
        <v>2</v>
      </c>
      <c r="BE56" s="837"/>
      <c r="BF56" s="975"/>
      <c r="BG56" s="975"/>
      <c r="BH56" s="975"/>
      <c r="BI56" s="975"/>
      <c r="BJ56" s="975"/>
      <c r="BK56" s="975"/>
      <c r="BL56" s="975"/>
      <c r="BM56" s="975"/>
      <c r="BN56" s="975"/>
      <c r="BO56" s="975"/>
      <c r="BP56" s="975"/>
      <c r="BQ56" s="975"/>
      <c r="BR56" s="975"/>
      <c r="BS56" s="975"/>
      <c r="BT56" s="975"/>
      <c r="BU56" s="975"/>
      <c r="BV56" s="975"/>
      <c r="BW56" s="975"/>
      <c r="BX56" s="975"/>
      <c r="BY56" s="975"/>
      <c r="BZ56" s="975"/>
      <c r="CA56" s="975"/>
      <c r="CB56" s="975"/>
      <c r="CC56" s="975"/>
      <c r="CD56" s="975"/>
      <c r="CE56" s="975"/>
      <c r="CF56" s="975"/>
      <c r="CG56" s="975"/>
      <c r="CH56" s="975"/>
      <c r="CI56" s="975"/>
    </row>
    <row r="57" spans="1:87" s="367" customFormat="1" ht="30" customHeight="1">
      <c r="A57" s="837">
        <f>tblIndicators!A57</f>
        <v>56</v>
      </c>
      <c r="B57" s="367">
        <f>tblIndicators!G57</f>
        <v>3</v>
      </c>
      <c r="C57" s="837" t="s">
        <v>1123</v>
      </c>
      <c r="D57" s="837" t="s">
        <v>1123</v>
      </c>
      <c r="E57" s="837" t="s">
        <v>390</v>
      </c>
      <c r="F57" s="837" t="s">
        <v>1262</v>
      </c>
      <c r="G57" s="837"/>
      <c r="H57" s="837"/>
      <c r="I57" s="837" t="s">
        <v>1219</v>
      </c>
      <c r="J57" s="837" t="s">
        <v>1113</v>
      </c>
      <c r="K57" s="837" t="s">
        <v>350</v>
      </c>
      <c r="L57" s="837">
        <v>2021</v>
      </c>
      <c r="M57" s="837" t="s">
        <v>575</v>
      </c>
      <c r="N57" s="975">
        <v>1</v>
      </c>
      <c r="O57" s="837"/>
      <c r="P57" s="272">
        <f>tblIndicators!AS57</f>
        <v>1</v>
      </c>
      <c r="Q57" s="837"/>
      <c r="R57" s="837"/>
      <c r="S57" s="837"/>
      <c r="T57" s="837"/>
      <c r="U57" s="837"/>
      <c r="V57"/>
      <c r="W57" s="837"/>
      <c r="X57" s="975">
        <v>27</v>
      </c>
      <c r="Y57" s="975">
        <v>34.875</v>
      </c>
      <c r="Z57" s="975">
        <v>44.5</v>
      </c>
      <c r="AA57" s="975">
        <v>33</v>
      </c>
      <c r="AB57" s="975">
        <v>62.875</v>
      </c>
      <c r="AC57" s="975">
        <v>17.5</v>
      </c>
      <c r="AD57" s="975">
        <v>27</v>
      </c>
      <c r="AE57" s="975">
        <v>30.75</v>
      </c>
      <c r="AF57" s="975">
        <v>37.625</v>
      </c>
      <c r="AG57" s="975">
        <v>71.875</v>
      </c>
      <c r="AH57" s="975">
        <v>24.375</v>
      </c>
      <c r="AI57" s="975">
        <v>23.875</v>
      </c>
      <c r="AJ57" s="975">
        <v>57.25</v>
      </c>
      <c r="AK57" s="975">
        <v>36.25</v>
      </c>
      <c r="AL57" s="975">
        <v>20.125</v>
      </c>
      <c r="AM57" s="975">
        <v>34</v>
      </c>
      <c r="AN57" s="975">
        <v>41.125</v>
      </c>
      <c r="AO57" s="975">
        <v>33.375</v>
      </c>
      <c r="AP57" s="975">
        <v>71.125</v>
      </c>
      <c r="AQ57" s="975">
        <v>35.5</v>
      </c>
      <c r="AR57" s="975">
        <v>29.125</v>
      </c>
      <c r="AS57" s="975">
        <v>29.5</v>
      </c>
      <c r="AT57" s="975">
        <v>37.875</v>
      </c>
      <c r="AU57" s="975">
        <v>44</v>
      </c>
      <c r="AV57" s="975">
        <v>35.5</v>
      </c>
      <c r="AW57" s="975">
        <v>20.75</v>
      </c>
      <c r="AX57" s="975">
        <v>8.625</v>
      </c>
      <c r="AY57" s="975">
        <v>22.5</v>
      </c>
      <c r="AZ57" s="975">
        <v>36.25</v>
      </c>
      <c r="BA57" s="975">
        <v>32.75</v>
      </c>
      <c r="BC57" s="975">
        <v>2</v>
      </c>
      <c r="BE57" s="837"/>
      <c r="BF57" s="975"/>
      <c r="BG57" s="975"/>
      <c r="BH57" s="975"/>
      <c r="BI57" s="975"/>
      <c r="BJ57" s="975"/>
      <c r="BK57" s="975"/>
      <c r="BL57" s="975"/>
      <c r="BM57" s="975"/>
      <c r="BN57" s="975"/>
      <c r="BO57" s="975"/>
      <c r="BP57" s="975"/>
      <c r="BQ57" s="975"/>
      <c r="BR57" s="975"/>
      <c r="BS57" s="975"/>
      <c r="BT57" s="975"/>
      <c r="BU57" s="975"/>
      <c r="BV57" s="975"/>
      <c r="BW57" s="975"/>
      <c r="BX57" s="975"/>
      <c r="BY57" s="975"/>
      <c r="BZ57" s="975"/>
      <c r="CA57" s="975"/>
      <c r="CB57" s="975"/>
      <c r="CC57" s="975"/>
      <c r="CD57" s="975"/>
      <c r="CE57" s="975"/>
      <c r="CF57" s="975"/>
      <c r="CG57" s="975"/>
      <c r="CH57" s="975"/>
      <c r="CI57" s="975"/>
    </row>
    <row r="58" spans="1:87" s="367" customFormat="1" ht="20.149999999999999" customHeight="1">
      <c r="A58" s="837">
        <f>tblIndicators!A58</f>
        <v>57</v>
      </c>
      <c r="B58" s="367">
        <f>tblIndicators!G58</f>
        <v>1</v>
      </c>
      <c r="C58" s="837" t="s">
        <v>1124</v>
      </c>
      <c r="D58" s="837" t="s">
        <v>1124</v>
      </c>
      <c r="E58" s="837" t="s">
        <v>1124</v>
      </c>
      <c r="F58" s="837"/>
      <c r="G58" s="837"/>
      <c r="H58" s="837"/>
      <c r="I58" s="837"/>
      <c r="J58" s="353" t="s">
        <v>1156</v>
      </c>
      <c r="K58" s="837"/>
      <c r="L58" s="837"/>
      <c r="M58" s="837"/>
      <c r="N58" s="975">
        <v>1</v>
      </c>
      <c r="O58" s="837"/>
      <c r="P58" s="272">
        <f>tblIndicators!AS58</f>
        <v>1</v>
      </c>
      <c r="Q58" s="837"/>
      <c r="R58" s="837"/>
      <c r="S58" s="837"/>
      <c r="T58" s="837"/>
      <c r="U58" s="837"/>
      <c r="V58"/>
      <c r="W58" s="837"/>
      <c r="X58" s="975"/>
      <c r="Y58" s="975"/>
      <c r="Z58" s="975"/>
      <c r="AA58" s="975"/>
      <c r="AB58" s="975"/>
      <c r="AC58" s="975"/>
      <c r="AD58" s="975"/>
      <c r="AE58" s="975"/>
      <c r="AF58" s="975"/>
      <c r="AG58" s="975"/>
      <c r="AH58" s="975"/>
      <c r="AI58" s="975"/>
      <c r="AJ58" s="975"/>
      <c r="AK58" s="975"/>
      <c r="AL58" s="975"/>
      <c r="AM58" s="975"/>
      <c r="AN58" s="975"/>
      <c r="AO58" s="975"/>
      <c r="AP58" s="975"/>
      <c r="AQ58" s="975"/>
      <c r="AR58" s="975"/>
      <c r="AS58" s="975"/>
      <c r="AT58" s="975"/>
      <c r="AU58" s="975"/>
      <c r="AV58" s="975"/>
      <c r="AW58" s="975"/>
      <c r="AX58" s="975"/>
      <c r="AY58" s="975"/>
      <c r="AZ58" s="975"/>
      <c r="BA58" s="975"/>
      <c r="BC58" s="975">
        <v>1</v>
      </c>
      <c r="BE58" s="837"/>
      <c r="BF58" s="975"/>
      <c r="BG58" s="975"/>
      <c r="BH58" s="975"/>
      <c r="BI58" s="975"/>
      <c r="BJ58" s="975"/>
      <c r="BK58" s="975"/>
      <c r="BL58" s="975"/>
      <c r="BM58" s="975"/>
      <c r="BN58" s="975"/>
      <c r="BO58" s="975"/>
      <c r="BP58" s="975"/>
      <c r="BQ58" s="975"/>
      <c r="BR58" s="975"/>
      <c r="BS58" s="975"/>
      <c r="BT58" s="975"/>
      <c r="BU58" s="975"/>
      <c r="BV58" s="975"/>
      <c r="BW58" s="975"/>
      <c r="BX58" s="975"/>
      <c r="BY58" s="975"/>
      <c r="BZ58" s="975"/>
      <c r="CA58" s="975"/>
      <c r="CB58" s="975"/>
      <c r="CC58" s="975"/>
      <c r="CD58" s="975"/>
      <c r="CE58" s="975"/>
      <c r="CF58" s="975"/>
      <c r="CG58" s="975"/>
      <c r="CH58" s="975"/>
      <c r="CI58" s="975"/>
    </row>
    <row r="59" spans="1:87" s="367" customFormat="1" ht="20.149999999999999" customHeight="1">
      <c r="A59" s="837">
        <f>tblIndicators!A59</f>
        <v>58</v>
      </c>
      <c r="B59" s="367">
        <f>tblIndicators!G59</f>
        <v>2</v>
      </c>
      <c r="C59" s="837" t="s">
        <v>1125</v>
      </c>
      <c r="D59" s="837" t="s">
        <v>1125</v>
      </c>
      <c r="E59" s="837" t="s">
        <v>1125</v>
      </c>
      <c r="F59" s="837"/>
      <c r="G59" s="837"/>
      <c r="H59" s="837"/>
      <c r="I59" s="837"/>
      <c r="J59" s="353" t="s">
        <v>1156</v>
      </c>
      <c r="K59" s="837"/>
      <c r="L59" s="837"/>
      <c r="M59" s="837"/>
      <c r="N59" s="975">
        <v>1</v>
      </c>
      <c r="O59" s="837"/>
      <c r="P59" s="272">
        <f>tblIndicators!AS59</f>
        <v>1</v>
      </c>
      <c r="Q59" s="837"/>
      <c r="R59" s="837"/>
      <c r="S59" s="837"/>
      <c r="T59" s="837"/>
      <c r="U59" s="837"/>
      <c r="V59"/>
      <c r="W59" s="837"/>
      <c r="X59" s="975"/>
      <c r="Y59" s="975"/>
      <c r="Z59" s="975"/>
      <c r="AA59" s="975"/>
      <c r="AB59" s="975"/>
      <c r="AC59" s="975"/>
      <c r="AD59" s="975"/>
      <c r="AE59" s="975"/>
      <c r="AF59" s="975"/>
      <c r="AG59" s="975"/>
      <c r="AH59" s="975"/>
      <c r="AI59" s="975"/>
      <c r="AJ59" s="975"/>
      <c r="AK59" s="975"/>
      <c r="AL59" s="975"/>
      <c r="AM59" s="975"/>
      <c r="AN59" s="975"/>
      <c r="AO59" s="975"/>
      <c r="AP59" s="975"/>
      <c r="AQ59" s="975"/>
      <c r="AR59" s="975"/>
      <c r="AS59" s="975"/>
      <c r="AT59" s="975"/>
      <c r="AU59" s="975"/>
      <c r="AV59" s="975"/>
      <c r="AW59" s="975"/>
      <c r="AX59" s="975"/>
      <c r="AY59" s="975"/>
      <c r="AZ59" s="975"/>
      <c r="BA59" s="975"/>
      <c r="BC59" s="975">
        <v>1</v>
      </c>
      <c r="BE59" s="837"/>
      <c r="BF59" s="975"/>
      <c r="BG59" s="975"/>
      <c r="BH59" s="975"/>
      <c r="BI59" s="975"/>
      <c r="BJ59" s="975"/>
      <c r="BK59" s="975"/>
      <c r="BL59" s="975"/>
      <c r="BM59" s="975"/>
      <c r="BN59" s="975"/>
      <c r="BO59" s="975"/>
      <c r="BP59" s="975"/>
      <c r="BQ59" s="975"/>
      <c r="BR59" s="975"/>
      <c r="BS59" s="975"/>
      <c r="BT59" s="975"/>
      <c r="BU59" s="975"/>
      <c r="BV59" s="975"/>
      <c r="BW59" s="975"/>
      <c r="BX59" s="975"/>
      <c r="BY59" s="975"/>
      <c r="BZ59" s="975"/>
      <c r="CA59" s="975"/>
      <c r="CB59" s="975"/>
      <c r="CC59" s="975"/>
      <c r="CD59" s="975"/>
      <c r="CE59" s="975"/>
      <c r="CF59" s="975"/>
      <c r="CG59" s="975"/>
      <c r="CH59" s="975"/>
      <c r="CI59" s="975"/>
    </row>
    <row r="60" spans="1:87" s="367" customFormat="1" ht="30" customHeight="1">
      <c r="A60" s="837">
        <f>tblIndicators!A60</f>
        <v>59</v>
      </c>
      <c r="B60" s="367">
        <f>tblIndicators!G60</f>
        <v>3</v>
      </c>
      <c r="C60" s="837" t="s">
        <v>790</v>
      </c>
      <c r="D60" s="837" t="s">
        <v>790</v>
      </c>
      <c r="E60" s="837" t="s">
        <v>732</v>
      </c>
      <c r="F60" s="837" t="s">
        <v>1264</v>
      </c>
      <c r="G60" s="837"/>
      <c r="H60" s="837"/>
      <c r="I60" s="837" t="s">
        <v>1266</v>
      </c>
      <c r="J60" s="837" t="s">
        <v>1103</v>
      </c>
      <c r="K60" s="837" t="s">
        <v>1202</v>
      </c>
      <c r="L60" s="837">
        <v>2021</v>
      </c>
      <c r="M60" s="837" t="s">
        <v>575</v>
      </c>
      <c r="N60" s="975">
        <v>0</v>
      </c>
      <c r="O60" s="837"/>
      <c r="P60" s="272">
        <f>tblIndicators!AS60</f>
        <v>1</v>
      </c>
      <c r="Q60" s="837"/>
      <c r="R60" s="837"/>
      <c r="S60" s="837"/>
      <c r="T60" s="837"/>
      <c r="U60" s="837"/>
      <c r="V60"/>
      <c r="W60" s="837"/>
      <c r="X60" s="975">
        <v>3</v>
      </c>
      <c r="Y60" s="975">
        <v>3</v>
      </c>
      <c r="Z60" s="975">
        <v>1</v>
      </c>
      <c r="AA60" s="975">
        <v>4</v>
      </c>
      <c r="AB60" s="975">
        <v>4</v>
      </c>
      <c r="AC60" s="975">
        <v>3</v>
      </c>
      <c r="AD60" s="975">
        <v>3</v>
      </c>
      <c r="AE60" s="975">
        <v>4</v>
      </c>
      <c r="AF60" s="975">
        <v>3</v>
      </c>
      <c r="AG60" s="975">
        <v>4</v>
      </c>
      <c r="AH60" s="975">
        <v>3</v>
      </c>
      <c r="AI60" s="975">
        <v>4</v>
      </c>
      <c r="AJ60" s="975">
        <v>1</v>
      </c>
      <c r="AK60" s="975">
        <v>1</v>
      </c>
      <c r="AL60" s="975">
        <v>4</v>
      </c>
      <c r="AM60" s="975">
        <v>3</v>
      </c>
      <c r="AN60" s="975">
        <v>2</v>
      </c>
      <c r="AO60" s="975">
        <v>2</v>
      </c>
      <c r="AP60" s="975">
        <v>3</v>
      </c>
      <c r="AQ60" s="975">
        <v>4</v>
      </c>
      <c r="AR60" s="975">
        <v>4</v>
      </c>
      <c r="AS60" s="975">
        <v>2</v>
      </c>
      <c r="AT60" s="975">
        <v>3</v>
      </c>
      <c r="AU60" s="975">
        <v>4</v>
      </c>
      <c r="AV60" s="975">
        <v>2</v>
      </c>
      <c r="AW60" s="975">
        <v>3</v>
      </c>
      <c r="AX60" s="975">
        <v>3</v>
      </c>
      <c r="AY60" s="975">
        <v>4</v>
      </c>
      <c r="AZ60" s="975">
        <v>3</v>
      </c>
      <c r="BA60" s="975">
        <v>1</v>
      </c>
      <c r="BC60" s="975">
        <v>2</v>
      </c>
      <c r="BE60" s="837"/>
      <c r="BF60" s="975"/>
      <c r="BG60" s="975"/>
      <c r="BH60" s="975"/>
      <c r="BI60" s="975"/>
      <c r="BJ60" s="975"/>
      <c r="BK60" s="975"/>
      <c r="BL60" s="975"/>
      <c r="BM60" s="975"/>
      <c r="BN60" s="975"/>
      <c r="BO60" s="975"/>
      <c r="BP60" s="975"/>
      <c r="BQ60" s="975"/>
      <c r="BR60" s="975"/>
      <c r="BS60" s="975"/>
      <c r="BT60" s="975"/>
      <c r="BU60" s="975"/>
      <c r="BV60" s="975"/>
      <c r="BW60" s="975"/>
      <c r="BX60" s="975"/>
      <c r="BY60" s="975"/>
      <c r="BZ60" s="975"/>
      <c r="CA60" s="975"/>
      <c r="CB60" s="975"/>
      <c r="CC60" s="975"/>
      <c r="CD60" s="975"/>
      <c r="CE60" s="975"/>
      <c r="CF60" s="975"/>
      <c r="CG60" s="975"/>
      <c r="CH60" s="975"/>
      <c r="CI60" s="975"/>
    </row>
    <row r="61" spans="1:87" s="367" customFormat="1" ht="30" customHeight="1" thickBot="1">
      <c r="A61" s="837">
        <f>tblIndicators!A61</f>
        <v>60</v>
      </c>
      <c r="B61" s="367">
        <f>tblIndicators!G61</f>
        <v>3</v>
      </c>
      <c r="C61" s="837" t="s">
        <v>791</v>
      </c>
      <c r="D61" s="837" t="s">
        <v>791</v>
      </c>
      <c r="E61" s="837" t="s">
        <v>733</v>
      </c>
      <c r="F61" s="837" t="s">
        <v>1265</v>
      </c>
      <c r="G61" s="837"/>
      <c r="H61" s="837"/>
      <c r="I61" s="837" t="s">
        <v>1267</v>
      </c>
      <c r="J61" s="837" t="s">
        <v>1103</v>
      </c>
      <c r="K61" s="837" t="s">
        <v>1199</v>
      </c>
      <c r="L61" s="837">
        <v>2021</v>
      </c>
      <c r="M61" s="837" t="s">
        <v>575</v>
      </c>
      <c r="N61" s="975">
        <v>0</v>
      </c>
      <c r="O61" s="837"/>
      <c r="P61" s="272">
        <f>tblIndicators!AS61</f>
        <v>2</v>
      </c>
      <c r="Q61" s="837" t="s">
        <v>939</v>
      </c>
      <c r="R61" s="837" t="s">
        <v>938</v>
      </c>
      <c r="S61" s="837"/>
      <c r="T61" s="837"/>
      <c r="U61" s="837"/>
      <c r="V61"/>
      <c r="W61" s="837"/>
      <c r="X61" s="975">
        <v>1</v>
      </c>
      <c r="Y61" s="975">
        <v>1</v>
      </c>
      <c r="Z61" s="975">
        <v>1</v>
      </c>
      <c r="AA61" s="975">
        <v>1</v>
      </c>
      <c r="AB61" s="975">
        <v>1</v>
      </c>
      <c r="AC61" s="975">
        <v>1</v>
      </c>
      <c r="AD61" s="975">
        <v>0</v>
      </c>
      <c r="AE61" s="975">
        <v>1</v>
      </c>
      <c r="AF61" s="975">
        <v>0</v>
      </c>
      <c r="AG61" s="975">
        <v>1</v>
      </c>
      <c r="AH61" s="975">
        <v>1</v>
      </c>
      <c r="AI61" s="975">
        <v>1</v>
      </c>
      <c r="AJ61" s="975">
        <v>0</v>
      </c>
      <c r="AK61" s="975">
        <v>0</v>
      </c>
      <c r="AL61" s="975">
        <v>1</v>
      </c>
      <c r="AM61" s="975">
        <v>0</v>
      </c>
      <c r="AN61" s="975">
        <v>1</v>
      </c>
      <c r="AO61" s="975">
        <v>0</v>
      </c>
      <c r="AP61" s="975">
        <v>0</v>
      </c>
      <c r="AQ61" s="975">
        <v>1</v>
      </c>
      <c r="AR61" s="975">
        <v>1</v>
      </c>
      <c r="AS61" s="975">
        <v>1</v>
      </c>
      <c r="AT61" s="975">
        <v>1</v>
      </c>
      <c r="AU61" s="975">
        <v>1</v>
      </c>
      <c r="AV61" s="975">
        <v>1</v>
      </c>
      <c r="AW61" s="975">
        <v>1</v>
      </c>
      <c r="AX61" s="975">
        <v>1</v>
      </c>
      <c r="AY61" s="975">
        <v>1</v>
      </c>
      <c r="AZ61" s="975">
        <v>1</v>
      </c>
      <c r="BA61" s="975">
        <v>1</v>
      </c>
      <c r="BC61" s="975">
        <v>2</v>
      </c>
      <c r="BE61" s="837"/>
      <c r="BF61" s="975"/>
      <c r="BG61" s="975"/>
      <c r="BH61" s="975"/>
      <c r="BI61" s="975"/>
      <c r="BJ61" s="975"/>
      <c r="BK61" s="975"/>
      <c r="BL61" s="975"/>
      <c r="BM61" s="975"/>
      <c r="BN61" s="975"/>
      <c r="BO61" s="975"/>
      <c r="BP61" s="975"/>
      <c r="BQ61" s="975"/>
      <c r="BR61" s="975"/>
      <c r="BS61" s="975"/>
      <c r="BT61" s="975"/>
      <c r="BU61" s="975"/>
      <c r="BV61" s="975"/>
      <c r="BW61" s="975"/>
      <c r="BX61" s="975"/>
      <c r="BY61" s="975"/>
      <c r="BZ61" s="975"/>
      <c r="CA61" s="975"/>
      <c r="CB61" s="975"/>
      <c r="CC61" s="975"/>
      <c r="CD61" s="975"/>
      <c r="CE61" s="975"/>
      <c r="CF61" s="975"/>
      <c r="CG61" s="975"/>
      <c r="CH61" s="975"/>
      <c r="CI61" s="975"/>
    </row>
    <row r="62" spans="1:87" s="367" customFormat="1" ht="30" customHeight="1" thickBot="1">
      <c r="A62" s="837">
        <f>tblIndicators!A62</f>
        <v>61</v>
      </c>
      <c r="B62" s="367">
        <f>tblIndicators!G62</f>
        <v>3</v>
      </c>
      <c r="C62" s="837" t="s">
        <v>1006</v>
      </c>
      <c r="D62" s="837" t="s">
        <v>1006</v>
      </c>
      <c r="E62" s="837" t="s">
        <v>734</v>
      </c>
      <c r="F62" s="837" t="s">
        <v>1126</v>
      </c>
      <c r="G62" s="837"/>
      <c r="H62" s="837"/>
      <c r="I62" s="837" t="s">
        <v>1268</v>
      </c>
      <c r="J62" s="837" t="s">
        <v>1103</v>
      </c>
      <c r="K62" s="837" t="s">
        <v>1199</v>
      </c>
      <c r="L62" s="837">
        <v>2021</v>
      </c>
      <c r="M62" s="837" t="s">
        <v>575</v>
      </c>
      <c r="N62" s="975">
        <v>0</v>
      </c>
      <c r="O62" s="837"/>
      <c r="P62" s="272">
        <f>tblIndicators!AS62</f>
        <v>2</v>
      </c>
      <c r="Q62" s="837" t="s">
        <v>939</v>
      </c>
      <c r="R62" s="837" t="s">
        <v>938</v>
      </c>
      <c r="S62" s="837"/>
      <c r="T62" s="837"/>
      <c r="U62" s="837"/>
      <c r="V62"/>
      <c r="W62" s="837"/>
      <c r="X62" s="1083">
        <v>1</v>
      </c>
      <c r="Y62" s="1083">
        <v>1</v>
      </c>
      <c r="Z62" s="1083">
        <v>1</v>
      </c>
      <c r="AA62" s="1083">
        <v>1</v>
      </c>
      <c r="AB62" s="1083">
        <v>1</v>
      </c>
      <c r="AC62" s="1083">
        <v>1</v>
      </c>
      <c r="AD62" s="1083">
        <v>0</v>
      </c>
      <c r="AE62" s="1083">
        <v>1</v>
      </c>
      <c r="AF62" s="1083">
        <v>1</v>
      </c>
      <c r="AG62" s="1083">
        <v>1</v>
      </c>
      <c r="AH62" s="1083">
        <v>1</v>
      </c>
      <c r="AI62" s="1083">
        <v>1</v>
      </c>
      <c r="AJ62" s="1083">
        <v>1</v>
      </c>
      <c r="AK62" s="1083">
        <v>1</v>
      </c>
      <c r="AL62" s="1083">
        <v>1</v>
      </c>
      <c r="AM62" s="1083">
        <v>1</v>
      </c>
      <c r="AN62" s="1083">
        <v>0</v>
      </c>
      <c r="AO62" s="1083">
        <v>0</v>
      </c>
      <c r="AP62" s="1083">
        <v>0</v>
      </c>
      <c r="AQ62" s="1083">
        <v>1</v>
      </c>
      <c r="AR62" s="1083">
        <v>1</v>
      </c>
      <c r="AS62" s="1083">
        <v>0</v>
      </c>
      <c r="AT62" s="1083">
        <v>0</v>
      </c>
      <c r="AU62" s="1083">
        <v>1</v>
      </c>
      <c r="AV62" s="1083">
        <v>1</v>
      </c>
      <c r="AW62" s="1083">
        <v>1</v>
      </c>
      <c r="AX62" s="1083">
        <v>1</v>
      </c>
      <c r="AY62" s="1083">
        <v>1</v>
      </c>
      <c r="AZ62" s="1083">
        <v>1</v>
      </c>
      <c r="BA62" s="1083">
        <v>1</v>
      </c>
      <c r="BC62" s="975">
        <v>2</v>
      </c>
      <c r="BE62" s="837"/>
      <c r="BF62" s="975"/>
      <c r="BG62" s="975"/>
      <c r="BH62" s="975"/>
      <c r="BI62" s="975"/>
      <c r="BJ62" s="975"/>
      <c r="BK62" s="975"/>
      <c r="BL62" s="975"/>
      <c r="BM62" s="975"/>
      <c r="BN62" s="975"/>
      <c r="BO62" s="975"/>
      <c r="BP62" s="975"/>
      <c r="BQ62" s="975"/>
      <c r="BR62" s="975"/>
      <c r="BS62" s="975"/>
      <c r="BT62" s="975"/>
      <c r="BU62" s="975"/>
      <c r="BV62" s="975"/>
      <c r="BW62" s="975"/>
      <c r="BX62" s="975"/>
      <c r="BY62" s="975"/>
      <c r="BZ62" s="975"/>
      <c r="CA62" s="975"/>
      <c r="CB62" s="975"/>
      <c r="CC62" s="975"/>
      <c r="CD62" s="975"/>
      <c r="CE62" s="975"/>
      <c r="CF62" s="975"/>
      <c r="CG62" s="975"/>
      <c r="CH62" s="975"/>
      <c r="CI62" s="975"/>
    </row>
    <row r="63" spans="1:87" s="367" customFormat="1" ht="20.149999999999999" customHeight="1">
      <c r="A63" s="839">
        <f>tblIndicators!A63</f>
        <v>62</v>
      </c>
      <c r="B63" s="367">
        <f>tblIndicators!G63</f>
        <v>2</v>
      </c>
      <c r="C63" s="839" t="s">
        <v>792</v>
      </c>
      <c r="D63" s="839" t="s">
        <v>792</v>
      </c>
      <c r="E63" s="839" t="s">
        <v>792</v>
      </c>
      <c r="F63" s="839"/>
      <c r="G63" s="839"/>
      <c r="H63" s="839"/>
      <c r="I63" s="839"/>
      <c r="J63" s="353" t="s">
        <v>1156</v>
      </c>
      <c r="K63" s="839"/>
      <c r="L63" s="839"/>
      <c r="M63" s="839"/>
      <c r="N63" s="976">
        <v>1</v>
      </c>
      <c r="O63" s="839"/>
      <c r="P63" s="272">
        <f>tblIndicators!AS63</f>
        <v>1</v>
      </c>
      <c r="Q63" s="839"/>
      <c r="R63" s="839"/>
      <c r="S63" s="839"/>
      <c r="T63" s="839"/>
      <c r="U63" s="839"/>
      <c r="V63"/>
      <c r="W63" s="839"/>
      <c r="X63" s="975"/>
      <c r="Y63" s="975"/>
      <c r="Z63" s="975"/>
      <c r="AA63" s="975"/>
      <c r="AB63" s="975"/>
      <c r="AC63" s="975"/>
      <c r="AD63" s="975"/>
      <c r="AE63" s="975"/>
      <c r="AF63" s="975"/>
      <c r="AG63" s="975"/>
      <c r="AH63" s="975"/>
      <c r="AI63" s="975"/>
      <c r="AJ63" s="975"/>
      <c r="AK63" s="975"/>
      <c r="AL63" s="975"/>
      <c r="AM63" s="975"/>
      <c r="AN63" s="975"/>
      <c r="AO63" s="975"/>
      <c r="AP63" s="975"/>
      <c r="AQ63" s="975"/>
      <c r="AR63" s="975"/>
      <c r="AS63" s="975"/>
      <c r="AT63" s="975"/>
      <c r="AU63" s="975"/>
      <c r="AV63" s="975"/>
      <c r="AW63" s="975"/>
      <c r="AX63" s="975"/>
      <c r="AY63" s="975"/>
      <c r="AZ63" s="975"/>
      <c r="BA63" s="975"/>
      <c r="BC63" s="975">
        <v>2</v>
      </c>
      <c r="BE63" s="839"/>
      <c r="BF63" s="975"/>
      <c r="BG63" s="975"/>
      <c r="BH63" s="975"/>
      <c r="BI63" s="975"/>
      <c r="BJ63" s="975"/>
      <c r="BK63" s="975"/>
      <c r="BL63" s="975"/>
      <c r="BM63" s="975"/>
      <c r="BN63" s="975"/>
      <c r="BO63" s="975"/>
      <c r="BP63" s="975"/>
      <c r="BQ63" s="975"/>
      <c r="BR63" s="975"/>
      <c r="BS63" s="975"/>
      <c r="BT63" s="975"/>
      <c r="BU63" s="975"/>
      <c r="BV63" s="975"/>
      <c r="BW63" s="975"/>
      <c r="BX63" s="975"/>
      <c r="BY63" s="975"/>
      <c r="BZ63" s="975"/>
      <c r="CA63" s="975"/>
      <c r="CB63" s="975"/>
      <c r="CC63" s="975"/>
      <c r="CD63" s="975"/>
      <c r="CE63" s="975"/>
      <c r="CF63" s="975"/>
      <c r="CG63" s="975"/>
      <c r="CH63" s="975"/>
      <c r="CI63" s="975"/>
    </row>
    <row r="64" spans="1:87" s="367" customFormat="1" ht="30" customHeight="1">
      <c r="A64" s="839">
        <f>tblIndicators!A64</f>
        <v>63</v>
      </c>
      <c r="B64" s="367">
        <f>tblIndicators!G64</f>
        <v>3</v>
      </c>
      <c r="C64" s="839" t="s">
        <v>1007</v>
      </c>
      <c r="D64" s="839" t="s">
        <v>1007</v>
      </c>
      <c r="E64" s="839" t="s">
        <v>735</v>
      </c>
      <c r="F64" s="839" t="s">
        <v>1127</v>
      </c>
      <c r="G64" s="839"/>
      <c r="H64" s="839"/>
      <c r="I64" s="837" t="s">
        <v>1287</v>
      </c>
      <c r="J64" s="839" t="s">
        <v>1103</v>
      </c>
      <c r="K64" s="839" t="s">
        <v>1198</v>
      </c>
      <c r="L64" s="839">
        <v>2021</v>
      </c>
      <c r="M64" s="839" t="s">
        <v>575</v>
      </c>
      <c r="N64" s="976">
        <v>0</v>
      </c>
      <c r="O64" s="839"/>
      <c r="P64" s="272">
        <f>tblIndicators!AS64</f>
        <v>3</v>
      </c>
      <c r="Q64" s="839" t="s">
        <v>1296</v>
      </c>
      <c r="R64" s="839" t="s">
        <v>940</v>
      </c>
      <c r="S64" s="839" t="s">
        <v>1286</v>
      </c>
      <c r="T64" s="839"/>
      <c r="U64" s="839"/>
      <c r="V64"/>
      <c r="W64" s="839"/>
      <c r="X64" s="975">
        <v>2</v>
      </c>
      <c r="Y64" s="975">
        <v>2</v>
      </c>
      <c r="Z64" s="975">
        <v>1</v>
      </c>
      <c r="AA64" s="975">
        <v>2</v>
      </c>
      <c r="AB64" s="975">
        <v>2</v>
      </c>
      <c r="AC64" s="975">
        <v>2</v>
      </c>
      <c r="AD64" s="975">
        <v>2</v>
      </c>
      <c r="AE64" s="975">
        <v>2</v>
      </c>
      <c r="AF64" s="975">
        <v>2</v>
      </c>
      <c r="AG64" s="975">
        <v>1</v>
      </c>
      <c r="AH64" s="975">
        <v>2</v>
      </c>
      <c r="AI64" s="975">
        <v>2</v>
      </c>
      <c r="AJ64" s="975">
        <v>2</v>
      </c>
      <c r="AK64" s="975">
        <v>1</v>
      </c>
      <c r="AL64" s="975">
        <v>2</v>
      </c>
      <c r="AM64" s="975">
        <v>2</v>
      </c>
      <c r="AN64" s="975">
        <v>0</v>
      </c>
      <c r="AO64" s="975">
        <v>0</v>
      </c>
      <c r="AP64" s="975">
        <v>1</v>
      </c>
      <c r="AQ64" s="975">
        <v>2</v>
      </c>
      <c r="AR64" s="975">
        <v>2</v>
      </c>
      <c r="AS64" s="975">
        <v>2</v>
      </c>
      <c r="AT64" s="975">
        <v>1</v>
      </c>
      <c r="AU64" s="975">
        <v>2</v>
      </c>
      <c r="AV64" s="975">
        <v>0</v>
      </c>
      <c r="AW64" s="975">
        <v>2</v>
      </c>
      <c r="AX64" s="975">
        <v>2</v>
      </c>
      <c r="AY64" s="975">
        <v>2</v>
      </c>
      <c r="AZ64" s="975">
        <v>2</v>
      </c>
      <c r="BA64" s="975">
        <v>2</v>
      </c>
      <c r="BC64" s="975">
        <v>2</v>
      </c>
      <c r="BE64" s="839"/>
      <c r="BF64" s="975"/>
      <c r="BG64" s="975"/>
      <c r="BH64" s="975"/>
      <c r="BI64" s="975"/>
      <c r="BJ64" s="975"/>
      <c r="BK64" s="975"/>
      <c r="BL64" s="975"/>
      <c r="BM64" s="975"/>
      <c r="BN64" s="975"/>
      <c r="BO64" s="975"/>
      <c r="BP64" s="975"/>
      <c r="BQ64" s="975"/>
      <c r="BR64" s="975"/>
      <c r="BS64" s="975"/>
      <c r="BT64" s="975"/>
      <c r="BU64" s="975"/>
      <c r="BV64" s="975"/>
      <c r="BW64" s="975"/>
      <c r="BX64" s="975"/>
      <c r="BY64" s="975"/>
      <c r="BZ64" s="975"/>
      <c r="CA64" s="975"/>
      <c r="CB64" s="975"/>
      <c r="CC64" s="975"/>
      <c r="CD64" s="975"/>
      <c r="CE64" s="975"/>
      <c r="CF64" s="975"/>
      <c r="CG64" s="975"/>
      <c r="CH64" s="975"/>
      <c r="CI64" s="975"/>
    </row>
    <row r="65" spans="1:87" s="367" customFormat="1" ht="30" customHeight="1" thickBot="1">
      <c r="A65" s="837">
        <f>tblIndicators!A65</f>
        <v>64</v>
      </c>
      <c r="B65" s="367">
        <f>tblIndicators!G65</f>
        <v>3</v>
      </c>
      <c r="C65" s="837" t="s">
        <v>1128</v>
      </c>
      <c r="D65" s="837" t="s">
        <v>1128</v>
      </c>
      <c r="E65" s="837" t="s">
        <v>736</v>
      </c>
      <c r="F65" s="837" t="s">
        <v>1018</v>
      </c>
      <c r="G65" s="837"/>
      <c r="H65" s="837"/>
      <c r="I65" s="837" t="s">
        <v>1269</v>
      </c>
      <c r="J65" s="837" t="s">
        <v>1129</v>
      </c>
      <c r="K65" s="837" t="s">
        <v>1204</v>
      </c>
      <c r="L65" s="837">
        <v>2021</v>
      </c>
      <c r="M65" s="837" t="s">
        <v>575</v>
      </c>
      <c r="N65" s="975">
        <v>0</v>
      </c>
      <c r="O65" s="837"/>
      <c r="P65" s="272">
        <f>tblIndicators!AS65</f>
        <v>1</v>
      </c>
      <c r="Q65" s="837"/>
      <c r="R65" s="837"/>
      <c r="S65" s="837"/>
      <c r="T65" s="837"/>
      <c r="U65" s="837"/>
      <c r="V65"/>
      <c r="W65" s="837"/>
      <c r="X65" s="975">
        <v>5</v>
      </c>
      <c r="Y65" s="975">
        <v>4</v>
      </c>
      <c r="Z65" s="975">
        <v>2</v>
      </c>
      <c r="AA65" s="975">
        <v>4</v>
      </c>
      <c r="AB65" s="975">
        <v>4</v>
      </c>
      <c r="AC65" s="975">
        <v>4</v>
      </c>
      <c r="AD65" s="975">
        <v>4</v>
      </c>
      <c r="AE65" s="975">
        <v>5</v>
      </c>
      <c r="AF65" s="975">
        <v>4</v>
      </c>
      <c r="AG65" s="975">
        <v>5</v>
      </c>
      <c r="AH65" s="975">
        <v>5</v>
      </c>
      <c r="AI65" s="975">
        <v>4</v>
      </c>
      <c r="AJ65" s="975">
        <v>3</v>
      </c>
      <c r="AK65" s="975">
        <v>4</v>
      </c>
      <c r="AL65" s="975">
        <v>3</v>
      </c>
      <c r="AM65" s="975">
        <v>5</v>
      </c>
      <c r="AN65" s="975">
        <v>0</v>
      </c>
      <c r="AO65" s="975">
        <v>3</v>
      </c>
      <c r="AP65" s="975">
        <v>1</v>
      </c>
      <c r="AQ65" s="975">
        <v>4</v>
      </c>
      <c r="AR65" s="975">
        <v>3</v>
      </c>
      <c r="AS65" s="975">
        <v>4</v>
      </c>
      <c r="AT65" s="975">
        <v>4</v>
      </c>
      <c r="AU65" s="975">
        <v>3</v>
      </c>
      <c r="AV65" s="975">
        <v>4</v>
      </c>
      <c r="AW65" s="975">
        <v>4</v>
      </c>
      <c r="AX65" s="975">
        <v>2</v>
      </c>
      <c r="AY65" s="975">
        <v>4</v>
      </c>
      <c r="AZ65" s="975">
        <v>5</v>
      </c>
      <c r="BA65" s="975">
        <v>4</v>
      </c>
      <c r="BC65" s="975">
        <v>2</v>
      </c>
      <c r="BE65" s="837"/>
      <c r="BF65" s="975"/>
      <c r="BG65" s="975"/>
      <c r="BH65" s="975"/>
      <c r="BI65" s="975"/>
      <c r="BJ65" s="975"/>
      <c r="BK65" s="975"/>
      <c r="BL65" s="975"/>
      <c r="BM65" s="975"/>
      <c r="BN65" s="975"/>
      <c r="BO65" s="975"/>
      <c r="BP65" s="975"/>
      <c r="BQ65" s="975"/>
      <c r="BR65" s="975"/>
      <c r="BS65" s="975"/>
      <c r="BT65" s="975"/>
      <c r="BU65" s="975"/>
      <c r="BV65" s="975"/>
      <c r="BW65" s="975"/>
      <c r="BX65" s="975"/>
      <c r="BY65" s="975"/>
      <c r="BZ65" s="975"/>
      <c r="CA65" s="975"/>
      <c r="CB65" s="975"/>
      <c r="CC65" s="975"/>
      <c r="CD65" s="975"/>
      <c r="CE65" s="975"/>
      <c r="CF65" s="975"/>
      <c r="CG65" s="975"/>
      <c r="CH65" s="975"/>
      <c r="CI65" s="975"/>
    </row>
    <row r="66" spans="1:87" s="367" customFormat="1" ht="30" customHeight="1" thickBot="1">
      <c r="A66" s="839">
        <f>tblIndicators!A66</f>
        <v>65</v>
      </c>
      <c r="B66" s="367">
        <f>tblIndicators!G66</f>
        <v>3</v>
      </c>
      <c r="C66" s="839" t="s">
        <v>1008</v>
      </c>
      <c r="D66" s="839" t="s">
        <v>1130</v>
      </c>
      <c r="E66" s="839" t="s">
        <v>737</v>
      </c>
      <c r="F66" s="839" t="s">
        <v>1019</v>
      </c>
      <c r="G66" s="839"/>
      <c r="H66" s="839"/>
      <c r="I66" s="837" t="s">
        <v>1207</v>
      </c>
      <c r="J66" s="839" t="s">
        <v>1103</v>
      </c>
      <c r="K66" s="839" t="s">
        <v>1198</v>
      </c>
      <c r="L66" s="839">
        <v>2021</v>
      </c>
      <c r="M66" s="839" t="s">
        <v>575</v>
      </c>
      <c r="N66" s="976">
        <v>0</v>
      </c>
      <c r="O66" s="839"/>
      <c r="P66" s="272">
        <f>tblIndicators!AS66</f>
        <v>3</v>
      </c>
      <c r="Q66" s="839" t="s">
        <v>943</v>
      </c>
      <c r="R66" s="839" t="s">
        <v>942</v>
      </c>
      <c r="S66" s="839" t="s">
        <v>941</v>
      </c>
      <c r="T66" s="839"/>
      <c r="U66" s="839"/>
      <c r="V66"/>
      <c r="W66" s="839"/>
      <c r="X66" s="1083">
        <v>2</v>
      </c>
      <c r="Y66" s="1083">
        <v>1</v>
      </c>
      <c r="Z66" s="1083">
        <v>1</v>
      </c>
      <c r="AA66" s="1083">
        <v>2</v>
      </c>
      <c r="AB66" s="1083">
        <v>2</v>
      </c>
      <c r="AC66" s="1083">
        <v>2</v>
      </c>
      <c r="AD66" s="1083">
        <v>1</v>
      </c>
      <c r="AE66" s="1083">
        <v>2</v>
      </c>
      <c r="AF66" s="1083">
        <v>2</v>
      </c>
      <c r="AG66" s="1083">
        <v>2</v>
      </c>
      <c r="AH66" s="1083">
        <v>2</v>
      </c>
      <c r="AI66" s="1083">
        <v>1</v>
      </c>
      <c r="AJ66" s="1083">
        <v>1</v>
      </c>
      <c r="AK66" s="1083">
        <v>2</v>
      </c>
      <c r="AL66" s="1083">
        <v>2</v>
      </c>
      <c r="AM66" s="1083">
        <v>2</v>
      </c>
      <c r="AN66" s="1083">
        <v>1</v>
      </c>
      <c r="AO66" s="1083">
        <v>0</v>
      </c>
      <c r="AP66" s="1083">
        <v>0</v>
      </c>
      <c r="AQ66" s="1083">
        <v>2</v>
      </c>
      <c r="AR66" s="1083">
        <v>2</v>
      </c>
      <c r="AS66" s="1083">
        <v>2</v>
      </c>
      <c r="AT66" s="1083">
        <v>0</v>
      </c>
      <c r="AU66" s="1083">
        <v>2</v>
      </c>
      <c r="AV66" s="1083">
        <v>2</v>
      </c>
      <c r="AW66" s="1083">
        <v>2</v>
      </c>
      <c r="AX66" s="1083">
        <v>2</v>
      </c>
      <c r="AY66" s="1083">
        <v>2</v>
      </c>
      <c r="AZ66" s="1083">
        <v>2</v>
      </c>
      <c r="BA66" s="1083">
        <v>2</v>
      </c>
      <c r="BC66" s="975">
        <v>2</v>
      </c>
      <c r="BE66" s="839"/>
      <c r="BF66" s="975"/>
      <c r="BG66" s="975"/>
      <c r="BH66" s="975"/>
      <c r="BI66" s="975"/>
      <c r="BJ66" s="975"/>
      <c r="BK66" s="975"/>
      <c r="BL66" s="975"/>
      <c r="BM66" s="975"/>
      <c r="BN66" s="975"/>
      <c r="BO66" s="975"/>
      <c r="BP66" s="975"/>
      <c r="BQ66" s="975"/>
      <c r="BR66" s="975"/>
      <c r="BS66" s="975"/>
      <c r="BT66" s="975"/>
      <c r="BU66" s="975"/>
      <c r="BV66" s="975"/>
      <c r="BW66" s="975"/>
      <c r="BX66" s="975"/>
      <c r="BY66" s="975"/>
      <c r="BZ66" s="975"/>
      <c r="CA66" s="975"/>
      <c r="CB66" s="975"/>
      <c r="CC66" s="975"/>
      <c r="CD66" s="975"/>
      <c r="CE66" s="975"/>
      <c r="CF66" s="975"/>
      <c r="CG66" s="975"/>
      <c r="CH66" s="975"/>
      <c r="CI66" s="975"/>
    </row>
    <row r="67" spans="1:87" s="367" customFormat="1" ht="20.149999999999999" customHeight="1">
      <c r="A67" s="839">
        <f>tblIndicators!A67</f>
        <v>66</v>
      </c>
      <c r="B67" s="367">
        <f>tblIndicators!G67</f>
        <v>2</v>
      </c>
      <c r="C67" s="839" t="s">
        <v>793</v>
      </c>
      <c r="D67" s="839" t="s">
        <v>793</v>
      </c>
      <c r="E67" s="839" t="s">
        <v>793</v>
      </c>
      <c r="F67" s="839"/>
      <c r="G67" s="839"/>
      <c r="H67" s="839"/>
      <c r="I67" s="839"/>
      <c r="J67" s="353" t="s">
        <v>1156</v>
      </c>
      <c r="K67" s="839"/>
      <c r="L67" s="839"/>
      <c r="M67" s="839"/>
      <c r="N67" s="976">
        <v>1</v>
      </c>
      <c r="O67" s="839"/>
      <c r="P67" s="272">
        <f>tblIndicators!AS67</f>
        <v>1</v>
      </c>
      <c r="Q67" s="839"/>
      <c r="R67" s="839"/>
      <c r="S67" s="839"/>
      <c r="T67" s="839"/>
      <c r="U67" s="839"/>
      <c r="V67"/>
      <c r="W67" s="839"/>
      <c r="X67" s="975"/>
      <c r="Y67" s="975"/>
      <c r="Z67" s="975"/>
      <c r="AA67" s="975"/>
      <c r="AB67" s="975"/>
      <c r="AC67" s="975"/>
      <c r="AD67" s="975"/>
      <c r="AE67" s="975"/>
      <c r="AF67" s="975"/>
      <c r="AG67" s="975"/>
      <c r="AH67" s="975"/>
      <c r="AI67" s="975"/>
      <c r="AJ67" s="975"/>
      <c r="AK67" s="975"/>
      <c r="AL67" s="975"/>
      <c r="AM67" s="975"/>
      <c r="AN67" s="975"/>
      <c r="AO67" s="975"/>
      <c r="AP67" s="975"/>
      <c r="AQ67" s="975"/>
      <c r="AR67" s="975"/>
      <c r="AS67" s="975"/>
      <c r="AT67" s="975"/>
      <c r="AU67" s="975"/>
      <c r="AV67" s="975"/>
      <c r="AW67" s="975"/>
      <c r="AX67" s="975"/>
      <c r="AY67" s="975"/>
      <c r="AZ67" s="975"/>
      <c r="BA67" s="975"/>
      <c r="BC67" s="975">
        <v>1</v>
      </c>
      <c r="BE67" s="839"/>
      <c r="BF67" s="975"/>
      <c r="BG67" s="975"/>
      <c r="BH67" s="975"/>
      <c r="BI67" s="975"/>
      <c r="BJ67" s="975"/>
      <c r="BK67" s="975"/>
      <c r="BL67" s="975"/>
      <c r="BM67" s="975"/>
      <c r="BN67" s="975"/>
      <c r="BO67" s="975"/>
      <c r="BP67" s="975"/>
      <c r="BQ67" s="975"/>
      <c r="BR67" s="975"/>
      <c r="BS67" s="975"/>
      <c r="BT67" s="975"/>
      <c r="BU67" s="975"/>
      <c r="BV67" s="975"/>
      <c r="BW67" s="975"/>
      <c r="BX67" s="975"/>
      <c r="BY67" s="975"/>
      <c r="BZ67" s="975"/>
      <c r="CA67" s="975"/>
      <c r="CB67" s="975"/>
      <c r="CC67" s="975"/>
      <c r="CD67" s="975"/>
      <c r="CE67" s="975"/>
      <c r="CF67" s="975"/>
      <c r="CG67" s="975"/>
      <c r="CH67" s="975"/>
      <c r="CI67" s="975"/>
    </row>
    <row r="68" spans="1:87" s="367" customFormat="1" ht="30" customHeight="1">
      <c r="A68" s="837">
        <f>tblIndicators!A68</f>
        <v>67</v>
      </c>
      <c r="B68" s="367">
        <f>tblIndicators!G68</f>
        <v>3</v>
      </c>
      <c r="C68" s="837" t="s">
        <v>794</v>
      </c>
      <c r="D68" s="837" t="s">
        <v>794</v>
      </c>
      <c r="E68" s="837" t="s">
        <v>738</v>
      </c>
      <c r="F68" s="837" t="s">
        <v>1131</v>
      </c>
      <c r="G68" s="837"/>
      <c r="H68" s="837"/>
      <c r="I68" s="837" t="s">
        <v>1206</v>
      </c>
      <c r="J68" s="837" t="s">
        <v>1132</v>
      </c>
      <c r="K68" s="837" t="s">
        <v>1205</v>
      </c>
      <c r="L68" s="837">
        <v>2021</v>
      </c>
      <c r="M68" s="837" t="s">
        <v>575</v>
      </c>
      <c r="N68" s="975">
        <v>0</v>
      </c>
      <c r="O68" s="837"/>
      <c r="P68" s="272">
        <f>tblIndicators!AS68</f>
        <v>1</v>
      </c>
      <c r="Q68" s="837"/>
      <c r="R68" s="837"/>
      <c r="S68" s="837"/>
      <c r="T68" s="837"/>
      <c r="U68" s="837"/>
      <c r="V68"/>
      <c r="W68" s="837"/>
      <c r="X68" s="975">
        <v>3</v>
      </c>
      <c r="Y68" s="975">
        <v>6</v>
      </c>
      <c r="Z68" s="975">
        <v>3</v>
      </c>
      <c r="AA68" s="975">
        <v>5</v>
      </c>
      <c r="AB68" s="975">
        <v>3</v>
      </c>
      <c r="AC68" s="975">
        <v>3</v>
      </c>
      <c r="AD68" s="975">
        <v>3</v>
      </c>
      <c r="AE68" s="975">
        <v>4</v>
      </c>
      <c r="AF68" s="975">
        <v>3</v>
      </c>
      <c r="AG68" s="975">
        <v>1</v>
      </c>
      <c r="AH68" s="975">
        <v>3</v>
      </c>
      <c r="AI68" s="975">
        <v>4</v>
      </c>
      <c r="AJ68" s="975">
        <v>1</v>
      </c>
      <c r="AK68" s="975">
        <v>3</v>
      </c>
      <c r="AL68" s="975">
        <v>5</v>
      </c>
      <c r="AM68" s="975">
        <v>4</v>
      </c>
      <c r="AN68" s="975">
        <v>3</v>
      </c>
      <c r="AO68" s="975">
        <v>3</v>
      </c>
      <c r="AP68" s="975">
        <v>2</v>
      </c>
      <c r="AQ68" s="975">
        <v>4</v>
      </c>
      <c r="AR68" s="975">
        <v>3</v>
      </c>
      <c r="AS68" s="975">
        <v>4</v>
      </c>
      <c r="AT68" s="975">
        <v>3</v>
      </c>
      <c r="AU68" s="975">
        <v>5</v>
      </c>
      <c r="AV68" s="975">
        <v>4</v>
      </c>
      <c r="AW68" s="975">
        <v>4</v>
      </c>
      <c r="AX68" s="975">
        <v>3</v>
      </c>
      <c r="AY68" s="975">
        <v>4</v>
      </c>
      <c r="AZ68" s="975">
        <v>4</v>
      </c>
      <c r="BA68" s="975">
        <v>4</v>
      </c>
      <c r="BC68" s="975">
        <v>2</v>
      </c>
      <c r="BE68" s="837"/>
      <c r="BF68" s="975"/>
      <c r="BG68" s="975"/>
      <c r="BH68" s="975"/>
      <c r="BI68" s="975"/>
      <c r="BJ68" s="975"/>
      <c r="BK68" s="975"/>
      <c r="BL68" s="975"/>
      <c r="BM68" s="975"/>
      <c r="BN68" s="975"/>
      <c r="BO68" s="975"/>
      <c r="BP68" s="975"/>
      <c r="BQ68" s="975"/>
      <c r="BR68" s="975"/>
      <c r="BS68" s="975"/>
      <c r="BT68" s="975"/>
      <c r="BU68" s="975"/>
      <c r="BV68" s="975"/>
      <c r="BW68" s="975"/>
      <c r="BX68" s="975"/>
      <c r="BY68" s="975"/>
      <c r="BZ68" s="975"/>
      <c r="CA68" s="975"/>
      <c r="CB68" s="975"/>
      <c r="CC68" s="975"/>
      <c r="CD68" s="975"/>
      <c r="CE68" s="975"/>
      <c r="CF68" s="975"/>
      <c r="CG68" s="975"/>
      <c r="CH68" s="975"/>
      <c r="CI68" s="975"/>
    </row>
    <row r="69" spans="1:87" s="367" customFormat="1" ht="20.149999999999999" customHeight="1" thickBot="1">
      <c r="A69" s="837">
        <f>tblIndicators!A69</f>
        <v>68</v>
      </c>
      <c r="B69" s="367">
        <f>tblIndicators!G69</f>
        <v>2</v>
      </c>
      <c r="C69" s="837" t="s">
        <v>795</v>
      </c>
      <c r="D69" s="837" t="s">
        <v>795</v>
      </c>
      <c r="E69" s="837" t="s">
        <v>795</v>
      </c>
      <c r="F69" s="837"/>
      <c r="G69" s="837"/>
      <c r="H69" s="837"/>
      <c r="I69" s="837"/>
      <c r="J69" s="353" t="s">
        <v>1156</v>
      </c>
      <c r="K69" s="837"/>
      <c r="L69" s="837"/>
      <c r="M69" s="837"/>
      <c r="N69" s="975">
        <v>1</v>
      </c>
      <c r="O69" s="837"/>
      <c r="P69" s="272">
        <f>tblIndicators!AS69</f>
        <v>1</v>
      </c>
      <c r="Q69" s="837"/>
      <c r="R69" s="837"/>
      <c r="S69" s="837"/>
      <c r="T69" s="837"/>
      <c r="U69" s="837"/>
      <c r="V69"/>
      <c r="W69" s="837"/>
      <c r="X69" s="975"/>
      <c r="Y69" s="975"/>
      <c r="Z69" s="975"/>
      <c r="AA69" s="975"/>
      <c r="AB69" s="975"/>
      <c r="AC69" s="975"/>
      <c r="AD69" s="975"/>
      <c r="AE69" s="975"/>
      <c r="AF69" s="975"/>
      <c r="AG69" s="975"/>
      <c r="AH69" s="975"/>
      <c r="AI69" s="975"/>
      <c r="AJ69" s="975"/>
      <c r="AK69" s="975"/>
      <c r="AL69" s="975"/>
      <c r="AM69" s="975"/>
      <c r="AN69" s="975"/>
      <c r="AO69" s="975"/>
      <c r="AP69" s="975"/>
      <c r="AQ69" s="975"/>
      <c r="AR69" s="975"/>
      <c r="AS69" s="975"/>
      <c r="AT69" s="975"/>
      <c r="AU69" s="975"/>
      <c r="AV69" s="975"/>
      <c r="AW69" s="975"/>
      <c r="AX69" s="975"/>
      <c r="AY69" s="975"/>
      <c r="AZ69" s="975"/>
      <c r="BA69" s="975"/>
      <c r="BC69" s="975">
        <v>1</v>
      </c>
      <c r="BE69" s="837"/>
      <c r="BF69" s="975"/>
      <c r="BG69" s="975"/>
      <c r="BH69" s="975"/>
      <c r="BI69" s="975"/>
      <c r="BJ69" s="975"/>
      <c r="BK69" s="975"/>
      <c r="BL69" s="975"/>
      <c r="BM69" s="975"/>
      <c r="BN69" s="975"/>
      <c r="BO69" s="975"/>
      <c r="BP69" s="975"/>
      <c r="BQ69" s="975"/>
      <c r="BR69" s="975"/>
      <c r="BS69" s="975"/>
      <c r="BT69" s="975"/>
      <c r="BU69" s="975"/>
      <c r="BV69" s="975"/>
      <c r="BW69" s="975"/>
      <c r="BX69" s="975"/>
      <c r="BY69" s="975"/>
      <c r="BZ69" s="975"/>
      <c r="CA69" s="975"/>
      <c r="CB69" s="975"/>
      <c r="CC69" s="975"/>
      <c r="CD69" s="975"/>
      <c r="CE69" s="975"/>
      <c r="CF69" s="975"/>
      <c r="CG69" s="975"/>
      <c r="CH69" s="975"/>
      <c r="CI69" s="975"/>
    </row>
    <row r="70" spans="1:87" s="367" customFormat="1" ht="30" customHeight="1" thickBot="1">
      <c r="A70" s="837">
        <f>tblIndicators!A70</f>
        <v>69</v>
      </c>
      <c r="B70" s="367">
        <f>tblIndicators!G70</f>
        <v>3</v>
      </c>
      <c r="C70" s="837" t="s">
        <v>1009</v>
      </c>
      <c r="D70" s="837" t="s">
        <v>1133</v>
      </c>
      <c r="E70" s="837" t="s">
        <v>739</v>
      </c>
      <c r="F70" s="837" t="s">
        <v>1097</v>
      </c>
      <c r="G70" s="837"/>
      <c r="H70" s="837"/>
      <c r="I70" s="837" t="s">
        <v>1227</v>
      </c>
      <c r="J70" s="837" t="s">
        <v>1103</v>
      </c>
      <c r="K70" s="837" t="s">
        <v>1198</v>
      </c>
      <c r="L70" s="837">
        <v>2021</v>
      </c>
      <c r="M70" s="837" t="s">
        <v>575</v>
      </c>
      <c r="N70" s="975">
        <v>0</v>
      </c>
      <c r="O70" s="837"/>
      <c r="P70" s="272">
        <f>tblIndicators!AS70</f>
        <v>3</v>
      </c>
      <c r="Q70" s="837" t="s">
        <v>1224</v>
      </c>
      <c r="R70" s="837" t="s">
        <v>1225</v>
      </c>
      <c r="S70" s="837" t="s">
        <v>1285</v>
      </c>
      <c r="T70" s="837"/>
      <c r="U70" s="837"/>
      <c r="V70"/>
      <c r="W70" s="837"/>
      <c r="X70" s="1083">
        <v>2</v>
      </c>
      <c r="Y70" s="1083">
        <v>0</v>
      </c>
      <c r="Z70" s="1083">
        <v>0</v>
      </c>
      <c r="AA70" s="1083">
        <v>1</v>
      </c>
      <c r="AB70" s="1083">
        <v>2</v>
      </c>
      <c r="AC70" s="1083">
        <v>0</v>
      </c>
      <c r="AD70" s="1083">
        <v>0</v>
      </c>
      <c r="AE70" s="1083">
        <v>2</v>
      </c>
      <c r="AF70" s="1083">
        <v>0</v>
      </c>
      <c r="AG70" s="1083">
        <v>0</v>
      </c>
      <c r="AH70" s="1083">
        <v>0</v>
      </c>
      <c r="AI70" s="1083">
        <v>0</v>
      </c>
      <c r="AJ70" s="1083">
        <v>0</v>
      </c>
      <c r="AK70" s="1083">
        <v>2</v>
      </c>
      <c r="AL70" s="1083">
        <v>1</v>
      </c>
      <c r="AM70" s="1083">
        <v>0</v>
      </c>
      <c r="AN70" s="1083">
        <v>0</v>
      </c>
      <c r="AO70" s="1083">
        <v>0</v>
      </c>
      <c r="AP70" s="1083">
        <v>0</v>
      </c>
      <c r="AQ70" s="1083">
        <v>0</v>
      </c>
      <c r="AR70" s="1083">
        <v>0</v>
      </c>
      <c r="AS70" s="1083">
        <v>0</v>
      </c>
      <c r="AT70" s="1083">
        <v>0</v>
      </c>
      <c r="AU70" s="1083">
        <v>2</v>
      </c>
      <c r="AV70" s="1083">
        <v>0</v>
      </c>
      <c r="AW70" s="1083">
        <v>2</v>
      </c>
      <c r="AX70" s="1083">
        <v>1</v>
      </c>
      <c r="AY70" s="1083">
        <v>2</v>
      </c>
      <c r="AZ70" s="1083">
        <v>0</v>
      </c>
      <c r="BA70" s="1083">
        <v>0</v>
      </c>
      <c r="BC70" s="975">
        <v>2</v>
      </c>
      <c r="BE70" s="837"/>
      <c r="BF70" s="975"/>
      <c r="BG70" s="975"/>
      <c r="BH70" s="975"/>
      <c r="BI70" s="975"/>
      <c r="BJ70" s="975"/>
      <c r="BK70" s="975"/>
      <c r="BL70" s="975"/>
      <c r="BM70" s="975"/>
      <c r="BN70" s="975"/>
      <c r="BO70" s="975"/>
      <c r="BP70" s="975"/>
      <c r="BQ70" s="975"/>
      <c r="BR70" s="975"/>
      <c r="BS70" s="975"/>
      <c r="BT70" s="975"/>
      <c r="BU70" s="975"/>
      <c r="BV70" s="975"/>
      <c r="BW70" s="975"/>
      <c r="BX70" s="975"/>
      <c r="BY70" s="975"/>
      <c r="BZ70" s="975"/>
      <c r="CA70" s="975"/>
      <c r="CB70" s="975"/>
      <c r="CC70" s="975"/>
      <c r="CD70" s="975"/>
      <c r="CE70" s="975"/>
      <c r="CF70" s="975"/>
      <c r="CG70" s="975"/>
      <c r="CH70" s="975"/>
      <c r="CI70" s="975"/>
    </row>
    <row r="71" spans="1:87" s="367" customFormat="1" ht="30" customHeight="1">
      <c r="A71" s="837">
        <f>tblIndicators!A71</f>
        <v>70</v>
      </c>
      <c r="B71" s="367">
        <f>tblIndicators!G71</f>
        <v>3</v>
      </c>
      <c r="C71" s="837" t="s">
        <v>796</v>
      </c>
      <c r="D71" s="837" t="s">
        <v>796</v>
      </c>
      <c r="E71" s="837" t="s">
        <v>740</v>
      </c>
      <c r="F71" s="837" t="s">
        <v>1134</v>
      </c>
      <c r="G71" s="837"/>
      <c r="H71" s="837"/>
      <c r="I71" s="837" t="s">
        <v>1181</v>
      </c>
      <c r="J71" s="837" t="s">
        <v>1103</v>
      </c>
      <c r="K71" s="837" t="s">
        <v>1199</v>
      </c>
      <c r="L71" s="837">
        <v>2021</v>
      </c>
      <c r="M71" s="837" t="s">
        <v>575</v>
      </c>
      <c r="N71" s="975">
        <v>0</v>
      </c>
      <c r="O71" s="837"/>
      <c r="P71" s="272">
        <f>tblIndicators!AS71</f>
        <v>2</v>
      </c>
      <c r="Q71" s="837" t="s">
        <v>1226</v>
      </c>
      <c r="R71" s="837" t="s">
        <v>1284</v>
      </c>
      <c r="S71" s="837"/>
      <c r="T71" s="837"/>
      <c r="U71" s="837"/>
      <c r="V71"/>
      <c r="W71" s="837"/>
      <c r="X71" s="975">
        <v>1</v>
      </c>
      <c r="Y71" s="975">
        <v>0</v>
      </c>
      <c r="Z71" s="975">
        <v>0</v>
      </c>
      <c r="AA71" s="975">
        <v>1</v>
      </c>
      <c r="AB71" s="975">
        <v>1</v>
      </c>
      <c r="AC71" s="975">
        <v>1</v>
      </c>
      <c r="AD71" s="975">
        <v>1</v>
      </c>
      <c r="AE71" s="975">
        <v>1</v>
      </c>
      <c r="AF71" s="975">
        <v>1</v>
      </c>
      <c r="AG71" s="975">
        <v>0</v>
      </c>
      <c r="AH71" s="975">
        <v>1</v>
      </c>
      <c r="AI71" s="975">
        <v>1</v>
      </c>
      <c r="AJ71" s="975">
        <v>0</v>
      </c>
      <c r="AK71" s="975">
        <v>1</v>
      </c>
      <c r="AL71" s="975">
        <v>1</v>
      </c>
      <c r="AM71" s="975">
        <v>1</v>
      </c>
      <c r="AN71" s="975">
        <v>0</v>
      </c>
      <c r="AO71" s="975">
        <v>1</v>
      </c>
      <c r="AP71" s="975">
        <v>1</v>
      </c>
      <c r="AQ71" s="975">
        <v>1</v>
      </c>
      <c r="AR71" s="975">
        <v>1</v>
      </c>
      <c r="AS71" s="975">
        <v>1</v>
      </c>
      <c r="AT71" s="975">
        <v>1</v>
      </c>
      <c r="AU71" s="975">
        <v>1</v>
      </c>
      <c r="AV71" s="975">
        <v>1</v>
      </c>
      <c r="AW71" s="975">
        <v>0</v>
      </c>
      <c r="AX71" s="975">
        <v>1</v>
      </c>
      <c r="AY71" s="975">
        <v>1</v>
      </c>
      <c r="AZ71" s="975">
        <v>1</v>
      </c>
      <c r="BA71" s="975">
        <v>1</v>
      </c>
      <c r="BC71" s="975">
        <v>2</v>
      </c>
      <c r="BE71" s="837"/>
      <c r="BF71" s="975"/>
      <c r="BG71" s="975"/>
      <c r="BH71" s="975"/>
      <c r="BI71" s="975"/>
      <c r="BJ71" s="975"/>
      <c r="BK71" s="975"/>
      <c r="BL71" s="975"/>
      <c r="BM71" s="975"/>
      <c r="BN71" s="975"/>
      <c r="BO71" s="975"/>
      <c r="BP71" s="975"/>
      <c r="BQ71" s="975"/>
      <c r="BR71" s="975"/>
      <c r="BS71" s="975"/>
      <c r="BT71" s="975"/>
      <c r="BU71" s="975"/>
      <c r="BV71" s="975"/>
      <c r="BW71" s="975"/>
      <c r="BX71" s="975"/>
      <c r="BY71" s="975"/>
      <c r="BZ71" s="975"/>
      <c r="CA71" s="975"/>
      <c r="CB71" s="975"/>
      <c r="CC71" s="975"/>
      <c r="CD71" s="975"/>
      <c r="CE71" s="975"/>
      <c r="CF71" s="975"/>
      <c r="CG71" s="975"/>
      <c r="CH71" s="975"/>
      <c r="CI71" s="975"/>
    </row>
    <row r="72" spans="1:87" s="367" customFormat="1" ht="20.149999999999999" customHeight="1" thickBot="1">
      <c r="A72" s="568">
        <f>tblIndicators!A72</f>
        <v>71</v>
      </c>
      <c r="B72" s="367">
        <f>tblIndicators!G72</f>
        <v>2</v>
      </c>
      <c r="C72" s="980" t="s">
        <v>802</v>
      </c>
      <c r="D72" s="568" t="s">
        <v>802</v>
      </c>
      <c r="E72" s="568"/>
      <c r="F72" s="568"/>
      <c r="G72" s="568"/>
      <c r="H72" s="568"/>
      <c r="I72" s="568"/>
      <c r="J72" s="568"/>
      <c r="K72" s="568"/>
      <c r="L72" s="568"/>
      <c r="M72" s="568"/>
      <c r="N72" s="977"/>
      <c r="O72" s="568"/>
      <c r="P72" s="272">
        <f>tblIndicators!AS72</f>
        <v>0</v>
      </c>
      <c r="Q72" s="568"/>
      <c r="R72" s="568"/>
      <c r="S72" s="568"/>
      <c r="T72" s="568"/>
      <c r="U72" s="568"/>
      <c r="V72"/>
      <c r="W72" s="568"/>
      <c r="X72" s="975"/>
      <c r="Y72" s="975"/>
      <c r="Z72" s="975"/>
      <c r="AA72" s="975"/>
      <c r="AB72" s="975"/>
      <c r="AC72" s="975"/>
      <c r="AD72" s="975"/>
      <c r="AE72" s="975"/>
      <c r="AF72" s="975"/>
      <c r="AG72" s="975"/>
      <c r="AH72" s="975"/>
      <c r="AI72" s="975"/>
      <c r="AJ72" s="975"/>
      <c r="AK72" s="975"/>
      <c r="AL72" s="975"/>
      <c r="AM72" s="975"/>
      <c r="AN72" s="975"/>
      <c r="AO72" s="975"/>
      <c r="AP72" s="975"/>
      <c r="AQ72" s="975"/>
      <c r="AR72" s="975"/>
      <c r="AS72" s="975"/>
      <c r="AT72" s="975"/>
      <c r="AU72" s="975"/>
      <c r="AV72" s="975"/>
      <c r="AW72" s="975"/>
      <c r="AX72" s="975"/>
      <c r="AY72" s="975"/>
      <c r="AZ72" s="975"/>
      <c r="BA72" s="975"/>
      <c r="BC72" s="975"/>
      <c r="BE72" s="568"/>
      <c r="BF72" s="975"/>
      <c r="BG72" s="975"/>
      <c r="BH72" s="975"/>
      <c r="BI72" s="975"/>
      <c r="BJ72" s="975"/>
      <c r="BK72" s="975"/>
      <c r="BL72" s="975"/>
      <c r="BM72" s="975"/>
      <c r="BN72" s="975"/>
      <c r="BO72" s="975"/>
      <c r="BP72" s="975"/>
      <c r="BQ72" s="975"/>
      <c r="BR72" s="975"/>
      <c r="BS72" s="975"/>
      <c r="BT72" s="975"/>
      <c r="BU72" s="975"/>
      <c r="BV72" s="975"/>
      <c r="BW72" s="975"/>
      <c r="BX72" s="975"/>
      <c r="BY72" s="975"/>
      <c r="BZ72" s="975"/>
      <c r="CA72" s="975"/>
      <c r="CB72" s="975"/>
      <c r="CC72" s="975"/>
      <c r="CD72" s="975"/>
      <c r="CE72" s="975"/>
      <c r="CF72" s="975"/>
      <c r="CG72" s="975"/>
      <c r="CH72" s="975"/>
      <c r="CI72" s="975"/>
    </row>
    <row r="73" spans="1:87" s="367" customFormat="1" ht="20.149999999999999" customHeight="1" thickBot="1">
      <c r="A73" s="17">
        <f>tblIndicators!A73</f>
        <v>72</v>
      </c>
      <c r="B73" s="367">
        <f>tblIndicators!G73</f>
        <v>3</v>
      </c>
      <c r="C73" s="17" t="s">
        <v>1135</v>
      </c>
      <c r="D73" s="17" t="s">
        <v>1135</v>
      </c>
      <c r="E73" s="17" t="s">
        <v>1135</v>
      </c>
      <c r="F73" s="17" t="s">
        <v>1136</v>
      </c>
      <c r="G73" s="17"/>
      <c r="H73" s="17"/>
      <c r="I73" s="17"/>
      <c r="J73" s="17" t="s">
        <v>716</v>
      </c>
      <c r="K73" s="17" t="s">
        <v>350</v>
      </c>
      <c r="L73" s="17">
        <v>2021</v>
      </c>
      <c r="M73" s="837"/>
      <c r="N73" s="272">
        <v>1</v>
      </c>
      <c r="O73" s="17"/>
      <c r="P73" s="272">
        <f>tblIndicators!AS73</f>
        <v>1</v>
      </c>
      <c r="Q73" s="17"/>
      <c r="R73" s="17"/>
      <c r="S73" s="17"/>
      <c r="T73" s="17"/>
      <c r="U73" s="17"/>
      <c r="V73"/>
      <c r="W73" s="17"/>
      <c r="X73" s="1074">
        <v>4.4000000000000004</v>
      </c>
      <c r="Y73" s="1074">
        <v>6.1</v>
      </c>
      <c r="Z73" s="1074">
        <v>1.3</v>
      </c>
      <c r="AA73" s="1074">
        <v>4.7</v>
      </c>
      <c r="AB73" s="1074">
        <v>7.9</v>
      </c>
      <c r="AC73" s="1074">
        <v>2.7</v>
      </c>
      <c r="AD73" s="1074">
        <v>9.6999999999999993</v>
      </c>
      <c r="AE73" s="1074">
        <v>3.2</v>
      </c>
      <c r="AF73" s="1074">
        <v>5.5</v>
      </c>
      <c r="AG73" s="1074">
        <v>3.8</v>
      </c>
      <c r="AH73" s="1074">
        <v>2.7</v>
      </c>
      <c r="AI73" s="1074">
        <v>6.5</v>
      </c>
      <c r="AJ73" s="1074">
        <v>3.1</v>
      </c>
      <c r="AK73" s="1074">
        <v>3</v>
      </c>
      <c r="AL73" s="1074">
        <v>7.2</v>
      </c>
      <c r="AM73" s="1074">
        <v>4.7</v>
      </c>
      <c r="AN73" s="1074">
        <v>4.8</v>
      </c>
      <c r="AO73" s="1074">
        <v>5.6</v>
      </c>
      <c r="AP73" s="1074">
        <v>9.1999999999999993</v>
      </c>
      <c r="AQ73" s="1074">
        <v>5.5</v>
      </c>
      <c r="AR73" s="1074">
        <v>6.7</v>
      </c>
      <c r="AS73" s="1074">
        <v>6.3</v>
      </c>
      <c r="AT73" s="1074">
        <v>4.8</v>
      </c>
      <c r="AU73" s="1074">
        <v>3.9</v>
      </c>
      <c r="AV73" s="1074">
        <v>6.8</v>
      </c>
      <c r="AW73" s="1074">
        <v>3.9</v>
      </c>
      <c r="AX73" s="1074">
        <v>2</v>
      </c>
      <c r="AY73" s="1074">
        <v>4.7</v>
      </c>
      <c r="AZ73" s="1074">
        <v>5.5</v>
      </c>
      <c r="BA73" s="1074">
        <v>3.6</v>
      </c>
      <c r="BC73" s="975">
        <v>4</v>
      </c>
      <c r="BE73" s="17"/>
      <c r="BF73" s="975"/>
      <c r="BG73" s="975"/>
      <c r="BH73" s="975"/>
      <c r="BI73" s="975"/>
      <c r="BJ73" s="975"/>
      <c r="BK73" s="975"/>
      <c r="BL73" s="975"/>
      <c r="BM73" s="975"/>
      <c r="BN73" s="975"/>
      <c r="BO73" s="975"/>
      <c r="BP73" s="975"/>
      <c r="BQ73" s="975"/>
      <c r="BR73" s="975"/>
      <c r="BS73" s="975"/>
      <c r="BT73" s="975"/>
      <c r="BU73" s="975"/>
      <c r="BV73" s="975"/>
      <c r="BW73" s="975"/>
      <c r="BX73" s="975"/>
      <c r="BY73" s="975"/>
      <c r="BZ73" s="975"/>
      <c r="CA73" s="975"/>
      <c r="CB73" s="975"/>
      <c r="CC73" s="975"/>
      <c r="CD73" s="975"/>
      <c r="CE73" s="975"/>
      <c r="CF73" s="975"/>
      <c r="CG73" s="975"/>
      <c r="CH73" s="975"/>
      <c r="CI73" s="975"/>
    </row>
    <row r="74" spans="1:87" s="367" customFormat="1" ht="20.149999999999999" customHeight="1" thickBot="1">
      <c r="A74" s="17">
        <f>tblIndicators!A74</f>
        <v>73</v>
      </c>
      <c r="B74" s="367">
        <f>tblIndicators!G74</f>
        <v>3</v>
      </c>
      <c r="C74" s="17" t="s">
        <v>1137</v>
      </c>
      <c r="D74" s="17" t="s">
        <v>1137</v>
      </c>
      <c r="E74" s="17" t="s">
        <v>1137</v>
      </c>
      <c r="F74" s="17" t="s">
        <v>1138</v>
      </c>
      <c r="G74" s="17"/>
      <c r="H74" s="17"/>
      <c r="I74" s="17"/>
      <c r="J74" s="17" t="s">
        <v>716</v>
      </c>
      <c r="K74" s="17" t="s">
        <v>1139</v>
      </c>
      <c r="L74" s="17">
        <v>2021</v>
      </c>
      <c r="M74" s="837"/>
      <c r="N74" s="272">
        <v>1</v>
      </c>
      <c r="O74" s="17"/>
      <c r="P74" s="272">
        <f>tblIndicators!AS74</f>
        <v>1</v>
      </c>
      <c r="Q74" s="17"/>
      <c r="R74" s="17"/>
      <c r="S74" s="17"/>
      <c r="T74" s="17"/>
      <c r="U74" s="17"/>
      <c r="V74"/>
      <c r="W74" s="17"/>
      <c r="X74" s="1074">
        <v>0</v>
      </c>
      <c r="Y74" s="1074">
        <v>0</v>
      </c>
      <c r="Z74" s="1074">
        <v>3</v>
      </c>
      <c r="AA74" s="1074">
        <v>2</v>
      </c>
      <c r="AB74" s="1074">
        <v>2</v>
      </c>
      <c r="AC74" s="1074">
        <v>0</v>
      </c>
      <c r="AD74" s="1074">
        <v>2</v>
      </c>
      <c r="AE74" s="1074">
        <v>0</v>
      </c>
      <c r="AF74" s="1074">
        <v>0</v>
      </c>
      <c r="AG74" s="1074">
        <v>0</v>
      </c>
      <c r="AH74" s="1074">
        <v>0</v>
      </c>
      <c r="AI74" s="1074">
        <v>0</v>
      </c>
      <c r="AJ74" s="1074">
        <v>3</v>
      </c>
      <c r="AK74" s="1074">
        <v>2</v>
      </c>
      <c r="AL74" s="1074">
        <v>0</v>
      </c>
      <c r="AM74" s="1074">
        <v>2</v>
      </c>
      <c r="AN74" s="1074">
        <v>3</v>
      </c>
      <c r="AO74" s="1074">
        <v>3</v>
      </c>
      <c r="AP74" s="1074">
        <v>3</v>
      </c>
      <c r="AQ74" s="1074">
        <v>0</v>
      </c>
      <c r="AR74" s="1074">
        <v>1</v>
      </c>
      <c r="AS74" s="1074">
        <v>2</v>
      </c>
      <c r="AT74" s="1074">
        <v>3</v>
      </c>
      <c r="AU74" s="1074">
        <v>2</v>
      </c>
      <c r="AV74" s="1074">
        <v>0</v>
      </c>
      <c r="AW74" s="1074">
        <v>0</v>
      </c>
      <c r="AX74" s="1074">
        <v>1</v>
      </c>
      <c r="AY74" s="1074">
        <v>0</v>
      </c>
      <c r="AZ74" s="1074">
        <v>0</v>
      </c>
      <c r="BA74" s="1074">
        <v>0</v>
      </c>
      <c r="BC74" s="975">
        <v>4</v>
      </c>
      <c r="BE74" s="17"/>
      <c r="BF74" s="975"/>
      <c r="BG74" s="975"/>
      <c r="BH74" s="975"/>
      <c r="BI74" s="975"/>
      <c r="BJ74" s="975"/>
      <c r="BK74" s="975"/>
      <c r="BL74" s="975"/>
      <c r="BM74" s="975"/>
      <c r="BN74" s="975"/>
      <c r="BO74" s="975"/>
      <c r="BP74" s="975"/>
      <c r="BQ74" s="975"/>
      <c r="BR74" s="975"/>
      <c r="BS74" s="975"/>
      <c r="BT74" s="975"/>
      <c r="BU74" s="975"/>
      <c r="BV74" s="975"/>
      <c r="BW74" s="975"/>
      <c r="BX74" s="975"/>
      <c r="BY74" s="975"/>
      <c r="BZ74" s="975"/>
      <c r="CA74" s="975"/>
      <c r="CB74" s="975"/>
      <c r="CC74" s="975"/>
      <c r="CD74" s="975"/>
      <c r="CE74" s="975"/>
      <c r="CF74" s="975"/>
      <c r="CG74" s="975"/>
      <c r="CH74" s="975"/>
      <c r="CI74" s="975"/>
    </row>
    <row r="75" spans="1:87" s="367" customFormat="1" ht="20.149999999999999" customHeight="1" thickBot="1">
      <c r="A75" s="17">
        <f>tblIndicators!A75</f>
        <v>74</v>
      </c>
      <c r="B75" s="367">
        <f>tblIndicators!G75</f>
        <v>3</v>
      </c>
      <c r="C75" s="17" t="s">
        <v>1140</v>
      </c>
      <c r="D75" s="17" t="s">
        <v>1140</v>
      </c>
      <c r="E75" s="17" t="s">
        <v>1141</v>
      </c>
      <c r="F75" s="17" t="s">
        <v>1142</v>
      </c>
      <c r="G75" s="17"/>
      <c r="H75" s="17"/>
      <c r="I75" s="17"/>
      <c r="J75" s="17" t="s">
        <v>1143</v>
      </c>
      <c r="K75" s="17" t="s">
        <v>1144</v>
      </c>
      <c r="L75" s="1078">
        <v>2019</v>
      </c>
      <c r="M75" s="837"/>
      <c r="N75" s="272">
        <v>3</v>
      </c>
      <c r="O75" s="17"/>
      <c r="P75" s="272">
        <f>tblIndicators!AS75</f>
        <v>1</v>
      </c>
      <c r="Q75" s="17"/>
      <c r="R75" s="17"/>
      <c r="S75" s="17"/>
      <c r="T75" s="17"/>
      <c r="U75" s="17"/>
      <c r="V75"/>
      <c r="W75" s="17"/>
      <c r="X75" s="1074">
        <v>0.96299999999999997</v>
      </c>
      <c r="Y75" s="1074">
        <v>0.94499999999999995</v>
      </c>
      <c r="Z75" s="1074">
        <v>0.81399999999999995</v>
      </c>
      <c r="AA75" s="1074">
        <v>0.91600000000000004</v>
      </c>
      <c r="AB75" s="1074">
        <v>0.90400000000000003</v>
      </c>
      <c r="AC75" s="1074">
        <v>0.96399999999999997</v>
      </c>
      <c r="AD75" s="1074">
        <v>0.88200000000000001</v>
      </c>
      <c r="AE75" s="1074">
        <v>0.96099999999999997</v>
      </c>
      <c r="AF75" s="1074">
        <v>0.91700000000000004</v>
      </c>
      <c r="AG75" s="1074">
        <v>0.88900000000000001</v>
      </c>
      <c r="AH75" s="1074">
        <v>0.95499999999999996</v>
      </c>
      <c r="AI75" s="1074">
        <v>0.94899999999999995</v>
      </c>
      <c r="AJ75" s="1074">
        <v>0.77300000000000002</v>
      </c>
      <c r="AK75" s="1074">
        <v>0.86699999999999999</v>
      </c>
      <c r="AL75" s="1074">
        <v>0.97599999999999998</v>
      </c>
      <c r="AM75" s="1074">
        <v>0.94099999999999995</v>
      </c>
      <c r="AN75" s="1074">
        <v>0.78100000000000003</v>
      </c>
      <c r="AO75" s="1074">
        <v>0.78400000000000003</v>
      </c>
      <c r="AP75" s="1074">
        <v>0.746</v>
      </c>
      <c r="AQ75" s="1074">
        <v>0.94399999999999995</v>
      </c>
      <c r="AR75" s="1074">
        <v>0.94699999999999995</v>
      </c>
      <c r="AS75" s="1074">
        <v>0.91400000000000003</v>
      </c>
      <c r="AT75" s="1074">
        <v>0.79100000000000004</v>
      </c>
      <c r="AU75" s="1074">
        <v>0.94299999999999995</v>
      </c>
      <c r="AV75" s="1074">
        <v>0.93799999999999994</v>
      </c>
      <c r="AW75" s="1074">
        <v>0.94499999999999995</v>
      </c>
      <c r="AX75" s="1074">
        <v>0.94399999999999995</v>
      </c>
      <c r="AY75" s="1074">
        <v>0.93700000000000006</v>
      </c>
      <c r="AZ75" s="1074">
        <v>0.94599999999999995</v>
      </c>
      <c r="BA75" s="1074">
        <v>0.98</v>
      </c>
      <c r="BC75" s="975">
        <v>4</v>
      </c>
      <c r="BE75" s="17"/>
      <c r="BF75" s="975"/>
      <c r="BG75" s="975"/>
      <c r="BH75" s="975"/>
      <c r="BI75" s="975"/>
      <c r="BJ75" s="975"/>
      <c r="BK75" s="975"/>
      <c r="BL75" s="975"/>
      <c r="BM75" s="975"/>
      <c r="BN75" s="975"/>
      <c r="BO75" s="975"/>
      <c r="BP75" s="975"/>
      <c r="BQ75" s="975"/>
      <c r="BR75" s="975"/>
      <c r="BS75" s="975"/>
      <c r="BT75" s="975"/>
      <c r="BU75" s="975"/>
      <c r="BV75" s="975"/>
      <c r="BW75" s="975"/>
      <c r="BX75" s="975"/>
      <c r="BY75" s="975"/>
      <c r="BZ75" s="975"/>
      <c r="CA75" s="975"/>
      <c r="CB75" s="975"/>
      <c r="CC75" s="975"/>
      <c r="CD75" s="975"/>
      <c r="CE75" s="975"/>
      <c r="CF75" s="975"/>
      <c r="CG75" s="975"/>
      <c r="CH75" s="975"/>
      <c r="CI75" s="975"/>
    </row>
    <row r="76" spans="1:87" s="367" customFormat="1" ht="20.149999999999999" customHeight="1" thickBot="1">
      <c r="A76" s="17">
        <f>tblIndicators!A76</f>
        <v>75</v>
      </c>
      <c r="B76" s="367">
        <f>tblIndicators!G76</f>
        <v>3</v>
      </c>
      <c r="C76" s="17" t="s">
        <v>1145</v>
      </c>
      <c r="D76" s="17" t="s">
        <v>1145</v>
      </c>
      <c r="E76" s="17" t="s">
        <v>1146</v>
      </c>
      <c r="F76" s="17" t="s">
        <v>1147</v>
      </c>
      <c r="G76" s="17"/>
      <c r="H76" s="17"/>
      <c r="I76" s="17"/>
      <c r="J76" s="17" t="s">
        <v>1143</v>
      </c>
      <c r="K76" s="17" t="s">
        <v>1144</v>
      </c>
      <c r="L76" s="1078">
        <v>2019</v>
      </c>
      <c r="M76" s="837"/>
      <c r="N76" s="272">
        <v>3</v>
      </c>
      <c r="O76" s="17"/>
      <c r="P76" s="272">
        <f>tblIndicators!AS76</f>
        <v>1</v>
      </c>
      <c r="Q76" s="17"/>
      <c r="R76" s="17"/>
      <c r="S76" s="17"/>
      <c r="T76" s="17"/>
      <c r="U76" s="17"/>
      <c r="V76"/>
      <c r="W76" s="17"/>
      <c r="X76" s="1074">
        <v>4.2999999999999997E-2</v>
      </c>
      <c r="Y76" s="1074">
        <v>0.123</v>
      </c>
      <c r="Z76" s="1074">
        <v>0.35899999999999999</v>
      </c>
      <c r="AA76" s="1074">
        <v>7.0000000000000007E-2</v>
      </c>
      <c r="AB76" s="1074">
        <v>0.16800000000000001</v>
      </c>
      <c r="AC76" s="1074">
        <v>8.4000000000000005E-2</v>
      </c>
      <c r="AD76" s="1074">
        <v>0.32800000000000001</v>
      </c>
      <c r="AE76" s="1074">
        <v>3.7999999999999999E-2</v>
      </c>
      <c r="AF76" s="1074">
        <v>0.20399999999999999</v>
      </c>
      <c r="AG76" s="1074">
        <v>7.9000000000000001E-2</v>
      </c>
      <c r="AH76" s="1074">
        <v>8.4000000000000005E-2</v>
      </c>
      <c r="AI76" s="1074"/>
      <c r="AJ76" s="1074">
        <v>0.48</v>
      </c>
      <c r="AK76" s="1074">
        <v>0.253</v>
      </c>
      <c r="AL76" s="1074">
        <v>0.11799999999999999</v>
      </c>
      <c r="AM76" s="1074">
        <v>7.0000000000000007E-2</v>
      </c>
      <c r="AN76" s="1074">
        <v>0.43</v>
      </c>
      <c r="AO76" s="1074">
        <v>0.32200000000000001</v>
      </c>
      <c r="AP76" s="1074">
        <v>0.48799999999999999</v>
      </c>
      <c r="AQ76" s="1074">
        <v>0.20399999999999999</v>
      </c>
      <c r="AR76" s="1074">
        <v>4.9000000000000002E-2</v>
      </c>
      <c r="AS76" s="1074">
        <v>6.9000000000000006E-2</v>
      </c>
      <c r="AT76" s="1074">
        <v>0.40799999999999997</v>
      </c>
      <c r="AU76" s="1074">
        <v>6.4000000000000001E-2</v>
      </c>
      <c r="AV76" s="1074">
        <v>6.5000000000000002E-2</v>
      </c>
      <c r="AW76" s="1074">
        <v>9.7000000000000003E-2</v>
      </c>
      <c r="AX76" s="1074">
        <v>9.4E-2</v>
      </c>
      <c r="AY76" s="1074">
        <v>0.08</v>
      </c>
      <c r="AZ76" s="1074">
        <v>0.20399999999999999</v>
      </c>
      <c r="BA76" s="1074">
        <v>2.5000000000000001E-2</v>
      </c>
      <c r="BC76" s="975">
        <v>4</v>
      </c>
      <c r="BE76" s="17"/>
      <c r="BF76" s="975"/>
      <c r="BG76" s="975"/>
      <c r="BH76" s="975"/>
      <c r="BI76" s="975"/>
      <c r="BJ76" s="975"/>
      <c r="BK76" s="975"/>
      <c r="BL76" s="975"/>
      <c r="BM76" s="975"/>
      <c r="BN76" s="975"/>
      <c r="BO76" s="975"/>
      <c r="BP76" s="975"/>
      <c r="BQ76" s="975"/>
      <c r="BR76" s="975"/>
      <c r="BS76" s="975"/>
      <c r="BT76" s="975"/>
      <c r="BU76" s="975"/>
      <c r="BV76" s="975"/>
      <c r="BW76" s="975"/>
      <c r="BX76" s="975"/>
      <c r="BY76" s="975"/>
      <c r="BZ76" s="975"/>
      <c r="CA76" s="975"/>
      <c r="CB76" s="975"/>
      <c r="CC76" s="975"/>
      <c r="CD76" s="975"/>
      <c r="CE76" s="975"/>
      <c r="CF76" s="975"/>
      <c r="CG76" s="975"/>
      <c r="CH76" s="975"/>
      <c r="CI76" s="975"/>
    </row>
    <row r="77" spans="1:87" s="367" customFormat="1" ht="20.149999999999999" customHeight="1" thickBot="1">
      <c r="A77" s="17">
        <f>tblIndicators!A77</f>
        <v>76</v>
      </c>
      <c r="B77" s="367">
        <f>tblIndicators!G77</f>
        <v>3</v>
      </c>
      <c r="C77" s="17" t="s">
        <v>1148</v>
      </c>
      <c r="D77" s="17" t="s">
        <v>1148</v>
      </c>
      <c r="E77" s="17" t="s">
        <v>1149</v>
      </c>
      <c r="F77" t="s">
        <v>1173</v>
      </c>
      <c r="G77" s="17"/>
      <c r="H77" s="17"/>
      <c r="I77" s="17"/>
      <c r="J77" s="1078" t="s">
        <v>716</v>
      </c>
      <c r="K77" s="1078" t="s">
        <v>1174</v>
      </c>
      <c r="L77" s="1078">
        <v>2021</v>
      </c>
      <c r="M77" s="1078"/>
      <c r="N77" s="272">
        <v>0</v>
      </c>
      <c r="O77" s="17"/>
      <c r="P77" s="272">
        <f>tblIndicators!AS77</f>
        <v>1</v>
      </c>
      <c r="Q77" s="17"/>
      <c r="R77" s="17"/>
      <c r="S77" s="17"/>
      <c r="T77" s="17"/>
      <c r="U77" s="17"/>
      <c r="V77"/>
      <c r="W77" s="17"/>
      <c r="X77" s="1074">
        <v>31714</v>
      </c>
      <c r="Y77" s="1074">
        <v>22293</v>
      </c>
      <c r="Z77" s="1074">
        <v>7130</v>
      </c>
      <c r="AA77" s="1074">
        <v>20191</v>
      </c>
      <c r="AB77" s="1074">
        <v>12810</v>
      </c>
      <c r="AC77" s="1074">
        <v>22804</v>
      </c>
      <c r="AD77" s="1074">
        <v>9190</v>
      </c>
      <c r="AE77" s="1074">
        <v>33291</v>
      </c>
      <c r="AF77" s="1074">
        <v>49936</v>
      </c>
      <c r="AG77" s="1074">
        <v>16475</v>
      </c>
      <c r="AH77" s="1074">
        <v>37926</v>
      </c>
      <c r="AI77" s="1074">
        <v>36000</v>
      </c>
      <c r="AJ77" s="1074">
        <v>5439</v>
      </c>
      <c r="AK77" s="1074">
        <v>10429</v>
      </c>
      <c r="AL77" s="1074">
        <v>39776</v>
      </c>
      <c r="AM77" s="1074">
        <v>23771</v>
      </c>
      <c r="AN77" s="1074">
        <v>6935</v>
      </c>
      <c r="AO77" s="1074">
        <v>14963</v>
      </c>
      <c r="AP77" s="1074">
        <v>2913</v>
      </c>
      <c r="AQ77" s="1074">
        <v>69395</v>
      </c>
      <c r="AR77" s="1074">
        <v>37651</v>
      </c>
      <c r="AS77" s="1074">
        <v>25287</v>
      </c>
      <c r="AT77" s="1074">
        <v>7160</v>
      </c>
      <c r="AU77" s="1074">
        <v>17763</v>
      </c>
      <c r="AV77" s="1074">
        <v>32230</v>
      </c>
      <c r="AW77" s="1074">
        <v>31186</v>
      </c>
      <c r="AX77" s="1074">
        <v>24962</v>
      </c>
      <c r="AY77" s="1074">
        <v>26965</v>
      </c>
      <c r="AZ77" s="1074">
        <v>67938</v>
      </c>
      <c r="BA77" s="1074">
        <v>56646</v>
      </c>
      <c r="BC77" s="975">
        <v>4</v>
      </c>
      <c r="BE77" s="17"/>
      <c r="BF77" s="975"/>
      <c r="BG77" s="975"/>
      <c r="BH77" s="975"/>
      <c r="BI77" s="975"/>
      <c r="BJ77" s="975"/>
      <c r="BK77" s="975"/>
      <c r="BL77" s="975"/>
      <c r="BM77" s="975"/>
      <c r="BN77" s="975"/>
      <c r="BO77" s="975"/>
      <c r="BP77" s="975"/>
      <c r="BQ77" s="975"/>
      <c r="BR77" s="975"/>
      <c r="BS77" s="975"/>
      <c r="BT77" s="975"/>
      <c r="BU77" s="975"/>
      <c r="BV77" s="975"/>
      <c r="BW77" s="975"/>
      <c r="BX77" s="975"/>
      <c r="BY77" s="975"/>
      <c r="BZ77" s="975"/>
      <c r="CA77" s="975"/>
      <c r="CB77" s="975"/>
      <c r="CC77" s="975"/>
      <c r="CD77" s="975"/>
      <c r="CE77" s="975"/>
      <c r="CF77" s="975"/>
      <c r="CG77" s="975"/>
      <c r="CH77" s="975"/>
      <c r="CI77" s="975"/>
    </row>
    <row r="78" spans="1:87" s="367" customFormat="1" ht="20.149999999999999" customHeight="1">
      <c r="A78" s="17"/>
      <c r="B78" s="367">
        <f>tblIndicators!G78</f>
        <v>0</v>
      </c>
      <c r="C78" s="17"/>
      <c r="D78" s="17"/>
      <c r="E78" s="17"/>
      <c r="F78" s="17"/>
      <c r="G78" s="17"/>
      <c r="H78" s="17"/>
      <c r="I78" s="17"/>
      <c r="J78" s="17"/>
      <c r="K78" s="17"/>
      <c r="L78" s="17"/>
      <c r="M78" s="17"/>
      <c r="N78" s="272"/>
      <c r="O78" s="17"/>
      <c r="P78" s="1068"/>
      <c r="Q78" s="17"/>
      <c r="R78" s="17"/>
      <c r="S78" s="17"/>
      <c r="T78" s="17"/>
      <c r="U78" s="17"/>
      <c r="V78"/>
      <c r="W78" s="17"/>
      <c r="X78" s="975" t="s">
        <v>638</v>
      </c>
      <c r="Y78" s="975" t="s">
        <v>638</v>
      </c>
      <c r="Z78" s="975" t="s">
        <v>638</v>
      </c>
      <c r="AA78" s="975" t="s">
        <v>638</v>
      </c>
      <c r="AB78" s="975" t="s">
        <v>638</v>
      </c>
      <c r="AC78" s="975" t="s">
        <v>638</v>
      </c>
      <c r="AD78" s="975" t="s">
        <v>638</v>
      </c>
      <c r="AE78" s="975" t="s">
        <v>638</v>
      </c>
      <c r="AF78" s="975" t="s">
        <v>638</v>
      </c>
      <c r="AG78" s="975" t="s">
        <v>638</v>
      </c>
      <c r="AH78" s="975" t="s">
        <v>638</v>
      </c>
      <c r="AI78" s="975" t="s">
        <v>638</v>
      </c>
      <c r="AJ78" s="975" t="s">
        <v>638</v>
      </c>
      <c r="AK78" s="975" t="s">
        <v>638</v>
      </c>
      <c r="AL78" s="975" t="s">
        <v>638</v>
      </c>
      <c r="AM78" s="975" t="s">
        <v>638</v>
      </c>
      <c r="AN78" s="975" t="s">
        <v>638</v>
      </c>
      <c r="AO78" s="975" t="s">
        <v>638</v>
      </c>
      <c r="AP78" s="975" t="s">
        <v>638</v>
      </c>
      <c r="AQ78" s="975" t="s">
        <v>638</v>
      </c>
      <c r="AR78" s="975" t="s">
        <v>638</v>
      </c>
      <c r="AS78" s="975" t="s">
        <v>638</v>
      </c>
      <c r="AT78" s="975" t="s">
        <v>638</v>
      </c>
      <c r="AU78" s="975" t="s">
        <v>638</v>
      </c>
      <c r="AV78" s="975" t="s">
        <v>638</v>
      </c>
      <c r="AW78" s="975" t="s">
        <v>638</v>
      </c>
      <c r="AX78" s="975" t="s">
        <v>638</v>
      </c>
      <c r="AY78" s="975" t="s">
        <v>638</v>
      </c>
      <c r="AZ78" s="975" t="s">
        <v>638</v>
      </c>
      <c r="BA78" s="975" t="s">
        <v>638</v>
      </c>
      <c r="BC78" s="975"/>
      <c r="BE78" s="17"/>
      <c r="BF78" s="975"/>
      <c r="BG78" s="975"/>
      <c r="BH78" s="975"/>
      <c r="BI78" s="975"/>
      <c r="BJ78" s="975"/>
      <c r="BK78" s="975"/>
      <c r="BL78" s="975"/>
      <c r="BM78" s="975"/>
      <c r="BN78" s="975"/>
      <c r="BO78" s="975"/>
      <c r="BP78" s="975"/>
      <c r="BQ78" s="975"/>
      <c r="BR78" s="975"/>
      <c r="BS78" s="975"/>
      <c r="BT78" s="975"/>
      <c r="BU78" s="975"/>
      <c r="BV78" s="975"/>
      <c r="BW78" s="975"/>
      <c r="BX78" s="975"/>
      <c r="BY78" s="975"/>
      <c r="BZ78" s="975"/>
      <c r="CA78" s="975"/>
      <c r="CB78" s="975"/>
      <c r="CC78" s="975"/>
      <c r="CD78" s="975"/>
      <c r="CE78" s="975"/>
      <c r="CF78" s="975"/>
      <c r="CG78" s="975"/>
      <c r="CH78" s="975"/>
      <c r="CI78" s="975"/>
    </row>
    <row r="79" spans="1:87" s="367" customFormat="1" ht="20.149999999999999" customHeight="1">
      <c r="A79" s="17"/>
      <c r="B79" s="367">
        <f>tblIndicators!G79</f>
        <v>0</v>
      </c>
      <c r="C79" s="17"/>
      <c r="D79" s="17"/>
      <c r="E79" s="17"/>
      <c r="F79" s="17"/>
      <c r="G79" s="17"/>
      <c r="H79" s="17"/>
      <c r="I79" s="17"/>
      <c r="J79" s="17"/>
      <c r="K79" s="17"/>
      <c r="L79" s="17"/>
      <c r="M79" s="17"/>
      <c r="N79" s="272"/>
      <c r="O79" s="17"/>
      <c r="P79" s="1068"/>
      <c r="Q79" s="17"/>
      <c r="R79" s="17"/>
      <c r="S79" s="17"/>
      <c r="T79" s="17"/>
      <c r="U79" s="17"/>
      <c r="V79"/>
      <c r="W79" s="17"/>
      <c r="X79" s="975" t="s">
        <v>638</v>
      </c>
      <c r="Y79" s="975" t="s">
        <v>638</v>
      </c>
      <c r="Z79" s="975" t="s">
        <v>638</v>
      </c>
      <c r="AA79" s="975" t="s">
        <v>638</v>
      </c>
      <c r="AB79" s="975" t="s">
        <v>638</v>
      </c>
      <c r="AC79" s="975" t="s">
        <v>638</v>
      </c>
      <c r="AD79" s="975" t="s">
        <v>638</v>
      </c>
      <c r="AE79" s="975" t="s">
        <v>638</v>
      </c>
      <c r="AF79" s="975" t="s">
        <v>638</v>
      </c>
      <c r="AG79" s="975" t="s">
        <v>638</v>
      </c>
      <c r="AH79" s="975" t="s">
        <v>638</v>
      </c>
      <c r="AI79" s="975" t="s">
        <v>638</v>
      </c>
      <c r="AJ79" s="975" t="s">
        <v>638</v>
      </c>
      <c r="AK79" s="975" t="s">
        <v>638</v>
      </c>
      <c r="AL79" s="975" t="s">
        <v>638</v>
      </c>
      <c r="AM79" s="975" t="s">
        <v>638</v>
      </c>
      <c r="AN79" s="975" t="s">
        <v>638</v>
      </c>
      <c r="AO79" s="975" t="s">
        <v>638</v>
      </c>
      <c r="AP79" s="975" t="s">
        <v>638</v>
      </c>
      <c r="AQ79" s="975" t="s">
        <v>638</v>
      </c>
      <c r="AR79" s="975" t="s">
        <v>638</v>
      </c>
      <c r="AS79" s="975" t="s">
        <v>638</v>
      </c>
      <c r="AT79" s="975" t="s">
        <v>638</v>
      </c>
      <c r="AU79" s="975" t="s">
        <v>638</v>
      </c>
      <c r="AV79" s="975" t="s">
        <v>638</v>
      </c>
      <c r="AW79" s="975" t="s">
        <v>638</v>
      </c>
      <c r="AX79" s="975" t="s">
        <v>638</v>
      </c>
      <c r="AY79" s="975" t="s">
        <v>638</v>
      </c>
      <c r="AZ79" s="975" t="s">
        <v>638</v>
      </c>
      <c r="BA79" s="975" t="s">
        <v>638</v>
      </c>
      <c r="BC79" s="975"/>
      <c r="BE79" s="17"/>
      <c r="BF79" s="975"/>
      <c r="BG79" s="975"/>
      <c r="BH79" s="975"/>
      <c r="BI79" s="975"/>
      <c r="BJ79" s="975"/>
      <c r="BK79" s="975"/>
      <c r="BL79" s="975"/>
      <c r="BM79" s="975"/>
      <c r="BN79" s="975"/>
      <c r="BO79" s="975"/>
      <c r="BP79" s="975"/>
      <c r="BQ79" s="975"/>
      <c r="BR79" s="975"/>
      <c r="BS79" s="975"/>
      <c r="BT79" s="975"/>
      <c r="BU79" s="975"/>
      <c r="BV79" s="975"/>
      <c r="BW79" s="975"/>
      <c r="BX79" s="975"/>
      <c r="BY79" s="975"/>
      <c r="BZ79" s="975"/>
      <c r="CA79" s="975"/>
      <c r="CB79" s="975"/>
      <c r="CC79" s="975"/>
      <c r="CD79" s="975"/>
      <c r="CE79" s="975"/>
      <c r="CF79" s="975"/>
      <c r="CG79" s="975"/>
      <c r="CH79" s="975"/>
      <c r="CI79" s="975"/>
    </row>
    <row r="80" spans="1:87" s="367" customFormat="1" ht="20.149999999999999" customHeight="1">
      <c r="A80" s="17"/>
      <c r="B80" s="367">
        <f>tblIndicators!G80</f>
        <v>0</v>
      </c>
      <c r="C80" s="17"/>
      <c r="D80" s="17"/>
      <c r="E80" s="17"/>
      <c r="F80" s="17"/>
      <c r="G80" s="17"/>
      <c r="H80" s="17"/>
      <c r="I80" s="17"/>
      <c r="J80" s="17"/>
      <c r="K80" s="17"/>
      <c r="L80" s="17"/>
      <c r="M80" s="17"/>
      <c r="N80" s="272"/>
      <c r="O80" s="17"/>
      <c r="P80" s="1068"/>
      <c r="Q80" s="17"/>
      <c r="R80" s="17"/>
      <c r="S80" s="17"/>
      <c r="T80" s="17"/>
      <c r="U80" s="17"/>
      <c r="V80"/>
      <c r="W80" s="17"/>
      <c r="X80" s="272"/>
      <c r="Y80" s="272"/>
      <c r="Z80" s="272"/>
      <c r="AA80" s="272"/>
      <c r="AB80" s="272"/>
      <c r="AC80" s="272"/>
      <c r="AD80" s="272"/>
      <c r="AE80" s="272"/>
      <c r="AF80" s="272"/>
      <c r="AG80" s="272"/>
      <c r="AH80" s="272"/>
      <c r="AI80" s="272"/>
      <c r="AJ80" s="272"/>
      <c r="AK80" s="272"/>
      <c r="AL80" s="272"/>
      <c r="AM80" s="272"/>
      <c r="AN80" s="272"/>
      <c r="AO80" s="272"/>
      <c r="AP80" s="272"/>
      <c r="AQ80" s="272"/>
      <c r="AR80" s="272"/>
      <c r="AS80" s="272"/>
      <c r="AT80" s="272"/>
      <c r="AU80" s="272"/>
      <c r="AV80" s="272"/>
      <c r="AW80" s="272"/>
      <c r="AX80" s="272"/>
      <c r="AY80" s="272"/>
      <c r="AZ80" s="272"/>
      <c r="BA80" s="272"/>
      <c r="BC80" s="272"/>
      <c r="BE80" s="17"/>
      <c r="BF80" s="272"/>
      <c r="BG80" s="272"/>
      <c r="BH80" s="272"/>
      <c r="BI80" s="272"/>
      <c r="BJ80" s="272"/>
      <c r="BK80" s="272"/>
      <c r="BL80" s="272"/>
      <c r="BM80" s="272"/>
      <c r="BN80" s="272"/>
      <c r="BO80" s="272"/>
      <c r="BP80" s="272"/>
      <c r="BQ80" s="272"/>
      <c r="BR80" s="272"/>
      <c r="BS80" s="272"/>
      <c r="BT80" s="272"/>
      <c r="BU80" s="272"/>
      <c r="BV80" s="272"/>
      <c r="BW80" s="272"/>
      <c r="BX80" s="272"/>
      <c r="BY80" s="272"/>
      <c r="BZ80" s="272"/>
      <c r="CA80" s="272"/>
      <c r="CB80" s="272"/>
      <c r="CC80" s="272"/>
      <c r="CD80" s="272"/>
      <c r="CE80" s="272"/>
      <c r="CF80" s="272"/>
      <c r="CG80" s="272"/>
      <c r="CH80" s="272"/>
      <c r="CI80" s="272"/>
    </row>
    <row r="81" spans="1:87" s="367" customFormat="1" ht="20.149999999999999" customHeight="1">
      <c r="A81" s="17"/>
      <c r="B81" s="367">
        <f>tblIndicators!G81</f>
        <v>0</v>
      </c>
      <c r="C81" s="17"/>
      <c r="D81" s="17"/>
      <c r="E81" s="17"/>
      <c r="F81" s="17"/>
      <c r="G81" s="17"/>
      <c r="H81" s="17"/>
      <c r="I81" s="17"/>
      <c r="J81" s="17"/>
      <c r="K81" s="17"/>
      <c r="L81" s="17"/>
      <c r="M81" s="17"/>
      <c r="N81" s="272"/>
      <c r="O81" s="17"/>
      <c r="P81" s="1068"/>
      <c r="Q81" s="17"/>
      <c r="R81" s="17"/>
      <c r="S81" s="17"/>
      <c r="T81" s="17"/>
      <c r="U81" s="17"/>
      <c r="V81"/>
      <c r="W81" s="17"/>
      <c r="X81" s="272"/>
      <c r="Y81" s="272"/>
      <c r="Z81" s="272"/>
      <c r="AA81" s="272"/>
      <c r="AB81" s="272"/>
      <c r="AC81" s="272"/>
      <c r="AD81" s="272"/>
      <c r="AE81" s="272"/>
      <c r="AF81" s="272"/>
      <c r="AG81" s="272"/>
      <c r="AH81" s="272"/>
      <c r="AI81" s="272"/>
      <c r="AJ81" s="272"/>
      <c r="AK81" s="272"/>
      <c r="AL81" s="272"/>
      <c r="AM81" s="272"/>
      <c r="AN81" s="272"/>
      <c r="AO81" s="272"/>
      <c r="AP81" s="272"/>
      <c r="AQ81" s="272"/>
      <c r="AR81" s="272"/>
      <c r="AS81" s="272"/>
      <c r="AT81" s="272"/>
      <c r="AU81" s="272"/>
      <c r="AV81" s="272"/>
      <c r="AW81" s="272"/>
      <c r="AX81" s="272"/>
      <c r="AY81" s="272"/>
      <c r="AZ81" s="272"/>
      <c r="BA81" s="272"/>
      <c r="BC81" s="272"/>
      <c r="BE81" s="17"/>
      <c r="BF81" s="272"/>
      <c r="BG81" s="272"/>
      <c r="BH81" s="272"/>
      <c r="BI81" s="272"/>
      <c r="BJ81" s="272"/>
      <c r="BK81" s="272"/>
      <c r="BL81" s="272"/>
      <c r="BM81" s="272"/>
      <c r="BN81" s="272"/>
      <c r="BO81" s="272"/>
      <c r="BP81" s="272"/>
      <c r="BQ81" s="272"/>
      <c r="BR81" s="272"/>
      <c r="BS81" s="272"/>
      <c r="BT81" s="272"/>
      <c r="BU81" s="272"/>
      <c r="BV81" s="272"/>
      <c r="BW81" s="272"/>
      <c r="BX81" s="272"/>
      <c r="BY81" s="272"/>
      <c r="BZ81" s="272"/>
      <c r="CA81" s="272"/>
      <c r="CB81" s="272"/>
      <c r="CC81" s="272"/>
      <c r="CD81" s="272"/>
      <c r="CE81" s="272"/>
      <c r="CF81" s="272"/>
      <c r="CG81" s="272"/>
      <c r="CH81" s="272"/>
      <c r="CI81" s="272"/>
    </row>
    <row r="82" spans="1:87" s="367" customFormat="1" ht="20.149999999999999" customHeight="1">
      <c r="A82" s="17"/>
      <c r="C82" s="17"/>
      <c r="D82" s="17"/>
      <c r="E82" s="17"/>
      <c r="F82" s="17"/>
      <c r="G82" s="17"/>
      <c r="H82" s="17"/>
      <c r="I82" s="17"/>
      <c r="J82" s="17"/>
      <c r="K82" s="17"/>
      <c r="L82" s="17"/>
      <c r="M82" s="17"/>
      <c r="N82" s="272"/>
      <c r="O82" s="17"/>
      <c r="P82" s="1068"/>
      <c r="Q82" s="17"/>
      <c r="R82" s="17"/>
      <c r="S82" s="17"/>
      <c r="T82" s="17"/>
      <c r="U82" s="17"/>
      <c r="V82"/>
      <c r="W82" s="17"/>
      <c r="X82" s="272"/>
      <c r="Y82" s="272"/>
      <c r="Z82" s="272"/>
      <c r="AA82" s="272"/>
      <c r="AB82" s="272"/>
      <c r="AC82" s="272"/>
      <c r="AD82" s="272"/>
      <c r="AE82" s="272"/>
      <c r="AF82" s="272"/>
      <c r="AG82" s="272"/>
      <c r="AH82" s="272"/>
      <c r="AI82" s="272"/>
      <c r="AJ82" s="272"/>
      <c r="AK82" s="272"/>
      <c r="AL82" s="272"/>
      <c r="AM82" s="272"/>
      <c r="AN82" s="272"/>
      <c r="AO82" s="272"/>
      <c r="AP82" s="272"/>
      <c r="AQ82" s="272"/>
      <c r="AR82" s="272"/>
      <c r="AS82" s="272"/>
      <c r="AT82" s="272"/>
      <c r="AU82" s="272"/>
      <c r="AV82" s="272"/>
      <c r="AW82" s="272"/>
      <c r="AX82" s="272"/>
      <c r="AY82" s="272"/>
      <c r="AZ82" s="272"/>
      <c r="BA82" s="272"/>
      <c r="BC82" s="272"/>
      <c r="BE82" s="17"/>
      <c r="BF82" s="272"/>
      <c r="BG82" s="272"/>
      <c r="BH82" s="272"/>
      <c r="BI82" s="272"/>
      <c r="BJ82" s="272"/>
      <c r="BK82" s="272"/>
      <c r="BL82" s="272"/>
      <c r="BM82" s="272"/>
      <c r="BN82" s="272"/>
      <c r="BO82" s="272"/>
      <c r="BP82" s="272"/>
      <c r="BQ82" s="272"/>
      <c r="BR82" s="272"/>
      <c r="BS82" s="272"/>
      <c r="BT82" s="272"/>
      <c r="BU82" s="272"/>
      <c r="BV82" s="272"/>
      <c r="BW82" s="272"/>
      <c r="BX82" s="272"/>
      <c r="BY82" s="272"/>
      <c r="BZ82" s="272"/>
      <c r="CA82" s="272"/>
      <c r="CB82" s="272"/>
      <c r="CC82" s="272"/>
      <c r="CD82" s="272"/>
      <c r="CE82" s="272"/>
      <c r="CF82" s="272"/>
      <c r="CG82" s="272"/>
      <c r="CH82" s="272"/>
      <c r="CI82" s="272"/>
    </row>
    <row r="83" spans="1:87" s="367" customFormat="1" ht="20.149999999999999" customHeight="1">
      <c r="A83" s="17"/>
      <c r="C83" s="17"/>
      <c r="D83" s="17"/>
      <c r="E83" s="17"/>
      <c r="F83" s="17"/>
      <c r="G83" s="17"/>
      <c r="H83" s="17"/>
      <c r="I83" s="17"/>
      <c r="J83" s="17"/>
      <c r="K83" s="17"/>
      <c r="L83" s="17"/>
      <c r="M83" s="17"/>
      <c r="N83" s="272"/>
      <c r="O83" s="17"/>
      <c r="P83" s="1068"/>
      <c r="Q83" s="17"/>
      <c r="R83" s="17"/>
      <c r="S83" s="17"/>
      <c r="T83" s="17"/>
      <c r="U83" s="17"/>
      <c r="V83"/>
      <c r="W83" s="17"/>
      <c r="X83" s="272"/>
      <c r="Y83" s="272"/>
      <c r="Z83" s="272"/>
      <c r="AA83" s="272"/>
      <c r="AB83" s="272"/>
      <c r="AC83" s="272"/>
      <c r="AD83" s="272"/>
      <c r="AE83" s="272"/>
      <c r="AF83" s="272"/>
      <c r="AG83" s="272"/>
      <c r="AH83" s="272"/>
      <c r="AI83" s="272"/>
      <c r="AJ83" s="272"/>
      <c r="AK83" s="272"/>
      <c r="AL83" s="272"/>
      <c r="AM83" s="272"/>
      <c r="AN83" s="272"/>
      <c r="AO83" s="272"/>
      <c r="AP83" s="272"/>
      <c r="AQ83" s="272"/>
      <c r="AR83" s="272"/>
      <c r="AS83" s="272"/>
      <c r="AT83" s="272"/>
      <c r="AU83" s="272"/>
      <c r="AV83" s="272"/>
      <c r="AW83" s="272"/>
      <c r="AX83" s="272"/>
      <c r="AY83" s="272"/>
      <c r="AZ83" s="272"/>
      <c r="BA83" s="272"/>
      <c r="BC83" s="272"/>
      <c r="BE83" s="17"/>
      <c r="BF83" s="272"/>
      <c r="BG83" s="272"/>
      <c r="BH83" s="272"/>
      <c r="BI83" s="272"/>
      <c r="BJ83" s="272"/>
      <c r="BK83" s="272"/>
      <c r="BL83" s="272"/>
      <c r="BM83" s="272"/>
      <c r="BN83" s="272"/>
      <c r="BO83" s="272"/>
      <c r="BP83" s="272"/>
      <c r="BQ83" s="272"/>
      <c r="BR83" s="272"/>
      <c r="BS83" s="272"/>
      <c r="BT83" s="272"/>
      <c r="BU83" s="272"/>
      <c r="BV83" s="272"/>
      <c r="BW83" s="272"/>
      <c r="BX83" s="272"/>
      <c r="BY83" s="272"/>
      <c r="BZ83" s="272"/>
      <c r="CA83" s="272"/>
      <c r="CB83" s="272"/>
      <c r="CC83" s="272"/>
      <c r="CD83" s="272"/>
      <c r="CE83" s="272"/>
      <c r="CF83" s="272"/>
      <c r="CG83" s="272"/>
      <c r="CH83" s="272"/>
      <c r="CI83" s="272"/>
    </row>
    <row r="84" spans="1:87" s="367" customFormat="1" ht="20.149999999999999" customHeight="1">
      <c r="A84" s="17"/>
      <c r="C84" s="17"/>
      <c r="D84" s="17"/>
      <c r="E84" s="17"/>
      <c r="F84" s="17"/>
      <c r="G84" s="17"/>
      <c r="H84" s="17"/>
      <c r="I84" s="17"/>
      <c r="J84" s="17"/>
      <c r="K84" s="17"/>
      <c r="L84" s="17"/>
      <c r="M84" s="17"/>
      <c r="N84" s="272"/>
      <c r="O84" s="17"/>
      <c r="P84" s="1068"/>
      <c r="Q84" s="17"/>
      <c r="R84" s="17"/>
      <c r="S84" s="17"/>
      <c r="T84" s="17"/>
      <c r="U84" s="17"/>
      <c r="V84"/>
      <c r="W84" s="17"/>
      <c r="X84" s="272"/>
      <c r="Y84" s="272"/>
      <c r="Z84" s="272"/>
      <c r="AA84" s="272"/>
      <c r="AB84" s="272"/>
      <c r="AC84" s="272"/>
      <c r="AD84" s="272"/>
      <c r="AE84" s="272"/>
      <c r="AF84" s="272"/>
      <c r="AG84" s="272"/>
      <c r="AH84" s="272"/>
      <c r="AI84" s="272"/>
      <c r="AJ84" s="272"/>
      <c r="AK84" s="272"/>
      <c r="AL84" s="272"/>
      <c r="AM84" s="272"/>
      <c r="AN84" s="272"/>
      <c r="AO84" s="272"/>
      <c r="AP84" s="272"/>
      <c r="AQ84" s="272"/>
      <c r="AR84" s="272"/>
      <c r="AS84" s="272"/>
      <c r="AT84" s="272"/>
      <c r="AU84" s="272"/>
      <c r="AV84" s="272"/>
      <c r="AW84" s="272"/>
      <c r="AX84" s="272"/>
      <c r="AY84" s="272"/>
      <c r="AZ84" s="272"/>
      <c r="BA84" s="272"/>
      <c r="BC84" s="272"/>
      <c r="BE84" s="17"/>
      <c r="BF84" s="272"/>
      <c r="BG84" s="272"/>
      <c r="BH84" s="272"/>
      <c r="BI84" s="272"/>
      <c r="BJ84" s="272"/>
      <c r="BK84" s="272"/>
      <c r="BL84" s="272"/>
      <c r="BM84" s="272"/>
      <c r="BN84" s="272"/>
      <c r="BO84" s="272"/>
      <c r="BP84" s="272"/>
      <c r="BQ84" s="272"/>
      <c r="BR84" s="272"/>
      <c r="BS84" s="272"/>
      <c r="BT84" s="272"/>
      <c r="BU84" s="272"/>
      <c r="BV84" s="272"/>
      <c r="BW84" s="272"/>
      <c r="BX84" s="272"/>
      <c r="BY84" s="272"/>
      <c r="BZ84" s="272"/>
      <c r="CA84" s="272"/>
      <c r="CB84" s="272"/>
      <c r="CC84" s="272"/>
      <c r="CD84" s="272"/>
      <c r="CE84" s="272"/>
      <c r="CF84" s="272"/>
      <c r="CG84" s="272"/>
      <c r="CH84" s="272"/>
      <c r="CI84" s="272"/>
    </row>
    <row r="85" spans="1:87" s="367" customFormat="1" ht="20.149999999999999" customHeight="1">
      <c r="A85" s="17"/>
      <c r="C85" s="17"/>
      <c r="D85" s="17"/>
      <c r="E85" s="17"/>
      <c r="F85" s="17"/>
      <c r="G85" s="17"/>
      <c r="H85" s="17"/>
      <c r="I85" s="17"/>
      <c r="J85" s="17"/>
      <c r="K85" s="17"/>
      <c r="L85" s="17"/>
      <c r="M85" s="17"/>
      <c r="N85" s="272"/>
      <c r="O85" s="17"/>
      <c r="P85"/>
      <c r="Q85" s="17"/>
      <c r="R85" s="17"/>
      <c r="S85" s="17"/>
      <c r="T85" s="17"/>
      <c r="U85" s="17"/>
      <c r="V85"/>
      <c r="W85" s="17"/>
      <c r="X85" s="272"/>
      <c r="Y85" s="272"/>
      <c r="Z85" s="272"/>
      <c r="AA85" s="272"/>
      <c r="AB85" s="272"/>
      <c r="AC85" s="272"/>
      <c r="AD85" s="272"/>
      <c r="AE85" s="272"/>
      <c r="AF85" s="272"/>
      <c r="AG85" s="272"/>
      <c r="AH85" s="272"/>
      <c r="AI85" s="272"/>
      <c r="AJ85" s="272"/>
      <c r="AK85" s="272"/>
      <c r="AL85" s="272"/>
      <c r="AM85" s="272"/>
      <c r="AN85" s="272"/>
      <c r="AO85" s="272"/>
      <c r="AP85" s="272"/>
      <c r="AQ85" s="272"/>
      <c r="AR85" s="272"/>
      <c r="AS85" s="272"/>
      <c r="AT85" s="272"/>
      <c r="AU85" s="272"/>
      <c r="AV85" s="272"/>
      <c r="AW85" s="272"/>
      <c r="AX85" s="272"/>
      <c r="AY85" s="272"/>
      <c r="AZ85" s="272"/>
      <c r="BA85" s="272"/>
      <c r="BC85" s="272"/>
      <c r="BE85" s="17"/>
      <c r="BF85" s="272"/>
      <c r="BG85" s="272"/>
      <c r="BH85" s="272"/>
      <c r="BI85" s="272"/>
      <c r="BJ85" s="272"/>
      <c r="BK85" s="272"/>
      <c r="BL85" s="272"/>
      <c r="BM85" s="272"/>
      <c r="BN85" s="272"/>
      <c r="BO85" s="272"/>
      <c r="BP85" s="272"/>
      <c r="BQ85" s="272"/>
      <c r="BR85" s="272"/>
      <c r="BS85" s="272"/>
      <c r="BT85" s="272"/>
      <c r="BU85" s="272"/>
      <c r="BV85" s="272"/>
      <c r="BW85" s="272"/>
      <c r="BX85" s="272"/>
      <c r="BY85" s="272"/>
      <c r="BZ85" s="272"/>
      <c r="CA85" s="272"/>
      <c r="CB85" s="272"/>
      <c r="CC85" s="272"/>
      <c r="CD85" s="272"/>
      <c r="CE85" s="272"/>
      <c r="CF85" s="272"/>
      <c r="CG85" s="272"/>
      <c r="CH85" s="272"/>
      <c r="CI85" s="272"/>
    </row>
    <row r="86" spans="1:87" s="367" customFormat="1" ht="20.149999999999999" customHeight="1">
      <c r="A86" s="17"/>
      <c r="C86" s="17"/>
      <c r="D86" s="17"/>
      <c r="E86" s="17"/>
      <c r="F86" s="17"/>
      <c r="G86" s="17"/>
      <c r="H86" s="17"/>
      <c r="I86" s="17"/>
      <c r="J86" s="17"/>
      <c r="K86" s="17"/>
      <c r="L86" s="17"/>
      <c r="M86" s="17"/>
      <c r="N86" s="272"/>
      <c r="O86" s="17"/>
      <c r="P86"/>
      <c r="Q86" s="17"/>
      <c r="R86" s="17"/>
      <c r="S86" s="17"/>
      <c r="T86" s="17"/>
      <c r="U86" s="17"/>
      <c r="V86"/>
      <c r="W86" s="17"/>
      <c r="X86" s="272"/>
      <c r="Y86" s="272"/>
      <c r="Z86" s="272"/>
      <c r="AA86" s="272"/>
      <c r="AB86" s="272"/>
      <c r="AC86" s="272"/>
      <c r="AD86" s="272"/>
      <c r="AE86" s="272"/>
      <c r="AF86" s="272"/>
      <c r="AG86" s="272"/>
      <c r="AH86" s="272"/>
      <c r="AI86" s="272"/>
      <c r="AJ86" s="272"/>
      <c r="AK86" s="272"/>
      <c r="AL86" s="272"/>
      <c r="AM86" s="272"/>
      <c r="AN86" s="272"/>
      <c r="AO86" s="272"/>
      <c r="AP86" s="272"/>
      <c r="AQ86" s="272"/>
      <c r="AR86" s="272"/>
      <c r="AS86" s="272"/>
      <c r="AT86" s="272"/>
      <c r="AU86" s="272"/>
      <c r="AV86" s="272"/>
      <c r="AW86" s="272"/>
      <c r="AX86" s="272"/>
      <c r="AY86" s="272"/>
      <c r="AZ86" s="272"/>
      <c r="BA86" s="272"/>
      <c r="BC86" s="272"/>
      <c r="BE86" s="17"/>
      <c r="BF86" s="272"/>
      <c r="BG86" s="272"/>
      <c r="BH86" s="272"/>
      <c r="BI86" s="272"/>
      <c r="BJ86" s="272"/>
      <c r="BK86" s="272"/>
      <c r="BL86" s="272"/>
      <c r="BM86" s="272"/>
      <c r="BN86" s="272"/>
      <c r="BO86" s="272"/>
      <c r="BP86" s="272"/>
      <c r="BQ86" s="272"/>
      <c r="BR86" s="272"/>
      <c r="BS86" s="272"/>
      <c r="BT86" s="272"/>
      <c r="BU86" s="272"/>
      <c r="BV86" s="272"/>
      <c r="BW86" s="272"/>
      <c r="BX86" s="272"/>
      <c r="BY86" s="272"/>
      <c r="BZ86" s="272"/>
      <c r="CA86" s="272"/>
      <c r="CB86" s="272"/>
      <c r="CC86" s="272"/>
      <c r="CD86" s="272"/>
      <c r="CE86" s="272"/>
      <c r="CF86" s="272"/>
      <c r="CG86" s="272"/>
      <c r="CH86" s="272"/>
      <c r="CI86" s="272"/>
    </row>
    <row r="87" spans="1:87" s="367" customFormat="1" ht="20.149999999999999" customHeight="1">
      <c r="A87" s="17"/>
      <c r="C87" s="17"/>
      <c r="D87" s="17"/>
      <c r="E87" s="17"/>
      <c r="F87" s="17"/>
      <c r="G87" s="17"/>
      <c r="H87" s="17"/>
      <c r="I87" s="17"/>
      <c r="J87" s="17"/>
      <c r="K87" s="17"/>
      <c r="L87" s="17"/>
      <c r="M87" s="17"/>
      <c r="N87" s="272"/>
      <c r="O87" s="17"/>
      <c r="P87"/>
      <c r="Q87" s="17"/>
      <c r="R87" s="17"/>
      <c r="S87" s="17"/>
      <c r="T87" s="17"/>
      <c r="U87" s="17"/>
      <c r="V87"/>
      <c r="W87" s="17"/>
      <c r="X87" s="272"/>
      <c r="Y87" s="272"/>
      <c r="Z87" s="272"/>
      <c r="AA87" s="272"/>
      <c r="AB87" s="272"/>
      <c r="AC87" s="272"/>
      <c r="AD87" s="272"/>
      <c r="AE87" s="272"/>
      <c r="AF87" s="272"/>
      <c r="AG87" s="272"/>
      <c r="AH87" s="272"/>
      <c r="AI87" s="272"/>
      <c r="AJ87" s="272"/>
      <c r="AK87" s="272"/>
      <c r="AL87" s="272"/>
      <c r="AM87" s="272"/>
      <c r="AN87" s="272"/>
      <c r="AO87" s="272"/>
      <c r="AP87" s="272"/>
      <c r="AQ87" s="272"/>
      <c r="AR87" s="272"/>
      <c r="AS87" s="272"/>
      <c r="AT87" s="272"/>
      <c r="AU87" s="272"/>
      <c r="AV87" s="272"/>
      <c r="AW87" s="272"/>
      <c r="AX87" s="272"/>
      <c r="AY87" s="272"/>
      <c r="AZ87" s="272"/>
      <c r="BA87" s="272"/>
      <c r="BC87" s="272"/>
      <c r="BE87" s="17"/>
      <c r="BF87" s="272"/>
      <c r="BG87" s="272"/>
      <c r="BH87" s="272"/>
      <c r="BI87" s="272"/>
      <c r="BJ87" s="272"/>
      <c r="BK87" s="272"/>
      <c r="BL87" s="272"/>
      <c r="BM87" s="272"/>
      <c r="BN87" s="272"/>
      <c r="BO87" s="272"/>
      <c r="BP87" s="272"/>
      <c r="BQ87" s="272"/>
      <c r="BR87" s="272"/>
      <c r="BS87" s="272"/>
      <c r="BT87" s="272"/>
      <c r="BU87" s="272"/>
      <c r="BV87" s="272"/>
      <c r="BW87" s="272"/>
      <c r="BX87" s="272"/>
      <c r="BY87" s="272"/>
      <c r="BZ87" s="272"/>
      <c r="CA87" s="272"/>
      <c r="CB87" s="272"/>
      <c r="CC87" s="272"/>
      <c r="CD87" s="272"/>
      <c r="CE87" s="272"/>
      <c r="CF87" s="272"/>
      <c r="CG87" s="272"/>
      <c r="CH87" s="272"/>
      <c r="CI87" s="272"/>
    </row>
    <row r="88" spans="1:87" s="367" customFormat="1" ht="20.149999999999999" customHeight="1">
      <c r="A88" s="17"/>
      <c r="C88" s="17"/>
      <c r="D88" s="17"/>
      <c r="E88" s="17"/>
      <c r="F88" s="17"/>
      <c r="G88" s="17"/>
      <c r="H88" s="17"/>
      <c r="I88" s="17"/>
      <c r="J88" s="17"/>
      <c r="K88" s="17"/>
      <c r="L88" s="17"/>
      <c r="M88" s="17"/>
      <c r="N88" s="272"/>
      <c r="O88" s="17"/>
      <c r="P88"/>
      <c r="Q88" s="17"/>
      <c r="R88" s="17"/>
      <c r="S88" s="17"/>
      <c r="T88" s="17"/>
      <c r="U88" s="17"/>
      <c r="V88"/>
      <c r="W88" s="17"/>
      <c r="X88" s="272"/>
      <c r="Y88" s="272"/>
      <c r="Z88" s="272"/>
      <c r="AA88" s="272"/>
      <c r="AB88" s="272"/>
      <c r="AC88" s="272"/>
      <c r="AD88" s="272"/>
      <c r="AE88" s="272"/>
      <c r="AF88" s="272"/>
      <c r="AG88" s="272"/>
      <c r="AH88" s="272"/>
      <c r="AI88" s="272"/>
      <c r="AJ88" s="272"/>
      <c r="AK88" s="272"/>
      <c r="AL88" s="272"/>
      <c r="AM88" s="272"/>
      <c r="AN88" s="272"/>
      <c r="AO88" s="272"/>
      <c r="AP88" s="272"/>
      <c r="AQ88" s="272"/>
      <c r="AR88" s="272"/>
      <c r="AS88" s="272"/>
      <c r="AT88" s="272"/>
      <c r="AU88" s="272"/>
      <c r="AV88" s="272"/>
      <c r="AW88" s="272"/>
      <c r="AX88" s="272"/>
      <c r="AY88" s="272"/>
      <c r="AZ88" s="272"/>
      <c r="BA88" s="272"/>
      <c r="BC88" s="272"/>
      <c r="BE88" s="17"/>
      <c r="BF88" s="272"/>
      <c r="BG88" s="272"/>
      <c r="BH88" s="272"/>
      <c r="BI88" s="272"/>
      <c r="BJ88" s="272"/>
      <c r="BK88" s="272"/>
      <c r="BL88" s="272"/>
      <c r="BM88" s="272"/>
      <c r="BN88" s="272"/>
      <c r="BO88" s="272"/>
      <c r="BP88" s="272"/>
      <c r="BQ88" s="272"/>
      <c r="BR88" s="272"/>
      <c r="BS88" s="272"/>
      <c r="BT88" s="272"/>
      <c r="BU88" s="272"/>
      <c r="BV88" s="272"/>
      <c r="BW88" s="272"/>
      <c r="BX88" s="272"/>
      <c r="BY88" s="272"/>
      <c r="BZ88" s="272"/>
      <c r="CA88" s="272"/>
      <c r="CB88" s="272"/>
      <c r="CC88" s="272"/>
      <c r="CD88" s="272"/>
      <c r="CE88" s="272"/>
      <c r="CF88" s="272"/>
      <c r="CG88" s="272"/>
      <c r="CH88" s="272"/>
      <c r="CI88" s="272"/>
    </row>
    <row r="89" spans="1:87" s="367" customFormat="1" ht="20.149999999999999" customHeight="1">
      <c r="A89" s="17"/>
      <c r="C89" s="17"/>
      <c r="D89" s="17"/>
      <c r="E89" s="17"/>
      <c r="F89" s="17"/>
      <c r="G89" s="17"/>
      <c r="H89" s="17"/>
      <c r="I89" s="17"/>
      <c r="J89" s="17"/>
      <c r="K89" s="17"/>
      <c r="L89" s="17"/>
      <c r="M89" s="17"/>
      <c r="N89" s="272"/>
      <c r="O89" s="17"/>
      <c r="P89"/>
      <c r="Q89" s="17"/>
      <c r="R89" s="17"/>
      <c r="S89" s="17"/>
      <c r="T89" s="17"/>
      <c r="U89" s="17"/>
      <c r="V89"/>
      <c r="W89" s="17"/>
      <c r="X89" s="272"/>
      <c r="Y89" s="272"/>
      <c r="Z89" s="272"/>
      <c r="AA89" s="272"/>
      <c r="AB89" s="272"/>
      <c r="AC89" s="272"/>
      <c r="AD89" s="272"/>
      <c r="AE89" s="272"/>
      <c r="AF89" s="272"/>
      <c r="AG89" s="272"/>
      <c r="AH89" s="272"/>
      <c r="AI89" s="272"/>
      <c r="AJ89" s="272"/>
      <c r="AK89" s="272"/>
      <c r="AL89" s="272"/>
      <c r="AM89" s="272"/>
      <c r="AN89" s="272"/>
      <c r="AO89" s="272"/>
      <c r="AP89" s="272"/>
      <c r="AQ89" s="272"/>
      <c r="AR89" s="272"/>
      <c r="AS89" s="272"/>
      <c r="AT89" s="272"/>
      <c r="AU89" s="272"/>
      <c r="AV89" s="272"/>
      <c r="AW89" s="272"/>
      <c r="AX89" s="272"/>
      <c r="AY89" s="272"/>
      <c r="AZ89" s="272"/>
      <c r="BA89" s="272"/>
      <c r="BC89" s="272"/>
      <c r="BE89" s="17"/>
      <c r="BF89" s="272"/>
      <c r="BG89" s="272"/>
      <c r="BH89" s="272"/>
      <c r="BI89" s="272"/>
      <c r="BJ89" s="272"/>
      <c r="BK89" s="272"/>
      <c r="BL89" s="272"/>
      <c r="BM89" s="272"/>
      <c r="BN89" s="272"/>
      <c r="BO89" s="272"/>
      <c r="BP89" s="272"/>
      <c r="BQ89" s="272"/>
      <c r="BR89" s="272"/>
      <c r="BS89" s="272"/>
      <c r="BT89" s="272"/>
      <c r="BU89" s="272"/>
      <c r="BV89" s="272"/>
      <c r="BW89" s="272"/>
      <c r="BX89" s="272"/>
      <c r="BY89" s="272"/>
      <c r="BZ89" s="272"/>
      <c r="CA89" s="272"/>
      <c r="CB89" s="272"/>
      <c r="CC89" s="272"/>
      <c r="CD89" s="272"/>
      <c r="CE89" s="272"/>
      <c r="CF89" s="272"/>
      <c r="CG89" s="272"/>
      <c r="CH89" s="272"/>
      <c r="CI89" s="272"/>
    </row>
  </sheetData>
  <conditionalFormatting sqref="X14:BA18 W2:BA13 X22:BA22 X29:BA29 X33:BA36 X49:BA53 X78:BA79 X57:BA61 C2:O9 X25:BA26 X42:BA43 X71:BA72 X63:BA65 X38:BA39 X67:BA69 C10:H13 J10:O13 V31 W14:W71 Q2:U71 X55:BA55 C14:O71">
    <cfRule type="expression" dxfId="132" priority="31">
      <formula>$B2=1</formula>
    </cfRule>
    <cfRule type="expression" dxfId="131" priority="32">
      <formula>$B2=2</formula>
    </cfRule>
  </conditionalFormatting>
  <conditionalFormatting sqref="A2:A71">
    <cfRule type="expression" dxfId="130" priority="29">
      <formula>$B2=1</formula>
    </cfRule>
    <cfRule type="expression" dxfId="129" priority="30">
      <formula>$B2=2</formula>
    </cfRule>
  </conditionalFormatting>
  <conditionalFormatting sqref="BF72:CI79 BE2:CI71">
    <cfRule type="expression" dxfId="128" priority="27">
      <formula>$B2=1</formula>
    </cfRule>
    <cfRule type="expression" dxfId="127" priority="28">
      <formula>$B2=2</formula>
    </cfRule>
  </conditionalFormatting>
  <conditionalFormatting sqref="BC2:BC79">
    <cfRule type="expression" dxfId="126" priority="19">
      <formula>$B2=1</formula>
    </cfRule>
    <cfRule type="expression" dxfId="125" priority="20">
      <formula>$B2=2</formula>
    </cfRule>
  </conditionalFormatting>
  <conditionalFormatting sqref="M73:M76">
    <cfRule type="expression" dxfId="124" priority="1">
      <formula>$B73=1</formula>
    </cfRule>
    <cfRule type="expression" dxfId="123" priority="2">
      <formula>$B73=2</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587905" r:id="rId4" name="Button 1">
              <controlPr defaultSize="0" print="0" autoFill="0" autoPict="0" macro="[0]!LockWB_MK">
                <anchor moveWithCells="1" sizeWithCells="1">
                  <from>
                    <xdr:col>0</xdr:col>
                    <xdr:colOff>12700</xdr:colOff>
                    <xdr:row>0</xdr:row>
                    <xdr:rowOff>12700</xdr:rowOff>
                  </from>
                  <to>
                    <xdr:col>2</xdr:col>
                    <xdr:colOff>1466850</xdr:colOff>
                    <xdr:row>0</xdr:row>
                    <xdr:rowOff>508000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3" tint="-0.499984740745262"/>
    <pageSetUpPr fitToPage="1"/>
  </sheetPr>
  <dimension ref="A1:AZ81"/>
  <sheetViews>
    <sheetView showRowColHeaders="0" zoomScaleNormal="100" workbookViewId="0">
      <pane xSplit="9" ySplit="1" topLeftCell="T29" activePane="bottomRight" state="frozen"/>
      <selection activeCell="X1" sqref="X1"/>
      <selection pane="topRight" activeCell="X1" sqref="X1"/>
      <selection pane="bottomLeft" activeCell="X1" sqref="X1"/>
      <selection pane="bottomRight" activeCell="AH54" sqref="AH54:AI54"/>
    </sheetView>
  </sheetViews>
  <sheetFormatPr defaultColWidth="8.7265625" defaultRowHeight="15" customHeight="1"/>
  <cols>
    <col min="1" max="1" width="4.1796875" style="17" customWidth="1"/>
    <col min="2" max="2" width="4.26953125" style="634" bestFit="1" customWidth="1"/>
    <col min="3" max="3" width="4.1796875" style="634" customWidth="1"/>
    <col min="4" max="4" width="7" style="17" bestFit="1" customWidth="1"/>
    <col min="5" max="5" width="12.1796875" style="17" customWidth="1"/>
    <col min="6" max="6" width="13.7265625" style="17" bestFit="1" customWidth="1"/>
    <col min="7" max="7" width="3.26953125" style="634" customWidth="1"/>
    <col min="8" max="8" width="7.26953125" style="17" customWidth="1"/>
    <col min="9" max="9" width="30" style="17" customWidth="1"/>
    <col min="10" max="10" width="6.1796875" style="17" customWidth="1"/>
    <col min="11" max="11" width="6.453125" style="17" customWidth="1"/>
    <col min="12" max="13" width="30" style="17" customWidth="1"/>
    <col min="14" max="14" width="10.26953125" style="17" customWidth="1"/>
    <col min="15" max="16" width="30" style="17" customWidth="1"/>
    <col min="17" max="17" width="9.1796875" style="17" customWidth="1"/>
    <col min="18" max="18" width="2.1796875" style="17" customWidth="1"/>
    <col min="19" max="19" width="90.453125" style="17" bestFit="1" customWidth="1"/>
    <col min="20" max="20" width="10.54296875" style="17" customWidth="1"/>
    <col min="21" max="21" width="6.7265625" style="17" customWidth="1"/>
    <col min="22" max="22" width="8.453125" style="1070" customWidth="1"/>
    <col min="23" max="23" width="11.1796875" style="17" customWidth="1"/>
    <col min="24" max="24" width="5.1796875" style="1073" customWidth="1"/>
    <col min="25" max="25" width="2.1796875" style="17" customWidth="1"/>
    <col min="26" max="26" width="17.453125" style="17" bestFit="1" customWidth="1"/>
    <col min="27" max="27" width="7.81640625" style="17" customWidth="1"/>
    <col min="28" max="28" width="13.26953125" style="17" bestFit="1" customWidth="1"/>
    <col min="29" max="32" width="7.81640625" style="17" customWidth="1"/>
    <col min="33" max="33" width="5.1796875" style="859" customWidth="1"/>
    <col min="34" max="34" width="5.1796875" style="852" customWidth="1"/>
    <col min="35" max="35" width="5.1796875" style="853" customWidth="1"/>
    <col min="36" max="37" width="5.1796875" style="1073" customWidth="1"/>
    <col min="38" max="41" width="0.81640625" style="17" customWidth="1"/>
    <col min="42" max="43" width="0.81640625" style="565" customWidth="1"/>
    <col min="44" max="44" width="8.453125" style="17" customWidth="1"/>
    <col min="45" max="45" width="7.26953125" style="565" customWidth="1"/>
    <col min="46" max="50" width="6" style="565" customWidth="1"/>
    <col min="51" max="51" width="8.7265625" style="971"/>
    <col min="52" max="52" width="17" style="565" bestFit="1" customWidth="1"/>
  </cols>
  <sheetData>
    <row r="1" spans="1:52" ht="48.75" customHeight="1">
      <c r="A1" s="408" t="s">
        <v>106</v>
      </c>
      <c r="B1" s="530" t="s">
        <v>5</v>
      </c>
      <c r="C1" s="530" t="s">
        <v>300</v>
      </c>
      <c r="D1" s="408"/>
      <c r="E1" s="408" t="s">
        <v>91</v>
      </c>
      <c r="F1" s="408" t="s">
        <v>4</v>
      </c>
      <c r="G1" s="530" t="s">
        <v>309</v>
      </c>
      <c r="H1" s="408"/>
      <c r="I1" s="408" t="s">
        <v>173</v>
      </c>
      <c r="J1" s="408" t="s">
        <v>586</v>
      </c>
      <c r="K1" s="408" t="s">
        <v>581</v>
      </c>
      <c r="L1" s="408" t="s">
        <v>310</v>
      </c>
      <c r="M1" s="408" t="s">
        <v>289</v>
      </c>
      <c r="N1" s="408"/>
      <c r="O1" s="408" t="s">
        <v>72</v>
      </c>
      <c r="P1" s="408" t="s">
        <v>165</v>
      </c>
      <c r="Q1" s="408" t="s">
        <v>582</v>
      </c>
      <c r="R1" s="408"/>
      <c r="S1" s="408" t="s">
        <v>117</v>
      </c>
      <c r="T1" s="408"/>
      <c r="U1" s="408" t="s">
        <v>583</v>
      </c>
      <c r="V1" s="530" t="s">
        <v>295</v>
      </c>
      <c r="W1" s="408" t="s">
        <v>296</v>
      </c>
      <c r="X1" s="1071" t="s">
        <v>175</v>
      </c>
      <c r="Y1" s="408" t="s">
        <v>365</v>
      </c>
      <c r="Z1" s="408" t="s">
        <v>60</v>
      </c>
      <c r="AA1" s="408" t="s">
        <v>253</v>
      </c>
      <c r="AB1" s="408" t="s">
        <v>457</v>
      </c>
      <c r="AC1" s="408" t="s">
        <v>47</v>
      </c>
      <c r="AD1" s="408" t="s">
        <v>252</v>
      </c>
      <c r="AE1" s="408" t="s">
        <v>720</v>
      </c>
      <c r="AF1" s="408" t="s">
        <v>6</v>
      </c>
      <c r="AG1" s="854" t="s">
        <v>228</v>
      </c>
      <c r="AH1" s="845" t="s">
        <v>375</v>
      </c>
      <c r="AI1" s="846" t="s">
        <v>374</v>
      </c>
      <c r="AJ1" s="1071" t="s">
        <v>683</v>
      </c>
      <c r="AK1" s="1071" t="s">
        <v>1030</v>
      </c>
      <c r="AL1" s="408" t="s">
        <v>7</v>
      </c>
      <c r="AM1" s="408" t="s">
        <v>7</v>
      </c>
      <c r="AN1" s="408" t="s">
        <v>373</v>
      </c>
      <c r="AO1" s="408" t="s">
        <v>364</v>
      </c>
      <c r="AP1" s="530" t="s">
        <v>56</v>
      </c>
      <c r="AQ1" s="530" t="s">
        <v>57</v>
      </c>
      <c r="AR1" s="408" t="s">
        <v>58</v>
      </c>
      <c r="AS1" s="530" t="s">
        <v>576</v>
      </c>
      <c r="AT1" s="530" t="s">
        <v>499</v>
      </c>
      <c r="AU1" s="530" t="s">
        <v>500</v>
      </c>
      <c r="AV1" s="530" t="s">
        <v>501</v>
      </c>
      <c r="AW1" s="530" t="s">
        <v>502</v>
      </c>
      <c r="AX1" s="530" t="s">
        <v>503</v>
      </c>
      <c r="AZ1" s="530"/>
    </row>
    <row r="2" spans="1:52" s="531" customFormat="1" ht="15" customHeight="1">
      <c r="A2" s="531">
        <v>1</v>
      </c>
      <c r="B2" s="531">
        <v>0</v>
      </c>
      <c r="E2" s="353" t="s">
        <v>62</v>
      </c>
      <c r="F2" s="531" t="s">
        <v>8</v>
      </c>
      <c r="G2" s="531">
        <v>0</v>
      </c>
      <c r="I2" s="353" t="s">
        <v>8</v>
      </c>
      <c r="J2" s="531" t="s">
        <v>8</v>
      </c>
      <c r="K2" s="835" t="str">
        <f>IF(INPUTS!E2="","",INPUTS!E2)</f>
        <v>OVERALL SCORE</v>
      </c>
      <c r="L2" s="531" t="str">
        <f>"The overall score is the weighted sum of the following domain scores:
"&amp;AM3&amp;"  ("&amp;TEXT(AZ3,"0.0")&amp;")
"&amp;AM17&amp;"  ("&amp;TEXT(AZ17,"0.0")&amp;")
"&amp;AM38&amp;"  ("&amp;TEXT(AZ38,"0.0")&amp;")
"&amp;AM58&amp;"  ("&amp;TEXT(AZ58,"0.0")&amp;")"</f>
        <v>The overall score is the weighted sum of the following domain scores:
1) CONNECTIVITY  (Weighted: 30%)
2) SERVICES  (Weighted: 28%)
3) CULTURE  (Weighted: 21%)
4) SUSTAINABILITY  (Weighted: 21%)</v>
      </c>
      <c r="O2" s="531" t="str">
        <f>L2</f>
        <v>The overall score is the weighted sum of the following domain scores:
1) CONNECTIVITY  (Weighted: 30%)
2) SERVICES  (Weighted: 28%)
3) CULTURE  (Weighted: 21%)
4) SUSTAINABILITY  (Weighted: 21%)</v>
      </c>
      <c r="S2" s="837" t="str">
        <f>IF(INPUTS!J2="","",INPUTS!J2)</f>
        <v>Economist Impact calculation</v>
      </c>
      <c r="V2" s="531">
        <v>4</v>
      </c>
      <c r="W2" s="531">
        <f>INPUTS!BC2</f>
        <v>1</v>
      </c>
      <c r="X2" s="847"/>
      <c r="AB2" s="531" t="s">
        <v>575</v>
      </c>
      <c r="AC2" s="531" t="str">
        <f>CHOOSE(AD2+1,"#,##0","#,##0.0","#,##0.00","#,##0.000","#,##0.0000","#,##0.00000")</f>
        <v>#,##0.0</v>
      </c>
      <c r="AD2" s="531">
        <v>1</v>
      </c>
      <c r="AE2" s="531">
        <v>2</v>
      </c>
      <c r="AF2" s="837">
        <f>IF(AB2="",2,IF(AB2="Highest = best",0,1))</f>
        <v>0</v>
      </c>
      <c r="AG2" s="855">
        <v>1</v>
      </c>
      <c r="AH2" s="847"/>
      <c r="AI2" s="848"/>
      <c r="AJ2" s="847">
        <v>0</v>
      </c>
      <c r="AK2" s="847">
        <v>0</v>
      </c>
      <c r="AL2" s="531" t="s">
        <v>8</v>
      </c>
      <c r="AM2" s="531" t="s">
        <v>8</v>
      </c>
      <c r="AN2" s="531" t="str">
        <f>K2</f>
        <v>OVERALL SCORE</v>
      </c>
      <c r="AO2" s="531" t="s">
        <v>8</v>
      </c>
      <c r="AS2" s="972">
        <v>1</v>
      </c>
      <c r="AT2" s="972"/>
      <c r="AU2" s="972"/>
      <c r="AV2" s="972"/>
      <c r="AW2" s="972"/>
      <c r="AX2" s="972"/>
      <c r="AY2" s="972"/>
    </row>
    <row r="3" spans="1:52" ht="15" customHeight="1">
      <c r="A3" s="835">
        <f>A2+1</f>
        <v>2</v>
      </c>
      <c r="B3" s="836">
        <v>0</v>
      </c>
      <c r="C3" s="836">
        <f>IFERROR(VALUE(LEFT(D3,1)),LEFT(D3,1))</f>
        <v>1</v>
      </c>
      <c r="D3" s="835">
        <v>1</v>
      </c>
      <c r="E3" s="835" t="s">
        <v>797</v>
      </c>
      <c r="F3" s="835" t="str">
        <f>$E$2</f>
        <v>OVERALL</v>
      </c>
      <c r="G3" s="836">
        <v>1</v>
      </c>
      <c r="H3" s="835">
        <v>1</v>
      </c>
      <c r="I3" s="837" t="str">
        <f>IF(INPUTS!C3="","",INPUTS!C3)</f>
        <v>Connectivity</v>
      </c>
      <c r="J3" s="837" t="str">
        <f>IF(INPUTS!D3="","",INPUTS!D3)</f>
        <v>Connectivity</v>
      </c>
      <c r="K3" s="835" t="str">
        <f>IF(INPUTS!E3="","",INPUTS!E3)</f>
        <v>Connectivity</v>
      </c>
      <c r="L3" s="837" t="str">
        <f>"The domain score is the weighted sum of the following category scores:
"&amp;AM4&amp;" ("&amp;TEXT(AZ4,"0.0")&amp;")
"&amp;AM9&amp;" ("&amp;TEXT(AZ9,"0.0")&amp;")
"&amp;AM14&amp;" ("&amp;TEXT(AZ14,"0.0")&amp;")"</f>
        <v>The domain score is the weighted sum of the following category scores:
1.1) Digital infrastructure (Weighted: 44.4%)
1.2) Quality (Weighted: 22.2%)
1.3) Affordability (Weighted: 33.3%)</v>
      </c>
      <c r="M3" s="837" t="str">
        <f>IF(INPUTS!F3="","",INPUTS!F3)</f>
        <v/>
      </c>
      <c r="N3" s="831"/>
      <c r="O3" s="837" t="str">
        <f>IF(AG3=1,L3,M3)</f>
        <v>The domain score is the weighted sum of the following category scores:
1.1) Digital infrastructure (Weighted: 44.4%)
1.2) Quality (Weighted: 22.2%)
1.3) Affordability (Weighted: 33.3%)</v>
      </c>
      <c r="P3" s="837"/>
      <c r="Q3" s="831"/>
      <c r="R3" s="831"/>
      <c r="S3" s="835" t="str">
        <f>IF(INPUTS!J3="","",INPUTS!J3)</f>
        <v>Economist Impact calculation</v>
      </c>
      <c r="T3" s="831"/>
      <c r="U3" s="831"/>
      <c r="V3" s="832">
        <v>4</v>
      </c>
      <c r="W3" s="835">
        <f>INPUTS!BC3</f>
        <v>1</v>
      </c>
      <c r="X3" s="836"/>
      <c r="Y3" s="835"/>
      <c r="Z3" s="835"/>
      <c r="AA3" s="835"/>
      <c r="AB3" s="531" t="s">
        <v>575</v>
      </c>
      <c r="AC3" s="835" t="str">
        <f t="shared" ref="AC3:AC69" si="0">CHOOSE(AD3+1,"#,##0","#,##0.0","#,##0.00","#,##0.000","#,##0.0000","#,##0.00000")</f>
        <v>#,##0.0</v>
      </c>
      <c r="AD3" s="835">
        <v>1</v>
      </c>
      <c r="AE3" s="835">
        <v>2</v>
      </c>
      <c r="AF3" s="835">
        <f t="shared" ref="AF3:AF68" si="1">IF(AB3="",2,IF(AB3="Highest = best",0,1))</f>
        <v>0</v>
      </c>
      <c r="AG3" s="856">
        <v>1</v>
      </c>
      <c r="AH3" s="835"/>
      <c r="AI3" s="849"/>
      <c r="AJ3" s="836">
        <v>0</v>
      </c>
      <c r="AK3" s="836">
        <v>0</v>
      </c>
      <c r="AL3" s="835" t="str">
        <f>IF(H3="",I3,CONCATENATE(D3,") ",IF(G3&gt;=2,I3,UPPER(I3))))</f>
        <v>1) CONNECTIVITY</v>
      </c>
      <c r="AM3" s="835" t="str">
        <f>IF(H3="",J3,CONCATENATE(D3,") ",IF(G3&gt;=2,J3,UPPER(J3))))</f>
        <v>1) CONNECTIVITY</v>
      </c>
      <c r="AN3" s="835" t="str">
        <f>IF(H3="",K3,IF(G3=1,UPPER(K3),CONCATENATE(D3,") "&amp;K3)))</f>
        <v>CONNECTIVITY</v>
      </c>
      <c r="AO3" s="835" t="str">
        <f>$AM$2</f>
        <v>OVERALL SCORE</v>
      </c>
      <c r="AP3" s="836">
        <f>MATCH($E3,Weights!$C$13:$C$106,0)</f>
        <v>1</v>
      </c>
      <c r="AQ3" s="836">
        <f>IF(ISERROR($AP3),1,INDEX(Weights!$G$13:$G$106,$AP3))</f>
        <v>30</v>
      </c>
      <c r="AR3" s="835">
        <f t="shared" ref="AR3" si="2">IF(ISERROR(AQ3/SUMIF($F$2:$F$71,$F3,AQ$2:AQ$71)),0,AQ3/SUMIF($F$2:$F$71,$F3,AQ$2:AQ$71))</f>
        <v>0.3</v>
      </c>
      <c r="AS3" s="836">
        <v>1</v>
      </c>
      <c r="AT3" s="836"/>
      <c r="AU3" s="836"/>
      <c r="AV3" s="836"/>
      <c r="AW3" s="836"/>
      <c r="AX3" s="836"/>
      <c r="AZ3" s="867" t="str">
        <f>"Weighted: "&amp;ROUND(AR3*100,1)&amp;"%"</f>
        <v>Weighted: 30%</v>
      </c>
    </row>
    <row r="4" spans="1:52" ht="15" customHeight="1">
      <c r="A4" s="835">
        <f t="shared" ref="A4:A66" si="3">A3+1</f>
        <v>3</v>
      </c>
      <c r="B4" s="836">
        <v>0</v>
      </c>
      <c r="C4" s="836">
        <f t="shared" ref="C4:C5" si="4">IFERROR(VALUE(LEFT(D4,1)),LEFT(D4,1))</f>
        <v>1</v>
      </c>
      <c r="D4" s="835">
        <v>1.1000000000000001</v>
      </c>
      <c r="E4" s="835" t="str">
        <f>$E$3&amp;H4</f>
        <v>CNTY1_1</v>
      </c>
      <c r="F4" s="835" t="str">
        <f>$E$3</f>
        <v>CNTY</v>
      </c>
      <c r="G4" s="836">
        <v>2</v>
      </c>
      <c r="H4" s="835" t="s">
        <v>184</v>
      </c>
      <c r="I4" s="837" t="str">
        <f>IF(INPUTS!C4="","",INPUTS!C4)</f>
        <v>Digital infrastructure</v>
      </c>
      <c r="J4" s="837" t="str">
        <f>IF(INPUTS!D4="","",INPUTS!D4)</f>
        <v>Digital infrastructure</v>
      </c>
      <c r="K4" s="835" t="str">
        <f>IF(INPUTS!E4="","",INPUTS!E4)</f>
        <v>Digital infrastructure</v>
      </c>
      <c r="L4" s="837" t="str">
        <f>"The category score is the weighted sum of the following indicator scores:
"&amp;AM5&amp;" ("&amp;TEXT(AZ5,"0.0")&amp;")
"&amp;AM6&amp;" ("&amp;TEXT(AZ6,"0.0")&amp;")
"&amp;AM7&amp;" ("&amp;TEXT(AZ7,"0.0")&amp;")
"&amp;AM8&amp;" ("&amp;TEXT(AZ8,"0.0")&amp;")"</f>
        <v>The category score is the weighted sum of the following indicator scores:
1.1.1) Mobile broadband subscriptions (Weighted: 28.9%)
1.1.2) Fixed broadband susbcriptions (Weighted: 22.2%)
1.1.3) 5G readiness (Weighted: 20%)
1.1.4) 5G deployment (Weighted: 28.9%)</v>
      </c>
      <c r="M4" s="837" t="str">
        <f>IF(INPUTS!F4="","",INPUTS!F4)</f>
        <v/>
      </c>
      <c r="N4" s="831"/>
      <c r="O4" s="837" t="str">
        <f t="shared" ref="O4:O70" si="5">IF(AG4=1,L4,M4)</f>
        <v>The category score is the weighted sum of the following indicator scores:
1.1.1) Mobile broadband subscriptions (Weighted: 28.9%)
1.1.2) Fixed broadband susbcriptions (Weighted: 22.2%)
1.1.3) 5G readiness (Weighted: 20%)
1.1.4) 5G deployment (Weighted: 28.9%)</v>
      </c>
      <c r="P4" s="837"/>
      <c r="Q4" s="831"/>
      <c r="R4" s="831"/>
      <c r="S4" s="835" t="str">
        <f>IF(INPUTS!J4="","",INPUTS!J4)</f>
        <v>Economist Impact calculation</v>
      </c>
      <c r="T4" s="831"/>
      <c r="U4" s="831"/>
      <c r="V4" s="832">
        <v>4</v>
      </c>
      <c r="W4" s="835">
        <f>INPUTS!BC4</f>
        <v>1</v>
      </c>
      <c r="X4" s="836"/>
      <c r="Y4" s="835"/>
      <c r="Z4" s="835"/>
      <c r="AA4" s="835"/>
      <c r="AB4" s="531" t="s">
        <v>575</v>
      </c>
      <c r="AC4" s="835" t="str">
        <f t="shared" si="0"/>
        <v>#,##0.0</v>
      </c>
      <c r="AD4" s="835">
        <v>1</v>
      </c>
      <c r="AE4" s="835">
        <v>2</v>
      </c>
      <c r="AF4" s="835">
        <f t="shared" si="1"/>
        <v>0</v>
      </c>
      <c r="AG4" s="856">
        <v>1</v>
      </c>
      <c r="AH4" s="835"/>
      <c r="AI4" s="849"/>
      <c r="AJ4" s="836">
        <v>0</v>
      </c>
      <c r="AK4" s="836">
        <v>0</v>
      </c>
      <c r="AL4" s="835" t="str">
        <f t="shared" ref="AL4:AL9" si="6">IF(H4="",I4,CONCATENATE(D4,") ",IF(G4&gt;=2,I4,UPPER(I4))))</f>
        <v>1.1) Digital infrastructure</v>
      </c>
      <c r="AM4" s="835" t="str">
        <f t="shared" ref="AM4:AM9" si="7">IF(H4="",J4,CONCATENATE(D4,") ",IF(G4&gt;=2,J4,UPPER(J4))))</f>
        <v>1.1) Digital infrastructure</v>
      </c>
      <c r="AN4" s="835" t="str">
        <f t="shared" ref="AN4:AN9" si="8">IF(H4="",K4,IF(G4=1,UPPER(K4),CONCATENATE(D4,") "&amp;K4)))</f>
        <v>1.1) Digital infrastructure</v>
      </c>
      <c r="AO4" s="835" t="str">
        <f>$AM$3</f>
        <v>1) CONNECTIVITY</v>
      </c>
      <c r="AP4" s="836">
        <f>MATCH($E4,Weights!$C$13:$C$106,0)</f>
        <v>8</v>
      </c>
      <c r="AQ4" s="836">
        <f>IF(ISERROR($AP4),1,INDEX(Weights!$G$13:$G$106,$AP4))</f>
        <v>4</v>
      </c>
      <c r="AR4" s="835">
        <f t="shared" ref="AR4:AR35" si="9">IF(ISERROR(AQ4/SUMIF($F$2:$F$71,$F4,AQ$2:AQ$71)),0,AQ4/SUMIF($F$2:$F$71,$F4,AQ$2:AQ$71))</f>
        <v>0.44444444444444442</v>
      </c>
      <c r="AS4" s="836">
        <v>1</v>
      </c>
      <c r="AT4" s="836"/>
      <c r="AU4" s="836"/>
      <c r="AV4" s="836"/>
      <c r="AW4" s="836"/>
      <c r="AX4" s="836"/>
      <c r="AZ4" s="867" t="str">
        <f t="shared" ref="AZ4:AZ70" si="10">"Weighted: "&amp;ROUND(AR4*100,1)&amp;"%"</f>
        <v>Weighted: 44.4%</v>
      </c>
    </row>
    <row r="5" spans="1:52" ht="15" customHeight="1">
      <c r="A5" s="837">
        <f t="shared" si="3"/>
        <v>4</v>
      </c>
      <c r="B5" s="838">
        <v>0</v>
      </c>
      <c r="C5" s="838">
        <f t="shared" si="4"/>
        <v>1</v>
      </c>
      <c r="D5" s="837" t="s">
        <v>419</v>
      </c>
      <c r="E5" s="837" t="str">
        <f t="shared" ref="E5:E15" si="11">$E$3&amp;H5</f>
        <v>CNTY1_1_1</v>
      </c>
      <c r="F5" s="837" t="str">
        <f>$E$4</f>
        <v>CNTY1_1</v>
      </c>
      <c r="G5" s="838">
        <v>3</v>
      </c>
      <c r="H5" s="837" t="s">
        <v>438</v>
      </c>
      <c r="I5" s="837" t="str">
        <f>IF(INPUTS!C5="","",INPUTS!C5)</f>
        <v>Mobile broadband subscriptions</v>
      </c>
      <c r="J5" s="837" t="str">
        <f>IF(INPUTS!D5="","",INPUTS!D5)</f>
        <v>Mobile broadband subscriptions</v>
      </c>
      <c r="K5" s="837" t="str">
        <f>IF(INPUTS!E5="","",INPUTS!E5)</f>
        <v>1.1.1</v>
      </c>
      <c r="L5" s="837"/>
      <c r="M5" s="837" t="str">
        <f>IF(INPUTS!F5="","",INPUTS!F5)</f>
        <v>Number of mobile broadband subscriptions with high-speed access to the internet. Subscriptions that have access to the internet via fixed-line networks are not included.</v>
      </c>
      <c r="N5" s="821"/>
      <c r="O5" s="837" t="str">
        <f t="shared" si="5"/>
        <v>Number of mobile broadband subscriptions with high-speed access to the internet. Subscriptions that have access to the internet via fixed-line networks are not included.</v>
      </c>
      <c r="P5" s="837" t="str">
        <f>IF(INPUTS!I5="","",INPUTS!I5)</f>
        <v>Number of mobile broadband subscribers per 100 inhabitants</v>
      </c>
      <c r="Q5" s="821"/>
      <c r="R5" s="821"/>
      <c r="S5" s="837" t="str">
        <f>IF(INPUTS!J5="","",INPUTS!J5)</f>
        <v>ITU; EIU</v>
      </c>
      <c r="T5" s="821"/>
      <c r="U5" s="821"/>
      <c r="V5" s="833">
        <v>4</v>
      </c>
      <c r="W5" s="837">
        <f>INPUTS!BC5</f>
        <v>2</v>
      </c>
      <c r="X5" s="838"/>
      <c r="Y5" s="837" t="s">
        <v>585</v>
      </c>
      <c r="Z5" s="837" t="str">
        <f>IF(INPUTS!K5="","",INPUTS!K5)</f>
        <v>per 100 inhabitants</v>
      </c>
      <c r="AA5" s="837">
        <f>IF(INPUTS!L5="","",INPUTS!L5)</f>
        <v>2020</v>
      </c>
      <c r="AB5" s="837" t="str">
        <f>IF(INPUTS!M5="","",INPUTS!M5)</f>
        <v>Highest = best</v>
      </c>
      <c r="AC5" s="837" t="str">
        <f t="shared" si="0"/>
        <v>#,##0.0</v>
      </c>
      <c r="AD5" s="837">
        <f>IF(INPUTS!N5="","",INPUTS!N5)</f>
        <v>1</v>
      </c>
      <c r="AE5" s="837">
        <v>2</v>
      </c>
      <c r="AF5" s="837">
        <f t="shared" si="1"/>
        <v>0</v>
      </c>
      <c r="AG5" s="857">
        <v>4</v>
      </c>
      <c r="AH5" s="837">
        <f>MIN(iData!K9:AN9)</f>
        <v>53</v>
      </c>
      <c r="AI5" s="850">
        <v>200</v>
      </c>
      <c r="AJ5" s="838">
        <v>0</v>
      </c>
      <c r="AK5" s="838">
        <v>0</v>
      </c>
      <c r="AL5" s="837" t="str">
        <f t="shared" si="6"/>
        <v>1.1.1) Mobile broadband subscriptions</v>
      </c>
      <c r="AM5" s="837" t="str">
        <f t="shared" si="7"/>
        <v>1.1.1) Mobile broadband subscriptions</v>
      </c>
      <c r="AN5" s="837" t="str">
        <f t="shared" si="8"/>
        <v>1.1.1) 1.1.1</v>
      </c>
      <c r="AO5" s="837" t="str">
        <f>$AM$4</f>
        <v>1.1) Digital infrastructure</v>
      </c>
      <c r="AP5" s="838">
        <f>MATCH($E5,Weights!$C$13:$C$106,0)</f>
        <v>31</v>
      </c>
      <c r="AQ5" s="838">
        <f>IF(ISERROR($AP5),1,INDEX(Weights!$G$13:$G$106,$AP5))</f>
        <v>4.333333333333333</v>
      </c>
      <c r="AR5" s="837">
        <f t="shared" si="9"/>
        <v>0.28888888888888886</v>
      </c>
      <c r="AS5" s="836">
        <v>1</v>
      </c>
      <c r="AT5" s="837" t="str">
        <f>IF(INPUTS!Q5="","",INPUTS!Q5)</f>
        <v/>
      </c>
      <c r="AU5" s="837" t="str">
        <f>IF(INPUTS!R5="","",INPUTS!R5)</f>
        <v/>
      </c>
      <c r="AV5" s="837" t="str">
        <f>IF(INPUTS!S5="","",INPUTS!S5)</f>
        <v/>
      </c>
      <c r="AW5" s="837" t="str">
        <f>IF(INPUTS!T5="","",INPUTS!T5)</f>
        <v/>
      </c>
      <c r="AX5" s="837" t="str">
        <f>IF(INPUTS!U5="","",INPUTS!U5)</f>
        <v/>
      </c>
      <c r="AZ5" s="867" t="str">
        <f t="shared" si="10"/>
        <v>Weighted: 28.9%</v>
      </c>
    </row>
    <row r="6" spans="1:52" ht="15" customHeight="1">
      <c r="A6" s="837">
        <f t="shared" si="3"/>
        <v>5</v>
      </c>
      <c r="B6" s="838">
        <v>0</v>
      </c>
      <c r="C6" s="838">
        <f t="shared" ref="C6:C68" si="12">IFERROR(VALUE(LEFT(D6,1)),LEFT(D6,1))</f>
        <v>1</v>
      </c>
      <c r="D6" s="837" t="s">
        <v>420</v>
      </c>
      <c r="E6" s="837" t="str">
        <f t="shared" si="11"/>
        <v>CNTY1_1_2</v>
      </c>
      <c r="F6" s="837" t="str">
        <f t="shared" ref="F6:F8" si="13">$E$4</f>
        <v>CNTY1_1</v>
      </c>
      <c r="G6" s="838">
        <v>3</v>
      </c>
      <c r="H6" s="837" t="s">
        <v>439</v>
      </c>
      <c r="I6" s="837" t="str">
        <f>IF(INPUTS!C6="","",INPUTS!C6)</f>
        <v>Fixed broadband susbcriptions</v>
      </c>
      <c r="J6" s="837" t="str">
        <f>IF(INPUTS!D6="","",INPUTS!D6)</f>
        <v>Fixed broadband susbcriptions</v>
      </c>
      <c r="K6" s="837" t="str">
        <f>IF(INPUTS!E6="","",INPUTS!E6)</f>
        <v>1.1.2</v>
      </c>
      <c r="L6" s="837"/>
      <c r="M6" s="837" t="str">
        <f>IF(INPUTS!F6="","",INPUTS!F6)</f>
        <v>Number of fixed broadband subscriptions with high-speed access to the internet, including both residential subscriptions and subscriptions for organisations. Subscriptions that have access to the internet via mobile-cellular networks are not included.</v>
      </c>
      <c r="N6" s="821"/>
      <c r="O6" s="837" t="str">
        <f t="shared" si="5"/>
        <v>Number of fixed broadband subscriptions with high-speed access to the internet, including both residential subscriptions and subscriptions for organisations. Subscriptions that have access to the internet via mobile-cellular networks are not included.</v>
      </c>
      <c r="P6" s="837" t="str">
        <f>IF(INPUTS!I6="","",INPUTS!I6)</f>
        <v>Number of fixed broadband subscribers per 100 inhabitants</v>
      </c>
      <c r="Q6" s="821"/>
      <c r="R6" s="821"/>
      <c r="S6" s="837" t="str">
        <f>IF(INPUTS!J6="","",INPUTS!J6)</f>
        <v>ITU; EIU</v>
      </c>
      <c r="T6" s="821"/>
      <c r="U6" s="821"/>
      <c r="V6" s="833">
        <f t="shared" ref="V6:V49" si="14">IF($X6=2,1,4)</f>
        <v>4</v>
      </c>
      <c r="W6" s="837">
        <f>INPUTS!BC6</f>
        <v>2</v>
      </c>
      <c r="X6" s="838"/>
      <c r="Y6" s="837" t="s">
        <v>585</v>
      </c>
      <c r="Z6" s="837" t="str">
        <f>IF(INPUTS!K6="","",INPUTS!K6)</f>
        <v>per 100 inhabitants</v>
      </c>
      <c r="AA6" s="837">
        <f>IF(INPUTS!L6="","",INPUTS!L6)</f>
        <v>2020</v>
      </c>
      <c r="AB6" s="837" t="str">
        <f>IF(INPUTS!M6="","",INPUTS!M6)</f>
        <v>Highest = best</v>
      </c>
      <c r="AC6" s="837" t="str">
        <f t="shared" si="0"/>
        <v>#,##0.0</v>
      </c>
      <c r="AD6" s="837">
        <f>IF(INPUTS!N6="","",INPUTS!N6)</f>
        <v>1</v>
      </c>
      <c r="AE6" s="837">
        <v>2</v>
      </c>
      <c r="AF6" s="837">
        <f t="shared" si="1"/>
        <v>0</v>
      </c>
      <c r="AG6" s="857">
        <v>2</v>
      </c>
      <c r="AH6" s="837"/>
      <c r="AI6" s="850"/>
      <c r="AJ6" s="838">
        <v>0</v>
      </c>
      <c r="AK6" s="838">
        <v>0</v>
      </c>
      <c r="AL6" s="837" t="str">
        <f t="shared" si="6"/>
        <v>1.1.2) Fixed broadband susbcriptions</v>
      </c>
      <c r="AM6" s="837" t="str">
        <f t="shared" si="7"/>
        <v>1.1.2) Fixed broadband susbcriptions</v>
      </c>
      <c r="AN6" s="837" t="str">
        <f t="shared" si="8"/>
        <v>1.1.2) 1.1.2</v>
      </c>
      <c r="AO6" s="837" t="str">
        <f>$AM$4</f>
        <v>1.1) Digital infrastructure</v>
      </c>
      <c r="AP6" s="838">
        <f>MATCH($E6,Weights!$C$13:$C$106,0)</f>
        <v>32</v>
      </c>
      <c r="AQ6" s="838">
        <f>IF(ISERROR($AP6),1,INDEX(Weights!$G$13:$G$106,$AP6))</f>
        <v>3.3333333333333335</v>
      </c>
      <c r="AR6" s="837">
        <f t="shared" si="9"/>
        <v>0.22222222222222224</v>
      </c>
      <c r="AS6" s="836">
        <v>1</v>
      </c>
      <c r="AT6" s="837" t="str">
        <f>IF(INPUTS!Q6="","",INPUTS!Q6)</f>
        <v/>
      </c>
      <c r="AU6" s="837" t="str">
        <f>IF(INPUTS!R6="","",INPUTS!R6)</f>
        <v/>
      </c>
      <c r="AV6" s="837" t="str">
        <f>IF(INPUTS!S6="","",INPUTS!S6)</f>
        <v/>
      </c>
      <c r="AW6" s="837" t="str">
        <f>IF(INPUTS!T6="","",INPUTS!T6)</f>
        <v/>
      </c>
      <c r="AX6" s="837" t="str">
        <f>IF(INPUTS!U6="","",INPUTS!U6)</f>
        <v/>
      </c>
      <c r="AZ6" s="867" t="str">
        <f t="shared" si="10"/>
        <v>Weighted: 22.2%</v>
      </c>
    </row>
    <row r="7" spans="1:52" ht="15" customHeight="1">
      <c r="A7" s="837">
        <f t="shared" si="3"/>
        <v>6</v>
      </c>
      <c r="B7" s="838">
        <v>0</v>
      </c>
      <c r="C7" s="838">
        <f t="shared" si="12"/>
        <v>1</v>
      </c>
      <c r="D7" s="837" t="s">
        <v>421</v>
      </c>
      <c r="E7" s="837" t="str">
        <f t="shared" si="11"/>
        <v>CNTY1_1_3</v>
      </c>
      <c r="F7" s="837" t="str">
        <f t="shared" si="13"/>
        <v>CNTY1_1</v>
      </c>
      <c r="G7" s="838">
        <v>3</v>
      </c>
      <c r="H7" s="837" t="s">
        <v>440</v>
      </c>
      <c r="I7" s="837" t="str">
        <f>IF(INPUTS!C7="","",INPUTS!C7)</f>
        <v>5G readiness</v>
      </c>
      <c r="J7" s="837" t="str">
        <f>IF(INPUTS!D7="","",INPUTS!D7)</f>
        <v>5G readiness</v>
      </c>
      <c r="K7" s="837" t="str">
        <f>IF(INPUTS!E7="","",INPUTS!E7)</f>
        <v>1.1.3</v>
      </c>
      <c r="L7" s="837"/>
      <c r="M7" s="837" t="str">
        <f>IF(INPUTS!F7="","",INPUTS!F7)</f>
        <v>Assesses if there is a national or local strategy or initiatives to promote 5G. Cities receive a higher score if the policy or strategy recognises multiple use cases of 5G. Multiple use cases may include the following: fixed wireless access (FWA), enhanced mobile broadband (eMBB), massive machine-type communications (mMTC), Internet of Things (IoT) or ultra-reliable low-latency communications (URLLC). Other use cases or applications may also apply if specifically mentioned (eg. 5G for precision agriculture, smart city/home applications, autonomous vehicle applications). Policies, strategies or initiatives may be embodied across a number of documents (eg, policy or strategy documents, government committee notes).</v>
      </c>
      <c r="N7" s="821"/>
      <c r="O7" s="837" t="str">
        <f t="shared" si="5"/>
        <v>Assesses if there is a national or local strategy or initiatives to promote 5G. Cities receive a higher score if the policy or strategy recognises multiple use cases of 5G. Multiple use cases may include the following: fixed wireless access (FWA), enhanced mobile broadband (eMBB), massive machine-type communications (mMTC), Internet of Things (IoT) or ultra-reliable low-latency communications (URLLC). Other use cases or applications may also apply if specifically mentioned (eg. 5G for precision agriculture, smart city/home applications, autonomous vehicle applications). Policies, strategies or initiatives may be embodied across a number of documents (eg, policy or strategy documents, government committee notes).</v>
      </c>
      <c r="P7" s="837" t="str">
        <f>IF(INPUTS!I7="","",INPUTS!I7)</f>
        <v>Has the government developed a policy, strategy or initiatives to promote 5G?
0 - The government has not developed a policy, strategy or initiatives to promote 5G
1 - The government has developed a policy, strategy or initiatives to promote 5G but does not specifically mention any of the following use-case applications (FWA, eMBB, mMTC, IoT, URLLC)
2 - The government has a policy, strategy or initiatives to promote 5G and specifically mentions one of the following use-case applications (FWA, eMBB, mMTC, IoT, URLLC)
3 -The government has a policy or strategy to promote 5G network development and it specifically mentions more than one of the following use-case applications (FWA, eMBB, mMTC, IoT, URLLC)</v>
      </c>
      <c r="Q7" s="821"/>
      <c r="R7" s="821"/>
      <c r="S7" s="837" t="str">
        <f>IF(INPUTS!J7="","",INPUTS!J7)</f>
        <v>Qualitative scoring by Economist Impact analysts</v>
      </c>
      <c r="T7" s="821"/>
      <c r="U7" s="821"/>
      <c r="V7" s="833">
        <f t="shared" si="14"/>
        <v>4</v>
      </c>
      <c r="W7" s="837">
        <f>INPUTS!BC7</f>
        <v>2</v>
      </c>
      <c r="X7" s="838"/>
      <c r="Y7" s="837" t="s">
        <v>584</v>
      </c>
      <c r="Z7" s="837" t="str">
        <f>IF(INPUTS!K7="","",INPUTS!K7)</f>
        <v>Scale (0-3)</v>
      </c>
      <c r="AA7" s="837">
        <f>IF(INPUTS!L7="","",INPUTS!L7)</f>
        <v>2021</v>
      </c>
      <c r="AB7" s="837" t="str">
        <f>IF(INPUTS!M7="","",INPUTS!M7)</f>
        <v>Highest = best</v>
      </c>
      <c r="AC7" s="837" t="str">
        <f t="shared" si="0"/>
        <v>#,##0</v>
      </c>
      <c r="AD7" s="837">
        <f>IF(INPUTS!N7="","",INPUTS!N7)</f>
        <v>0</v>
      </c>
      <c r="AE7" s="837">
        <v>2</v>
      </c>
      <c r="AF7" s="837">
        <f t="shared" si="1"/>
        <v>0</v>
      </c>
      <c r="AG7" s="857">
        <v>3</v>
      </c>
      <c r="AH7" s="837">
        <v>0</v>
      </c>
      <c r="AI7" s="850">
        <v>3</v>
      </c>
      <c r="AJ7" s="838">
        <v>0</v>
      </c>
      <c r="AK7" s="838">
        <v>0</v>
      </c>
      <c r="AL7" s="837" t="str">
        <f t="shared" si="6"/>
        <v>1.1.3) 5G readiness</v>
      </c>
      <c r="AM7" s="837" t="str">
        <f t="shared" si="7"/>
        <v>1.1.3) 5G readiness</v>
      </c>
      <c r="AN7" s="837" t="str">
        <f t="shared" si="8"/>
        <v>1.1.3) 1.1.3</v>
      </c>
      <c r="AO7" s="837" t="str">
        <f>$AM$4</f>
        <v>1.1) Digital infrastructure</v>
      </c>
      <c r="AP7" s="838">
        <f>MATCH($E7,Weights!$C$13:$C$106,0)</f>
        <v>33</v>
      </c>
      <c r="AQ7" s="838">
        <f>IF(ISERROR($AP7),1,INDEX(Weights!$G$13:$G$106,$AP7))</f>
        <v>3</v>
      </c>
      <c r="AR7" s="837">
        <f t="shared" si="9"/>
        <v>0.2</v>
      </c>
      <c r="AS7" s="836">
        <v>4</v>
      </c>
      <c r="AT7" s="837" t="str">
        <f>IF(INPUTS!Q7="","",INPUTS!Q7)</f>
        <v>Scores 3</v>
      </c>
      <c r="AU7" s="837" t="str">
        <f>IF(INPUTS!R7="","",INPUTS!R7)</f>
        <v>Scores 2</v>
      </c>
      <c r="AV7" s="837" t="str">
        <f>IF(INPUTS!S7="","",INPUTS!S7)</f>
        <v>Scores 1</v>
      </c>
      <c r="AW7" s="837" t="str">
        <f>IF(INPUTS!T7="","",INPUTS!T7)</f>
        <v>Scores 0</v>
      </c>
      <c r="AX7" s="837" t="str">
        <f>IF(INPUTS!U7="","",INPUTS!U7)</f>
        <v/>
      </c>
      <c r="AZ7" s="867" t="str">
        <f t="shared" si="10"/>
        <v>Weighted: 20%</v>
      </c>
    </row>
    <row r="8" spans="1:52" ht="15" customHeight="1">
      <c r="A8" s="837">
        <f t="shared" si="3"/>
        <v>7</v>
      </c>
      <c r="B8" s="838">
        <v>0</v>
      </c>
      <c r="C8" s="838">
        <f t="shared" si="12"/>
        <v>1</v>
      </c>
      <c r="D8" s="837" t="s">
        <v>422</v>
      </c>
      <c r="E8" s="837" t="str">
        <f t="shared" si="11"/>
        <v>CNTY1_1_4</v>
      </c>
      <c r="F8" s="837" t="str">
        <f t="shared" si="13"/>
        <v>CNTY1_1</v>
      </c>
      <c r="G8" s="838">
        <v>3</v>
      </c>
      <c r="H8" s="837" t="s">
        <v>441</v>
      </c>
      <c r="I8" s="837" t="str">
        <f>IF(INPUTS!C8="","",INPUTS!C8)</f>
        <v>5G deployment</v>
      </c>
      <c r="J8" s="837" t="str">
        <f>IF(INPUTS!D8="","",INPUTS!D8)</f>
        <v>5G deployment</v>
      </c>
      <c r="K8" s="837" t="str">
        <f>IF(INPUTS!E8="","",INPUTS!E8)</f>
        <v>1.1.4</v>
      </c>
      <c r="L8" s="837"/>
      <c r="M8" s="837" t="str">
        <f>IF(INPUTS!F8="","",INPUTS!F8)</f>
        <v>Assesses the stage of 5G deployment, varying from pilots and testing to deployment for commercial use.</v>
      </c>
      <c r="N8" s="821"/>
      <c r="O8" s="837" t="str">
        <f t="shared" si="5"/>
        <v>Assesses the stage of 5G deployment, varying from pilots and testing to deployment for commercial use.</v>
      </c>
      <c r="P8" s="837" t="str">
        <f>IF(INPUTS!I8="","",INPUTS!I8)</f>
        <v>Has 5G been deployed?
0 - No 5G deployment or trials
1 - 5G trials implemented or clearly planned
2 - 5G deployed</v>
      </c>
      <c r="Q8" s="821"/>
      <c r="R8" s="821"/>
      <c r="S8" s="837" t="str">
        <f>IF(INPUTS!J8="","",INPUTS!J8)</f>
        <v>Qualitative scoring by Economist Impact analysts</v>
      </c>
      <c r="T8" s="821"/>
      <c r="U8" s="821"/>
      <c r="V8" s="833">
        <f t="shared" si="14"/>
        <v>4</v>
      </c>
      <c r="W8" s="837">
        <f>INPUTS!BC8</f>
        <v>2</v>
      </c>
      <c r="X8" s="838"/>
      <c r="Y8" s="837" t="s">
        <v>584</v>
      </c>
      <c r="Z8" s="837" t="str">
        <f>IF(INPUTS!K8="","",INPUTS!K8)</f>
        <v>Scale (0-2)</v>
      </c>
      <c r="AA8" s="837">
        <f>IF(INPUTS!L8="","",INPUTS!L8)</f>
        <v>2021</v>
      </c>
      <c r="AB8" s="837" t="str">
        <f>IF(INPUTS!M8="","",INPUTS!M8)</f>
        <v>Highest = best</v>
      </c>
      <c r="AC8" s="837" t="str">
        <f t="shared" si="0"/>
        <v>#,##0</v>
      </c>
      <c r="AD8" s="837">
        <f>IF(INPUTS!N8="","",INPUTS!N8)</f>
        <v>0</v>
      </c>
      <c r="AE8" s="837">
        <v>2</v>
      </c>
      <c r="AF8" s="837">
        <f t="shared" si="1"/>
        <v>0</v>
      </c>
      <c r="AG8" s="857">
        <v>3</v>
      </c>
      <c r="AH8" s="837">
        <v>0</v>
      </c>
      <c r="AI8" s="850">
        <v>2</v>
      </c>
      <c r="AJ8" s="838">
        <v>0</v>
      </c>
      <c r="AK8" s="838">
        <v>0</v>
      </c>
      <c r="AL8" s="837" t="str">
        <f t="shared" si="6"/>
        <v>1.1.4) 5G deployment</v>
      </c>
      <c r="AM8" s="837" t="str">
        <f t="shared" si="7"/>
        <v>1.1.4) 5G deployment</v>
      </c>
      <c r="AN8" s="837" t="str">
        <f t="shared" si="8"/>
        <v>1.1.4) 1.1.4</v>
      </c>
      <c r="AO8" s="837" t="str">
        <f>$AM$4</f>
        <v>1.1) Digital infrastructure</v>
      </c>
      <c r="AP8" s="838">
        <f>MATCH($E8,Weights!$C$13:$C$106,0)</f>
        <v>34</v>
      </c>
      <c r="AQ8" s="838">
        <f>IF(ISERROR($AP8),1,INDEX(Weights!$G$13:$G$106,$AP8))</f>
        <v>4.333333333333333</v>
      </c>
      <c r="AR8" s="837">
        <f t="shared" si="9"/>
        <v>0.28888888888888886</v>
      </c>
      <c r="AS8" s="836">
        <v>3</v>
      </c>
      <c r="AT8" s="837" t="str">
        <f>IF(INPUTS!Q8="","",INPUTS!Q8)</f>
        <v>5G deployed</v>
      </c>
      <c r="AU8" s="837" t="str">
        <f>IF(INPUTS!R8="","",INPUTS!R8)</f>
        <v>5G trials implemented or clearly planned</v>
      </c>
      <c r="AV8" s="837" t="str">
        <f>IF(INPUTS!S8="","",INPUTS!S8)</f>
        <v>No 5G deployment or trials</v>
      </c>
      <c r="AW8" s="837" t="str">
        <f>IF(INPUTS!T8="","",INPUTS!T8)</f>
        <v/>
      </c>
      <c r="AX8" s="837" t="str">
        <f>IF(INPUTS!U8="","",INPUTS!U8)</f>
        <v/>
      </c>
      <c r="AZ8" s="867" t="str">
        <f t="shared" si="10"/>
        <v>Weighted: 28.9%</v>
      </c>
    </row>
    <row r="9" spans="1:52" ht="15" customHeight="1">
      <c r="A9" s="835">
        <f t="shared" si="3"/>
        <v>8</v>
      </c>
      <c r="B9" s="836">
        <v>0</v>
      </c>
      <c r="C9" s="836">
        <f t="shared" si="12"/>
        <v>1</v>
      </c>
      <c r="D9" s="835">
        <v>1.2</v>
      </c>
      <c r="E9" s="835" t="str">
        <f t="shared" si="11"/>
        <v>CNTY1_2</v>
      </c>
      <c r="F9" s="835" t="str">
        <f>$E$3</f>
        <v>CNTY</v>
      </c>
      <c r="G9" s="836">
        <v>2</v>
      </c>
      <c r="H9" s="835" t="s">
        <v>185</v>
      </c>
      <c r="I9" s="837" t="str">
        <f>IF(INPUTS!C9="","",INPUTS!C9)</f>
        <v>Quality</v>
      </c>
      <c r="J9" s="837" t="str">
        <f>IF(INPUTS!D9="","",INPUTS!D9)</f>
        <v>Quality</v>
      </c>
      <c r="K9" s="835" t="str">
        <f>IF(INPUTS!E9="","",INPUTS!E9)</f>
        <v>Quality</v>
      </c>
      <c r="L9" s="837" t="str">
        <f>"The category score is the weighted sum of the following indicator scores:
"&amp;AM10&amp;" ("&amp;TEXT(AZ10,"0.0")&amp;")
"&amp;AM11&amp;" ("&amp;TEXT(AZ11,"0.0")&amp;")
"&amp;AM12&amp;" ("&amp;TEXT(AZ12,"0.0")&amp;")
"&amp;AM13&amp;" ("&amp;TEXT(AZ13,"0.0")&amp;")"</f>
        <v>The category score is the weighted sum of the following indicator scores:
1.2.1) Internet upload speed (Weighted: 28.6%)
1.2.2) Internet download speed (Weighted: 32.1%)
1.2.3) Mobile broadband latency (Weighted: 17.9%)
1.2.4) Fixed broadband latency (Weighted: 21.4%)</v>
      </c>
      <c r="M9" s="837" t="str">
        <f>IF(INPUTS!F9="","",INPUTS!F9)</f>
        <v/>
      </c>
      <c r="N9" s="831"/>
      <c r="O9" s="837" t="str">
        <f t="shared" si="5"/>
        <v>The category score is the weighted sum of the following indicator scores:
1.2.1) Internet upload speed (Weighted: 28.6%)
1.2.2) Internet download speed (Weighted: 32.1%)
1.2.3) Mobile broadband latency (Weighted: 17.9%)
1.2.4) Fixed broadband latency (Weighted: 21.4%)</v>
      </c>
      <c r="P9" s="837" t="str">
        <f>IF(INPUTS!I9="","",INPUTS!I9)</f>
        <v/>
      </c>
      <c r="Q9" s="831"/>
      <c r="R9" s="831"/>
      <c r="S9" s="835" t="str">
        <f>IF(INPUTS!J9="","",INPUTS!J9)</f>
        <v>Economist Impact calculation</v>
      </c>
      <c r="T9" s="831"/>
      <c r="U9" s="831"/>
      <c r="V9" s="832">
        <f t="shared" si="14"/>
        <v>4</v>
      </c>
      <c r="W9" s="835">
        <f>INPUTS!BC9</f>
        <v>1</v>
      </c>
      <c r="X9" s="836"/>
      <c r="Y9" s="835"/>
      <c r="Z9" s="837" t="str">
        <f>IF(INPUTS!K9="","",INPUTS!K9)</f>
        <v/>
      </c>
      <c r="AA9" s="837" t="str">
        <f>IF(INPUTS!L9="","",INPUTS!L9)</f>
        <v/>
      </c>
      <c r="AB9" s="531" t="s">
        <v>575</v>
      </c>
      <c r="AC9" s="835" t="str">
        <f t="shared" si="0"/>
        <v>#,##0.0</v>
      </c>
      <c r="AD9" s="837">
        <f>IF(INPUTS!N9="","",INPUTS!N9)</f>
        <v>1</v>
      </c>
      <c r="AE9" s="835">
        <v>2</v>
      </c>
      <c r="AF9" s="835">
        <f t="shared" si="1"/>
        <v>0</v>
      </c>
      <c r="AG9" s="856">
        <v>1</v>
      </c>
      <c r="AH9" s="835"/>
      <c r="AI9" s="849"/>
      <c r="AJ9" s="836">
        <v>0</v>
      </c>
      <c r="AK9" s="836">
        <v>0</v>
      </c>
      <c r="AL9" s="835" t="str">
        <f t="shared" si="6"/>
        <v>1.2) Quality</v>
      </c>
      <c r="AM9" s="835" t="str">
        <f t="shared" si="7"/>
        <v>1.2) Quality</v>
      </c>
      <c r="AN9" s="835" t="str">
        <f t="shared" si="8"/>
        <v>1.2) Quality</v>
      </c>
      <c r="AO9" s="835" t="str">
        <f>$AM$3</f>
        <v>1) CONNECTIVITY</v>
      </c>
      <c r="AP9" s="836">
        <f>MATCH($E9,Weights!$C$13:$C$106,0)</f>
        <v>9</v>
      </c>
      <c r="AQ9" s="836">
        <f>IF(ISERROR($AP9),1,INDEX(Weights!$G$13:$G$106,$AP9))</f>
        <v>2</v>
      </c>
      <c r="AR9" s="835">
        <f t="shared" si="9"/>
        <v>0.22222222222222221</v>
      </c>
      <c r="AS9" s="836">
        <v>1</v>
      </c>
      <c r="AT9" s="837" t="str">
        <f>IF(INPUTS!Q9="","",INPUTS!Q9)</f>
        <v/>
      </c>
      <c r="AU9" s="837" t="str">
        <f>IF(INPUTS!R9="","",INPUTS!R9)</f>
        <v/>
      </c>
      <c r="AV9" s="837" t="str">
        <f>IF(INPUTS!S9="","",INPUTS!S9)</f>
        <v/>
      </c>
      <c r="AW9" s="837" t="str">
        <f>IF(INPUTS!T9="","",INPUTS!T9)</f>
        <v/>
      </c>
      <c r="AX9" s="837" t="str">
        <f>IF(INPUTS!U9="","",INPUTS!U9)</f>
        <v/>
      </c>
      <c r="AZ9" s="867" t="str">
        <f t="shared" si="10"/>
        <v>Weighted: 22.2%</v>
      </c>
    </row>
    <row r="10" spans="1:52" ht="15" customHeight="1">
      <c r="A10" s="837">
        <f t="shared" si="3"/>
        <v>9</v>
      </c>
      <c r="B10" s="838">
        <v>0</v>
      </c>
      <c r="C10" s="838">
        <f t="shared" si="12"/>
        <v>1</v>
      </c>
      <c r="D10" s="837" t="s">
        <v>423</v>
      </c>
      <c r="E10" s="837" t="str">
        <f t="shared" si="11"/>
        <v>CNTY1_2_1</v>
      </c>
      <c r="F10" s="837" t="str">
        <f>$E$9</f>
        <v>CNTY1_2</v>
      </c>
      <c r="G10" s="838">
        <v>3</v>
      </c>
      <c r="H10" s="837" t="s">
        <v>442</v>
      </c>
      <c r="I10" s="837" t="str">
        <f>IF(INPUTS!C10="","",INPUTS!C10)</f>
        <v>Internet upload speed</v>
      </c>
      <c r="J10" s="837" t="str">
        <f>IF(INPUTS!D10="","",INPUTS!D10)</f>
        <v>Internet upload speed</v>
      </c>
      <c r="K10" s="837" t="str">
        <f>IF(INPUTS!E10="","",INPUTS!E10)</f>
        <v>1.2.1</v>
      </c>
      <c r="L10" s="837"/>
      <c r="M10" s="837" t="str">
        <f>IF(INPUTS!F10="","",INPUTS!F10)</f>
        <v>Speed at which a user can send data from their mobile device to the internet.</v>
      </c>
      <c r="N10" s="821"/>
      <c r="O10" s="837" t="str">
        <f t="shared" si="5"/>
        <v>Speed at which a user can send data from their mobile device to the internet.</v>
      </c>
      <c r="P10" s="837" t="str">
        <f>IF(INPUTS!I10="","",INPUTS!I10)</f>
        <v>Median upload speeds in October 2021</v>
      </c>
      <c r="Q10" s="821"/>
      <c r="R10" s="821"/>
      <c r="S10" s="837" t="str">
        <f>IF(INPUTS!J10="","",INPUTS!J10)</f>
        <v>Ookla</v>
      </c>
      <c r="T10" s="821"/>
      <c r="U10" s="821"/>
      <c r="V10" s="833">
        <f t="shared" si="14"/>
        <v>4</v>
      </c>
      <c r="W10" s="837">
        <f>INPUTS!BC10</f>
        <v>2</v>
      </c>
      <c r="X10" s="838"/>
      <c r="Y10" s="837" t="s">
        <v>585</v>
      </c>
      <c r="Z10" s="837" t="str">
        <f>IF(INPUTS!K10="","",INPUTS!K10)</f>
        <v>Mbps</v>
      </c>
      <c r="AA10" s="837">
        <f>IF(INPUTS!L10="","",INPUTS!L10)</f>
        <v>2021</v>
      </c>
      <c r="AB10" s="837" t="str">
        <f>IF(INPUTS!M10="","",INPUTS!M10)</f>
        <v>Highest = best</v>
      </c>
      <c r="AC10" s="837" t="str">
        <f t="shared" si="0"/>
        <v>#,##0.00</v>
      </c>
      <c r="AD10" s="837">
        <f>IF(INPUTS!N10="","",INPUTS!N10)</f>
        <v>2</v>
      </c>
      <c r="AE10" s="837">
        <v>2</v>
      </c>
      <c r="AF10" s="837">
        <f t="shared" si="1"/>
        <v>0</v>
      </c>
      <c r="AG10" s="857">
        <v>2</v>
      </c>
      <c r="AH10" s="837"/>
      <c r="AI10" s="850"/>
      <c r="AJ10" s="838">
        <v>0</v>
      </c>
      <c r="AK10" s="838">
        <v>0</v>
      </c>
      <c r="AL10" s="837" t="str">
        <f t="shared" ref="AL10:AL71" si="15">IF(H10="",I10,CONCATENATE(D10,") ",IF(G10&gt;=2,I10,UPPER(I10))))</f>
        <v>1.2.1) Internet upload speed</v>
      </c>
      <c r="AM10" s="837" t="str">
        <f t="shared" ref="AM10:AM71" si="16">IF(H10="",J10,CONCATENATE(D10,") ",IF(G10&gt;=2,J10,UPPER(J10))))</f>
        <v>1.2.1) Internet upload speed</v>
      </c>
      <c r="AN10" s="837" t="str">
        <f t="shared" ref="AN10:AN71" si="17">IF(H10="",K10,IF(G10=1,UPPER(K10),CONCATENATE(D10,") "&amp;K10)))</f>
        <v>1.2.1) 1.2.1</v>
      </c>
      <c r="AO10" s="837" t="str">
        <f>$AM$9</f>
        <v>1.2) Quality</v>
      </c>
      <c r="AP10" s="838">
        <f>MATCH($E10,Weights!$C$13:$C$106,0)</f>
        <v>36</v>
      </c>
      <c r="AQ10" s="838">
        <f>IF(ISERROR($AP10),1,INDEX(Weights!$G$13:$G$106,$AP10))</f>
        <v>2.6666666666666665</v>
      </c>
      <c r="AR10" s="837">
        <f t="shared" si="9"/>
        <v>0.28571428571428575</v>
      </c>
      <c r="AS10" s="836">
        <v>1</v>
      </c>
      <c r="AT10" s="837" t="str">
        <f>IF(INPUTS!Q10="","",INPUTS!Q10)</f>
        <v/>
      </c>
      <c r="AU10" s="837" t="str">
        <f>IF(INPUTS!R10="","",INPUTS!R10)</f>
        <v/>
      </c>
      <c r="AV10" s="837" t="str">
        <f>IF(INPUTS!S10="","",INPUTS!S10)</f>
        <v/>
      </c>
      <c r="AW10" s="837" t="str">
        <f>IF(INPUTS!T10="","",INPUTS!T10)</f>
        <v/>
      </c>
      <c r="AX10" s="837" t="str">
        <f>IF(INPUTS!U10="","",INPUTS!U10)</f>
        <v/>
      </c>
      <c r="AZ10" s="867" t="str">
        <f t="shared" si="10"/>
        <v>Weighted: 28.6%</v>
      </c>
    </row>
    <row r="11" spans="1:52" ht="15" customHeight="1">
      <c r="A11" s="837">
        <f t="shared" si="3"/>
        <v>10</v>
      </c>
      <c r="B11" s="838">
        <v>0</v>
      </c>
      <c r="C11" s="838">
        <f t="shared" si="12"/>
        <v>1</v>
      </c>
      <c r="D11" s="837" t="s">
        <v>424</v>
      </c>
      <c r="E11" s="837" t="str">
        <f t="shared" si="11"/>
        <v>CNTY1_2_2</v>
      </c>
      <c r="F11" s="837" t="str">
        <f t="shared" ref="F11:F13" si="18">$E$9</f>
        <v>CNTY1_2</v>
      </c>
      <c r="G11" s="838">
        <v>3</v>
      </c>
      <c r="H11" s="837" t="s">
        <v>443</v>
      </c>
      <c r="I11" s="837" t="str">
        <f>IF(INPUTS!C11="","",INPUTS!C11)</f>
        <v>Internet download speed</v>
      </c>
      <c r="J11" s="837" t="str">
        <f>IF(INPUTS!D11="","",INPUTS!D11)</f>
        <v>Internet download speed</v>
      </c>
      <c r="K11" s="837" t="str">
        <f>IF(INPUTS!E11="","",INPUTS!E11)</f>
        <v>1.2.2</v>
      </c>
      <c r="L11" s="837"/>
      <c r="M11" s="837" t="str">
        <f>IF(INPUTS!F11="","",INPUTS!F11)</f>
        <v>Speed at which a user can pull data from a server on the internet to their mobile device.</v>
      </c>
      <c r="N11" s="821"/>
      <c r="O11" s="837" t="str">
        <f t="shared" si="5"/>
        <v>Speed at which a user can pull data from a server on the internet to their mobile device.</v>
      </c>
      <c r="P11" s="837" t="str">
        <f>IF(INPUTS!I11="","",INPUTS!I11)</f>
        <v>Median download speeds in October 2021</v>
      </c>
      <c r="Q11" s="821"/>
      <c r="R11" s="821"/>
      <c r="S11" s="837" t="str">
        <f>IF(INPUTS!J11="","",INPUTS!J11)</f>
        <v>Ookla</v>
      </c>
      <c r="T11" s="821"/>
      <c r="U11" s="821"/>
      <c r="V11" s="833">
        <f t="shared" si="14"/>
        <v>4</v>
      </c>
      <c r="W11" s="837">
        <f>INPUTS!BC11</f>
        <v>2</v>
      </c>
      <c r="X11" s="838"/>
      <c r="Y11" s="837" t="s">
        <v>585</v>
      </c>
      <c r="Z11" s="837" t="str">
        <f>IF(INPUTS!K11="","",INPUTS!K11)</f>
        <v>Mbps</v>
      </c>
      <c r="AA11" s="837">
        <f>IF(INPUTS!L11="","",INPUTS!L11)</f>
        <v>2021</v>
      </c>
      <c r="AB11" s="837" t="str">
        <f>IF(INPUTS!M11="","",INPUTS!M11)</f>
        <v>Highest = best</v>
      </c>
      <c r="AC11" s="837" t="str">
        <f t="shared" si="0"/>
        <v>#,##0.00</v>
      </c>
      <c r="AD11" s="837">
        <f>IF(INPUTS!N11="","",INPUTS!N11)</f>
        <v>2</v>
      </c>
      <c r="AE11" s="837">
        <v>2</v>
      </c>
      <c r="AF11" s="837">
        <f t="shared" si="1"/>
        <v>0</v>
      </c>
      <c r="AG11" s="857">
        <v>4</v>
      </c>
      <c r="AH11" s="837">
        <f>MIN(iData!K15:AN15)</f>
        <v>13.45</v>
      </c>
      <c r="AI11" s="850">
        <v>100</v>
      </c>
      <c r="AJ11" s="838">
        <v>0</v>
      </c>
      <c r="AK11" s="838">
        <v>0</v>
      </c>
      <c r="AL11" s="837" t="str">
        <f t="shared" si="15"/>
        <v>1.2.2) Internet download speed</v>
      </c>
      <c r="AM11" s="837" t="str">
        <f t="shared" si="16"/>
        <v>1.2.2) Internet download speed</v>
      </c>
      <c r="AN11" s="837" t="str">
        <f t="shared" si="17"/>
        <v>1.2.2) 1.2.2</v>
      </c>
      <c r="AO11" s="837" t="str">
        <f>$AM$9</f>
        <v>1.2) Quality</v>
      </c>
      <c r="AP11" s="838">
        <f>MATCH($E11,Weights!$C$13:$C$106,0)</f>
        <v>37</v>
      </c>
      <c r="AQ11" s="838">
        <f>IF(ISERROR($AP11),1,INDEX(Weights!$G$13:$G$106,$AP11))</f>
        <v>3</v>
      </c>
      <c r="AR11" s="837">
        <f t="shared" si="9"/>
        <v>0.32142857142857145</v>
      </c>
      <c r="AS11" s="836">
        <v>1</v>
      </c>
      <c r="AT11" s="837" t="str">
        <f>IF(INPUTS!Q11="","",INPUTS!Q11)</f>
        <v/>
      </c>
      <c r="AU11" s="837" t="str">
        <f>IF(INPUTS!R11="","",INPUTS!R11)</f>
        <v/>
      </c>
      <c r="AV11" s="837" t="str">
        <f>IF(INPUTS!S11="","",INPUTS!S11)</f>
        <v/>
      </c>
      <c r="AW11" s="837" t="str">
        <f>IF(INPUTS!T11="","",INPUTS!T11)</f>
        <v/>
      </c>
      <c r="AX11" s="837" t="str">
        <f>IF(INPUTS!U11="","",INPUTS!U11)</f>
        <v/>
      </c>
      <c r="AZ11" s="867" t="str">
        <f t="shared" si="10"/>
        <v>Weighted: 32.1%</v>
      </c>
    </row>
    <row r="12" spans="1:52" ht="15" customHeight="1">
      <c r="A12" s="837">
        <f t="shared" si="3"/>
        <v>11</v>
      </c>
      <c r="B12" s="838">
        <v>0</v>
      </c>
      <c r="C12" s="838">
        <f t="shared" si="12"/>
        <v>1</v>
      </c>
      <c r="D12" s="837" t="s">
        <v>504</v>
      </c>
      <c r="E12" s="837" t="str">
        <f t="shared" si="11"/>
        <v>CNTY1_2_3</v>
      </c>
      <c r="F12" s="837" t="str">
        <f t="shared" si="18"/>
        <v>CNTY1_2</v>
      </c>
      <c r="G12" s="838">
        <v>3</v>
      </c>
      <c r="H12" s="837" t="s">
        <v>505</v>
      </c>
      <c r="I12" s="837" t="str">
        <f>IF(INPUTS!C12="","",INPUTS!C12)</f>
        <v>Mobile broadband latency</v>
      </c>
      <c r="J12" s="837" t="str">
        <f>IF(INPUTS!D12="","",INPUTS!D12)</f>
        <v>Mobile broadband latency</v>
      </c>
      <c r="K12" s="837" t="str">
        <f>IF(INPUTS!E12="","",INPUTS!E12)</f>
        <v>1.2.3</v>
      </c>
      <c r="L12" s="837"/>
      <c r="M12" s="837" t="str">
        <f>IF(INPUTS!F12="","",INPUTS!F12)</f>
        <v>Time it takes for data or a request to go from the source to the destination when using mobile broadband.</v>
      </c>
      <c r="N12" s="821"/>
      <c r="O12" s="837" t="str">
        <f t="shared" si="5"/>
        <v>Time it takes for data or a request to go from the source to the destination when using mobile broadband.</v>
      </c>
      <c r="P12" s="837" t="str">
        <f>IF(INPUTS!I12="","",INPUTS!I12)</f>
        <v>Median latency in October 2021</v>
      </c>
      <c r="Q12" s="821"/>
      <c r="R12" s="821"/>
      <c r="S12" s="837" t="str">
        <f>IF(INPUTS!J12="","",INPUTS!J12)</f>
        <v>Ookla</v>
      </c>
      <c r="T12" s="821"/>
      <c r="U12" s="821"/>
      <c r="V12" s="833">
        <f t="shared" si="14"/>
        <v>4</v>
      </c>
      <c r="W12" s="837">
        <f>INPUTS!BC12</f>
        <v>2</v>
      </c>
      <c r="X12" s="838"/>
      <c r="Y12" s="837" t="s">
        <v>585</v>
      </c>
      <c r="Z12" s="837" t="str">
        <f>IF(INPUTS!K12="","",INPUTS!K12)</f>
        <v>ms</v>
      </c>
      <c r="AA12" s="837">
        <f>IF(INPUTS!L12="","",INPUTS!L12)</f>
        <v>2021</v>
      </c>
      <c r="AB12" s="837" t="str">
        <f>IF(INPUTS!M12="","",INPUTS!M12)</f>
        <v>Lowest = best</v>
      </c>
      <c r="AC12" s="837" t="str">
        <f t="shared" si="0"/>
        <v>#,##0</v>
      </c>
      <c r="AD12" s="837">
        <f>IF(INPUTS!N12="","",INPUTS!N12)</f>
        <v>0</v>
      </c>
      <c r="AE12" s="837">
        <v>2</v>
      </c>
      <c r="AF12" s="837">
        <f t="shared" si="1"/>
        <v>1</v>
      </c>
      <c r="AG12" s="857">
        <v>2</v>
      </c>
      <c r="AH12" s="837"/>
      <c r="AI12" s="850"/>
      <c r="AJ12" s="838">
        <v>0</v>
      </c>
      <c r="AK12" s="838">
        <v>0</v>
      </c>
      <c r="AL12" s="837" t="str">
        <f t="shared" si="15"/>
        <v>1.2.3) Mobile broadband latency</v>
      </c>
      <c r="AM12" s="837" t="str">
        <f t="shared" si="16"/>
        <v>1.2.3) Mobile broadband latency</v>
      </c>
      <c r="AN12" s="837" t="str">
        <f t="shared" si="17"/>
        <v>1.2.3) 1.2.3</v>
      </c>
      <c r="AO12" s="837" t="str">
        <f>$AM$9</f>
        <v>1.2) Quality</v>
      </c>
      <c r="AP12" s="838">
        <f>MATCH($E12,Weights!$C$13:$C$106,0)</f>
        <v>38</v>
      </c>
      <c r="AQ12" s="838">
        <f>IF(ISERROR($AP12),1,INDEX(Weights!$G$13:$G$106,$AP12))</f>
        <v>1.6666666666666667</v>
      </c>
      <c r="AR12" s="837">
        <f t="shared" si="9"/>
        <v>0.1785714285714286</v>
      </c>
      <c r="AS12" s="836">
        <v>1</v>
      </c>
      <c r="AT12" s="837" t="str">
        <f>IF(INPUTS!Q12="","",INPUTS!Q12)</f>
        <v/>
      </c>
      <c r="AU12" s="837" t="str">
        <f>IF(INPUTS!R12="","",INPUTS!R12)</f>
        <v/>
      </c>
      <c r="AV12" s="837" t="str">
        <f>IF(INPUTS!S12="","",INPUTS!S12)</f>
        <v/>
      </c>
      <c r="AW12" s="837" t="str">
        <f>IF(INPUTS!T12="","",INPUTS!T12)</f>
        <v/>
      </c>
      <c r="AX12" s="837" t="str">
        <f>IF(INPUTS!U12="","",INPUTS!U12)</f>
        <v/>
      </c>
      <c r="AZ12" s="867" t="str">
        <f t="shared" si="10"/>
        <v>Weighted: 17.9%</v>
      </c>
    </row>
    <row r="13" spans="1:52" s="367" customFormat="1" ht="15" customHeight="1">
      <c r="A13" s="837">
        <f t="shared" si="3"/>
        <v>12</v>
      </c>
      <c r="B13" s="838">
        <v>0</v>
      </c>
      <c r="C13" s="838">
        <f t="shared" ref="C13" si="19">IFERROR(VALUE(LEFT(D13,1)),LEFT(D13,1))</f>
        <v>1</v>
      </c>
      <c r="D13" s="837" t="s">
        <v>979</v>
      </c>
      <c r="E13" s="837" t="str">
        <f t="shared" ref="E13" si="20">$E$3&amp;H13</f>
        <v>CNTY1_2_4</v>
      </c>
      <c r="F13" s="837" t="str">
        <f t="shared" si="18"/>
        <v>CNTY1_2</v>
      </c>
      <c r="G13" s="838">
        <v>3</v>
      </c>
      <c r="H13" s="837" t="s">
        <v>980</v>
      </c>
      <c r="I13" s="837" t="str">
        <f>IF(INPUTS!C13="","",INPUTS!C13)</f>
        <v>Fixed broadband latency</v>
      </c>
      <c r="J13" s="837" t="str">
        <f>IF(INPUTS!D13="","",INPUTS!D13)</f>
        <v>Fixed broadband latency</v>
      </c>
      <c r="K13" s="837" t="str">
        <f>IF(INPUTS!E13="","",INPUTS!E13)</f>
        <v>1.2.4</v>
      </c>
      <c r="L13" s="837"/>
      <c r="M13" s="837" t="str">
        <f>IF(INPUTS!F13="","",INPUTS!F13)</f>
        <v xml:space="preserve">Time it takes for data or a request to go from the source to the destination when using fixed broadband. </v>
      </c>
      <c r="N13" s="821"/>
      <c r="O13" s="837" t="str">
        <f t="shared" ref="O13" si="21">IF(AG13=1,L13,M13)</f>
        <v xml:space="preserve">Time it takes for data or a request to go from the source to the destination when using fixed broadband. </v>
      </c>
      <c r="P13" s="837" t="str">
        <f>IF(INPUTS!I13="","",INPUTS!I13)</f>
        <v>Median latency in October 2021</v>
      </c>
      <c r="Q13" s="821"/>
      <c r="R13" s="821"/>
      <c r="S13" s="837" t="str">
        <f>IF(INPUTS!J13="","",INPUTS!J13)</f>
        <v>Ookla</v>
      </c>
      <c r="T13" s="821"/>
      <c r="U13" s="821"/>
      <c r="V13" s="833">
        <f t="shared" si="14"/>
        <v>4</v>
      </c>
      <c r="W13" s="837">
        <f>INPUTS!BC13</f>
        <v>2</v>
      </c>
      <c r="X13" s="838"/>
      <c r="Y13" s="837" t="s">
        <v>585</v>
      </c>
      <c r="Z13" s="837" t="str">
        <f>IF(INPUTS!K13="","",INPUTS!K13)</f>
        <v>ms</v>
      </c>
      <c r="AA13" s="837">
        <f>IF(INPUTS!L13="","",INPUTS!L13)</f>
        <v>2021</v>
      </c>
      <c r="AB13" s="837" t="str">
        <f>IF(INPUTS!M13="","",INPUTS!M13)</f>
        <v>Lowest = best</v>
      </c>
      <c r="AC13" s="837" t="str">
        <f t="shared" ref="AC13" si="22">CHOOSE(AD13+1,"#,##0","#,##0.0","#,##0.00","#,##0.000","#,##0.0000","#,##0.00000")</f>
        <v>#,##0</v>
      </c>
      <c r="AD13" s="837">
        <f>IF(INPUTS!N13="","",INPUTS!N13)</f>
        <v>0</v>
      </c>
      <c r="AE13" s="837">
        <v>2</v>
      </c>
      <c r="AF13" s="837">
        <f t="shared" si="1"/>
        <v>1</v>
      </c>
      <c r="AG13" s="857">
        <v>2</v>
      </c>
      <c r="AH13" s="837"/>
      <c r="AI13" s="850"/>
      <c r="AJ13" s="838">
        <v>0</v>
      </c>
      <c r="AK13" s="838">
        <v>0</v>
      </c>
      <c r="AL13" s="837" t="str">
        <f t="shared" ref="AL13" si="23">IF(H13="",I13,CONCATENATE(D13,") ",IF(G13&gt;=2,I13,UPPER(I13))))</f>
        <v>1.2.4) Fixed broadband latency</v>
      </c>
      <c r="AM13" s="837" t="str">
        <f t="shared" ref="AM13" si="24">IF(H13="",J13,CONCATENATE(D13,") ",IF(G13&gt;=2,J13,UPPER(J13))))</f>
        <v>1.2.4) Fixed broadband latency</v>
      </c>
      <c r="AN13" s="837" t="str">
        <f t="shared" ref="AN13" si="25">IF(H13="",K13,IF(G13=1,UPPER(K13),CONCATENATE(D13,") "&amp;K13)))</f>
        <v>1.2.4) 1.2.4</v>
      </c>
      <c r="AO13" s="837" t="str">
        <f>$AM$9</f>
        <v>1.2) Quality</v>
      </c>
      <c r="AP13" s="838">
        <f>MATCH($E13,Weights!$C$13:$C$106,0)</f>
        <v>39</v>
      </c>
      <c r="AQ13" s="838">
        <f>IF(ISERROR($AP13),1,INDEX(Weights!$G$13:$G$106,$AP13))</f>
        <v>2</v>
      </c>
      <c r="AR13" s="837">
        <f t="shared" si="9"/>
        <v>0.2142857142857143</v>
      </c>
      <c r="AS13" s="836">
        <v>1</v>
      </c>
      <c r="AT13" s="837" t="str">
        <f>IF(INPUTS!Q13="","",INPUTS!Q13)</f>
        <v/>
      </c>
      <c r="AU13" s="837" t="str">
        <f>IF(INPUTS!R13="","",INPUTS!R13)</f>
        <v/>
      </c>
      <c r="AV13" s="837" t="str">
        <f>IF(INPUTS!S13="","",INPUTS!S13)</f>
        <v/>
      </c>
      <c r="AW13" s="837" t="str">
        <f>IF(INPUTS!T13="","",INPUTS!T13)</f>
        <v/>
      </c>
      <c r="AX13" s="837" t="str">
        <f>IF(INPUTS!U13="","",INPUTS!U13)</f>
        <v/>
      </c>
      <c r="AY13" s="971"/>
      <c r="AZ13" s="867" t="str">
        <f t="shared" ref="AZ13" si="26">"Weighted: "&amp;ROUND(AR13*100,1)&amp;"%"</f>
        <v>Weighted: 21.4%</v>
      </c>
    </row>
    <row r="14" spans="1:52" ht="15" customHeight="1">
      <c r="A14" s="837">
        <f t="shared" si="3"/>
        <v>13</v>
      </c>
      <c r="B14" s="836">
        <v>0</v>
      </c>
      <c r="C14" s="836">
        <f t="shared" si="12"/>
        <v>1</v>
      </c>
      <c r="D14" s="835">
        <v>1.3</v>
      </c>
      <c r="E14" s="835" t="str">
        <f t="shared" si="11"/>
        <v>CNTY1_3</v>
      </c>
      <c r="F14" s="835" t="str">
        <f>$E$3</f>
        <v>CNTY</v>
      </c>
      <c r="G14" s="836">
        <v>2</v>
      </c>
      <c r="H14" s="835" t="s">
        <v>186</v>
      </c>
      <c r="I14" s="837" t="str">
        <f>IF(INPUTS!C14="","",INPUTS!C14)</f>
        <v>Affordability</v>
      </c>
      <c r="J14" s="837" t="str">
        <f>IF(INPUTS!D14="","",INPUTS!D14)</f>
        <v>Affordability</v>
      </c>
      <c r="K14" s="835" t="str">
        <f>IF(INPUTS!E14="","",INPUTS!E14)</f>
        <v>Affordability</v>
      </c>
      <c r="L14" s="837" t="str">
        <f>"The category score is the weighted sum of the following indicator scores:
"&amp;AM15&amp;" ("&amp;TEXT(AZ15,"0.0")&amp;")
"&amp;AM16&amp;" ("&amp;TEXT(AZ16,"0.0")&amp;")"</f>
        <v>The category score is the weighted sum of the following indicator scores:
1.3.1) Mobile data affordability (Weighted: 52.2%)
1.3.2) Fixed broadband affordability (Weighted: 47.8%)</v>
      </c>
      <c r="M14" s="837" t="str">
        <f>IF(INPUTS!F14="","",INPUTS!F14)</f>
        <v/>
      </c>
      <c r="N14" s="831"/>
      <c r="O14" s="837" t="str">
        <f t="shared" si="5"/>
        <v>The category score is the weighted sum of the following indicator scores:
1.3.1) Mobile data affordability (Weighted: 52.2%)
1.3.2) Fixed broadband affordability (Weighted: 47.8%)</v>
      </c>
      <c r="P14" s="837" t="str">
        <f>IF(INPUTS!I14="","",INPUTS!I14)</f>
        <v/>
      </c>
      <c r="Q14" s="831"/>
      <c r="R14" s="831"/>
      <c r="S14" s="835" t="str">
        <f>IF(INPUTS!J14="","",INPUTS!J14)</f>
        <v>Economist Impact calculation</v>
      </c>
      <c r="T14" s="831"/>
      <c r="U14" s="831"/>
      <c r="V14" s="832">
        <f t="shared" si="14"/>
        <v>4</v>
      </c>
      <c r="W14" s="837">
        <f>INPUTS!BC14</f>
        <v>1</v>
      </c>
      <c r="X14" s="836"/>
      <c r="Y14" s="835"/>
      <c r="Z14" s="837" t="str">
        <f>IF(INPUTS!K14="","",INPUTS!K14)</f>
        <v/>
      </c>
      <c r="AA14" s="837" t="str">
        <f>IF(INPUTS!L14="","",INPUTS!L14)</f>
        <v/>
      </c>
      <c r="AB14" s="531" t="s">
        <v>575</v>
      </c>
      <c r="AC14" s="835" t="str">
        <f t="shared" si="0"/>
        <v>#,##0.0</v>
      </c>
      <c r="AD14" s="837">
        <f>IF(INPUTS!N14="","",INPUTS!N14)</f>
        <v>1</v>
      </c>
      <c r="AE14" s="835">
        <v>2</v>
      </c>
      <c r="AF14" s="835">
        <f t="shared" si="1"/>
        <v>0</v>
      </c>
      <c r="AG14" s="856">
        <v>1</v>
      </c>
      <c r="AH14" s="835"/>
      <c r="AI14" s="849"/>
      <c r="AJ14" s="836">
        <v>0</v>
      </c>
      <c r="AK14" s="836">
        <v>0</v>
      </c>
      <c r="AL14" s="835" t="str">
        <f t="shared" si="15"/>
        <v>1.3) Affordability</v>
      </c>
      <c r="AM14" s="835" t="str">
        <f t="shared" si="16"/>
        <v>1.3) Affordability</v>
      </c>
      <c r="AN14" s="835" t="str">
        <f t="shared" si="17"/>
        <v>1.3) Affordability</v>
      </c>
      <c r="AO14" s="835" t="str">
        <f>$AM$3</f>
        <v>1) CONNECTIVITY</v>
      </c>
      <c r="AP14" s="836">
        <f>MATCH($E14,Weights!$C$13:$C$106,0)</f>
        <v>10</v>
      </c>
      <c r="AQ14" s="836">
        <f>IF(ISERROR($AP14),1,INDEX(Weights!$G$13:$G$106,$AP14))</f>
        <v>3</v>
      </c>
      <c r="AR14" s="835">
        <f t="shared" si="9"/>
        <v>0.33333333333333331</v>
      </c>
      <c r="AS14" s="836">
        <v>1</v>
      </c>
      <c r="AT14" s="837" t="str">
        <f>IF(INPUTS!Q14="","",INPUTS!Q14)</f>
        <v/>
      </c>
      <c r="AU14" s="837" t="str">
        <f>IF(INPUTS!R14="","",INPUTS!R14)</f>
        <v/>
      </c>
      <c r="AV14" s="837" t="str">
        <f>IF(INPUTS!S14="","",INPUTS!S14)</f>
        <v/>
      </c>
      <c r="AW14" s="837" t="str">
        <f>IF(INPUTS!T14="","",INPUTS!T14)</f>
        <v/>
      </c>
      <c r="AX14" s="837" t="str">
        <f>IF(INPUTS!U14="","",INPUTS!U14)</f>
        <v/>
      </c>
      <c r="AZ14" s="867" t="str">
        <f t="shared" si="10"/>
        <v>Weighted: 33.3%</v>
      </c>
    </row>
    <row r="15" spans="1:52" ht="15" customHeight="1">
      <c r="A15" s="837">
        <f t="shared" si="3"/>
        <v>14</v>
      </c>
      <c r="B15" s="838">
        <v>0</v>
      </c>
      <c r="C15" s="838">
        <f t="shared" si="12"/>
        <v>1</v>
      </c>
      <c r="D15" s="837" t="s">
        <v>385</v>
      </c>
      <c r="E15" s="837" t="str">
        <f t="shared" si="11"/>
        <v>CNTY1_3_1</v>
      </c>
      <c r="F15" s="837" t="str">
        <f>$E$14</f>
        <v>CNTY1_3</v>
      </c>
      <c r="G15" s="838">
        <v>3</v>
      </c>
      <c r="H15" s="837" t="s">
        <v>391</v>
      </c>
      <c r="I15" s="837" t="str">
        <f>IF(INPUTS!C15="","",INPUTS!C15)</f>
        <v>Mobile data affordability</v>
      </c>
      <c r="J15" s="837" t="str">
        <f>IF(INPUTS!D15="","",INPUTS!D15)</f>
        <v>Mobile data affordability</v>
      </c>
      <c r="K15" s="837" t="str">
        <f>IF(INPUTS!E15="","",INPUTS!E15)</f>
        <v>1.3.1</v>
      </c>
      <c r="L15" s="837"/>
      <c r="M15" s="837" t="str">
        <f>IF(INPUTS!F15="","",INPUTS!F15)</f>
        <v>Cost of 1GB of mobile data as a proportion of individual personal disposable income.</v>
      </c>
      <c r="N15" s="821"/>
      <c r="O15" s="837" t="str">
        <f t="shared" si="5"/>
        <v>Cost of 1GB of mobile data as a proportion of individual personal disposable income.</v>
      </c>
      <c r="P15" s="837" t="str">
        <f>IF(INPUTS!I15="","",INPUTS!I15)</f>
        <v>Average cost of mobile data as a percent of personal disposable income</v>
      </c>
      <c r="Q15" s="821"/>
      <c r="R15" s="821"/>
      <c r="S15" s="837" t="str">
        <f>IF(INPUTS!J15="","",INPUTS!J15)</f>
        <v>Cable, EIU</v>
      </c>
      <c r="T15" s="821"/>
      <c r="U15" s="821"/>
      <c r="V15" s="833">
        <f t="shared" si="14"/>
        <v>4</v>
      </c>
      <c r="W15" s="837">
        <f>INPUTS!BC15</f>
        <v>2</v>
      </c>
      <c r="X15" s="838"/>
      <c r="Y15" s="837" t="s">
        <v>585</v>
      </c>
      <c r="Z15" s="837" t="str">
        <f>IF(INPUTS!K15="","",INPUTS!K15)</f>
        <v>%</v>
      </c>
      <c r="AA15" s="837">
        <f>IF(INPUTS!L15="","",INPUTS!L15)</f>
        <v>2021</v>
      </c>
      <c r="AB15" s="837" t="str">
        <f>IF(INPUTS!M15="","",INPUTS!M15)</f>
        <v>Lowest = best</v>
      </c>
      <c r="AC15" s="837" t="str">
        <f t="shared" si="0"/>
        <v>#,##0.000</v>
      </c>
      <c r="AD15" s="837">
        <f>IF(INPUTS!N15="","",INPUTS!N15)</f>
        <v>3</v>
      </c>
      <c r="AE15" s="837">
        <v>2</v>
      </c>
      <c r="AF15" s="837">
        <f t="shared" si="1"/>
        <v>1</v>
      </c>
      <c r="AG15" s="857">
        <v>2</v>
      </c>
      <c r="AH15" s="837"/>
      <c r="AI15" s="850"/>
      <c r="AJ15" s="838">
        <v>0</v>
      </c>
      <c r="AK15" s="838">
        <v>0</v>
      </c>
      <c r="AL15" s="837" t="str">
        <f t="shared" si="15"/>
        <v>1.3.1) Mobile data affordability</v>
      </c>
      <c r="AM15" s="837" t="str">
        <f t="shared" si="16"/>
        <v>1.3.1) Mobile data affordability</v>
      </c>
      <c r="AN15" s="837" t="str">
        <f t="shared" si="17"/>
        <v>1.3.1) 1.3.1</v>
      </c>
      <c r="AO15" s="837" t="str">
        <f>$AM$14</f>
        <v>1.3) Affordability</v>
      </c>
      <c r="AP15" s="838">
        <f>MATCH($E15,Weights!$C$13:$C$106,0)</f>
        <v>41</v>
      </c>
      <c r="AQ15" s="838">
        <f>IF(ISERROR($AP15),1,INDEX(Weights!$G$13:$G$106,$AP15))</f>
        <v>4</v>
      </c>
      <c r="AR15" s="837">
        <f t="shared" si="9"/>
        <v>0.52171644711099519</v>
      </c>
      <c r="AS15" s="836">
        <v>1</v>
      </c>
      <c r="AT15" s="837" t="str">
        <f>IF(INPUTS!Q15="","",INPUTS!Q15)</f>
        <v/>
      </c>
      <c r="AU15" s="837" t="str">
        <f>IF(INPUTS!R15="","",INPUTS!R15)</f>
        <v/>
      </c>
      <c r="AV15" s="837" t="str">
        <f>IF(INPUTS!S15="","",INPUTS!S15)</f>
        <v/>
      </c>
      <c r="AW15" s="837" t="str">
        <f>IF(INPUTS!T15="","",INPUTS!T15)</f>
        <v/>
      </c>
      <c r="AX15" s="837" t="str">
        <f>IF(INPUTS!U15="","",INPUTS!U15)</f>
        <v/>
      </c>
      <c r="AZ15" s="867" t="str">
        <f t="shared" si="10"/>
        <v>Weighted: 52.2%</v>
      </c>
    </row>
    <row r="16" spans="1:52" ht="15" customHeight="1">
      <c r="A16" s="837">
        <f t="shared" si="3"/>
        <v>15</v>
      </c>
      <c r="B16" s="838">
        <v>0</v>
      </c>
      <c r="C16" s="838">
        <f t="shared" ref="C16" si="27">IFERROR(VALUE(LEFT(D16,1)),LEFT(D16,1))</f>
        <v>1</v>
      </c>
      <c r="D16" s="837" t="s">
        <v>386</v>
      </c>
      <c r="E16" s="837" t="str">
        <f t="shared" ref="E16" si="28">$E$3&amp;H16</f>
        <v>CNTY1_3_2</v>
      </c>
      <c r="F16" s="837" t="str">
        <f>$E$14</f>
        <v>CNTY1_3</v>
      </c>
      <c r="G16" s="838">
        <v>3</v>
      </c>
      <c r="H16" s="837" t="s">
        <v>392</v>
      </c>
      <c r="I16" s="837" t="str">
        <f>IF(INPUTS!C16="","",INPUTS!C16)</f>
        <v>Fixed broadband affordability</v>
      </c>
      <c r="J16" s="837" t="str">
        <f>IF(INPUTS!D16="","",INPUTS!D16)</f>
        <v>Fixed broadband affordability</v>
      </c>
      <c r="K16" s="837" t="str">
        <f>IF(INPUTS!E16="","",INPUTS!E16)</f>
        <v>1.3.2</v>
      </c>
      <c r="L16" s="837"/>
      <c r="M16" s="837" t="str">
        <f>IF(INPUTS!F16="","",INPUTS!F16)</f>
        <v>Cost of fixed line broadband subscriptions as a proportion of individual personal disposable income.</v>
      </c>
      <c r="N16" s="821"/>
      <c r="O16" s="837" t="str">
        <f t="shared" si="5"/>
        <v>Cost of fixed line broadband subscriptions as a proportion of individual personal disposable income.</v>
      </c>
      <c r="P16" s="837" t="str">
        <f>IF(INPUTS!I16="","",INPUTS!I16)</f>
        <v>Average cost of fixed broadband as a percent of personal disposable income</v>
      </c>
      <c r="Q16" s="821"/>
      <c r="R16" s="821"/>
      <c r="S16" s="837" t="str">
        <f>IF(INPUTS!J16="","",INPUTS!J16)</f>
        <v>EIU</v>
      </c>
      <c r="T16" s="821"/>
      <c r="U16" s="821"/>
      <c r="V16" s="833">
        <f t="shared" si="14"/>
        <v>4</v>
      </c>
      <c r="W16" s="837">
        <f>INPUTS!BC16</f>
        <v>2</v>
      </c>
      <c r="X16" s="838"/>
      <c r="Y16" s="837" t="s">
        <v>585</v>
      </c>
      <c r="Z16" s="837" t="str">
        <f>IF(INPUTS!K16="","",INPUTS!K16)</f>
        <v>%</v>
      </c>
      <c r="AA16" s="837">
        <f>IF(INPUTS!L16="","",INPUTS!L16)</f>
        <v>2021</v>
      </c>
      <c r="AB16" s="837" t="str">
        <f>IF(INPUTS!M16="","",INPUTS!M16)</f>
        <v>Lowest = best</v>
      </c>
      <c r="AC16" s="837" t="str">
        <f t="shared" si="0"/>
        <v>#,##0.00</v>
      </c>
      <c r="AD16" s="837">
        <f>IF(INPUTS!N16="","",INPUTS!N16)</f>
        <v>2</v>
      </c>
      <c r="AE16" s="837">
        <v>2</v>
      </c>
      <c r="AF16" s="837">
        <f t="shared" si="1"/>
        <v>1</v>
      </c>
      <c r="AG16" s="857">
        <v>2</v>
      </c>
      <c r="AH16" s="837"/>
      <c r="AI16" s="850"/>
      <c r="AJ16" s="838">
        <v>0</v>
      </c>
      <c r="AK16" s="838">
        <v>0</v>
      </c>
      <c r="AL16" s="837" t="str">
        <f t="shared" ref="AL16" si="29">IF(H16="",I16,CONCATENATE(D16,") ",IF(G16&gt;=2,I16,UPPER(I16))))</f>
        <v>1.3.2) Fixed broadband affordability</v>
      </c>
      <c r="AM16" s="837" t="str">
        <f t="shared" ref="AM16" si="30">IF(H16="",J16,CONCATENATE(D16,") ",IF(G16&gt;=2,J16,UPPER(J16))))</f>
        <v>1.3.2) Fixed broadband affordability</v>
      </c>
      <c r="AN16" s="837" t="str">
        <f t="shared" ref="AN16" si="31">IF(H16="",K16,IF(G16=1,UPPER(K16),CONCATENATE(D16,") "&amp;K16)))</f>
        <v>1.3.2) 1.3.2</v>
      </c>
      <c r="AO16" s="837" t="str">
        <f>$AM$14</f>
        <v>1.3) Affordability</v>
      </c>
      <c r="AP16" s="838">
        <f>MATCH($E16,Weights!$C$13:$C$106,0)</f>
        <v>42</v>
      </c>
      <c r="AQ16" s="838">
        <f>IF(ISERROR($AP16),1,INDEX(Weights!$G$13:$G$106,$AP16))</f>
        <v>3.6669999999999998</v>
      </c>
      <c r="AR16" s="837">
        <f t="shared" si="9"/>
        <v>0.47828355288900481</v>
      </c>
      <c r="AS16" s="836">
        <v>1</v>
      </c>
      <c r="AT16" s="837" t="str">
        <f>IF(INPUTS!Q16="","",INPUTS!Q16)</f>
        <v/>
      </c>
      <c r="AU16" s="837" t="str">
        <f>IF(INPUTS!R16="","",INPUTS!R16)</f>
        <v/>
      </c>
      <c r="AV16" s="837" t="str">
        <f>IF(INPUTS!S16="","",INPUTS!S16)</f>
        <v/>
      </c>
      <c r="AW16" s="837" t="str">
        <f>IF(INPUTS!T16="","",INPUTS!T16)</f>
        <v/>
      </c>
      <c r="AX16" s="837" t="str">
        <f>IF(INPUTS!U16="","",INPUTS!U16)</f>
        <v/>
      </c>
      <c r="AZ16" s="867" t="str">
        <f t="shared" si="10"/>
        <v>Weighted: 47.8%</v>
      </c>
    </row>
    <row r="17" spans="1:52" ht="15" customHeight="1">
      <c r="A17" s="837">
        <f t="shared" si="3"/>
        <v>16</v>
      </c>
      <c r="B17" s="838">
        <v>0</v>
      </c>
      <c r="C17" s="838">
        <f t="shared" si="12"/>
        <v>2</v>
      </c>
      <c r="D17" s="837">
        <v>2</v>
      </c>
      <c r="E17" s="837" t="s">
        <v>798</v>
      </c>
      <c r="F17" s="835" t="str">
        <f>$E$2</f>
        <v>OVERALL</v>
      </c>
      <c r="G17" s="838">
        <v>1</v>
      </c>
      <c r="H17" s="837">
        <v>2</v>
      </c>
      <c r="I17" s="837" t="str">
        <f>IF(INPUTS!C17="","",INPUTS!C17)</f>
        <v>Services</v>
      </c>
      <c r="J17" s="837" t="str">
        <f>IF(INPUTS!D17="","",INPUTS!D17)</f>
        <v>Services</v>
      </c>
      <c r="K17" s="837" t="str">
        <f>IF(INPUTS!E17="","",INPUTS!E17)</f>
        <v>Services</v>
      </c>
      <c r="L17" s="837" t="str">
        <f>"The domain score is the weighted sum of the following category scores:
"&amp;AM18&amp;" ("&amp;TEXT(AZ18,"0.0")&amp;")
"&amp;AM22&amp;" ("&amp;TEXT(AZ22,"0.0")&amp;")
"&amp;AM26&amp;" ("&amp;TEXT(AZ26,"0.0")&amp;")
"&amp;AM29&amp;" ("&amp;TEXT(AZ29,"0.0")&amp;")
"&amp;AM33&amp;" ("&amp;TEXT(AZ33,"0.0")&amp;")
"&amp;AM35&amp;" ("&amp;TEXT(AZ35,"0.0")&amp;")"</f>
        <v>The domain score is the weighted sum of the following category scores:
2.1) E-gov services for residents &amp; businesses (Weighted: 19.2%)
2.2) Digital finance (Weighted: 15.4%)
2.3) Transportation (Weighted: 19.2%)
2.4) Healthcare (Weighted: 15.4%)
2.5) Education (Weighted: 15.4%)
2.6) Retail and hospitality (Weighted: 15.4%)</v>
      </c>
      <c r="M17" s="837" t="str">
        <f>IF(INPUTS!F17="","",INPUTS!F17)</f>
        <v/>
      </c>
      <c r="N17" s="821"/>
      <c r="O17" s="837" t="str">
        <f t="shared" si="5"/>
        <v>The domain score is the weighted sum of the following category scores:
2.1) E-gov services for residents &amp; businesses (Weighted: 19.2%)
2.2) Digital finance (Weighted: 15.4%)
2.3) Transportation (Weighted: 19.2%)
2.4) Healthcare (Weighted: 15.4%)
2.5) Education (Weighted: 15.4%)
2.6) Retail and hospitality (Weighted: 15.4%)</v>
      </c>
      <c r="P17" s="837" t="str">
        <f>IF(INPUTS!I17="","",INPUTS!I17)</f>
        <v/>
      </c>
      <c r="Q17" s="821"/>
      <c r="R17" s="821"/>
      <c r="S17" s="837" t="str">
        <f>IF(INPUTS!J17="","",INPUTS!J17)</f>
        <v>Economist Impact calculation</v>
      </c>
      <c r="T17" s="821"/>
      <c r="U17" s="821"/>
      <c r="V17" s="833">
        <f t="shared" si="14"/>
        <v>4</v>
      </c>
      <c r="W17" s="837">
        <f>INPUTS!BC17</f>
        <v>1</v>
      </c>
      <c r="X17" s="838"/>
      <c r="Y17" s="837"/>
      <c r="Z17" s="837" t="str">
        <f>IF(INPUTS!K17="","",INPUTS!K17)</f>
        <v/>
      </c>
      <c r="AA17" s="837" t="str">
        <f>IF(INPUTS!L17="","",INPUTS!L17)</f>
        <v/>
      </c>
      <c r="AB17" s="531" t="s">
        <v>575</v>
      </c>
      <c r="AC17" s="837" t="str">
        <f t="shared" si="0"/>
        <v>#,##0.0</v>
      </c>
      <c r="AD17" s="837">
        <f>IF(INPUTS!N17="","",INPUTS!N17)</f>
        <v>1</v>
      </c>
      <c r="AE17" s="837">
        <v>2</v>
      </c>
      <c r="AF17" s="837">
        <f t="shared" si="1"/>
        <v>0</v>
      </c>
      <c r="AG17" s="857">
        <v>1</v>
      </c>
      <c r="AH17" s="837"/>
      <c r="AI17" s="850"/>
      <c r="AJ17" s="838">
        <v>0</v>
      </c>
      <c r="AK17" s="838">
        <v>0</v>
      </c>
      <c r="AL17" s="835" t="str">
        <f t="shared" si="15"/>
        <v>2) SERVICES</v>
      </c>
      <c r="AM17" s="835" t="str">
        <f t="shared" si="16"/>
        <v>2) SERVICES</v>
      </c>
      <c r="AN17" s="835" t="str">
        <f t="shared" si="17"/>
        <v>SERVICES</v>
      </c>
      <c r="AO17" s="835" t="str">
        <f>$AM$2</f>
        <v>OVERALL SCORE</v>
      </c>
      <c r="AP17" s="838">
        <f>MATCH($E17,Weights!$C$13:$C$106,0)</f>
        <v>2</v>
      </c>
      <c r="AQ17" s="838">
        <f>IF(ISERROR($AP17),1,INDEX(Weights!$G$13:$G$106,$AP17))</f>
        <v>28</v>
      </c>
      <c r="AR17" s="837">
        <f t="shared" si="9"/>
        <v>0.28000000000000003</v>
      </c>
      <c r="AS17" s="836">
        <v>1</v>
      </c>
      <c r="AT17" s="837" t="str">
        <f>IF(INPUTS!Q17="","",INPUTS!Q17)</f>
        <v/>
      </c>
      <c r="AU17" s="837" t="str">
        <f>IF(INPUTS!R17="","",INPUTS!R17)</f>
        <v/>
      </c>
      <c r="AV17" s="837" t="str">
        <f>IF(INPUTS!S17="","",INPUTS!S17)</f>
        <v/>
      </c>
      <c r="AW17" s="837" t="str">
        <f>IF(INPUTS!T17="","",INPUTS!T17)</f>
        <v/>
      </c>
      <c r="AX17" s="837" t="str">
        <f>IF(INPUTS!U17="","",INPUTS!U17)</f>
        <v/>
      </c>
      <c r="AZ17" s="867" t="str">
        <f t="shared" si="10"/>
        <v>Weighted: 28%</v>
      </c>
    </row>
    <row r="18" spans="1:52" ht="15" customHeight="1">
      <c r="A18" s="837">
        <f t="shared" si="3"/>
        <v>17</v>
      </c>
      <c r="B18" s="838">
        <v>0</v>
      </c>
      <c r="C18" s="838">
        <f t="shared" si="12"/>
        <v>2</v>
      </c>
      <c r="D18" s="837">
        <v>2.1</v>
      </c>
      <c r="E18" s="837" t="str">
        <f>$E$17&amp;H18</f>
        <v>SERV2_1</v>
      </c>
      <c r="F18" s="837" t="str">
        <f>$E$17</f>
        <v>SERV</v>
      </c>
      <c r="G18" s="838">
        <v>2</v>
      </c>
      <c r="H18" s="837" t="s">
        <v>187</v>
      </c>
      <c r="I18" s="837" t="str">
        <f>IF(INPUTS!C18="","",INPUTS!C18)</f>
        <v>E-gov services for residents &amp; businesses</v>
      </c>
      <c r="J18" s="837" t="str">
        <f>IF(INPUTS!D18="","",INPUTS!D18)</f>
        <v>E-gov services for residents &amp; businesses</v>
      </c>
      <c r="K18" s="837" t="str">
        <f>IF(INPUTS!E18="","",INPUTS!E18)</f>
        <v>E-gov services for residents &amp; businesses</v>
      </c>
      <c r="L18" s="837" t="str">
        <f>"The category score is the weighted sum of the following indicator scores:
"&amp;AM19&amp;" ("&amp;TEXT(AZ19,"0.0")&amp;")
"&amp;AM20&amp;" ("&amp;TEXT(AZ20,"0.0")&amp;")
"&amp;AM21&amp;" ("&amp;TEXT(AZ21,"0.0")&amp;")"</f>
        <v>The category score is the weighted sum of the following indicator scores:
2.1.1) Mobile digital national ID (Weighted: 32.1%)
2.1.2) E-gov service portal for residents (Weighted: 35.7%)
2.1.3) E-gov service portal for businesses (Weighted: 32.1%)</v>
      </c>
      <c r="M18" s="837" t="str">
        <f>IF(INPUTS!F18="","",INPUTS!F18)</f>
        <v/>
      </c>
      <c r="N18" s="821"/>
      <c r="O18" s="837" t="str">
        <f t="shared" si="5"/>
        <v>The category score is the weighted sum of the following indicator scores:
2.1.1) Mobile digital national ID (Weighted: 32.1%)
2.1.2) E-gov service portal for residents (Weighted: 35.7%)
2.1.3) E-gov service portal for businesses (Weighted: 32.1%)</v>
      </c>
      <c r="P18" s="837" t="str">
        <f>IF(INPUTS!I18="","",INPUTS!I18)</f>
        <v/>
      </c>
      <c r="Q18" s="821"/>
      <c r="R18" s="821"/>
      <c r="S18" s="837" t="str">
        <f>IF(INPUTS!J18="","",INPUTS!J18)</f>
        <v>Economist Impact calculation</v>
      </c>
      <c r="T18" s="821"/>
      <c r="U18" s="821"/>
      <c r="V18" s="833">
        <f t="shared" si="14"/>
        <v>4</v>
      </c>
      <c r="W18" s="837">
        <f>INPUTS!BC18</f>
        <v>1</v>
      </c>
      <c r="X18" s="838"/>
      <c r="Y18" s="837"/>
      <c r="Z18" s="837" t="str">
        <f>IF(INPUTS!K18="","",INPUTS!K18)</f>
        <v/>
      </c>
      <c r="AA18" s="837" t="str">
        <f>IF(INPUTS!L18="","",INPUTS!L18)</f>
        <v/>
      </c>
      <c r="AB18" s="531" t="s">
        <v>575</v>
      </c>
      <c r="AC18" s="837" t="str">
        <f t="shared" si="0"/>
        <v>#,##0.0</v>
      </c>
      <c r="AD18" s="837">
        <f>IF(INPUTS!N18="","",INPUTS!N18)</f>
        <v>1</v>
      </c>
      <c r="AE18" s="837">
        <v>2</v>
      </c>
      <c r="AF18" s="837">
        <f t="shared" si="1"/>
        <v>0</v>
      </c>
      <c r="AG18" s="857">
        <v>1</v>
      </c>
      <c r="AH18" s="837"/>
      <c r="AI18" s="850"/>
      <c r="AJ18" s="838">
        <v>0</v>
      </c>
      <c r="AK18" s="838">
        <v>0</v>
      </c>
      <c r="AL18" s="837" t="str">
        <f t="shared" si="15"/>
        <v>2.1) E-gov services for residents &amp; businesses</v>
      </c>
      <c r="AM18" s="837" t="str">
        <f t="shared" si="16"/>
        <v>2.1) E-gov services for residents &amp; businesses</v>
      </c>
      <c r="AN18" s="837" t="str">
        <f t="shared" si="17"/>
        <v>2.1) E-gov services for residents &amp; businesses</v>
      </c>
      <c r="AO18" s="837" t="str">
        <f>$AM$17</f>
        <v>2) SERVICES</v>
      </c>
      <c r="AP18" s="838">
        <f>MATCH($E18,Weights!$C$13:$C$106,0)</f>
        <v>12</v>
      </c>
      <c r="AQ18" s="838">
        <f>IF(ISERROR($AP18),1,INDEX(Weights!$G$13:$G$106,$AP18))</f>
        <v>5</v>
      </c>
      <c r="AR18" s="837">
        <f t="shared" si="9"/>
        <v>0.19230769230769232</v>
      </c>
      <c r="AS18" s="836">
        <v>1</v>
      </c>
      <c r="AT18" s="837" t="str">
        <f>IF(INPUTS!Q18="","",INPUTS!Q18)</f>
        <v/>
      </c>
      <c r="AU18" s="837" t="str">
        <f>IF(INPUTS!R18="","",INPUTS!R18)</f>
        <v/>
      </c>
      <c r="AV18" s="837" t="str">
        <f>IF(INPUTS!S18="","",INPUTS!S18)</f>
        <v/>
      </c>
      <c r="AW18" s="837" t="str">
        <f>IF(INPUTS!T18="","",INPUTS!T18)</f>
        <v/>
      </c>
      <c r="AX18" s="837" t="str">
        <f>IF(INPUTS!U18="","",INPUTS!U18)</f>
        <v/>
      </c>
      <c r="AZ18" s="867" t="str">
        <f t="shared" si="10"/>
        <v>Weighted: 19.2%</v>
      </c>
    </row>
    <row r="19" spans="1:52" ht="15" customHeight="1">
      <c r="A19" s="837">
        <f t="shared" si="3"/>
        <v>18</v>
      </c>
      <c r="B19" s="838">
        <v>0</v>
      </c>
      <c r="C19" s="838">
        <f t="shared" si="12"/>
        <v>2</v>
      </c>
      <c r="D19" s="837" t="s">
        <v>425</v>
      </c>
      <c r="E19" s="837" t="str">
        <f t="shared" ref="E19:E37" si="32">$E$17&amp;H19</f>
        <v>SERV2_1_1</v>
      </c>
      <c r="F19" s="837" t="str">
        <f>$E$18</f>
        <v>SERV2_1</v>
      </c>
      <c r="G19" s="838">
        <v>3</v>
      </c>
      <c r="H19" s="837" t="s">
        <v>508</v>
      </c>
      <c r="I19" s="837" t="str">
        <f>IF(INPUTS!C19="","",INPUTS!C19)</f>
        <v>Mobile digital national ID</v>
      </c>
      <c r="J19" s="837" t="str">
        <f>IF(INPUTS!D19="","",INPUTS!D19)</f>
        <v>Mobile digital national ID</v>
      </c>
      <c r="K19" s="837" t="str">
        <f>IF(INPUTS!E19="","",INPUTS!E19)</f>
        <v>2.1.1</v>
      </c>
      <c r="L19" s="837"/>
      <c r="M19" s="837" t="str">
        <f>IF(INPUTS!F19="","",INPUTS!F19)</f>
        <v>Assesses the availability of a digital national ID that can be accessed and displayed on a mobile device in the form of a scannable code or digital replica of the physical ID card, for the purpose of online and offline verification.</v>
      </c>
      <c r="N19" s="821"/>
      <c r="O19" s="837" t="str">
        <f t="shared" si="5"/>
        <v>Assesses the availability of a digital national ID that can be accessed and displayed on a mobile device in the form of a scannable code or digital replica of the physical ID card, for the purpose of online and offline verification.</v>
      </c>
      <c r="P19" s="837" t="str">
        <f>IF(INPUTS!I19="","",INPUTS!I19)</f>
        <v>Does the city have a mobile digital national ID?
0 - No evidence of a mobile digital national ID that is accepted as identification both online and in physical venues
1 - There is a mobile digital national ID that is accepted as identification both online and in physical venues</v>
      </c>
      <c r="Q19" s="821"/>
      <c r="R19" s="821"/>
      <c r="S19" s="837" t="str">
        <f>IF(INPUTS!J19="","",INPUTS!J19)</f>
        <v>Qualitative scoring by Economist Impact analysts</v>
      </c>
      <c r="T19" s="821"/>
      <c r="U19" s="821"/>
      <c r="V19" s="833">
        <f t="shared" si="14"/>
        <v>4</v>
      </c>
      <c r="W19" s="837">
        <f>INPUTS!BC19</f>
        <v>2</v>
      </c>
      <c r="X19" s="838"/>
      <c r="Y19" s="837" t="s">
        <v>584</v>
      </c>
      <c r="Z19" s="837" t="str">
        <f>IF(INPUTS!K19="","",INPUTS!K19)</f>
        <v>Scale (0-1)</v>
      </c>
      <c r="AA19" s="837">
        <f>IF(INPUTS!L19="","",INPUTS!L19)</f>
        <v>2021</v>
      </c>
      <c r="AB19" s="837" t="str">
        <f>IF(INPUTS!M19="","",INPUTS!M19)</f>
        <v>Highest = best</v>
      </c>
      <c r="AC19" s="837" t="str">
        <f t="shared" si="0"/>
        <v>#,##0</v>
      </c>
      <c r="AD19" s="837">
        <f>IF(INPUTS!N19="","",INPUTS!N19)</f>
        <v>0</v>
      </c>
      <c r="AE19" s="837">
        <v>2</v>
      </c>
      <c r="AF19" s="837">
        <f t="shared" si="1"/>
        <v>0</v>
      </c>
      <c r="AG19" s="857">
        <v>3</v>
      </c>
      <c r="AH19" s="837">
        <v>0</v>
      </c>
      <c r="AI19" s="850">
        <v>1</v>
      </c>
      <c r="AJ19" s="838">
        <v>0</v>
      </c>
      <c r="AK19" s="838">
        <v>0</v>
      </c>
      <c r="AL19" s="837" t="str">
        <f t="shared" si="15"/>
        <v>2.1.1) Mobile digital national ID</v>
      </c>
      <c r="AM19" s="837" t="str">
        <f t="shared" si="16"/>
        <v>2.1.1) Mobile digital national ID</v>
      </c>
      <c r="AN19" s="837" t="str">
        <f t="shared" si="17"/>
        <v>2.1.1) 2.1.1</v>
      </c>
      <c r="AO19" s="837" t="str">
        <f>$AM$18</f>
        <v>2.1) E-gov services for residents &amp; businesses</v>
      </c>
      <c r="AP19" s="838">
        <f>MATCH($E19,Weights!$C$13:$C$106,0)</f>
        <v>44</v>
      </c>
      <c r="AQ19" s="838">
        <f>IF(ISERROR($AP19),1,INDEX(Weights!$G$13:$G$106,$AP19))</f>
        <v>4.5</v>
      </c>
      <c r="AR19" s="837">
        <f t="shared" si="9"/>
        <v>0.32142857142857145</v>
      </c>
      <c r="AS19" s="836">
        <v>2</v>
      </c>
      <c r="AT19" s="837" t="str">
        <f>IF(INPUTS!Q19="","",INPUTS!Q19)</f>
        <v>Has a mobile digital ID</v>
      </c>
      <c r="AU19" s="837" t="str">
        <f>IF(INPUTS!R19="","",INPUTS!R19)</f>
        <v xml:space="preserve">No evidence of a mobile digital ID for online and offline use </v>
      </c>
      <c r="AV19" s="837" t="str">
        <f>IF(INPUTS!S19="","",INPUTS!S19)</f>
        <v/>
      </c>
      <c r="AW19" s="837" t="str">
        <f>IF(INPUTS!T19="","",INPUTS!T19)</f>
        <v/>
      </c>
      <c r="AX19" s="837" t="str">
        <f>IF(INPUTS!U19="","",INPUTS!U19)</f>
        <v/>
      </c>
      <c r="AZ19" s="867" t="str">
        <f t="shared" si="10"/>
        <v>Weighted: 32.1%</v>
      </c>
    </row>
    <row r="20" spans="1:52" ht="15" customHeight="1">
      <c r="A20" s="837">
        <f t="shared" si="3"/>
        <v>19</v>
      </c>
      <c r="B20" s="838">
        <v>0</v>
      </c>
      <c r="C20" s="838">
        <f t="shared" si="12"/>
        <v>2</v>
      </c>
      <c r="D20" s="837" t="s">
        <v>426</v>
      </c>
      <c r="E20" s="837" t="str">
        <f t="shared" si="32"/>
        <v>SERV2_1_2</v>
      </c>
      <c r="F20" s="837" t="str">
        <f t="shared" ref="F20:F21" si="33">$E$18</f>
        <v>SERV2_1</v>
      </c>
      <c r="G20" s="838">
        <v>3</v>
      </c>
      <c r="H20" s="837" t="s">
        <v>509</v>
      </c>
      <c r="I20" s="837" t="str">
        <f>IF(INPUTS!C20="","",INPUTS!C20)</f>
        <v>E-gov service portal for residents</v>
      </c>
      <c r="J20" s="837" t="str">
        <f>IF(INPUTS!D20="","",INPUTS!D20)</f>
        <v>E-gov service portal for residents</v>
      </c>
      <c r="K20" s="837" t="str">
        <f>IF(INPUTS!E20="","",INPUTS!E20)</f>
        <v>2.1.2</v>
      </c>
      <c r="L20" s="837"/>
      <c r="M20" s="837" t="str">
        <f>IF(INPUTS!F20="","",INPUTS!F20)</f>
        <v>Assesses whether a country provides its residents with information about laws, policies; platforms offering help links, tutorials on online tools, online skills development; and functionalities that allow for the use of e-services like application for visas, ID cards and social protection.</v>
      </c>
      <c r="N20" s="821"/>
      <c r="O20" s="837" t="str">
        <f t="shared" si="5"/>
        <v>Assesses whether a country provides its residents with information about laws, policies; platforms offering help links, tutorials on online tools, online skills development; and functionalities that allow for the use of e-services like application for visas, ID cards and social protection.</v>
      </c>
      <c r="P20" s="837" t="str">
        <f>IF(INPUTS!I20="","",INPUTS!I20)</f>
        <v xml:space="preserve">This indicator assesses the e-government portals of countries using the Online Service Index (OSI) which measures the scope and quality of online services on a scale of 0 to 1, where 1 indicates the highest score. The OSI is a composite indicator measuring the use of information and communications technology (ICT) by Governments for the delivery of public services at the national level. </v>
      </c>
      <c r="Q20" s="821"/>
      <c r="R20" s="821"/>
      <c r="S20" s="837" t="str">
        <f>IF(INPUTS!J20="","",INPUTS!J20)</f>
        <v>United Nations Division for Public Institutions and Digital Government</v>
      </c>
      <c r="T20" s="821"/>
      <c r="U20" s="821"/>
      <c r="V20" s="833">
        <f t="shared" si="14"/>
        <v>4</v>
      </c>
      <c r="W20" s="837">
        <f>INPUTS!BC20</f>
        <v>2</v>
      </c>
      <c r="X20" s="838"/>
      <c r="Y20" s="837" t="s">
        <v>584</v>
      </c>
      <c r="Z20" s="837" t="str">
        <f>IF(INPUTS!K20="","",INPUTS!K20)</f>
        <v>Scale (0-1)</v>
      </c>
      <c r="AA20" s="837">
        <f>IF(INPUTS!L20="","",INPUTS!L20)</f>
        <v>2020</v>
      </c>
      <c r="AB20" s="837" t="str">
        <f>IF(INPUTS!M20="","",INPUTS!M20)</f>
        <v>Highest = best</v>
      </c>
      <c r="AC20" s="837" t="str">
        <f t="shared" si="0"/>
        <v>#,##0.000</v>
      </c>
      <c r="AD20" s="837">
        <f>IF(INPUTS!N20="","",INPUTS!N20)</f>
        <v>3</v>
      </c>
      <c r="AE20" s="837">
        <v>2</v>
      </c>
      <c r="AF20" s="837">
        <f t="shared" si="1"/>
        <v>0</v>
      </c>
      <c r="AG20" s="857">
        <v>3</v>
      </c>
      <c r="AH20" s="837">
        <v>0</v>
      </c>
      <c r="AI20" s="850">
        <v>1</v>
      </c>
      <c r="AJ20" s="838">
        <v>0</v>
      </c>
      <c r="AK20" s="838">
        <v>0</v>
      </c>
      <c r="AL20" s="837" t="str">
        <f t="shared" si="15"/>
        <v>2.1.2) E-gov service portal for residents</v>
      </c>
      <c r="AM20" s="837" t="str">
        <f t="shared" si="16"/>
        <v>2.1.2) E-gov service portal for residents</v>
      </c>
      <c r="AN20" s="837" t="str">
        <f t="shared" si="17"/>
        <v>2.1.2) 2.1.2</v>
      </c>
      <c r="AO20" s="837" t="str">
        <f>$AM$18</f>
        <v>2.1) E-gov services for residents &amp; businesses</v>
      </c>
      <c r="AP20" s="838">
        <f>MATCH($E20,Weights!$C$13:$C$106,0)</f>
        <v>45</v>
      </c>
      <c r="AQ20" s="838">
        <f>IF(ISERROR($AP20),1,INDEX(Weights!$G$13:$G$106,$AP20))</f>
        <v>5</v>
      </c>
      <c r="AR20" s="837">
        <f t="shared" si="9"/>
        <v>0.35714285714285715</v>
      </c>
      <c r="AS20" s="836">
        <v>1</v>
      </c>
      <c r="AT20" s="837" t="str">
        <f>IF(INPUTS!Q20="","",INPUTS!Q20)</f>
        <v/>
      </c>
      <c r="AU20" s="837" t="str">
        <f>IF(INPUTS!R20="","",INPUTS!R20)</f>
        <v/>
      </c>
      <c r="AV20" s="837" t="str">
        <f>IF(INPUTS!S20="","",INPUTS!S20)</f>
        <v/>
      </c>
      <c r="AW20" s="837" t="str">
        <f>IF(INPUTS!T20="","",INPUTS!T20)</f>
        <v/>
      </c>
      <c r="AX20" s="837" t="str">
        <f>IF(INPUTS!U20="","",INPUTS!U20)</f>
        <v/>
      </c>
      <c r="AZ20" s="867" t="str">
        <f t="shared" si="10"/>
        <v>Weighted: 35.7%</v>
      </c>
    </row>
    <row r="21" spans="1:52" s="843" customFormat="1" ht="15" customHeight="1">
      <c r="A21" s="837">
        <f t="shared" si="3"/>
        <v>20</v>
      </c>
      <c r="B21" s="838">
        <v>0</v>
      </c>
      <c r="C21" s="838">
        <f t="shared" si="12"/>
        <v>2</v>
      </c>
      <c r="D21" s="837" t="s">
        <v>724</v>
      </c>
      <c r="E21" s="837" t="str">
        <f t="shared" si="32"/>
        <v>SERV2_1_3</v>
      </c>
      <c r="F21" s="837" t="str">
        <f t="shared" si="33"/>
        <v>SERV2_1</v>
      </c>
      <c r="G21" s="838">
        <v>3</v>
      </c>
      <c r="H21" s="837" t="s">
        <v>741</v>
      </c>
      <c r="I21" s="837" t="str">
        <f>IF(INPUTS!C21="","",INPUTS!C21)</f>
        <v>E-gov service portal for businesses</v>
      </c>
      <c r="J21" s="837" t="str">
        <f>IF(INPUTS!D21="","",INPUTS!D21)</f>
        <v>E-gov service portal for businesses</v>
      </c>
      <c r="K21" s="837" t="str">
        <f>IF(INPUTS!E21="","",INPUTS!E21)</f>
        <v>2.1.3</v>
      </c>
      <c r="L21" s="837"/>
      <c r="M21" s="837" t="str">
        <f>IF(INPUTS!F21="","",INPUTS!F21)</f>
        <v xml:space="preserve">Assesses official government portals for business functions such as digital or remote business registration, payment of duties and grant applications. </v>
      </c>
      <c r="N21" s="841"/>
      <c r="O21" s="837" t="str">
        <f t="shared" si="5"/>
        <v xml:space="preserve">Assesses official government portals for business functions such as digital or remote business registration, payment of duties and grant applications. </v>
      </c>
      <c r="P21" s="837" t="str">
        <f>IF(INPUTS!I21="","",INPUTS!I21)</f>
        <v>Does the city have online government portals to carry out and assist in business functions like registration, payment of grants and duties etc.?
0 - No official portals for businesses available
1 - Has official portals but only for providing information/FAQ or redirecting queries
2 - Has official portals with actual functionality to carry out the process online</v>
      </c>
      <c r="Q21" s="841"/>
      <c r="R21" s="841"/>
      <c r="S21" s="837" t="str">
        <f>IF(INPUTS!J21="","",INPUTS!J21)</f>
        <v>Qualitative scoring by Economist Impact analysts</v>
      </c>
      <c r="T21" s="841"/>
      <c r="U21" s="841"/>
      <c r="V21" s="842">
        <f t="shared" si="14"/>
        <v>4</v>
      </c>
      <c r="W21" s="837">
        <f>INPUTS!BC21</f>
        <v>2</v>
      </c>
      <c r="X21" s="838"/>
      <c r="Y21" s="837" t="s">
        <v>584</v>
      </c>
      <c r="Z21" s="837" t="str">
        <f>IF(INPUTS!K21="","",INPUTS!K21)</f>
        <v>Scale (0-2)</v>
      </c>
      <c r="AA21" s="837">
        <f>IF(INPUTS!L21="","",INPUTS!L21)</f>
        <v>2021</v>
      </c>
      <c r="AB21" s="837" t="str">
        <f>IF(INPUTS!M21="","",INPUTS!M21)</f>
        <v>Highest = best</v>
      </c>
      <c r="AC21" s="837" t="str">
        <f t="shared" si="0"/>
        <v>#,##0</v>
      </c>
      <c r="AD21" s="837">
        <f>IF(INPUTS!N21="","",INPUTS!N21)</f>
        <v>0</v>
      </c>
      <c r="AE21" s="837">
        <v>2</v>
      </c>
      <c r="AF21" s="837">
        <f t="shared" si="1"/>
        <v>0</v>
      </c>
      <c r="AG21" s="857">
        <v>3</v>
      </c>
      <c r="AH21" s="837">
        <v>0</v>
      </c>
      <c r="AI21" s="850">
        <v>2</v>
      </c>
      <c r="AJ21" s="838">
        <v>0</v>
      </c>
      <c r="AK21" s="838">
        <v>0</v>
      </c>
      <c r="AL21" s="837" t="str">
        <f t="shared" ref="AL21" si="34">IF(H21="",I21,CONCATENATE(D21,") ",IF(G21&gt;=2,I21,UPPER(I21))))</f>
        <v>2.1.3) E-gov service portal for businesses</v>
      </c>
      <c r="AM21" s="837" t="str">
        <f t="shared" ref="AM21" si="35">IF(H21="",J21,CONCATENATE(D21,") ",IF(G21&gt;=2,J21,UPPER(J21))))</f>
        <v>2.1.3) E-gov service portal for businesses</v>
      </c>
      <c r="AN21" s="837" t="str">
        <f t="shared" ref="AN21" si="36">IF(H21="",K21,IF(G21=1,UPPER(K21),CONCATENATE(D21,") "&amp;K21)))</f>
        <v>2.1.3) 2.1.3</v>
      </c>
      <c r="AO21" s="837" t="str">
        <f>$AM$18</f>
        <v>2.1) E-gov services for residents &amp; businesses</v>
      </c>
      <c r="AP21" s="838">
        <f>MATCH($E21,Weights!$C$13:$C$106,0)</f>
        <v>46</v>
      </c>
      <c r="AQ21" s="838">
        <f>IF(ISERROR($AP21),1,INDEX(Weights!$G$13:$G$106,$AP21))</f>
        <v>4.5</v>
      </c>
      <c r="AR21" s="837">
        <f t="shared" si="9"/>
        <v>0.32142857142857145</v>
      </c>
      <c r="AS21" s="836">
        <v>3</v>
      </c>
      <c r="AT21" s="837" t="str">
        <f>IF(INPUTS!Q21="","",INPUTS!Q21)</f>
        <v>Has official portals with actual functionality to carry out the process online</v>
      </c>
      <c r="AU21" s="837" t="str">
        <f>IF(INPUTS!R21="","",INPUTS!R21)</f>
        <v>Has official portals but only for providing information/FAQ or redirecting queries</v>
      </c>
      <c r="AV21" s="837" t="str">
        <f>IF(INPUTS!S21="","",INPUTS!S21)</f>
        <v>No official portals for businesses available</v>
      </c>
      <c r="AW21" s="837" t="str">
        <f>IF(INPUTS!T21="","",INPUTS!T21)</f>
        <v/>
      </c>
      <c r="AX21" s="837" t="str">
        <f>IF(INPUTS!U21="","",INPUTS!U21)</f>
        <v/>
      </c>
      <c r="AY21" s="973"/>
      <c r="AZ21" s="867" t="str">
        <f t="shared" si="10"/>
        <v>Weighted: 32.1%</v>
      </c>
    </row>
    <row r="22" spans="1:52" ht="15" customHeight="1">
      <c r="A22" s="835">
        <f t="shared" si="3"/>
        <v>21</v>
      </c>
      <c r="B22" s="836">
        <v>0</v>
      </c>
      <c r="C22" s="836">
        <f t="shared" si="12"/>
        <v>2</v>
      </c>
      <c r="D22" s="835">
        <v>2.2000000000000002</v>
      </c>
      <c r="E22" s="835" t="str">
        <f t="shared" si="32"/>
        <v>SERV2_2</v>
      </c>
      <c r="F22" s="837" t="str">
        <f>$E$17</f>
        <v>SERV</v>
      </c>
      <c r="G22" s="836">
        <v>2</v>
      </c>
      <c r="H22" s="835" t="s">
        <v>227</v>
      </c>
      <c r="I22" s="837" t="str">
        <f>IF(INPUTS!C22="","",INPUTS!C22)</f>
        <v>Digital finance</v>
      </c>
      <c r="J22" s="837" t="str">
        <f>IF(INPUTS!D22="","",INPUTS!D22)</f>
        <v>Digital finance</v>
      </c>
      <c r="K22" s="835" t="str">
        <f>IF(INPUTS!E22="","",INPUTS!E22)</f>
        <v>Digital finance - fintech</v>
      </c>
      <c r="L22" s="837" t="str">
        <f>"The category score is the weighted sum of the following indicator scores:
"&amp;AM23&amp;" ("&amp;TEXT(AZ23,"0.0")&amp;")
"&amp;AM24&amp;" ("&amp;TEXT(AZ24,"0.0")&amp;")
"&amp;AM25&amp;" ("&amp;TEXT(AZ25,"0.0")&amp;")"</f>
        <v>The category score is the weighted sum of the following indicator scores:
2.2.1) Digital platforms for banking and personal finance (Weighted: 34.3%)
2.2.2) Digital investment management tools (Weighted: 22.9%)
2.2.3) E-payments (Weighted: 42.9%)</v>
      </c>
      <c r="M22" s="837" t="str">
        <f>IF(INPUTS!F22="","",INPUTS!F22)</f>
        <v/>
      </c>
      <c r="N22" s="831"/>
      <c r="O22" s="837" t="str">
        <f t="shared" si="5"/>
        <v>The category score is the weighted sum of the following indicator scores:
2.2.1) Digital platforms for banking and personal finance (Weighted: 34.3%)
2.2.2) Digital investment management tools (Weighted: 22.9%)
2.2.3) E-payments (Weighted: 42.9%)</v>
      </c>
      <c r="P22" s="837" t="str">
        <f>IF(INPUTS!I22="","",INPUTS!I22)</f>
        <v/>
      </c>
      <c r="Q22" s="831"/>
      <c r="R22" s="831"/>
      <c r="S22" s="835" t="str">
        <f>IF(INPUTS!J22="","",INPUTS!J22)</f>
        <v>Economist Impact calculation</v>
      </c>
      <c r="T22" s="831"/>
      <c r="U22" s="831"/>
      <c r="V22" s="832">
        <f t="shared" si="14"/>
        <v>4</v>
      </c>
      <c r="W22" s="837">
        <f>INPUTS!BC22</f>
        <v>1</v>
      </c>
      <c r="X22" s="836"/>
      <c r="Y22" s="835"/>
      <c r="Z22" s="837" t="str">
        <f>IF(INPUTS!K22="","",INPUTS!K22)</f>
        <v/>
      </c>
      <c r="AA22" s="837" t="str">
        <f>IF(INPUTS!L22="","",INPUTS!L22)</f>
        <v/>
      </c>
      <c r="AB22" s="531" t="s">
        <v>575</v>
      </c>
      <c r="AC22" s="835" t="str">
        <f t="shared" si="0"/>
        <v>#,##0.0</v>
      </c>
      <c r="AD22" s="837">
        <f>IF(INPUTS!N22="","",INPUTS!N22)</f>
        <v>1</v>
      </c>
      <c r="AE22" s="835">
        <v>2</v>
      </c>
      <c r="AF22" s="835">
        <f t="shared" si="1"/>
        <v>0</v>
      </c>
      <c r="AG22" s="856">
        <v>1</v>
      </c>
      <c r="AH22" s="835"/>
      <c r="AI22" s="849"/>
      <c r="AJ22" s="836">
        <v>0</v>
      </c>
      <c r="AK22" s="836">
        <v>0</v>
      </c>
      <c r="AL22" s="837" t="str">
        <f t="shared" si="15"/>
        <v>2.2) Digital finance</v>
      </c>
      <c r="AM22" s="837" t="str">
        <f t="shared" si="16"/>
        <v>2.2) Digital finance</v>
      </c>
      <c r="AN22" s="837" t="str">
        <f t="shared" si="17"/>
        <v>2.2) Digital finance - fintech</v>
      </c>
      <c r="AO22" s="837" t="str">
        <f>$AM$17</f>
        <v>2) SERVICES</v>
      </c>
      <c r="AP22" s="836">
        <f>MATCH($E22,Weights!$C$13:$C$106,0)</f>
        <v>13</v>
      </c>
      <c r="AQ22" s="836">
        <f>IF(ISERROR($AP22),1,INDEX(Weights!$G$13:$G$106,$AP22))</f>
        <v>4</v>
      </c>
      <c r="AR22" s="835">
        <f t="shared" si="9"/>
        <v>0.15384615384615385</v>
      </c>
      <c r="AS22" s="836">
        <v>1</v>
      </c>
      <c r="AT22" s="837" t="str">
        <f>IF(INPUTS!Q22="","",INPUTS!Q22)</f>
        <v/>
      </c>
      <c r="AU22" s="837" t="str">
        <f>IF(INPUTS!R22="","",INPUTS!R22)</f>
        <v/>
      </c>
      <c r="AV22" s="837" t="str">
        <f>IF(INPUTS!S22="","",INPUTS!S22)</f>
        <v/>
      </c>
      <c r="AW22" s="837" t="str">
        <f>IF(INPUTS!T22="","",INPUTS!T22)</f>
        <v/>
      </c>
      <c r="AX22" s="837" t="str">
        <f>IF(INPUTS!U22="","",INPUTS!U22)</f>
        <v/>
      </c>
      <c r="AZ22" s="867" t="str">
        <f t="shared" si="10"/>
        <v>Weighted: 15.4%</v>
      </c>
    </row>
    <row r="23" spans="1:52" ht="15" customHeight="1">
      <c r="A23" s="837">
        <f t="shared" si="3"/>
        <v>22</v>
      </c>
      <c r="B23" s="838">
        <v>0</v>
      </c>
      <c r="C23" s="838">
        <f t="shared" si="12"/>
        <v>2</v>
      </c>
      <c r="D23" s="837" t="s">
        <v>427</v>
      </c>
      <c r="E23" s="837" t="str">
        <f t="shared" si="32"/>
        <v>SERV2_2_1</v>
      </c>
      <c r="F23" s="837" t="str">
        <f>$E$22</f>
        <v>SERV2_2</v>
      </c>
      <c r="G23" s="838">
        <v>3</v>
      </c>
      <c r="H23" s="837" t="s">
        <v>510</v>
      </c>
      <c r="I23" s="837" t="str">
        <f>IF(INPUTS!C23="","",INPUTS!C23)</f>
        <v>Digital platforms for banking and personal finance</v>
      </c>
      <c r="J23" s="837" t="str">
        <f>IF(INPUTS!D23="","",INPUTS!D23)</f>
        <v>Digital platforms for banking and personal finance</v>
      </c>
      <c r="K23" s="837" t="str">
        <f>IF(INPUTS!E23="","",INPUTS!E23)</f>
        <v>2.2.1</v>
      </c>
      <c r="L23" s="837"/>
      <c r="M23" s="837" t="str">
        <f>IF(INPUTS!F23="","",INPUTS!F23)</f>
        <v>Apps or digital platforms that replace the traditional functions of banking such as deposit, withdrawal, loans, monitoring spending in a current account.</v>
      </c>
      <c r="N23" s="821"/>
      <c r="O23" s="837" t="str">
        <f t="shared" si="5"/>
        <v>Apps or digital platforms that replace the traditional functions of banking such as deposit, withdrawal, loans, monitoring spending in a current account.</v>
      </c>
      <c r="P23" s="837" t="str">
        <f>IF(INPUTS!I23="","",INPUTS!I23)</f>
        <v xml:space="preserve">Adoption rates and satisfaction levels of digital banking and personal finance tools by city residents </v>
      </c>
      <c r="Q23" s="821"/>
      <c r="R23" s="821"/>
      <c r="S23" s="837" t="str">
        <f>IF(INPUTS!J23="","",INPUTS!J23)</f>
        <v>Economist Impact survey</v>
      </c>
      <c r="T23" s="821"/>
      <c r="U23" s="821"/>
      <c r="V23" s="833">
        <f t="shared" si="14"/>
        <v>4</v>
      </c>
      <c r="W23" s="837">
        <f>INPUTS!BC23</f>
        <v>2</v>
      </c>
      <c r="X23" s="838"/>
      <c r="Y23" s="837" t="s">
        <v>585</v>
      </c>
      <c r="Z23" s="837" t="str">
        <f>IF(INPUTS!K23="","",INPUTS!K23)</f>
        <v>%</v>
      </c>
      <c r="AA23" s="837">
        <f>IF(INPUTS!L23="","",INPUTS!L23)</f>
        <v>2021</v>
      </c>
      <c r="AB23" s="837" t="str">
        <f>IF(INPUTS!M23="","",INPUTS!M23)</f>
        <v>Highest = best</v>
      </c>
      <c r="AC23" s="837" t="str">
        <f t="shared" si="0"/>
        <v>#,##0</v>
      </c>
      <c r="AD23" s="837">
        <f>IF(INPUTS!N23="","",INPUTS!N23)</f>
        <v>0</v>
      </c>
      <c r="AE23" s="837">
        <v>2</v>
      </c>
      <c r="AF23" s="837">
        <f t="shared" si="1"/>
        <v>0</v>
      </c>
      <c r="AG23" s="857">
        <v>2</v>
      </c>
      <c r="AH23" s="837"/>
      <c r="AI23" s="850"/>
      <c r="AJ23" s="838">
        <v>0</v>
      </c>
      <c r="AK23" s="838">
        <v>0</v>
      </c>
      <c r="AL23" s="837" t="str">
        <f t="shared" si="15"/>
        <v>2.2.1) Digital platforms for banking and personal finance</v>
      </c>
      <c r="AM23" s="837" t="str">
        <f t="shared" si="16"/>
        <v>2.2.1) Digital platforms for banking and personal finance</v>
      </c>
      <c r="AN23" s="837" t="str">
        <f t="shared" si="17"/>
        <v>2.2.1) 2.2.1</v>
      </c>
      <c r="AO23" s="837" t="str">
        <f>$AM$22</f>
        <v>2.2) Digital finance</v>
      </c>
      <c r="AP23" s="838">
        <f>MATCH($E23,Weights!$C$13:$C$106,0)</f>
        <v>48</v>
      </c>
      <c r="AQ23" s="838">
        <f>IF(ISERROR($AP23),1,INDEX(Weights!$G$13:$G$106,$AP23))</f>
        <v>4</v>
      </c>
      <c r="AR23" s="837">
        <f t="shared" si="9"/>
        <v>0.34285714285714286</v>
      </c>
      <c r="AS23" s="836">
        <v>1</v>
      </c>
      <c r="AT23" s="837" t="str">
        <f>IF(INPUTS!Q23="","",INPUTS!Q23)</f>
        <v/>
      </c>
      <c r="AU23" s="837" t="str">
        <f>IF(INPUTS!R23="","",INPUTS!R23)</f>
        <v/>
      </c>
      <c r="AV23" s="837" t="str">
        <f>IF(INPUTS!S23="","",INPUTS!S23)</f>
        <v/>
      </c>
      <c r="AW23" s="837" t="str">
        <f>IF(INPUTS!T23="","",INPUTS!T23)</f>
        <v/>
      </c>
      <c r="AX23" s="837" t="str">
        <f>IF(INPUTS!U23="","",INPUTS!U23)</f>
        <v/>
      </c>
      <c r="AZ23" s="867" t="str">
        <f t="shared" si="10"/>
        <v>Weighted: 34.3%</v>
      </c>
    </row>
    <row r="24" spans="1:52" ht="15" customHeight="1">
      <c r="A24" s="837">
        <f t="shared" si="3"/>
        <v>23</v>
      </c>
      <c r="B24" s="838">
        <v>0</v>
      </c>
      <c r="C24" s="838">
        <f t="shared" si="12"/>
        <v>2</v>
      </c>
      <c r="D24" s="837" t="s">
        <v>428</v>
      </c>
      <c r="E24" s="837" t="str">
        <f t="shared" si="32"/>
        <v>SERV2_2_2</v>
      </c>
      <c r="F24" s="837" t="str">
        <f t="shared" ref="F24:F25" si="37">$E$22</f>
        <v>SERV2_2</v>
      </c>
      <c r="G24" s="838">
        <v>3</v>
      </c>
      <c r="H24" s="837" t="s">
        <v>511</v>
      </c>
      <c r="I24" s="837" t="str">
        <f>IF(INPUTS!C24="","",INPUTS!C24)</f>
        <v>Digital investment management tools</v>
      </c>
      <c r="J24" s="837" t="str">
        <f>IF(INPUTS!D24="","",INPUTS!D24)</f>
        <v>Digital investment management tools</v>
      </c>
      <c r="K24" s="837" t="str">
        <f>IF(INPUTS!E24="","",INPUTS!E24)</f>
        <v>2.2.2</v>
      </c>
      <c r="L24" s="837"/>
      <c r="M24" s="837" t="str">
        <f>IF(INPUTS!F24="","",INPUTS!F24)</f>
        <v>Apps or digital platforms for individuals to access financial markets and manage a personal investment portfolio of equities, bonds, mutual funds or similar financial instruments.</v>
      </c>
      <c r="N24" s="821"/>
      <c r="O24" s="837" t="str">
        <f t="shared" si="5"/>
        <v>Apps or digital platforms for individuals to access financial markets and manage a personal investment portfolio of equities, bonds, mutual funds or similar financial instruments.</v>
      </c>
      <c r="P24" s="837" t="str">
        <f>IF(INPUTS!I24="","",INPUTS!I24)</f>
        <v xml:space="preserve">Adoption rates and satisfaction levels of digital investment management tools by city residents </v>
      </c>
      <c r="Q24" s="821"/>
      <c r="R24" s="821"/>
      <c r="S24" s="837" t="str">
        <f>IF(INPUTS!J24="","",INPUTS!J24)</f>
        <v>Economist Impact survey</v>
      </c>
      <c r="T24" s="821"/>
      <c r="U24" s="821"/>
      <c r="V24" s="833">
        <f t="shared" si="14"/>
        <v>4</v>
      </c>
      <c r="W24" s="837">
        <f>INPUTS!BC24</f>
        <v>2</v>
      </c>
      <c r="X24" s="838"/>
      <c r="Y24" s="837" t="s">
        <v>585</v>
      </c>
      <c r="Z24" s="837" t="str">
        <f>IF(INPUTS!K24="","",INPUTS!K24)</f>
        <v>%</v>
      </c>
      <c r="AA24" s="837">
        <f>IF(INPUTS!L24="","",INPUTS!L24)</f>
        <v>2021</v>
      </c>
      <c r="AB24" s="837" t="str">
        <f>IF(INPUTS!M24="","",INPUTS!M24)</f>
        <v>Highest = best</v>
      </c>
      <c r="AC24" s="837" t="str">
        <f t="shared" si="0"/>
        <v>#,##0</v>
      </c>
      <c r="AD24" s="837">
        <f>IF(INPUTS!N24="","",INPUTS!N24)</f>
        <v>0</v>
      </c>
      <c r="AE24" s="837">
        <v>2</v>
      </c>
      <c r="AF24" s="837">
        <f t="shared" si="1"/>
        <v>0</v>
      </c>
      <c r="AG24" s="857">
        <v>2</v>
      </c>
      <c r="AH24" s="837"/>
      <c r="AI24" s="850"/>
      <c r="AJ24" s="838">
        <v>0</v>
      </c>
      <c r="AK24" s="838">
        <v>0</v>
      </c>
      <c r="AL24" s="837" t="str">
        <f t="shared" si="15"/>
        <v>2.2.2) Digital investment management tools</v>
      </c>
      <c r="AM24" s="837" t="str">
        <f t="shared" si="16"/>
        <v>2.2.2) Digital investment management tools</v>
      </c>
      <c r="AN24" s="837" t="str">
        <f t="shared" si="17"/>
        <v>2.2.2) 2.2.2</v>
      </c>
      <c r="AO24" s="837" t="str">
        <f>$AM$22</f>
        <v>2.2) Digital finance</v>
      </c>
      <c r="AP24" s="838">
        <f>MATCH($E24,Weights!$C$13:$C$106,0)</f>
        <v>49</v>
      </c>
      <c r="AQ24" s="838">
        <f>IF(ISERROR($AP24),1,INDEX(Weights!$G$13:$G$106,$AP24))</f>
        <v>2.6666666666666665</v>
      </c>
      <c r="AR24" s="837">
        <f t="shared" si="9"/>
        <v>0.22857142857142856</v>
      </c>
      <c r="AS24" s="836">
        <v>1</v>
      </c>
      <c r="AT24" s="837" t="str">
        <f>IF(INPUTS!Q24="","",INPUTS!Q24)</f>
        <v/>
      </c>
      <c r="AU24" s="837" t="str">
        <f>IF(INPUTS!R24="","",INPUTS!R24)</f>
        <v/>
      </c>
      <c r="AV24" s="837" t="str">
        <f>IF(INPUTS!S24="","",INPUTS!S24)</f>
        <v/>
      </c>
      <c r="AW24" s="837" t="str">
        <f>IF(INPUTS!T24="","",INPUTS!T24)</f>
        <v/>
      </c>
      <c r="AX24" s="837" t="str">
        <f>IF(INPUTS!U24="","",INPUTS!U24)</f>
        <v/>
      </c>
      <c r="AZ24" s="867" t="str">
        <f t="shared" si="10"/>
        <v>Weighted: 22.9%</v>
      </c>
    </row>
    <row r="25" spans="1:52" s="843" customFormat="1" ht="15" customHeight="1">
      <c r="A25" s="837">
        <f t="shared" si="3"/>
        <v>24</v>
      </c>
      <c r="B25" s="838">
        <v>0</v>
      </c>
      <c r="C25" s="838">
        <f t="shared" si="12"/>
        <v>2</v>
      </c>
      <c r="D25" s="837" t="s">
        <v>725</v>
      </c>
      <c r="E25" s="837" t="str">
        <f t="shared" si="32"/>
        <v>SERV2_2_3</v>
      </c>
      <c r="F25" s="837" t="str">
        <f t="shared" si="37"/>
        <v>SERV2_2</v>
      </c>
      <c r="G25" s="838">
        <v>3</v>
      </c>
      <c r="H25" s="837" t="s">
        <v>742</v>
      </c>
      <c r="I25" s="837" t="str">
        <f>IF(INPUTS!C25="","",INPUTS!C25)</f>
        <v>E-payments</v>
      </c>
      <c r="J25" s="837" t="str">
        <f>IF(INPUTS!D25="","",INPUTS!D25)</f>
        <v>E-payments</v>
      </c>
      <c r="K25" s="837" t="str">
        <f>IF(INPUTS!E25="","",INPUTS!E25)</f>
        <v>2.2.3</v>
      </c>
      <c r="L25" s="837"/>
      <c r="M25" s="837" t="str">
        <f>IF(INPUTS!F25="","",INPUTS!F25)</f>
        <v>Value of e-payments made as a share of total retail sales.
E-payment platforms considered include: 
- Traditional card transactions e.g. Visa/Mastercard
- Mobile payment apps that integrate payments from traditional card issuers e.g. Apple Pay
- Mobile payment wallets e.g. PayPal/Square/Alipay</v>
      </c>
      <c r="N25" s="841"/>
      <c r="O25" s="837" t="str">
        <f t="shared" si="5"/>
        <v>Value of e-payments made as a share of total retail sales.
E-payment platforms considered include: 
- Traditional card transactions e.g. Visa/Mastercard
- Mobile payment apps that integrate payments from traditional card issuers e.g. Apple Pay
- Mobile payment wallets e.g. PayPal/Square/Alipay</v>
      </c>
      <c r="P25" s="837" t="str">
        <f>IF(INPUTS!I25="","",INPUTS!I25)</f>
        <v>E-payments made as a share of total retail sales</v>
      </c>
      <c r="Q25" s="841"/>
      <c r="R25" s="841"/>
      <c r="S25" s="837" t="str">
        <f>IF(INPUTS!J25="","",INPUTS!J25)</f>
        <v>WorldPay</v>
      </c>
      <c r="T25" s="841"/>
      <c r="U25" s="841"/>
      <c r="V25" s="842">
        <f t="shared" si="14"/>
        <v>4</v>
      </c>
      <c r="W25" s="837">
        <f>INPUTS!BC25</f>
        <v>2</v>
      </c>
      <c r="X25" s="838"/>
      <c r="Y25" s="837" t="s">
        <v>585</v>
      </c>
      <c r="Z25" s="837" t="str">
        <f>IF(INPUTS!K25="","",INPUTS!K25)</f>
        <v>%</v>
      </c>
      <c r="AA25" s="837">
        <f>IF(INPUTS!L25="","",INPUTS!L25)</f>
        <v>2021</v>
      </c>
      <c r="AB25" s="837" t="str">
        <f>IF(INPUTS!M25="","",INPUTS!M25)</f>
        <v>Highest = best</v>
      </c>
      <c r="AC25" s="837" t="str">
        <f t="shared" si="0"/>
        <v>#,##0.0</v>
      </c>
      <c r="AD25" s="837">
        <f>IF(INPUTS!N25="","",INPUTS!N25)</f>
        <v>1</v>
      </c>
      <c r="AE25" s="837">
        <v>2</v>
      </c>
      <c r="AF25" s="837">
        <f t="shared" si="1"/>
        <v>0</v>
      </c>
      <c r="AG25" s="857">
        <v>2</v>
      </c>
      <c r="AH25" s="837"/>
      <c r="AI25" s="850"/>
      <c r="AJ25" s="838">
        <v>0</v>
      </c>
      <c r="AK25" s="838">
        <v>0</v>
      </c>
      <c r="AL25" s="837" t="str">
        <f t="shared" si="15"/>
        <v>2.2.3) E-payments</v>
      </c>
      <c r="AM25" s="837" t="str">
        <f t="shared" si="16"/>
        <v>2.2.3) E-payments</v>
      </c>
      <c r="AN25" s="837" t="str">
        <f t="shared" si="17"/>
        <v>2.2.3) 2.2.3</v>
      </c>
      <c r="AO25" s="837" t="str">
        <f>$AM$22</f>
        <v>2.2) Digital finance</v>
      </c>
      <c r="AP25" s="838">
        <f>MATCH($E25,Weights!$C$13:$C$106,0)</f>
        <v>50</v>
      </c>
      <c r="AQ25" s="838">
        <f>IF(ISERROR($AP25),1,INDEX(Weights!$G$13:$G$106,$AP25))</f>
        <v>5</v>
      </c>
      <c r="AR25" s="837">
        <f t="shared" si="9"/>
        <v>0.4285714285714286</v>
      </c>
      <c r="AS25" s="836">
        <v>1</v>
      </c>
      <c r="AT25" s="837" t="str">
        <f>IF(INPUTS!Q25="","",INPUTS!Q25)</f>
        <v/>
      </c>
      <c r="AU25" s="837" t="str">
        <f>IF(INPUTS!R25="","",INPUTS!R25)</f>
        <v/>
      </c>
      <c r="AV25" s="837" t="str">
        <f>IF(INPUTS!S25="","",INPUTS!S25)</f>
        <v/>
      </c>
      <c r="AW25" s="837" t="str">
        <f>IF(INPUTS!T25="","",INPUTS!T25)</f>
        <v/>
      </c>
      <c r="AX25" s="837" t="str">
        <f>IF(INPUTS!U25="","",INPUTS!U25)</f>
        <v/>
      </c>
      <c r="AY25" s="973"/>
      <c r="AZ25" s="867" t="str">
        <f t="shared" si="10"/>
        <v>Weighted: 42.9%</v>
      </c>
    </row>
    <row r="26" spans="1:52" ht="15" customHeight="1">
      <c r="A26" s="837">
        <f t="shared" si="3"/>
        <v>25</v>
      </c>
      <c r="B26" s="838">
        <v>0</v>
      </c>
      <c r="C26" s="838">
        <f t="shared" si="12"/>
        <v>2</v>
      </c>
      <c r="D26" s="837">
        <v>2.2999999999999998</v>
      </c>
      <c r="E26" s="837" t="str">
        <f t="shared" si="32"/>
        <v>SERV2_3</v>
      </c>
      <c r="F26" s="837" t="str">
        <f>$E$17</f>
        <v>SERV</v>
      </c>
      <c r="G26" s="838">
        <v>2</v>
      </c>
      <c r="H26" s="837" t="s">
        <v>290</v>
      </c>
      <c r="I26" s="837" t="str">
        <f>IF(INPUTS!C26="","",INPUTS!C26)</f>
        <v>Transportation</v>
      </c>
      <c r="J26" s="837" t="str">
        <f>IF(INPUTS!D26="","",INPUTS!D26)</f>
        <v>Transportation</v>
      </c>
      <c r="K26" s="837" t="str">
        <f>IF(INPUTS!E26="","",INPUTS!E26)</f>
        <v xml:space="preserve">Transport </v>
      </c>
      <c r="L26" s="837" t="str">
        <f>"The category score is the weighted sum of the following indicator scores:
"&amp;AM27&amp;" ("&amp;TEXT(AZ27,"0.0")&amp;")
"&amp;AM28&amp;" ("&amp;TEXT(AZ28,"0.0")&amp;")"</f>
        <v>The category score is the weighted sum of the following indicator scores:
2.3.1) Integrated public transport apps (Weighted: 53.8%)
2.3.2) Digital identification at airports (Weighted: 46.2%)</v>
      </c>
      <c r="M26" s="837" t="str">
        <f>IF(INPUTS!F26="","",INPUTS!F26)</f>
        <v/>
      </c>
      <c r="N26" s="821"/>
      <c r="O26" s="837" t="str">
        <f t="shared" si="5"/>
        <v>The category score is the weighted sum of the following indicator scores:
2.3.1) Integrated public transport apps (Weighted: 53.8%)
2.3.2) Digital identification at airports (Weighted: 46.2%)</v>
      </c>
      <c r="P26" s="837" t="str">
        <f>IF(INPUTS!I26="","",INPUTS!I26)</f>
        <v/>
      </c>
      <c r="Q26" s="821"/>
      <c r="R26" s="821"/>
      <c r="S26" s="837" t="str">
        <f>IF(INPUTS!J26="","",INPUTS!J26)</f>
        <v>Economist Impact calculation</v>
      </c>
      <c r="T26" s="821"/>
      <c r="U26" s="821"/>
      <c r="V26" s="833">
        <f t="shared" si="14"/>
        <v>4</v>
      </c>
      <c r="W26" s="837">
        <f>INPUTS!BC26</f>
        <v>1</v>
      </c>
      <c r="X26" s="838"/>
      <c r="Y26" s="837"/>
      <c r="Z26" s="837" t="str">
        <f>IF(INPUTS!K26="","",INPUTS!K26)</f>
        <v/>
      </c>
      <c r="AA26" s="837" t="str">
        <f>IF(INPUTS!L26="","",INPUTS!L26)</f>
        <v/>
      </c>
      <c r="AB26" s="531" t="s">
        <v>575</v>
      </c>
      <c r="AC26" s="837" t="str">
        <f t="shared" si="0"/>
        <v>#,##0.0</v>
      </c>
      <c r="AD26" s="837">
        <f>IF(INPUTS!N26="","",INPUTS!N26)</f>
        <v>1</v>
      </c>
      <c r="AE26" s="837">
        <v>2</v>
      </c>
      <c r="AF26" s="837">
        <f t="shared" si="1"/>
        <v>0</v>
      </c>
      <c r="AG26" s="857">
        <v>1</v>
      </c>
      <c r="AH26" s="837"/>
      <c r="AI26" s="850"/>
      <c r="AJ26" s="838">
        <v>0</v>
      </c>
      <c r="AK26" s="838">
        <v>0</v>
      </c>
      <c r="AL26" s="837" t="str">
        <f t="shared" si="15"/>
        <v>2.3) Transportation</v>
      </c>
      <c r="AM26" s="837" t="str">
        <f t="shared" si="16"/>
        <v>2.3) Transportation</v>
      </c>
      <c r="AN26" s="837" t="str">
        <f t="shared" si="17"/>
        <v xml:space="preserve">2.3) Transport </v>
      </c>
      <c r="AO26" s="837" t="str">
        <f>$AM$17</f>
        <v>2) SERVICES</v>
      </c>
      <c r="AP26" s="838">
        <f>MATCH($E26,Weights!$C$13:$C$106,0)</f>
        <v>14</v>
      </c>
      <c r="AQ26" s="838">
        <f>IF(ISERROR($AP26),1,INDEX(Weights!$G$13:$G$106,$AP26))</f>
        <v>5</v>
      </c>
      <c r="AR26" s="837">
        <f t="shared" si="9"/>
        <v>0.19230769230769232</v>
      </c>
      <c r="AS26" s="836">
        <v>1</v>
      </c>
      <c r="AT26" s="837" t="str">
        <f>IF(INPUTS!Q26="","",INPUTS!Q26)</f>
        <v/>
      </c>
      <c r="AU26" s="837" t="str">
        <f>IF(INPUTS!R26="","",INPUTS!R26)</f>
        <v/>
      </c>
      <c r="AV26" s="837" t="str">
        <f>IF(INPUTS!S26="","",INPUTS!S26)</f>
        <v/>
      </c>
      <c r="AW26" s="837" t="str">
        <f>IF(INPUTS!T26="","",INPUTS!T26)</f>
        <v/>
      </c>
      <c r="AX26" s="837" t="str">
        <f>IF(INPUTS!U26="","",INPUTS!U26)</f>
        <v/>
      </c>
      <c r="AZ26" s="867" t="str">
        <f t="shared" si="10"/>
        <v>Weighted: 19.2%</v>
      </c>
    </row>
    <row r="27" spans="1:52" ht="15" customHeight="1">
      <c r="A27" s="837">
        <f t="shared" si="3"/>
        <v>26</v>
      </c>
      <c r="B27" s="838">
        <v>0</v>
      </c>
      <c r="C27" s="838">
        <f t="shared" si="12"/>
        <v>2</v>
      </c>
      <c r="D27" s="837" t="s">
        <v>387</v>
      </c>
      <c r="E27" s="837" t="str">
        <f t="shared" si="32"/>
        <v>SERV2_3_1</v>
      </c>
      <c r="F27" s="837" t="str">
        <f>$E$26</f>
        <v>SERV2_3</v>
      </c>
      <c r="G27" s="838">
        <v>3</v>
      </c>
      <c r="H27" s="837" t="s">
        <v>512</v>
      </c>
      <c r="I27" s="837" t="str">
        <f>IF(INPUTS!C27="","",INPUTS!C27)</f>
        <v>Integrated public transport apps</v>
      </c>
      <c r="J27" s="837" t="str">
        <f>IF(INPUTS!D27="","",INPUTS!D27)</f>
        <v>Integrated public transport apps</v>
      </c>
      <c r="K27" s="837" t="str">
        <f>IF(INPUTS!E27="","",INPUTS!E27)</f>
        <v>2.3.1</v>
      </c>
      <c r="L27" s="837"/>
      <c r="M27" s="837" t="str">
        <f>IF(INPUTS!F27="","",INPUTS!F27)</f>
        <v>Assesses whether residents have access to integrated transport apps with journey planning and ticketing functionality in the public transit system provided by the government or by the private sector in collaboration with the public sector.</v>
      </c>
      <c r="N27" s="821"/>
      <c r="O27" s="837" t="str">
        <f t="shared" si="5"/>
        <v>Assesses whether residents have access to integrated transport apps with journey planning and ticketing functionality in the public transit system provided by the government or by the private sector in collaboration with the public sector.</v>
      </c>
      <c r="P27" s="837" t="str">
        <f>IF(INPUTS!I27="","",INPUTS!I27)</f>
        <v>Is there a mobile application that allows journey planning and buying tickets for different modes of public transport?
0 - Not available 
1 - Journey planning or ticket purchasing on app (either one is available)
2 - Journey planning and ticket purchasing on app (both are available on different apps)
3 - Both journey planning and ticket purchasing functionality are provided within one app</v>
      </c>
      <c r="Q27" s="821"/>
      <c r="R27" s="821"/>
      <c r="S27" s="837" t="str">
        <f>IF(INPUTS!J27="","",INPUTS!J27)</f>
        <v>Qualitative scoring by Economist Impact analysts</v>
      </c>
      <c r="T27" s="821"/>
      <c r="U27" s="821"/>
      <c r="V27" s="833">
        <f t="shared" si="14"/>
        <v>4</v>
      </c>
      <c r="W27" s="837">
        <f>INPUTS!BC27</f>
        <v>2</v>
      </c>
      <c r="X27" s="838"/>
      <c r="Y27" s="837" t="s">
        <v>584</v>
      </c>
      <c r="Z27" s="837" t="str">
        <f>IF(INPUTS!K27="","",INPUTS!K27)</f>
        <v>Scale (0-3)</v>
      </c>
      <c r="AA27" s="837">
        <f>IF(INPUTS!L27="","",INPUTS!L27)</f>
        <v>2021</v>
      </c>
      <c r="AB27" s="837" t="str">
        <f>IF(INPUTS!M27="","",INPUTS!M27)</f>
        <v>Highest = best</v>
      </c>
      <c r="AC27" s="837" t="str">
        <f t="shared" si="0"/>
        <v>#,##0</v>
      </c>
      <c r="AD27" s="837">
        <f>IF(INPUTS!N27="","",INPUTS!N27)</f>
        <v>0</v>
      </c>
      <c r="AE27" s="837">
        <v>2</v>
      </c>
      <c r="AF27" s="837">
        <f t="shared" si="1"/>
        <v>0</v>
      </c>
      <c r="AG27" s="857">
        <v>3</v>
      </c>
      <c r="AH27" s="837">
        <v>0</v>
      </c>
      <c r="AI27" s="850">
        <v>3</v>
      </c>
      <c r="AJ27" s="838">
        <v>0</v>
      </c>
      <c r="AK27" s="838">
        <v>0</v>
      </c>
      <c r="AL27" s="837" t="str">
        <f t="shared" si="15"/>
        <v>2.3.1) Integrated public transport apps</v>
      </c>
      <c r="AM27" s="837" t="str">
        <f t="shared" si="16"/>
        <v>2.3.1) Integrated public transport apps</v>
      </c>
      <c r="AN27" s="837" t="str">
        <f t="shared" si="17"/>
        <v>2.3.1) 2.3.1</v>
      </c>
      <c r="AO27" s="837" t="str">
        <f>$AM$26</f>
        <v>2.3) Transportation</v>
      </c>
      <c r="AP27" s="838">
        <f>MATCH($E27,Weights!$C$13:$C$106,0)</f>
        <v>52</v>
      </c>
      <c r="AQ27" s="838">
        <f>IF(ISERROR($AP27),1,INDEX(Weights!$G$13:$G$106,$AP27))</f>
        <v>4.666666666666667</v>
      </c>
      <c r="AR27" s="837">
        <f t="shared" si="9"/>
        <v>0.53846153846153844</v>
      </c>
      <c r="AS27" s="836">
        <v>4</v>
      </c>
      <c r="AT27" s="837" t="str">
        <f>IF(INPUTS!Q27="","",INPUTS!Q27)</f>
        <v>Both functionalities have to be provided within one app</v>
      </c>
      <c r="AU27" s="837" t="str">
        <f>IF(INPUTS!R27="","",INPUTS!R27)</f>
        <v>Journey planning and ticket purchasing on app</v>
      </c>
      <c r="AV27" s="837" t="str">
        <f>IF(INPUTS!S27="","",INPUTS!S27)</f>
        <v>Journey planning or ticket purchasing on app</v>
      </c>
      <c r="AW27" s="837" t="str">
        <f>IF(INPUTS!T27="","",INPUTS!T27)</f>
        <v>No evidence of app</v>
      </c>
      <c r="AX27" s="837" t="str">
        <f>IF(INPUTS!U27="","",INPUTS!U27)</f>
        <v/>
      </c>
      <c r="AZ27" s="867" t="str">
        <f t="shared" si="10"/>
        <v>Weighted: 53.8%</v>
      </c>
    </row>
    <row r="28" spans="1:52" s="843" customFormat="1" ht="15" customHeight="1">
      <c r="A28" s="837">
        <f t="shared" si="3"/>
        <v>27</v>
      </c>
      <c r="B28" s="838">
        <v>0</v>
      </c>
      <c r="C28" s="838">
        <f t="shared" si="12"/>
        <v>2</v>
      </c>
      <c r="D28" s="837" t="s">
        <v>388</v>
      </c>
      <c r="E28" s="837" t="str">
        <f t="shared" si="32"/>
        <v>SERV2_3_2</v>
      </c>
      <c r="F28" s="837" t="str">
        <f>$E$26</f>
        <v>SERV2_3</v>
      </c>
      <c r="G28" s="838">
        <v>3</v>
      </c>
      <c r="H28" s="837" t="s">
        <v>513</v>
      </c>
      <c r="I28" s="837" t="str">
        <f>IF(INPUTS!C28="","",INPUTS!C28)</f>
        <v>Digital identification at airports</v>
      </c>
      <c r="J28" s="837" t="str">
        <f>IF(INPUTS!D28="","",INPUTS!D28)</f>
        <v>Digital identification at airports</v>
      </c>
      <c r="K28" s="837" t="str">
        <f>IF(INPUTS!E28="","",INPUTS!E28)</f>
        <v>2.3.2</v>
      </c>
      <c r="L28" s="837"/>
      <c r="M28" s="837" t="str">
        <f>IF(INPUTS!F28="","",INPUTS!F28)</f>
        <v>Assesses whether the city airport supports: 
- Biometric identification at immigration
- Biometric identification at boarding gates
to enable a completely automated process.</v>
      </c>
      <c r="N28" s="841"/>
      <c r="O28" s="837" t="str">
        <f t="shared" si="5"/>
        <v>Assesses whether the city airport supports: 
- Biometric identification at immigration
- Biometric identification at boarding gates
to enable a completely automated process.</v>
      </c>
      <c r="P28" s="837" t="str">
        <f>IF(INPUTS!I28="","",INPUTS!I28)</f>
        <v>Does the city airport support biometric identification at immigration and boarding to allow automation of the processes?
0 - There is no evidence of biometric identification at immigration or boarding
1 - Supports biometric identification at either immigration or boarding
2 - Supports biometric identification at both immigration and boarding</v>
      </c>
      <c r="Q28" s="841"/>
      <c r="R28" s="841"/>
      <c r="S28" s="837" t="str">
        <f>IF(INPUTS!J28="","",INPUTS!J28)</f>
        <v>Qualitative scoring by Economist Impact analysts</v>
      </c>
      <c r="T28" s="841"/>
      <c r="U28" s="841"/>
      <c r="V28" s="842">
        <f t="shared" si="14"/>
        <v>4</v>
      </c>
      <c r="W28" s="837">
        <f>INPUTS!BC28</f>
        <v>2</v>
      </c>
      <c r="X28" s="838"/>
      <c r="Y28" s="837" t="s">
        <v>584</v>
      </c>
      <c r="Z28" s="837" t="str">
        <f>IF(INPUTS!K28="","",INPUTS!K28)</f>
        <v>Scale (0-2)</v>
      </c>
      <c r="AA28" s="837">
        <f>IF(INPUTS!L28="","",INPUTS!L28)</f>
        <v>2021</v>
      </c>
      <c r="AB28" s="837" t="str">
        <f>IF(INPUTS!M28="","",INPUTS!M28)</f>
        <v>Highest = best</v>
      </c>
      <c r="AC28" s="837" t="str">
        <f t="shared" si="0"/>
        <v>#,##0</v>
      </c>
      <c r="AD28" s="837">
        <f>IF(INPUTS!N28="","",INPUTS!N28)</f>
        <v>0</v>
      </c>
      <c r="AE28" s="837">
        <v>2</v>
      </c>
      <c r="AF28" s="837">
        <f t="shared" si="1"/>
        <v>0</v>
      </c>
      <c r="AG28" s="857">
        <v>3</v>
      </c>
      <c r="AH28" s="837">
        <v>0</v>
      </c>
      <c r="AI28" s="850">
        <v>2</v>
      </c>
      <c r="AJ28" s="838">
        <v>0</v>
      </c>
      <c r="AK28" s="838">
        <v>0</v>
      </c>
      <c r="AL28" s="837" t="str">
        <f t="shared" si="15"/>
        <v>2.3.2) Digital identification at airports</v>
      </c>
      <c r="AM28" s="837" t="str">
        <f t="shared" si="16"/>
        <v>2.3.2) Digital identification at airports</v>
      </c>
      <c r="AN28" s="837" t="str">
        <f t="shared" si="17"/>
        <v>2.3.2) 2.3.2</v>
      </c>
      <c r="AO28" s="837" t="str">
        <f>$AM$26</f>
        <v>2.3) Transportation</v>
      </c>
      <c r="AP28" s="838">
        <f>MATCH($E28,Weights!$C$13:$C$106,0)</f>
        <v>53</v>
      </c>
      <c r="AQ28" s="838">
        <f>IF(ISERROR($AP28),1,INDEX(Weights!$G$13:$G$106,$AP28))</f>
        <v>4</v>
      </c>
      <c r="AR28" s="837">
        <f t="shared" si="9"/>
        <v>0.46153846153846145</v>
      </c>
      <c r="AS28" s="836">
        <v>3</v>
      </c>
      <c r="AT28" s="837" t="str">
        <f>IF(INPUTS!Q28="","",INPUTS!Q28)</f>
        <v>Supports both biometric identification at immigration and boarding</v>
      </c>
      <c r="AU28" s="837" t="str">
        <f>IF(INPUTS!R28="","",INPUTS!R28)</f>
        <v>Supports either biometric identification at immigration or boarding</v>
      </c>
      <c r="AV28" s="837" t="str">
        <f>IF(INPUTS!S28="","",INPUTS!S28)</f>
        <v>No evidence of  biometric identification at immigration or boarding</v>
      </c>
      <c r="AW28" s="837" t="str">
        <f>IF(INPUTS!T28="","",INPUTS!T28)</f>
        <v/>
      </c>
      <c r="AX28" s="837" t="str">
        <f>IF(INPUTS!U28="","",INPUTS!U28)</f>
        <v/>
      </c>
      <c r="AY28" s="973"/>
      <c r="AZ28" s="867" t="str">
        <f t="shared" si="10"/>
        <v>Weighted: 46.2%</v>
      </c>
    </row>
    <row r="29" spans="1:52" ht="15" customHeight="1">
      <c r="A29" s="837">
        <f t="shared" si="3"/>
        <v>28</v>
      </c>
      <c r="B29" s="838">
        <v>0</v>
      </c>
      <c r="C29" s="838">
        <f t="shared" si="12"/>
        <v>2</v>
      </c>
      <c r="D29" s="837">
        <v>2.4</v>
      </c>
      <c r="E29" s="837" t="str">
        <f t="shared" si="32"/>
        <v>SERV2_4</v>
      </c>
      <c r="F29" s="837" t="str">
        <f>$E$17</f>
        <v>SERV</v>
      </c>
      <c r="G29" s="838">
        <v>2</v>
      </c>
      <c r="H29" s="837" t="s">
        <v>291</v>
      </c>
      <c r="I29" s="837" t="str">
        <f>IF(INPUTS!C29="","",INPUTS!C29)</f>
        <v>Healthcare</v>
      </c>
      <c r="J29" s="837" t="str">
        <f>IF(INPUTS!D29="","",INPUTS!D29)</f>
        <v>Healthcare</v>
      </c>
      <c r="K29" s="837" t="str">
        <f>IF(INPUTS!E29="","",INPUTS!E29)</f>
        <v>Healthcare</v>
      </c>
      <c r="L29" s="837" t="str">
        <f>"The category score is the weighted sum of the following indicator scores:
"&amp;AM30&amp;" ("&amp;TEXT(AZ30,"0.0")&amp;")
"&amp;AM31&amp;" ("&amp;TEXT(AZ31,"0.0")&amp;")
"&amp;AM32&amp;" ("&amp;TEXT(AZ32,"0.0")&amp;")"</f>
        <v>The category score is the weighted sum of the following indicator scores:
2.4.1) Telehealth &amp; telemedicine (Weighted: 31.6%)
2.4.2) Electronic health records (Weighted: 36.8%)
2.4.3) Pandemic-related applications (Weighted: 31.6%)</v>
      </c>
      <c r="M29" s="837" t="str">
        <f>IF(INPUTS!F29="","",INPUTS!F29)</f>
        <v/>
      </c>
      <c r="N29" s="821"/>
      <c r="O29" s="837" t="str">
        <f t="shared" si="5"/>
        <v>The category score is the weighted sum of the following indicator scores:
2.4.1) Telehealth &amp; telemedicine (Weighted: 31.6%)
2.4.2) Electronic health records (Weighted: 36.8%)
2.4.3) Pandemic-related applications (Weighted: 31.6%)</v>
      </c>
      <c r="P29" s="837" t="str">
        <f>IF(INPUTS!I29="","",INPUTS!I29)</f>
        <v/>
      </c>
      <c r="Q29" s="821"/>
      <c r="R29" s="821"/>
      <c r="S29" s="837" t="str">
        <f>IF(INPUTS!J29="","",INPUTS!J29)</f>
        <v>Economist Impact calculation</v>
      </c>
      <c r="T29" s="821"/>
      <c r="U29" s="821"/>
      <c r="V29" s="833">
        <f t="shared" si="14"/>
        <v>4</v>
      </c>
      <c r="W29" s="837">
        <f>INPUTS!BC29</f>
        <v>1</v>
      </c>
      <c r="X29" s="838"/>
      <c r="Y29" s="837"/>
      <c r="Z29" s="837" t="str">
        <f>IF(INPUTS!K29="","",INPUTS!K29)</f>
        <v/>
      </c>
      <c r="AA29" s="837" t="str">
        <f>IF(INPUTS!L29="","",INPUTS!L29)</f>
        <v/>
      </c>
      <c r="AB29" s="531" t="s">
        <v>575</v>
      </c>
      <c r="AC29" s="837" t="str">
        <f t="shared" si="0"/>
        <v>#,##0.0</v>
      </c>
      <c r="AD29" s="837">
        <f>IF(INPUTS!N29="","",INPUTS!N29)</f>
        <v>1</v>
      </c>
      <c r="AE29" s="837">
        <v>2</v>
      </c>
      <c r="AF29" s="837">
        <f t="shared" si="1"/>
        <v>0</v>
      </c>
      <c r="AG29" s="857">
        <v>1</v>
      </c>
      <c r="AH29" s="837"/>
      <c r="AI29" s="850"/>
      <c r="AJ29" s="838">
        <v>0</v>
      </c>
      <c r="AK29" s="838">
        <v>0</v>
      </c>
      <c r="AL29" s="837" t="str">
        <f t="shared" si="15"/>
        <v>2.4) Healthcare</v>
      </c>
      <c r="AM29" s="837" t="str">
        <f t="shared" si="16"/>
        <v>2.4) Healthcare</v>
      </c>
      <c r="AN29" s="837" t="str">
        <f t="shared" si="17"/>
        <v>2.4) Healthcare</v>
      </c>
      <c r="AO29" s="837" t="str">
        <f>$AM$17</f>
        <v>2) SERVICES</v>
      </c>
      <c r="AP29" s="838">
        <f>MATCH($E29,Weights!$C$13:$C$106,0)</f>
        <v>15</v>
      </c>
      <c r="AQ29" s="838">
        <f>IF(ISERROR($AP29),1,INDEX(Weights!$G$13:$G$106,$AP29))</f>
        <v>4</v>
      </c>
      <c r="AR29" s="837">
        <f t="shared" si="9"/>
        <v>0.15384615384615385</v>
      </c>
      <c r="AS29" s="836">
        <v>1</v>
      </c>
      <c r="AT29" s="837" t="str">
        <f>IF(INPUTS!Q29="","",INPUTS!Q29)</f>
        <v/>
      </c>
      <c r="AU29" s="837" t="str">
        <f>IF(INPUTS!R29="","",INPUTS!R29)</f>
        <v/>
      </c>
      <c r="AV29" s="837" t="str">
        <f>IF(INPUTS!S29="","",INPUTS!S29)</f>
        <v/>
      </c>
      <c r="AW29" s="837" t="str">
        <f>IF(INPUTS!T29="","",INPUTS!T29)</f>
        <v/>
      </c>
      <c r="AX29" s="837" t="str">
        <f>IF(INPUTS!U29="","",INPUTS!U29)</f>
        <v/>
      </c>
      <c r="AZ29" s="867" t="str">
        <f t="shared" si="10"/>
        <v>Weighted: 15.4%</v>
      </c>
    </row>
    <row r="30" spans="1:52" ht="15" customHeight="1">
      <c r="A30" s="837">
        <f t="shared" si="3"/>
        <v>29</v>
      </c>
      <c r="B30" s="838">
        <v>0</v>
      </c>
      <c r="C30" s="838">
        <f t="shared" si="12"/>
        <v>2</v>
      </c>
      <c r="D30" s="837" t="s">
        <v>429</v>
      </c>
      <c r="E30" s="837" t="str">
        <f t="shared" si="32"/>
        <v>SERV2_4_1</v>
      </c>
      <c r="F30" s="837" t="str">
        <f>$E$29</f>
        <v>SERV2_4</v>
      </c>
      <c r="G30" s="838">
        <v>3</v>
      </c>
      <c r="H30" s="837" t="s">
        <v>514</v>
      </c>
      <c r="I30" s="837" t="str">
        <f>IF(INPUTS!C30="","",INPUTS!C30)</f>
        <v>Telehealth &amp; telemedicine</v>
      </c>
      <c r="J30" s="837" t="str">
        <f>IF(INPUTS!D30="","",INPUTS!D30)</f>
        <v>Telehealth &amp; telemedicine</v>
      </c>
      <c r="K30" s="837" t="str">
        <f>IF(INPUTS!E30="","",INPUTS!E30)</f>
        <v>2.4.1</v>
      </c>
      <c r="L30" s="837"/>
      <c r="M30" s="837" t="str">
        <f>IF(INPUTS!F30="","",INPUTS!F30)</f>
        <v xml:space="preserve">Assesses the extent to which city residents have adopted and have access to telehealth or telemedicine services that are provided or officially supported by health authorities, with service being provided by professional medical staff.
The indicator assesses telehealth or telemedicine services that provide residents with either:
- Remote consultation
- Remote consultation + prescription of drugs/delivery of drugs
</v>
      </c>
      <c r="N30" s="821"/>
      <c r="O30" s="837" t="str">
        <f t="shared" si="5"/>
        <v xml:space="preserve">Assesses the extent to which city residents have adopted and have access to telehealth or telemedicine services that are provided or officially supported by health authorities, with service being provided by professional medical staff.
The indicator assesses telehealth or telemedicine services that provide residents with either:
- Remote consultation
- Remote consultation + prescription of drugs/delivery of drugs
</v>
      </c>
      <c r="P30" s="837" t="str">
        <f>IF(INPUTS!I30="","",INPUTS!I30)</f>
        <v>Scale 0-2, sum of checklist below:
0-1 score - Adoption rate by city residents (where 1 point is awarded to the city with the highest adoption rate and 0 points to the city with the lowest)
+
1 point if telehealth services are rolled out on a national/regional/city-wide scale by health authorities. E.g. an official national telehealth platform or a public-private partnership in which the health ministry works with an official private-sector provider (with the service provided by professional medical staff).</v>
      </c>
      <c r="Q30" s="821"/>
      <c r="R30" s="821"/>
      <c r="S30" s="837" t="str">
        <f>IF(INPUTS!J30="","",INPUTS!J30)</f>
        <v>Economist Impact survey; Qualitative scoring by Economist Impact analysts</v>
      </c>
      <c r="T30" s="821"/>
      <c r="U30" s="821"/>
      <c r="V30" s="833">
        <f t="shared" si="14"/>
        <v>4</v>
      </c>
      <c r="W30" s="837">
        <f>INPUTS!BC30</f>
        <v>2</v>
      </c>
      <c r="X30" s="838"/>
      <c r="Y30" s="837" t="s">
        <v>584</v>
      </c>
      <c r="Z30" s="837" t="str">
        <f>IF(INPUTS!K30="","",INPUTS!K30)</f>
        <v>Scale (0-2)</v>
      </c>
      <c r="AA30" s="837">
        <f>IF(INPUTS!L30="","",INPUTS!L30)</f>
        <v>2021</v>
      </c>
      <c r="AB30" s="837" t="str">
        <f>IF(INPUTS!M30="","",INPUTS!M30)</f>
        <v>Highest = best</v>
      </c>
      <c r="AC30" s="837" t="str">
        <f t="shared" si="0"/>
        <v>#,##0.00</v>
      </c>
      <c r="AD30" s="837">
        <f>IF(INPUTS!N30="","",INPUTS!N30)</f>
        <v>2</v>
      </c>
      <c r="AE30" s="837">
        <v>2</v>
      </c>
      <c r="AF30" s="837">
        <f t="shared" si="1"/>
        <v>0</v>
      </c>
      <c r="AG30" s="857">
        <v>2</v>
      </c>
      <c r="AH30" s="837"/>
      <c r="AI30" s="850"/>
      <c r="AJ30" s="838">
        <v>0</v>
      </c>
      <c r="AK30" s="838">
        <v>0</v>
      </c>
      <c r="AL30" s="837" t="str">
        <f t="shared" si="15"/>
        <v>2.4.1) Telehealth &amp; telemedicine</v>
      </c>
      <c r="AM30" s="837" t="str">
        <f t="shared" si="16"/>
        <v>2.4.1) Telehealth &amp; telemedicine</v>
      </c>
      <c r="AN30" s="837" t="str">
        <f t="shared" si="17"/>
        <v>2.4.1) 2.4.1</v>
      </c>
      <c r="AO30" s="837" t="str">
        <f>$AM$29</f>
        <v>2.4) Healthcare</v>
      </c>
      <c r="AP30" s="838">
        <f>MATCH($E30,Weights!$C$13:$C$106,0)</f>
        <v>55</v>
      </c>
      <c r="AQ30" s="838">
        <f>IF(ISERROR($AP30),1,INDEX(Weights!$G$13:$G$106,$AP30))</f>
        <v>4</v>
      </c>
      <c r="AR30" s="837">
        <f t="shared" si="9"/>
        <v>0.31578947368421051</v>
      </c>
      <c r="AS30" s="836">
        <v>1</v>
      </c>
      <c r="AT30" s="837" t="str">
        <f>IF(INPUTS!Q30="","",INPUTS!Q30)</f>
        <v/>
      </c>
      <c r="AU30" s="837" t="str">
        <f>IF(INPUTS!R30="","",INPUTS!R30)</f>
        <v/>
      </c>
      <c r="AV30" s="837" t="str">
        <f>IF(INPUTS!S30="","",INPUTS!S30)</f>
        <v/>
      </c>
      <c r="AW30" s="837" t="str">
        <f>IF(INPUTS!T30="","",INPUTS!T30)</f>
        <v/>
      </c>
      <c r="AX30" s="837" t="str">
        <f>IF(INPUTS!U30="","",INPUTS!U30)</f>
        <v/>
      </c>
      <c r="AZ30" s="867" t="str">
        <f t="shared" si="10"/>
        <v>Weighted: 31.6%</v>
      </c>
    </row>
    <row r="31" spans="1:52" s="843" customFormat="1" ht="15" customHeight="1">
      <c r="A31" s="837">
        <f t="shared" si="3"/>
        <v>30</v>
      </c>
      <c r="B31" s="838">
        <v>0</v>
      </c>
      <c r="C31" s="838">
        <f t="shared" si="12"/>
        <v>2</v>
      </c>
      <c r="D31" s="837" t="s">
        <v>430</v>
      </c>
      <c r="E31" s="837" t="str">
        <f t="shared" si="32"/>
        <v>SERV2_4_2</v>
      </c>
      <c r="F31" s="837" t="str">
        <f t="shared" ref="F31:F32" si="38">$E$29</f>
        <v>SERV2_4</v>
      </c>
      <c r="G31" s="838">
        <v>3</v>
      </c>
      <c r="H31" s="837" t="s">
        <v>515</v>
      </c>
      <c r="I31" s="837" t="str">
        <f>IF(INPUTS!C31="","",INPUTS!C31)</f>
        <v>Electronic health records</v>
      </c>
      <c r="J31" s="837" t="str">
        <f>IF(INPUTS!D31="","",INPUTS!D31)</f>
        <v>Electronic health records</v>
      </c>
      <c r="K31" s="837" t="str">
        <f>IF(INPUTS!E31="","",INPUTS!E31)</f>
        <v>2.4.2</v>
      </c>
      <c r="L31" s="837"/>
      <c r="M31" s="837" t="str">
        <f>IF(INPUTS!F31="","",INPUTS!F31)</f>
        <v>Assesses the use of Electronic Health Record (EHR) systems in the healthcare sector.</v>
      </c>
      <c r="N31" s="841"/>
      <c r="O31" s="837" t="str">
        <f t="shared" si="5"/>
        <v>Assesses the use of Electronic Health Record (EHR) systems in the healthcare sector.</v>
      </c>
      <c r="P31" s="837" t="str">
        <f>IF(INPUTS!I31="","",INPUTS!I31)</f>
        <v xml:space="preserve">Are electronic health records commonly in use?
0 - No evidence electronic health records are in use
1 - Electronic health records are not commonly in use, but there is evidence they are used 
2 - Electronic health records are commonly in use </v>
      </c>
      <c r="Q31" s="841"/>
      <c r="R31" s="841"/>
      <c r="S31" s="837" t="str">
        <f>IF(INPUTS!J31="","",INPUTS!J31)</f>
        <v>Qualitative scoring by Economist Impact analysts</v>
      </c>
      <c r="T31" s="841"/>
      <c r="U31" s="841"/>
      <c r="V31" s="842">
        <f t="shared" si="14"/>
        <v>4</v>
      </c>
      <c r="W31" s="837">
        <f>INPUTS!BC31</f>
        <v>2</v>
      </c>
      <c r="X31" s="838"/>
      <c r="Y31" s="837" t="s">
        <v>584</v>
      </c>
      <c r="Z31" s="837" t="str">
        <f>IF(INPUTS!K31="","",INPUTS!K31)</f>
        <v>Scale (0-2)</v>
      </c>
      <c r="AA31" s="837">
        <f>IF(INPUTS!L31="","",INPUTS!L31)</f>
        <v>2021</v>
      </c>
      <c r="AB31" s="837" t="str">
        <f>IF(INPUTS!M31="","",INPUTS!M31)</f>
        <v>Highest = best</v>
      </c>
      <c r="AC31" s="837" t="str">
        <f t="shared" si="0"/>
        <v>#,##0</v>
      </c>
      <c r="AD31" s="837">
        <f>IF(INPUTS!N31="","",INPUTS!N31)</f>
        <v>0</v>
      </c>
      <c r="AE31" s="837">
        <v>2</v>
      </c>
      <c r="AF31" s="837">
        <f t="shared" si="1"/>
        <v>0</v>
      </c>
      <c r="AG31" s="857">
        <v>3</v>
      </c>
      <c r="AH31" s="837">
        <v>0</v>
      </c>
      <c r="AI31" s="850">
        <v>2</v>
      </c>
      <c r="AJ31" s="838">
        <v>0</v>
      </c>
      <c r="AK31" s="838">
        <v>0</v>
      </c>
      <c r="AL31" s="837" t="str">
        <f t="shared" si="15"/>
        <v>2.4.2) Electronic health records</v>
      </c>
      <c r="AM31" s="837" t="str">
        <f t="shared" si="16"/>
        <v>2.4.2) Electronic health records</v>
      </c>
      <c r="AN31" s="837" t="str">
        <f t="shared" si="17"/>
        <v>2.4.2) 2.4.2</v>
      </c>
      <c r="AO31" s="837" t="str">
        <f>$AM$29</f>
        <v>2.4) Healthcare</v>
      </c>
      <c r="AP31" s="838">
        <f>MATCH($E31,Weights!$C$13:$C$106,0)</f>
        <v>56</v>
      </c>
      <c r="AQ31" s="838">
        <f>IF(ISERROR($AP31),1,INDEX(Weights!$G$13:$G$106,$AP31))</f>
        <v>4.666666666666667</v>
      </c>
      <c r="AR31" s="837">
        <f t="shared" si="9"/>
        <v>0.36842105263157893</v>
      </c>
      <c r="AS31" s="836">
        <v>3</v>
      </c>
      <c r="AT31" s="837" t="str">
        <f>IF(INPUTS!Q31="","",INPUTS!Q31)</f>
        <v xml:space="preserve">EHR are commonly in use </v>
      </c>
      <c r="AU31" s="837" t="str">
        <f>IF(INPUTS!R31="","",INPUTS!R31)</f>
        <v xml:space="preserve">EHR are not commonly in use, but there is evidence they are used </v>
      </c>
      <c r="AV31" s="837" t="str">
        <f>IF(INPUTS!S31="","",INPUTS!S31)</f>
        <v>No evidence EHR are in use</v>
      </c>
      <c r="AW31" s="837" t="str">
        <f>IF(INPUTS!T31="","",INPUTS!T31)</f>
        <v/>
      </c>
      <c r="AX31" s="837" t="str">
        <f>IF(INPUTS!U31="","",INPUTS!U31)</f>
        <v/>
      </c>
      <c r="AY31" s="973"/>
      <c r="AZ31" s="867" t="str">
        <f t="shared" si="10"/>
        <v>Weighted: 36.8%</v>
      </c>
    </row>
    <row r="32" spans="1:52" ht="15" customHeight="1">
      <c r="A32" s="837">
        <f t="shared" si="3"/>
        <v>31</v>
      </c>
      <c r="B32" s="838">
        <v>0</v>
      </c>
      <c r="C32" s="838">
        <f t="shared" si="12"/>
        <v>2</v>
      </c>
      <c r="D32" s="837" t="s">
        <v>431</v>
      </c>
      <c r="E32" s="837" t="str">
        <f t="shared" si="32"/>
        <v>SERV2_4_3</v>
      </c>
      <c r="F32" s="837" t="str">
        <f t="shared" si="38"/>
        <v>SERV2_4</v>
      </c>
      <c r="G32" s="838">
        <v>3</v>
      </c>
      <c r="H32" s="837" t="s">
        <v>516</v>
      </c>
      <c r="I32" s="837" t="str">
        <f>IF(INPUTS!C32="","",INPUTS!C32)</f>
        <v>Pandemic-related applications</v>
      </c>
      <c r="J32" s="837" t="str">
        <f>IF(INPUTS!D32="","",INPUTS!D32)</f>
        <v>Pandemic-related applications</v>
      </c>
      <c r="K32" s="837" t="str">
        <f>IF(INPUTS!E32="","",INPUTS!E32)</f>
        <v>2.4.3</v>
      </c>
      <c r="L32" s="837"/>
      <c r="M32" s="837" t="str">
        <f>IF(INPUTS!F32="","",INPUTS!F32)</f>
        <v>Assesses the presence of apps, mobile functionalities (iOS, Google wallet pass) or physical devices and tokens to aid in verification of vaccination or contact tracing.</v>
      </c>
      <c r="N32" s="821"/>
      <c r="O32" s="837" t="str">
        <f t="shared" si="5"/>
        <v>Assesses the presence of apps, mobile functionalities (iOS, Google wallet pass) or physical devices and tokens to aid in verification of vaccination or contact tracing.</v>
      </c>
      <c r="P32" s="837" t="str">
        <f>IF(INPUTS!I32="","",INPUTS!I32)</f>
        <v>Does the city or country have mobile applications that can aid in vaccine verification and contact tracing?
0 - No evidence of an application
1 - There are either applications for verification of vaccination and testing or applications for contact tracing
2 - There are both applications for verification of vaccination and testing and applications for contact tracing</v>
      </c>
      <c r="Q32" s="821"/>
      <c r="R32" s="821"/>
      <c r="S32" s="837" t="str">
        <f>IF(INPUTS!J32="","",INPUTS!J32)</f>
        <v>Qualitative scoring by Economist Impact analysts</v>
      </c>
      <c r="T32" s="821"/>
      <c r="U32" s="821"/>
      <c r="V32" s="833">
        <f t="shared" si="14"/>
        <v>4</v>
      </c>
      <c r="W32" s="837">
        <f>INPUTS!BC32</f>
        <v>2</v>
      </c>
      <c r="X32" s="838"/>
      <c r="Y32" s="837" t="s">
        <v>584</v>
      </c>
      <c r="Z32" s="837" t="str">
        <f>IF(INPUTS!K32="","",INPUTS!K32)</f>
        <v>Scale (0-2)</v>
      </c>
      <c r="AA32" s="837">
        <f>IF(INPUTS!L32="","",INPUTS!L32)</f>
        <v>2021</v>
      </c>
      <c r="AB32" s="837" t="str">
        <f>IF(INPUTS!M32="","",INPUTS!M32)</f>
        <v>Highest = best</v>
      </c>
      <c r="AC32" s="837" t="str">
        <f t="shared" si="0"/>
        <v>#,##0</v>
      </c>
      <c r="AD32" s="837">
        <f>IF(INPUTS!N32="","",INPUTS!N32)</f>
        <v>0</v>
      </c>
      <c r="AE32" s="837">
        <v>2</v>
      </c>
      <c r="AF32" s="837">
        <f t="shared" si="1"/>
        <v>0</v>
      </c>
      <c r="AG32" s="857">
        <v>3</v>
      </c>
      <c r="AH32" s="837">
        <v>0</v>
      </c>
      <c r="AI32" s="850">
        <v>2</v>
      </c>
      <c r="AJ32" s="838">
        <v>0</v>
      </c>
      <c r="AK32" s="838">
        <v>0</v>
      </c>
      <c r="AL32" s="837" t="str">
        <f t="shared" si="15"/>
        <v>2.4.3) Pandemic-related applications</v>
      </c>
      <c r="AM32" s="837" t="str">
        <f t="shared" si="16"/>
        <v>2.4.3) Pandemic-related applications</v>
      </c>
      <c r="AN32" s="837" t="str">
        <f t="shared" si="17"/>
        <v>2.4.3) 2.4.3</v>
      </c>
      <c r="AO32" s="837" t="str">
        <f>$AM$29</f>
        <v>2.4) Healthcare</v>
      </c>
      <c r="AP32" s="838">
        <f>MATCH($E32,Weights!$C$13:$C$106,0)</f>
        <v>57</v>
      </c>
      <c r="AQ32" s="838">
        <f>IF(ISERROR($AP32),1,INDEX(Weights!$G$13:$G$106,$AP32))</f>
        <v>4</v>
      </c>
      <c r="AR32" s="837">
        <f t="shared" si="9"/>
        <v>0.31578947368421051</v>
      </c>
      <c r="AS32" s="836">
        <v>3</v>
      </c>
      <c r="AT32" s="837" t="str">
        <f>IF(INPUTS!Q32="","",INPUTS!Q32)</f>
        <v xml:space="preserve">Applications/systems with contact tracing/exposure mapping functionality and real-time health risk alerts for users </v>
      </c>
      <c r="AU32" s="837" t="str">
        <f>IF(INPUTS!R32="","",INPUTS!R32)</f>
        <v>Applications/systems for verification of vaccination and testing</v>
      </c>
      <c r="AV32" s="837" t="str">
        <f>IF(INPUTS!S32="","",INPUTS!S32)</f>
        <v>No applications/systems exist</v>
      </c>
      <c r="AW32" s="837" t="str">
        <f>IF(INPUTS!T32="","",INPUTS!T32)</f>
        <v/>
      </c>
      <c r="AX32" s="837" t="str">
        <f>IF(INPUTS!U32="","",INPUTS!U32)</f>
        <v/>
      </c>
      <c r="AZ32" s="867" t="str">
        <f t="shared" si="10"/>
        <v>Weighted: 31.6%</v>
      </c>
    </row>
    <row r="33" spans="1:52" ht="15" customHeight="1">
      <c r="A33" s="837">
        <f t="shared" si="3"/>
        <v>32</v>
      </c>
      <c r="B33" s="838">
        <v>0</v>
      </c>
      <c r="C33" s="838">
        <f t="shared" si="12"/>
        <v>2</v>
      </c>
      <c r="D33" s="837">
        <v>2.5</v>
      </c>
      <c r="E33" s="837" t="str">
        <f t="shared" si="32"/>
        <v>SERV2_5</v>
      </c>
      <c r="F33" s="837" t="str">
        <f>$E$17</f>
        <v>SERV</v>
      </c>
      <c r="G33" s="838">
        <v>2</v>
      </c>
      <c r="H33" s="837" t="s">
        <v>507</v>
      </c>
      <c r="I33" s="837" t="str">
        <f>IF(INPUTS!C33="","",INPUTS!C33)</f>
        <v>Education</v>
      </c>
      <c r="J33" s="837" t="str">
        <f>IF(INPUTS!D33="","",INPUTS!D33)</f>
        <v>Education</v>
      </c>
      <c r="K33" s="837" t="str">
        <f>IF(INPUTS!E33="","",INPUTS!E33)</f>
        <v>Education</v>
      </c>
      <c r="L33" s="837" t="str">
        <f>"The category score is the weighted sum of the following indicator score:
"&amp;AM34&amp;" ("&amp;TEXT(AZ34,"0.0")&amp;")"</f>
        <v>The category score is the weighted sum of the following indicator score:
2.5.1) Digital education (Weighted: 100%)</v>
      </c>
      <c r="M33" s="837" t="str">
        <f>IF(INPUTS!F33="","",INPUTS!F33)</f>
        <v/>
      </c>
      <c r="N33" s="821"/>
      <c r="O33" s="837" t="str">
        <f t="shared" si="5"/>
        <v>The category score is the weighted sum of the following indicator score:
2.5.1) Digital education (Weighted: 100%)</v>
      </c>
      <c r="P33" s="837" t="str">
        <f>IF(INPUTS!I33="","",INPUTS!I33)</f>
        <v/>
      </c>
      <c r="Q33" s="821"/>
      <c r="R33" s="821"/>
      <c r="S33" s="837" t="str">
        <f>IF(INPUTS!J33="","",INPUTS!J33)</f>
        <v>Economist Impact calculation</v>
      </c>
      <c r="T33" s="821"/>
      <c r="U33" s="821"/>
      <c r="V33" s="833">
        <f t="shared" si="14"/>
        <v>4</v>
      </c>
      <c r="W33" s="837">
        <f>INPUTS!BC33</f>
        <v>1</v>
      </c>
      <c r="X33" s="838"/>
      <c r="Y33" s="837"/>
      <c r="Z33" s="837" t="str">
        <f>IF(INPUTS!K33="","",INPUTS!K33)</f>
        <v/>
      </c>
      <c r="AA33" s="837" t="str">
        <f>IF(INPUTS!L33="","",INPUTS!L33)</f>
        <v/>
      </c>
      <c r="AB33" s="531" t="s">
        <v>575</v>
      </c>
      <c r="AC33" s="837" t="str">
        <f t="shared" si="0"/>
        <v>#,##0.0</v>
      </c>
      <c r="AD33" s="837">
        <f>IF(INPUTS!N33="","",INPUTS!N33)</f>
        <v>1</v>
      </c>
      <c r="AE33" s="837">
        <v>2</v>
      </c>
      <c r="AF33" s="837">
        <f t="shared" si="1"/>
        <v>0</v>
      </c>
      <c r="AG33" s="857">
        <v>1</v>
      </c>
      <c r="AH33" s="837"/>
      <c r="AI33" s="850"/>
      <c r="AJ33" s="838">
        <v>0</v>
      </c>
      <c r="AK33" s="838">
        <v>0</v>
      </c>
      <c r="AL33" s="837" t="str">
        <f t="shared" si="15"/>
        <v>2.5) Education</v>
      </c>
      <c r="AM33" s="837" t="str">
        <f t="shared" si="16"/>
        <v>2.5) Education</v>
      </c>
      <c r="AN33" s="837" t="str">
        <f t="shared" si="17"/>
        <v>2.5) Education</v>
      </c>
      <c r="AO33" s="837" t="str">
        <f>$AM$17</f>
        <v>2) SERVICES</v>
      </c>
      <c r="AP33" s="838">
        <f>MATCH($E33,Weights!$C$13:$C$106,0)</f>
        <v>16</v>
      </c>
      <c r="AQ33" s="838">
        <f>IF(ISERROR($AP33),1,INDEX(Weights!$G$13:$G$106,$AP33))</f>
        <v>4</v>
      </c>
      <c r="AR33" s="837">
        <f t="shared" si="9"/>
        <v>0.15384615384615385</v>
      </c>
      <c r="AS33" s="836">
        <v>1</v>
      </c>
      <c r="AT33" s="837" t="str">
        <f>IF(INPUTS!Q33="","",INPUTS!Q33)</f>
        <v/>
      </c>
      <c r="AU33" s="837" t="str">
        <f>IF(INPUTS!R33="","",INPUTS!R33)</f>
        <v/>
      </c>
      <c r="AV33" s="837" t="str">
        <f>IF(INPUTS!S33="","",INPUTS!S33)</f>
        <v/>
      </c>
      <c r="AW33" s="837" t="str">
        <f>IF(INPUTS!T33="","",INPUTS!T33)</f>
        <v/>
      </c>
      <c r="AX33" s="837" t="str">
        <f>IF(INPUTS!U33="","",INPUTS!U33)</f>
        <v/>
      </c>
      <c r="AZ33" s="867" t="str">
        <f t="shared" si="10"/>
        <v>Weighted: 15.4%</v>
      </c>
    </row>
    <row r="34" spans="1:52" ht="15" customHeight="1">
      <c r="A34" s="837">
        <f t="shared" si="3"/>
        <v>33</v>
      </c>
      <c r="B34" s="838">
        <v>0</v>
      </c>
      <c r="C34" s="838">
        <f t="shared" si="12"/>
        <v>2</v>
      </c>
      <c r="D34" s="837" t="s">
        <v>506</v>
      </c>
      <c r="E34" s="837" t="str">
        <f t="shared" si="32"/>
        <v>SERV2_5_1</v>
      </c>
      <c r="F34" s="837" t="str">
        <f>$E$33</f>
        <v>SERV2_5</v>
      </c>
      <c r="G34" s="838">
        <v>3</v>
      </c>
      <c r="H34" s="837" t="s">
        <v>517</v>
      </c>
      <c r="I34" s="837" t="str">
        <f>IF(INPUTS!C34="","",INPUTS!C34)</f>
        <v>Digital education</v>
      </c>
      <c r="J34" s="837" t="str">
        <f>IF(INPUTS!D34="","",INPUTS!D34)</f>
        <v>Digital education</v>
      </c>
      <c r="K34" s="837" t="str">
        <f>IF(INPUTS!E34="","",INPUTS!E34)</f>
        <v>2.5.1</v>
      </c>
      <c r="L34" s="837"/>
      <c r="M34" s="837" t="str">
        <f>IF(INPUTS!F34="","",INPUTS!F34)</f>
        <v xml:space="preserve">Assesses plans, policies and initiatives adopted by the government to promote digital education. Digital education is the ingenious use of digital technologies and tools throughout teaching and learning and is frequently known as Technology Enhanced Learning (TEL) or digital learning. </v>
      </c>
      <c r="N34" s="821"/>
      <c r="O34" s="837" t="str">
        <f t="shared" si="5"/>
        <v xml:space="preserve">Assesses plans, policies and initiatives adopted by the government to promote digital education. Digital education is the ingenious use of digital technologies and tools throughout teaching and learning and is frequently known as Technology Enhanced Learning (TEL) or digital learning. </v>
      </c>
      <c r="P34" s="837" t="str">
        <f>IF(INPUTS!I34="","",INPUTS!I34)</f>
        <v>Does the city/country have any policies/plans/strategy or initiatives on digital education?
0 - The city does not have any plans/policy/ strategy or initiatives on digital education 
1- The city does not have a strategy but has launched several initiatives on digital education (at least 2 initiatives)
2- The city has a policy/strategy on digital education</v>
      </c>
      <c r="Q34" s="821"/>
      <c r="R34" s="821"/>
      <c r="S34" s="837" t="str">
        <f>IF(INPUTS!J34="","",INPUTS!J34)</f>
        <v>Qualitative scoring by Economist Impact analysts</v>
      </c>
      <c r="T34" s="821"/>
      <c r="U34" s="821"/>
      <c r="V34" s="833">
        <f t="shared" si="14"/>
        <v>4</v>
      </c>
      <c r="W34" s="837">
        <f>INPUTS!BC34</f>
        <v>2</v>
      </c>
      <c r="X34" s="838"/>
      <c r="Y34" s="837" t="s">
        <v>585</v>
      </c>
      <c r="Z34" s="837" t="str">
        <f>IF(INPUTS!K34="","",INPUTS!K34)</f>
        <v>Scale (0-2)</v>
      </c>
      <c r="AA34" s="837">
        <f>IF(INPUTS!L34="","",INPUTS!L34)</f>
        <v>2021</v>
      </c>
      <c r="AB34" s="837" t="str">
        <f>IF(INPUTS!M34="","",INPUTS!M34)</f>
        <v>Highest = best</v>
      </c>
      <c r="AC34" s="837" t="str">
        <f t="shared" si="0"/>
        <v>#,##0</v>
      </c>
      <c r="AD34" s="837">
        <f>IF(INPUTS!N34="","",INPUTS!N34)</f>
        <v>0</v>
      </c>
      <c r="AE34" s="837">
        <v>2</v>
      </c>
      <c r="AF34" s="837">
        <f t="shared" si="1"/>
        <v>0</v>
      </c>
      <c r="AG34" s="857">
        <v>3</v>
      </c>
      <c r="AH34" s="837">
        <v>0</v>
      </c>
      <c r="AI34" s="850">
        <v>2</v>
      </c>
      <c r="AJ34" s="838">
        <v>0</v>
      </c>
      <c r="AK34" s="838">
        <v>0</v>
      </c>
      <c r="AL34" s="837" t="str">
        <f t="shared" si="15"/>
        <v>2.5.1) Digital education</v>
      </c>
      <c r="AM34" s="837" t="str">
        <f t="shared" si="16"/>
        <v>2.5.1) Digital education</v>
      </c>
      <c r="AN34" s="837" t="str">
        <f t="shared" si="17"/>
        <v>2.5.1) 2.5.1</v>
      </c>
      <c r="AO34" s="837" t="str">
        <f>$AM$33</f>
        <v>2.5) Education</v>
      </c>
      <c r="AP34" s="838">
        <f>MATCH($E34,Weights!$C$13:$C$106,0)</f>
        <v>59</v>
      </c>
      <c r="AQ34" s="838">
        <f>IF(ISERROR($AP34),1,INDEX(Weights!$G$13:$G$106,$AP34))</f>
        <v>1</v>
      </c>
      <c r="AR34" s="837">
        <f t="shared" si="9"/>
        <v>1</v>
      </c>
      <c r="AS34" s="836">
        <v>3</v>
      </c>
      <c r="AT34" s="837" t="str">
        <f>IF(INPUTS!Q34="","",INPUTS!Q34)</f>
        <v>Has a plan/policy/strategy on digital education</v>
      </c>
      <c r="AU34" s="837" t="str">
        <f>IF(INPUTS!R34="","",INPUTS!R34)</f>
        <v>The city does not have a strategy but has launched several initiatives on digital education (at least 2 initiatives)</v>
      </c>
      <c r="AV34" s="837" t="str">
        <f>IF(INPUTS!S34="","",INPUTS!S34)</f>
        <v>No evidence of a plan/policy/ strategy or initiatives on digital education</v>
      </c>
      <c r="AW34" s="837" t="str">
        <f>IF(INPUTS!T34="","",INPUTS!T34)</f>
        <v/>
      </c>
      <c r="AX34" s="837" t="str">
        <f>IF(INPUTS!U34="","",INPUTS!U34)</f>
        <v/>
      </c>
      <c r="AZ34" s="867" t="str">
        <f t="shared" si="10"/>
        <v>Weighted: 100%</v>
      </c>
    </row>
    <row r="35" spans="1:52" ht="15" customHeight="1">
      <c r="A35" s="837">
        <f t="shared" si="3"/>
        <v>34</v>
      </c>
      <c r="B35" s="838">
        <v>0</v>
      </c>
      <c r="C35" s="838">
        <f t="shared" si="12"/>
        <v>2</v>
      </c>
      <c r="D35" s="837">
        <v>2.6</v>
      </c>
      <c r="E35" s="837" t="str">
        <f t="shared" si="32"/>
        <v>SERV2_6</v>
      </c>
      <c r="F35" s="837" t="str">
        <f>$E$17</f>
        <v>SERV</v>
      </c>
      <c r="G35" s="838">
        <v>2</v>
      </c>
      <c r="H35" s="837" t="s">
        <v>688</v>
      </c>
      <c r="I35" s="837" t="str">
        <f>IF(INPUTS!C35="","",INPUTS!C35)</f>
        <v>Retail and hospitality</v>
      </c>
      <c r="J35" s="837" t="str">
        <f>IF(INPUTS!D35="","",INPUTS!D35)</f>
        <v>Retail and hospitality</v>
      </c>
      <c r="K35" s="837" t="str">
        <f>IF(INPUTS!E35="","",INPUTS!E35)</f>
        <v>Retail and hospitality</v>
      </c>
      <c r="L35" s="837" t="str">
        <f>"The category score is the weighted sum of the following indicator scores:
"&amp;AM36&amp;" ("&amp;TEXT(AZ36,"0.0")&amp;")
"&amp;AM37&amp;" ("&amp;TEXT(AZ37,"0.0")&amp;")"</f>
        <v>The category score is the weighted sum of the following indicator scores:
2.6.1) E-commerce penetration (Weighted: 56.5%)
2.6.2) Digital tourist passes (Weighted: 43.5%)</v>
      </c>
      <c r="M35" s="837" t="str">
        <f>IF(INPUTS!F35="","",INPUTS!F35)</f>
        <v/>
      </c>
      <c r="N35" s="821"/>
      <c r="O35" s="837" t="str">
        <f t="shared" si="5"/>
        <v>The category score is the weighted sum of the following indicator scores:
2.6.1) E-commerce penetration (Weighted: 56.5%)
2.6.2) Digital tourist passes (Weighted: 43.5%)</v>
      </c>
      <c r="P35" s="837" t="str">
        <f>IF(INPUTS!I35="","",INPUTS!I35)</f>
        <v/>
      </c>
      <c r="Q35" s="821"/>
      <c r="R35" s="821"/>
      <c r="S35" s="837" t="str">
        <f>IF(INPUTS!J35="","",INPUTS!J35)</f>
        <v>Economist Impact calculation</v>
      </c>
      <c r="T35" s="821"/>
      <c r="U35" s="821"/>
      <c r="V35" s="833">
        <f t="shared" si="14"/>
        <v>4</v>
      </c>
      <c r="W35" s="837">
        <f>INPUTS!BC35</f>
        <v>1</v>
      </c>
      <c r="X35" s="838"/>
      <c r="Y35" s="837"/>
      <c r="Z35" s="837" t="str">
        <f>IF(INPUTS!K35="","",INPUTS!K35)</f>
        <v/>
      </c>
      <c r="AA35" s="837" t="str">
        <f>IF(INPUTS!L35="","",INPUTS!L35)</f>
        <v/>
      </c>
      <c r="AB35" s="531" t="s">
        <v>575</v>
      </c>
      <c r="AC35" s="837" t="str">
        <f t="shared" si="0"/>
        <v>#,##0.0</v>
      </c>
      <c r="AD35" s="837">
        <f>IF(INPUTS!N35="","",INPUTS!N35)</f>
        <v>1</v>
      </c>
      <c r="AE35" s="837">
        <v>2</v>
      </c>
      <c r="AF35" s="837">
        <f t="shared" si="1"/>
        <v>0</v>
      </c>
      <c r="AG35" s="857">
        <v>1</v>
      </c>
      <c r="AH35" s="837"/>
      <c r="AI35" s="850"/>
      <c r="AJ35" s="838">
        <v>0</v>
      </c>
      <c r="AK35" s="838">
        <v>0</v>
      </c>
      <c r="AL35" s="837" t="str">
        <f t="shared" si="15"/>
        <v>2.6) Retail and hospitality</v>
      </c>
      <c r="AM35" s="837" t="str">
        <f t="shared" si="16"/>
        <v>2.6) Retail and hospitality</v>
      </c>
      <c r="AN35" s="837" t="str">
        <f t="shared" si="17"/>
        <v>2.6) Retail and hospitality</v>
      </c>
      <c r="AO35" s="837" t="str">
        <f>$AM$17</f>
        <v>2) SERVICES</v>
      </c>
      <c r="AP35" s="838">
        <f>MATCH($E35,Weights!$C$13:$C$106,0)</f>
        <v>17</v>
      </c>
      <c r="AQ35" s="838">
        <f>IF(ISERROR($AP35),1,INDEX(Weights!$G$13:$G$106,$AP35))</f>
        <v>4</v>
      </c>
      <c r="AR35" s="837">
        <f t="shared" si="9"/>
        <v>0.15384615384615385</v>
      </c>
      <c r="AS35" s="836">
        <v>1</v>
      </c>
      <c r="AT35" s="837" t="str">
        <f>IF(INPUTS!Q35="","",INPUTS!Q35)</f>
        <v/>
      </c>
      <c r="AU35" s="837" t="str">
        <f>IF(INPUTS!R35="","",INPUTS!R35)</f>
        <v/>
      </c>
      <c r="AV35" s="837" t="str">
        <f>IF(INPUTS!S35="","",INPUTS!S35)</f>
        <v/>
      </c>
      <c r="AW35" s="837" t="str">
        <f>IF(INPUTS!T35="","",INPUTS!T35)</f>
        <v/>
      </c>
      <c r="AX35" s="837" t="str">
        <f>IF(INPUTS!U35="","",INPUTS!U35)</f>
        <v/>
      </c>
      <c r="AZ35" s="867" t="str">
        <f t="shared" si="10"/>
        <v>Weighted: 15.4%</v>
      </c>
    </row>
    <row r="36" spans="1:52" s="843" customFormat="1" ht="15" customHeight="1">
      <c r="A36" s="837">
        <f t="shared" si="3"/>
        <v>35</v>
      </c>
      <c r="B36" s="838">
        <v>0</v>
      </c>
      <c r="C36" s="838">
        <f t="shared" si="12"/>
        <v>2</v>
      </c>
      <c r="D36" s="837" t="s">
        <v>726</v>
      </c>
      <c r="E36" s="837" t="str">
        <f t="shared" si="32"/>
        <v>SERV2_6_1</v>
      </c>
      <c r="F36" s="837" t="str">
        <f>$E$35</f>
        <v>SERV2_6</v>
      </c>
      <c r="G36" s="838">
        <v>3</v>
      </c>
      <c r="H36" s="837" t="s">
        <v>743</v>
      </c>
      <c r="I36" s="837" t="str">
        <f>IF(INPUTS!C36="","",INPUTS!C36)</f>
        <v>E-commerce penetration</v>
      </c>
      <c r="J36" s="837" t="str">
        <f>IF(INPUTS!D36="","",INPUTS!D36)</f>
        <v>E-commerce penetration</v>
      </c>
      <c r="K36" s="837" t="str">
        <f>IF(INPUTS!E36="","",INPUTS!E36)</f>
        <v>2.6.1</v>
      </c>
      <c r="L36" s="837"/>
      <c r="M36" s="837" t="str">
        <f>IF(INPUTS!F36="","",INPUTS!F36)</f>
        <v>Ecommerce sales as a share of total retail sales. The measure includes purchases on any ecommerce shopping platforms, and excludes hybrid in-store shopping experiences</v>
      </c>
      <c r="N36" s="841"/>
      <c r="O36" s="837" t="str">
        <f t="shared" si="5"/>
        <v>Ecommerce sales as a share of total retail sales. The measure includes purchases on any ecommerce shopping platforms, and excludes hybrid in-store shopping experiences</v>
      </c>
      <c r="P36" s="837" t="str">
        <f>IF(INPUTS!I36="","",INPUTS!I36)</f>
        <v xml:space="preserve">Ecommerce sales as a share of total retail sales </v>
      </c>
      <c r="Q36" s="841"/>
      <c r="R36" s="841"/>
      <c r="S36" s="837" t="str">
        <f>IF(INPUTS!J36="","",INPUTS!J36)</f>
        <v>WorldPay</v>
      </c>
      <c r="T36" s="841"/>
      <c r="U36" s="841"/>
      <c r="V36" s="842">
        <f t="shared" si="14"/>
        <v>4</v>
      </c>
      <c r="W36" s="837">
        <f>INPUTS!BC36</f>
        <v>2</v>
      </c>
      <c r="X36" s="838"/>
      <c r="Y36" s="837" t="s">
        <v>585</v>
      </c>
      <c r="Z36" s="837" t="str">
        <f>IF(INPUTS!K36="","",INPUTS!K36)</f>
        <v>%</v>
      </c>
      <c r="AA36" s="837">
        <f>IF(INPUTS!L36="","",INPUTS!L36)</f>
        <v>2021</v>
      </c>
      <c r="AB36" s="837" t="str">
        <f>IF(INPUTS!M36="","",INPUTS!M36)</f>
        <v>Highest = best</v>
      </c>
      <c r="AC36" s="837" t="str">
        <f t="shared" si="0"/>
        <v>#,##0.0</v>
      </c>
      <c r="AD36" s="837">
        <f>IF(INPUTS!N36="","",INPUTS!N36)</f>
        <v>1</v>
      </c>
      <c r="AE36" s="837">
        <v>2</v>
      </c>
      <c r="AF36" s="837">
        <f t="shared" si="1"/>
        <v>0</v>
      </c>
      <c r="AG36" s="857">
        <v>2</v>
      </c>
      <c r="AH36" s="837"/>
      <c r="AI36" s="850"/>
      <c r="AJ36" s="838">
        <v>0</v>
      </c>
      <c r="AK36" s="838">
        <v>0</v>
      </c>
      <c r="AL36" s="837" t="str">
        <f t="shared" si="15"/>
        <v>2.6.1) E-commerce penetration</v>
      </c>
      <c r="AM36" s="837" t="str">
        <f t="shared" si="16"/>
        <v>2.6.1) E-commerce penetration</v>
      </c>
      <c r="AN36" s="837" t="str">
        <f t="shared" si="17"/>
        <v>2.6.1) 2.6.1</v>
      </c>
      <c r="AO36" s="837" t="str">
        <f>$AM$35</f>
        <v>2.6) Retail and hospitality</v>
      </c>
      <c r="AP36" s="838">
        <f>MATCH($E36,Weights!$C$13:$C$106,0)</f>
        <v>61</v>
      </c>
      <c r="AQ36" s="838">
        <f>IF(ISERROR($AP36),1,INDEX(Weights!$G$13:$G$106,$AP36))</f>
        <v>4.333333333333333</v>
      </c>
      <c r="AR36" s="837">
        <f t="shared" ref="AR36:AR67" si="39">IF(ISERROR(AQ36/SUMIF($F$2:$F$71,$F36,AQ$2:AQ$71)),0,AQ36/SUMIF($F$2:$F$71,$F36,AQ$2:AQ$71))</f>
        <v>0.56521739130434778</v>
      </c>
      <c r="AS36" s="836">
        <v>1</v>
      </c>
      <c r="AT36" s="837" t="str">
        <f>IF(INPUTS!Q36="","",INPUTS!Q36)</f>
        <v/>
      </c>
      <c r="AU36" s="837" t="str">
        <f>IF(INPUTS!R36="","",INPUTS!R36)</f>
        <v/>
      </c>
      <c r="AV36" s="837" t="str">
        <f>IF(INPUTS!S36="","",INPUTS!S36)</f>
        <v/>
      </c>
      <c r="AW36" s="837" t="str">
        <f>IF(INPUTS!T36="","",INPUTS!T36)</f>
        <v/>
      </c>
      <c r="AX36" s="837" t="str">
        <f>IF(INPUTS!U36="","",INPUTS!U36)</f>
        <v/>
      </c>
      <c r="AY36" s="973"/>
      <c r="AZ36" s="867" t="str">
        <f t="shared" si="10"/>
        <v>Weighted: 56.5%</v>
      </c>
    </row>
    <row r="37" spans="1:52" ht="15" customHeight="1">
      <c r="A37" s="837">
        <f t="shared" si="3"/>
        <v>36</v>
      </c>
      <c r="B37" s="838">
        <v>0</v>
      </c>
      <c r="C37" s="838">
        <f t="shared" si="12"/>
        <v>2</v>
      </c>
      <c r="D37" s="837" t="s">
        <v>727</v>
      </c>
      <c r="E37" s="837" t="str">
        <f t="shared" si="32"/>
        <v>SERV2_6_2</v>
      </c>
      <c r="F37" s="837" t="str">
        <f>$E$35</f>
        <v>SERV2_6</v>
      </c>
      <c r="G37" s="838">
        <v>3</v>
      </c>
      <c r="H37" s="837" t="s">
        <v>744</v>
      </c>
      <c r="I37" s="837" t="str">
        <f>IF(INPUTS!C37="","",INPUTS!C37)</f>
        <v>Digital tourist passes</v>
      </c>
      <c r="J37" s="837" t="str">
        <f>IF(INPUTS!D37="","",INPUTS!D37)</f>
        <v>Digital tourist passes</v>
      </c>
      <c r="K37" s="837" t="str">
        <f>IF(INPUTS!E37="","",INPUTS!E37)</f>
        <v>2.6.2</v>
      </c>
      <c r="L37" s="837"/>
      <c r="M37" s="837" t="str">
        <f>IF(INPUTS!F37="","",INPUTS!F37)</f>
        <v>Assesses the availability of official digital tourist passes for access to attractions or transportation in a city. Any generic ride-sharing and hotel booking apps that residents use day-to-day are excluded.</v>
      </c>
      <c r="N37" s="821"/>
      <c r="O37" s="837" t="str">
        <f t="shared" si="5"/>
        <v>Assesses the availability of official digital tourist passes for access to attractions or transportation in a city. Any generic ride-sharing and hotel booking apps that residents use day-to-day are excluded.</v>
      </c>
      <c r="P37" s="837" t="str">
        <f>IF(INPUTS!I37="","",INPUTS!I37)</f>
        <v>Does the city provide digital passes for tourist specific activities like accessing tourist attractions?
0 - No evidence available
1 - Available</v>
      </c>
      <c r="Q37" s="821"/>
      <c r="R37" s="821"/>
      <c r="S37" s="837" t="str">
        <f>IF(INPUTS!J37="","",INPUTS!J37)</f>
        <v>Qualitative scoring by Economist Impact analysts</v>
      </c>
      <c r="T37" s="821"/>
      <c r="U37" s="821"/>
      <c r="V37" s="833">
        <f t="shared" si="14"/>
        <v>4</v>
      </c>
      <c r="W37" s="837">
        <f>INPUTS!BC37</f>
        <v>2</v>
      </c>
      <c r="X37" s="838"/>
      <c r="Y37" s="837" t="s">
        <v>584</v>
      </c>
      <c r="Z37" s="837" t="str">
        <f>IF(INPUTS!K37="","",INPUTS!K37)</f>
        <v>Scale (0-1)</v>
      </c>
      <c r="AA37" s="837">
        <f>IF(INPUTS!L37="","",INPUTS!L37)</f>
        <v>2021</v>
      </c>
      <c r="AB37" s="837" t="str">
        <f>IF(INPUTS!M37="","",INPUTS!M37)</f>
        <v>Highest = best</v>
      </c>
      <c r="AC37" s="837" t="str">
        <f t="shared" si="0"/>
        <v>#,##0</v>
      </c>
      <c r="AD37" s="837">
        <f>IF(INPUTS!N37="","",INPUTS!N37)</f>
        <v>0</v>
      </c>
      <c r="AE37" s="837">
        <v>2</v>
      </c>
      <c r="AF37" s="837">
        <f t="shared" si="1"/>
        <v>0</v>
      </c>
      <c r="AG37" s="857">
        <v>3</v>
      </c>
      <c r="AH37" s="837">
        <v>0</v>
      </c>
      <c r="AI37" s="850">
        <v>1</v>
      </c>
      <c r="AJ37" s="838">
        <v>0</v>
      </c>
      <c r="AK37" s="838">
        <v>0</v>
      </c>
      <c r="AL37" s="837" t="str">
        <f t="shared" si="15"/>
        <v>2.6.2) Digital tourist passes</v>
      </c>
      <c r="AM37" s="837" t="str">
        <f t="shared" si="16"/>
        <v>2.6.2) Digital tourist passes</v>
      </c>
      <c r="AN37" s="837" t="str">
        <f t="shared" si="17"/>
        <v>2.6.2) 2.6.2</v>
      </c>
      <c r="AO37" s="837" t="str">
        <f>$AM$35</f>
        <v>2.6) Retail and hospitality</v>
      </c>
      <c r="AP37" s="838">
        <f>MATCH($E37,Weights!$C$13:$C$106,0)</f>
        <v>62</v>
      </c>
      <c r="AQ37" s="838">
        <f>IF(ISERROR($AP37),1,INDEX(Weights!$G$13:$G$106,$AP37))</f>
        <v>3.3333333333333335</v>
      </c>
      <c r="AR37" s="837">
        <f t="shared" si="39"/>
        <v>0.43478260869565222</v>
      </c>
      <c r="AS37" s="836">
        <v>2</v>
      </c>
      <c r="AT37" s="837" t="str">
        <f>IF(INPUTS!Q37="","",INPUTS!Q37)</f>
        <v>Available</v>
      </c>
      <c r="AU37" s="837" t="str">
        <f>IF(INPUTS!R37="","",INPUTS!R37)</f>
        <v>Not available</v>
      </c>
      <c r="AV37" s="837" t="str">
        <f>IF(INPUTS!S37="","",INPUTS!S37)</f>
        <v/>
      </c>
      <c r="AW37" s="837" t="str">
        <f>IF(INPUTS!T37="","",INPUTS!T37)</f>
        <v/>
      </c>
      <c r="AX37" s="837" t="str">
        <f>IF(INPUTS!U37="","",INPUTS!U37)</f>
        <v/>
      </c>
      <c r="AZ37" s="867" t="str">
        <f t="shared" si="10"/>
        <v>Weighted: 43.5%</v>
      </c>
    </row>
    <row r="38" spans="1:52" ht="15" customHeight="1">
      <c r="A38" s="837">
        <f t="shared" si="3"/>
        <v>37</v>
      </c>
      <c r="B38" s="838">
        <v>0</v>
      </c>
      <c r="C38" s="838">
        <f t="shared" si="12"/>
        <v>3</v>
      </c>
      <c r="D38" s="837">
        <v>3</v>
      </c>
      <c r="E38" s="837" t="s">
        <v>799</v>
      </c>
      <c r="F38" s="835" t="str">
        <f>$E$2</f>
        <v>OVERALL</v>
      </c>
      <c r="G38" s="838">
        <v>1</v>
      </c>
      <c r="H38" s="837">
        <v>3</v>
      </c>
      <c r="I38" s="837" t="str">
        <f>IF(INPUTS!C38="","",INPUTS!C38)</f>
        <v>Culture</v>
      </c>
      <c r="J38" s="837" t="str">
        <f>IF(INPUTS!D38="","",INPUTS!D38)</f>
        <v>Culture</v>
      </c>
      <c r="K38" s="837" t="str">
        <f>IF(INPUTS!E38="","",INPUTS!E38)</f>
        <v>Culture</v>
      </c>
      <c r="L38" s="837" t="str">
        <f>"The domain score is the weighted sum of the following category scores:
"&amp;AM39&amp;" ("&amp;TEXT(AZ39,"0.0")&amp;")
"&amp;AM43&amp;" ("&amp;TEXT(AZ43,"0.0")&amp;")
"&amp;AM49&amp;" ("&amp;TEXT(AZ49,"0.0")&amp;")
"&amp;AM55&amp;" ("&amp;TEXT(AZ55,"0.0")&amp;")"</f>
        <v>The domain score is the weighted sum of the following category scores:
3.1) Digital inclusion (Weighted: 18.8%)
3.2) Government support (Weighted: 31.3%)
3.3) Innovation ecosystem (Weighted: 31.3%)
3.4) Public attitude and engagement (Weighted: 18.8%)</v>
      </c>
      <c r="M38" s="837" t="str">
        <f>IF(INPUTS!F38="","",INPUTS!F38)</f>
        <v/>
      </c>
      <c r="N38" s="821"/>
      <c r="O38" s="837" t="str">
        <f t="shared" si="5"/>
        <v>The domain score is the weighted sum of the following category scores:
3.1) Digital inclusion (Weighted: 18.8%)
3.2) Government support (Weighted: 31.3%)
3.3) Innovation ecosystem (Weighted: 31.3%)
3.4) Public attitude and engagement (Weighted: 18.8%)</v>
      </c>
      <c r="P38" s="837" t="str">
        <f>IF(INPUTS!I38="","",INPUTS!I38)</f>
        <v/>
      </c>
      <c r="Q38" s="821"/>
      <c r="R38" s="821"/>
      <c r="S38" s="837" t="str">
        <f>IF(INPUTS!J38="","",INPUTS!J38)</f>
        <v>Economist Impact calculation</v>
      </c>
      <c r="T38" s="821"/>
      <c r="U38" s="821"/>
      <c r="V38" s="833">
        <f t="shared" si="14"/>
        <v>4</v>
      </c>
      <c r="W38" s="837">
        <f>INPUTS!BC38</f>
        <v>1</v>
      </c>
      <c r="X38" s="838"/>
      <c r="Y38" s="837"/>
      <c r="Z38" s="837" t="str">
        <f>IF(INPUTS!K38="","",INPUTS!K38)</f>
        <v/>
      </c>
      <c r="AA38" s="837" t="str">
        <f>IF(INPUTS!L38="","",INPUTS!L38)</f>
        <v/>
      </c>
      <c r="AB38" s="531" t="s">
        <v>575</v>
      </c>
      <c r="AC38" s="837" t="str">
        <f t="shared" si="0"/>
        <v>#,##0.0</v>
      </c>
      <c r="AD38" s="837">
        <f>IF(INPUTS!N38="","",INPUTS!N38)</f>
        <v>1</v>
      </c>
      <c r="AE38" s="837">
        <v>2</v>
      </c>
      <c r="AF38" s="837">
        <f t="shared" si="1"/>
        <v>0</v>
      </c>
      <c r="AG38" s="857">
        <v>1</v>
      </c>
      <c r="AH38" s="837"/>
      <c r="AI38" s="850"/>
      <c r="AJ38" s="838">
        <v>0</v>
      </c>
      <c r="AK38" s="838">
        <v>0</v>
      </c>
      <c r="AL38" s="835" t="str">
        <f t="shared" si="15"/>
        <v>3) CULTURE</v>
      </c>
      <c r="AM38" s="835" t="str">
        <f t="shared" si="16"/>
        <v>3) CULTURE</v>
      </c>
      <c r="AN38" s="835" t="str">
        <f t="shared" si="17"/>
        <v>CULTURE</v>
      </c>
      <c r="AO38" s="835" t="str">
        <f>$AM$2</f>
        <v>OVERALL SCORE</v>
      </c>
      <c r="AP38" s="838">
        <f>MATCH($E38,Weights!$C$13:$C$106,0)</f>
        <v>3</v>
      </c>
      <c r="AQ38" s="838">
        <f>IF(ISERROR($AP38),1,INDEX(Weights!$G$13:$G$106,$AP38))</f>
        <v>21</v>
      </c>
      <c r="AR38" s="837">
        <f t="shared" si="39"/>
        <v>0.21</v>
      </c>
      <c r="AS38" s="836">
        <v>1</v>
      </c>
      <c r="AT38" s="837" t="str">
        <f>IF(INPUTS!Q38="","",INPUTS!Q38)</f>
        <v/>
      </c>
      <c r="AU38" s="837" t="str">
        <f>IF(INPUTS!R38="","",INPUTS!R38)</f>
        <v/>
      </c>
      <c r="AV38" s="837" t="str">
        <f>IF(INPUTS!S38="","",INPUTS!S38)</f>
        <v/>
      </c>
      <c r="AW38" s="837" t="str">
        <f>IF(INPUTS!T38="","",INPUTS!T38)</f>
        <v/>
      </c>
      <c r="AX38" s="837" t="str">
        <f>IF(INPUTS!U38="","",INPUTS!U38)</f>
        <v/>
      </c>
      <c r="AZ38" s="867" t="str">
        <f t="shared" si="10"/>
        <v>Weighted: 21%</v>
      </c>
    </row>
    <row r="39" spans="1:52" ht="15" customHeight="1">
      <c r="A39" s="837">
        <f t="shared" si="3"/>
        <v>38</v>
      </c>
      <c r="B39" s="838">
        <v>0</v>
      </c>
      <c r="C39" s="838">
        <f t="shared" si="12"/>
        <v>3</v>
      </c>
      <c r="D39" s="837">
        <v>3.1</v>
      </c>
      <c r="E39" s="837" t="str">
        <f>$E$38&amp;H39</f>
        <v>CULT3_1</v>
      </c>
      <c r="F39" s="837" t="str">
        <f>$E$38</f>
        <v>CULT</v>
      </c>
      <c r="G39" s="838">
        <v>2</v>
      </c>
      <c r="H39" s="837" t="s">
        <v>188</v>
      </c>
      <c r="I39" s="837" t="str">
        <f>IF(INPUTS!C39="","",INPUTS!C39)</f>
        <v>Digital inclusion</v>
      </c>
      <c r="J39" s="837" t="str">
        <f>IF(INPUTS!D39="","",INPUTS!D39)</f>
        <v>Digital inclusion</v>
      </c>
      <c r="K39" s="837" t="str">
        <f>IF(INPUTS!E39="","",INPUTS!E39)</f>
        <v>Digital inclusion</v>
      </c>
      <c r="L39" s="837" t="str">
        <f>"The category score is the weighted sum of the following indicator scores:
"&amp;AM40&amp;" ("&amp;TEXT(AZ40,"0.0")&amp;")
"&amp;AM41&amp;" ("&amp;TEXT(AZ41,"0.0")&amp;")
"&amp;AM42&amp;" ("&amp;TEXT(AZ42,"0.0")&amp;")"</f>
        <v>The category score is the weighted sum of the following indicator scores:
3.1.1) Internet usage (Weighted: 36.8%)
3.1.2) Gap between female and male access to the internet (Weighted: 31.6%)
3.1.3) Digital skills (Weighted: 31.6%)</v>
      </c>
      <c r="M39" s="837" t="str">
        <f>IF(INPUTS!F39="","",INPUTS!F39)</f>
        <v/>
      </c>
      <c r="N39" s="821"/>
      <c r="O39" s="837" t="str">
        <f t="shared" si="5"/>
        <v>The category score is the weighted sum of the following indicator scores:
3.1.1) Internet usage (Weighted: 36.8%)
3.1.2) Gap between female and male access to the internet (Weighted: 31.6%)
3.1.3) Digital skills (Weighted: 31.6%)</v>
      </c>
      <c r="P39" s="837" t="str">
        <f>IF(INPUTS!I39="","",INPUTS!I39)</f>
        <v/>
      </c>
      <c r="Q39" s="821"/>
      <c r="R39" s="821"/>
      <c r="S39" s="837" t="str">
        <f>IF(INPUTS!J39="","",INPUTS!J39)</f>
        <v>Economist Impact calculation</v>
      </c>
      <c r="T39" s="821"/>
      <c r="U39" s="821"/>
      <c r="V39" s="833">
        <f t="shared" si="14"/>
        <v>4</v>
      </c>
      <c r="W39" s="837">
        <f>INPUTS!BC39</f>
        <v>1</v>
      </c>
      <c r="X39" s="838"/>
      <c r="Y39" s="837"/>
      <c r="Z39" s="837" t="str">
        <f>IF(INPUTS!K39="","",INPUTS!K39)</f>
        <v/>
      </c>
      <c r="AA39" s="837" t="str">
        <f>IF(INPUTS!L39="","",INPUTS!L39)</f>
        <v/>
      </c>
      <c r="AB39" s="531" t="s">
        <v>575</v>
      </c>
      <c r="AC39" s="837" t="str">
        <f t="shared" si="0"/>
        <v>#,##0.0</v>
      </c>
      <c r="AD39" s="837">
        <f>IF(INPUTS!N39="","",INPUTS!N39)</f>
        <v>1</v>
      </c>
      <c r="AE39" s="837">
        <v>2</v>
      </c>
      <c r="AF39" s="837">
        <f t="shared" si="1"/>
        <v>0</v>
      </c>
      <c r="AG39" s="857">
        <v>1</v>
      </c>
      <c r="AH39" s="837"/>
      <c r="AI39" s="850"/>
      <c r="AJ39" s="838">
        <v>0</v>
      </c>
      <c r="AK39" s="838">
        <v>0</v>
      </c>
      <c r="AL39" s="837" t="str">
        <f t="shared" si="15"/>
        <v>3.1) Digital inclusion</v>
      </c>
      <c r="AM39" s="837" t="str">
        <f t="shared" si="16"/>
        <v>3.1) Digital inclusion</v>
      </c>
      <c r="AN39" s="837" t="str">
        <f t="shared" si="17"/>
        <v>3.1) Digital inclusion</v>
      </c>
      <c r="AO39" s="837" t="str">
        <f>$AM$38</f>
        <v>3) CULTURE</v>
      </c>
      <c r="AP39" s="838">
        <f>MATCH($E39,Weights!$C$13:$C$106,0)</f>
        <v>19</v>
      </c>
      <c r="AQ39" s="838">
        <f>IF(ISERROR($AP39),1,INDEX(Weights!$G$13:$G$106,$AP39))</f>
        <v>3</v>
      </c>
      <c r="AR39" s="837">
        <f t="shared" si="39"/>
        <v>0.1875</v>
      </c>
      <c r="AS39" s="836">
        <v>1</v>
      </c>
      <c r="AT39" s="837" t="str">
        <f>IF(INPUTS!Q39="","",INPUTS!Q39)</f>
        <v/>
      </c>
      <c r="AU39" s="837" t="str">
        <f>IF(INPUTS!R39="","",INPUTS!R39)</f>
        <v/>
      </c>
      <c r="AV39" s="837" t="str">
        <f>IF(INPUTS!S39="","",INPUTS!S39)</f>
        <v/>
      </c>
      <c r="AW39" s="837" t="str">
        <f>IF(INPUTS!T39="","",INPUTS!T39)</f>
        <v/>
      </c>
      <c r="AX39" s="837" t="str">
        <f>IF(INPUTS!U39="","",INPUTS!U39)</f>
        <v/>
      </c>
      <c r="AZ39" s="867" t="str">
        <f t="shared" si="10"/>
        <v>Weighted: 18.8%</v>
      </c>
    </row>
    <row r="40" spans="1:52" ht="15" customHeight="1">
      <c r="A40" s="835">
        <f t="shared" si="3"/>
        <v>39</v>
      </c>
      <c r="B40" s="836">
        <v>0</v>
      </c>
      <c r="C40" s="836">
        <f t="shared" si="12"/>
        <v>3</v>
      </c>
      <c r="D40" s="835" t="s">
        <v>432</v>
      </c>
      <c r="E40" s="837" t="str">
        <f t="shared" ref="E40:E57" si="40">$E$38&amp;H40</f>
        <v>CULT3_1_1</v>
      </c>
      <c r="F40" s="835" t="str">
        <f>$E$39</f>
        <v>CULT3_1</v>
      </c>
      <c r="G40" s="836">
        <v>3</v>
      </c>
      <c r="H40" s="835" t="s">
        <v>444</v>
      </c>
      <c r="I40" s="837" t="str">
        <f>IF(INPUTS!C40="","",INPUTS!C40)</f>
        <v>Internet Usage</v>
      </c>
      <c r="J40" s="837" t="str">
        <f>IF(INPUTS!D40="","",INPUTS!D40)</f>
        <v>Internet usage</v>
      </c>
      <c r="K40" s="835" t="str">
        <f>IF(INPUTS!E40="","",INPUTS!E40)</f>
        <v>3.1.1</v>
      </c>
      <c r="L40" s="837"/>
      <c r="M40" s="837" t="str">
        <f>IF(INPUTS!F40="","",INPUTS!F40)</f>
        <v>Number of individuals that use the internet via a computer, mobile phone, personal digital assistant, games machine, digital TV etc.</v>
      </c>
      <c r="N40" s="831"/>
      <c r="O40" s="837" t="str">
        <f t="shared" si="5"/>
        <v>Number of individuals that use the internet via a computer, mobile phone, personal digital assistant, games machine, digital TV etc.</v>
      </c>
      <c r="P40" s="837" t="str">
        <f>IF(INPUTS!I40="","",INPUTS!I40)</f>
        <v>Percentage of individuals using the internet</v>
      </c>
      <c r="Q40" s="831"/>
      <c r="R40" s="831"/>
      <c r="S40" s="835" t="str">
        <f>IF(INPUTS!J40="","",INPUTS!J40)</f>
        <v>EIU; ITU; Qualitative scoring by Economist Impact analysts</v>
      </c>
      <c r="T40" s="831"/>
      <c r="U40" s="831"/>
      <c r="V40" s="832">
        <f t="shared" si="14"/>
        <v>4</v>
      </c>
      <c r="W40" s="837">
        <f>INPUTS!BC40</f>
        <v>2</v>
      </c>
      <c r="X40" s="836"/>
      <c r="Y40" s="835" t="s">
        <v>585</v>
      </c>
      <c r="Z40" s="837" t="str">
        <f>IF(INPUTS!K40="","",INPUTS!K40)</f>
        <v>%</v>
      </c>
      <c r="AA40" s="837">
        <f>IF(INPUTS!L40="","",INPUTS!L40)</f>
        <v>2021</v>
      </c>
      <c r="AB40" s="837" t="str">
        <f>IF(INPUTS!M40="","",INPUTS!M40)</f>
        <v>Highest = best</v>
      </c>
      <c r="AC40" s="835" t="str">
        <f t="shared" si="0"/>
        <v>#,##0.0</v>
      </c>
      <c r="AD40" s="837">
        <f>IF(INPUTS!N40="","",INPUTS!N40)</f>
        <v>1</v>
      </c>
      <c r="AE40" s="835">
        <v>2</v>
      </c>
      <c r="AF40" s="835">
        <f t="shared" si="1"/>
        <v>0</v>
      </c>
      <c r="AG40" s="856">
        <v>2</v>
      </c>
      <c r="AH40" s="835"/>
      <c r="AI40" s="849"/>
      <c r="AJ40" s="836">
        <v>0</v>
      </c>
      <c r="AK40" s="836">
        <v>0</v>
      </c>
      <c r="AL40" s="835" t="str">
        <f t="shared" si="15"/>
        <v>3.1.1) Internet Usage</v>
      </c>
      <c r="AM40" s="835" t="str">
        <f t="shared" si="16"/>
        <v>3.1.1) Internet usage</v>
      </c>
      <c r="AN40" s="835" t="str">
        <f t="shared" si="17"/>
        <v>3.1.1) 3.1.1</v>
      </c>
      <c r="AO40" s="835" t="str">
        <f>$AM$39</f>
        <v>3.1) Digital inclusion</v>
      </c>
      <c r="AP40" s="836">
        <f>MATCH($E40,Weights!$C$13:$C$106,0)</f>
        <v>64</v>
      </c>
      <c r="AQ40" s="836">
        <f>IF(ISERROR($AP40),1,INDEX(Weights!$G$13:$G$106,$AP40))</f>
        <v>3.5</v>
      </c>
      <c r="AR40" s="835">
        <f t="shared" si="39"/>
        <v>0.36842105263157893</v>
      </c>
      <c r="AS40" s="836">
        <v>1</v>
      </c>
      <c r="AT40" s="837" t="str">
        <f>IF(INPUTS!Q40="","",INPUTS!Q40)</f>
        <v/>
      </c>
      <c r="AU40" s="837" t="str">
        <f>IF(INPUTS!R40="","",INPUTS!R40)</f>
        <v/>
      </c>
      <c r="AV40" s="837" t="str">
        <f>IF(INPUTS!S40="","",INPUTS!S40)</f>
        <v/>
      </c>
      <c r="AW40" s="837" t="str">
        <f>IF(INPUTS!T40="","",INPUTS!T40)</f>
        <v/>
      </c>
      <c r="AX40" s="837" t="str">
        <f>IF(INPUTS!U40="","",INPUTS!U40)</f>
        <v/>
      </c>
      <c r="AZ40" s="867" t="str">
        <f t="shared" si="10"/>
        <v>Weighted: 36.8%</v>
      </c>
    </row>
    <row r="41" spans="1:52" ht="15" customHeight="1">
      <c r="A41" s="835">
        <f t="shared" si="3"/>
        <v>40</v>
      </c>
      <c r="B41" s="836">
        <v>0</v>
      </c>
      <c r="C41" s="836">
        <f t="shared" si="12"/>
        <v>3</v>
      </c>
      <c r="D41" s="835" t="s">
        <v>433</v>
      </c>
      <c r="E41" s="837" t="str">
        <f t="shared" si="40"/>
        <v>CULT3_1_2</v>
      </c>
      <c r="F41" s="835" t="str">
        <f t="shared" ref="F41:F42" si="41">$E$39</f>
        <v>CULT3_1</v>
      </c>
      <c r="G41" s="836">
        <v>3</v>
      </c>
      <c r="H41" s="835" t="s">
        <v>445</v>
      </c>
      <c r="I41" s="837" t="str">
        <f>IF(INPUTS!C41="","",INPUTS!C41)</f>
        <v>Gap between female and male access to the internet</v>
      </c>
      <c r="J41" s="837" t="str">
        <f>IF(INPUTS!D41="","",INPUTS!D41)</f>
        <v>Gap between female and male access to the internet</v>
      </c>
      <c r="K41" s="835" t="str">
        <f>IF(INPUTS!E41="","",INPUTS!E41)</f>
        <v>3.1.2</v>
      </c>
      <c r="L41" s="837"/>
      <c r="M41" s="837" t="str">
        <f>IF(INPUTS!F41="","",INPUTS!F41)</f>
        <v>Measures the difference between the number of women and men online.</v>
      </c>
      <c r="N41" s="831"/>
      <c r="O41" s="837" t="str">
        <f t="shared" si="5"/>
        <v>Measures the difference between the number of women and men online.</v>
      </c>
      <c r="P41" s="837" t="str">
        <f>IF(INPUTS!I41="","",INPUTS!I41)</f>
        <v>Difference between % of men using the internet and % of women using the internet divided by % of women using the internet</v>
      </c>
      <c r="Q41" s="831"/>
      <c r="R41" s="831"/>
      <c r="S41" s="835" t="str">
        <f>IF(INPUTS!J41="","",INPUTS!J41)</f>
        <v>ITU; Gallup</v>
      </c>
      <c r="T41" s="831"/>
      <c r="U41" s="831"/>
      <c r="V41" s="832">
        <f t="shared" si="14"/>
        <v>4</v>
      </c>
      <c r="W41" s="837">
        <f>INPUTS!BC41</f>
        <v>2</v>
      </c>
      <c r="X41" s="836"/>
      <c r="Y41" s="835" t="s">
        <v>585</v>
      </c>
      <c r="Z41" s="837" t="str">
        <f>IF(INPUTS!K41="","",INPUTS!K41)</f>
        <v>%</v>
      </c>
      <c r="AA41" s="837">
        <f>IF(INPUTS!L41="","",INPUTS!L41)</f>
        <v>2020</v>
      </c>
      <c r="AB41" s="837" t="str">
        <f>IF(INPUTS!M41="","",INPUTS!M41)</f>
        <v>Lowest = best</v>
      </c>
      <c r="AC41" s="835" t="str">
        <f t="shared" si="0"/>
        <v>#,##0.0</v>
      </c>
      <c r="AD41" s="837">
        <f>IF(INPUTS!N41="","",INPUTS!N41)</f>
        <v>1</v>
      </c>
      <c r="AE41" s="835">
        <v>2</v>
      </c>
      <c r="AF41" s="835">
        <f t="shared" si="1"/>
        <v>1</v>
      </c>
      <c r="AG41" s="856">
        <v>5</v>
      </c>
      <c r="AH41" s="835">
        <v>0</v>
      </c>
      <c r="AI41" s="849">
        <f>MAX(iData!K45:AN45)</f>
        <v>67.8</v>
      </c>
      <c r="AJ41" s="836">
        <v>0</v>
      </c>
      <c r="AK41" s="836">
        <v>0</v>
      </c>
      <c r="AL41" s="835" t="str">
        <f t="shared" si="15"/>
        <v>3.1.2) Gap between female and male access to the internet</v>
      </c>
      <c r="AM41" s="835" t="str">
        <f t="shared" si="16"/>
        <v>3.1.2) Gap between female and male access to the internet</v>
      </c>
      <c r="AN41" s="835" t="str">
        <f t="shared" si="17"/>
        <v>3.1.2) 3.1.2</v>
      </c>
      <c r="AO41" s="835" t="str">
        <f>$AM$39</f>
        <v>3.1) Digital inclusion</v>
      </c>
      <c r="AP41" s="836">
        <f>MATCH($E41,Weights!$C$13:$C$106,0)</f>
        <v>65</v>
      </c>
      <c r="AQ41" s="836">
        <f>IF(ISERROR($AP41),1,INDEX(Weights!$G$13:$G$106,$AP41))</f>
        <v>3</v>
      </c>
      <c r="AR41" s="835">
        <f t="shared" si="39"/>
        <v>0.31578947368421051</v>
      </c>
      <c r="AS41" s="836">
        <v>1</v>
      </c>
      <c r="AT41" s="837" t="str">
        <f>IF(INPUTS!Q41="","",INPUTS!Q41)</f>
        <v/>
      </c>
      <c r="AU41" s="837" t="str">
        <f>IF(INPUTS!R41="","",INPUTS!R41)</f>
        <v/>
      </c>
      <c r="AV41" s="837" t="str">
        <f>IF(INPUTS!S41="","",INPUTS!S41)</f>
        <v/>
      </c>
      <c r="AW41" s="837" t="str">
        <f>IF(INPUTS!T41="","",INPUTS!T41)</f>
        <v/>
      </c>
      <c r="AX41" s="837" t="str">
        <f>IF(INPUTS!U41="","",INPUTS!U41)</f>
        <v/>
      </c>
      <c r="AZ41" s="867" t="str">
        <f t="shared" si="10"/>
        <v>Weighted: 31.6%</v>
      </c>
    </row>
    <row r="42" spans="1:52" ht="15" customHeight="1">
      <c r="A42" s="835">
        <f t="shared" si="3"/>
        <v>41</v>
      </c>
      <c r="B42" s="836">
        <v>0</v>
      </c>
      <c r="C42" s="836">
        <f t="shared" si="12"/>
        <v>3</v>
      </c>
      <c r="D42" s="835" t="s">
        <v>728</v>
      </c>
      <c r="E42" s="837" t="str">
        <f t="shared" si="40"/>
        <v>CULT3_1_3</v>
      </c>
      <c r="F42" s="835" t="str">
        <f t="shared" si="41"/>
        <v>CULT3_1</v>
      </c>
      <c r="G42" s="836">
        <v>3</v>
      </c>
      <c r="H42" s="835" t="s">
        <v>745</v>
      </c>
      <c r="I42" s="837" t="str">
        <f>IF(INPUTS!C42="","",INPUTS!C42)</f>
        <v>Digital skills</v>
      </c>
      <c r="J42" s="837" t="str">
        <f>IF(INPUTS!D42="","",INPUTS!D42)</f>
        <v>Digital skills</v>
      </c>
      <c r="K42" s="835" t="str">
        <f>IF(INPUTS!E42="","",INPUTS!E42)</f>
        <v>3.1.3</v>
      </c>
      <c r="L42" s="837"/>
      <c r="M42" s="837" t="str">
        <f>IF(INPUTS!F42="","",INPUTS!F42)</f>
        <v>Digital skills can be defined as the ability to find, evaluate, use, share, and create content using digital devices, such as computers and smartphones. The indicator is a self assessment of digital skills by city residents, as captured in the Economist Impact survey.</v>
      </c>
      <c r="N42" s="821"/>
      <c r="O42" s="837" t="str">
        <f t="shared" si="5"/>
        <v>Digital skills can be defined as the ability to find, evaluate, use, share, and create content using digital devices, such as computers and smartphones. The indicator is a self assessment of digital skills by city residents, as captured in the Economist Impact survey.</v>
      </c>
      <c r="P42" s="837" t="str">
        <f>IF(INPUTS!I42="","",INPUTS!I42)</f>
        <v>The score is calculated as the weighted average of the following digital skills self-assessed by city residents, where basic skills are assigned the lowest weight, and the advanced skills the highest:
Basic : 
- Using basic functions like calls, messaging etc. on your device (mobile, laptop, ipads etc.)
- Browsing online content (eg. send emails, browse websites, save and share content)
Intermediate: 
- Managing your online profile on various social media platforms 
- Creating digital content like videos, presentations
Upper-intermediate: 
- Understanding terms of service (copyright, licensing, ethical code of conduct) when creating digital content 
- Taking precautions (like changing passwords regularly, downloading anti-virus softwares) to protect your devices and personal data from cyber threats
Advanced: 
 - Resolving some complex issues (like lost files, hard drive failures) you encounter while using your personal device by troubleshooting or using online help and support pages 
- Having advanced digital competences such as coding or software development skills</v>
      </c>
      <c r="Q42" s="821"/>
      <c r="R42" s="821"/>
      <c r="S42" s="835" t="str">
        <f>IF(INPUTS!J42="","",INPUTS!J42)</f>
        <v>Economist Impact survey</v>
      </c>
      <c r="T42" s="821"/>
      <c r="U42" s="821"/>
      <c r="V42" s="833">
        <f t="shared" si="14"/>
        <v>4</v>
      </c>
      <c r="W42" s="837">
        <f>INPUTS!BC42</f>
        <v>2</v>
      </c>
      <c r="X42" s="836"/>
      <c r="Y42" s="835" t="s">
        <v>584</v>
      </c>
      <c r="Z42" s="837" t="str">
        <f>IF(INPUTS!K42="","",INPUTS!K42)</f>
        <v>Scale (0-100)</v>
      </c>
      <c r="AA42" s="837">
        <f>IF(INPUTS!L42="","",INPUTS!L42)</f>
        <v>2021</v>
      </c>
      <c r="AB42" s="837" t="str">
        <f>IF(INPUTS!M42="","",INPUTS!M42)</f>
        <v>Highest = best</v>
      </c>
      <c r="AC42" s="835" t="str">
        <f t="shared" si="0"/>
        <v>#,##0.0</v>
      </c>
      <c r="AD42" s="837">
        <f>IF(INPUTS!N42="","",INPUTS!N42)</f>
        <v>1</v>
      </c>
      <c r="AE42" s="835">
        <v>2</v>
      </c>
      <c r="AF42" s="835">
        <f t="shared" si="1"/>
        <v>0</v>
      </c>
      <c r="AG42" s="856">
        <v>2</v>
      </c>
      <c r="AH42" s="835"/>
      <c r="AI42" s="849"/>
      <c r="AJ42" s="836">
        <v>0</v>
      </c>
      <c r="AK42" s="836">
        <v>0</v>
      </c>
      <c r="AL42" s="835" t="str">
        <f t="shared" si="15"/>
        <v>3.1.3) Digital skills</v>
      </c>
      <c r="AM42" s="835" t="str">
        <f t="shared" si="16"/>
        <v>3.1.3) Digital skills</v>
      </c>
      <c r="AN42" s="835" t="str">
        <f t="shared" si="17"/>
        <v>3.1.3) 3.1.3</v>
      </c>
      <c r="AO42" s="835" t="str">
        <f>$AM$39</f>
        <v>3.1) Digital inclusion</v>
      </c>
      <c r="AP42" s="836">
        <f>MATCH($E42,Weights!$C$13:$C$106,0)</f>
        <v>66</v>
      </c>
      <c r="AQ42" s="836">
        <f>IF(ISERROR($AP42),1,INDEX(Weights!$G$13:$G$106,$AP42))</f>
        <v>3</v>
      </c>
      <c r="AR42" s="835">
        <f t="shared" si="39"/>
        <v>0.31578947368421051</v>
      </c>
      <c r="AS42" s="836">
        <v>1</v>
      </c>
      <c r="AT42" s="837" t="str">
        <f>IF(INPUTS!Q42="","",INPUTS!Q42)</f>
        <v/>
      </c>
      <c r="AU42" s="837" t="str">
        <f>IF(INPUTS!R42="","",INPUTS!R42)</f>
        <v/>
      </c>
      <c r="AV42" s="837" t="str">
        <f>IF(INPUTS!S42="","",INPUTS!S42)</f>
        <v/>
      </c>
      <c r="AW42" s="837" t="str">
        <f>IF(INPUTS!T42="","",INPUTS!T42)</f>
        <v/>
      </c>
      <c r="AX42" s="837" t="str">
        <f>IF(INPUTS!U42="","",INPUTS!U42)</f>
        <v/>
      </c>
      <c r="AZ42" s="867" t="str">
        <f t="shared" si="10"/>
        <v>Weighted: 31.6%</v>
      </c>
    </row>
    <row r="43" spans="1:52" ht="15" customHeight="1">
      <c r="A43" s="837">
        <f t="shared" si="3"/>
        <v>42</v>
      </c>
      <c r="B43" s="838">
        <v>0</v>
      </c>
      <c r="C43" s="838">
        <f t="shared" si="12"/>
        <v>3</v>
      </c>
      <c r="D43" s="837">
        <v>3.2</v>
      </c>
      <c r="E43" s="837" t="str">
        <f t="shared" si="40"/>
        <v>CULT3_2</v>
      </c>
      <c r="F43" s="837" t="str">
        <f>$E$38</f>
        <v>CULT</v>
      </c>
      <c r="G43" s="838">
        <v>2</v>
      </c>
      <c r="H43" s="837" t="s">
        <v>189</v>
      </c>
      <c r="I43" s="837" t="str">
        <f>IF(INPUTS!C43="","",INPUTS!C43)</f>
        <v>Government support</v>
      </c>
      <c r="J43" s="837" t="str">
        <f>IF(INPUTS!D43="","",INPUTS!D43)</f>
        <v>Government support</v>
      </c>
      <c r="K43" s="837" t="str">
        <f>IF(INPUTS!E43="","",INPUTS!E43)</f>
        <v>Government support</v>
      </c>
      <c r="L43" s="837" t="str">
        <f>"The category score is the weighted sum of the following indicator scores:
"&amp;AM44&amp;" ("&amp;TEXT(AZ44,"0.0")&amp;")
"&amp;AM45&amp;" ("&amp;TEXT(AZ45,"0.0")&amp;")
"&amp;AM46&amp;" ("&amp;TEXT(AZ46,"0.0")&amp;")
"&amp;AM47&amp;" ("&amp;TEXT(AZ47,"0.0")&amp;")
"&amp;AM48&amp;" ("&amp;TEXT(AZ48,"0.0")&amp;")"</f>
        <v>The category score is the weighted sum of the following indicator scores:
3.2.1) Data protection law (Weighted: 20%)
3.2.2) Cyber security preparedness (Weighted: 20%)
3.2.3) Cyber security risk awareness (Weighted: 20%)
3.2.4) Open data access and use (Weighted: 20%)
3.2.5) Internet freedom (Weighted: 20%)</v>
      </c>
      <c r="M43" s="837" t="str">
        <f>IF(INPUTS!F43="","",INPUTS!F43)</f>
        <v/>
      </c>
      <c r="N43" s="821"/>
      <c r="O43" s="837" t="str">
        <f t="shared" si="5"/>
        <v>The category score is the weighted sum of the following indicator scores:
3.2.1) Data protection law (Weighted: 20%)
3.2.2) Cyber security preparedness (Weighted: 20%)
3.2.3) Cyber security risk awareness (Weighted: 20%)
3.2.4) Open data access and use (Weighted: 20%)
3.2.5) Internet freedom (Weighted: 20%)</v>
      </c>
      <c r="P43" s="837" t="str">
        <f>IF(INPUTS!I43="","",INPUTS!I43)</f>
        <v/>
      </c>
      <c r="Q43" s="821"/>
      <c r="R43" s="821"/>
      <c r="S43" s="837" t="str">
        <f>IF(INPUTS!J43="","",INPUTS!J43)</f>
        <v>Economist Impact calculation</v>
      </c>
      <c r="T43" s="821"/>
      <c r="U43" s="821"/>
      <c r="V43" s="833">
        <f t="shared" si="14"/>
        <v>4</v>
      </c>
      <c r="W43" s="837">
        <f>INPUTS!BC43</f>
        <v>1</v>
      </c>
      <c r="X43" s="838"/>
      <c r="Y43" s="837"/>
      <c r="Z43" s="837" t="str">
        <f>IF(INPUTS!K43="","",INPUTS!K43)</f>
        <v/>
      </c>
      <c r="AA43" s="837" t="str">
        <f>IF(INPUTS!L43="","",INPUTS!L43)</f>
        <v/>
      </c>
      <c r="AB43" s="531" t="s">
        <v>575</v>
      </c>
      <c r="AC43" s="837" t="str">
        <f t="shared" si="0"/>
        <v>#,##0.0</v>
      </c>
      <c r="AD43" s="837">
        <f>IF(INPUTS!N43="","",INPUTS!N43)</f>
        <v>1</v>
      </c>
      <c r="AE43" s="837">
        <v>2</v>
      </c>
      <c r="AF43" s="837">
        <f t="shared" si="1"/>
        <v>0</v>
      </c>
      <c r="AG43" s="857">
        <v>1</v>
      </c>
      <c r="AH43" s="837"/>
      <c r="AI43" s="850"/>
      <c r="AJ43" s="838">
        <v>0</v>
      </c>
      <c r="AK43" s="838">
        <v>0</v>
      </c>
      <c r="AL43" s="837" t="str">
        <f t="shared" si="15"/>
        <v>3.2) Government support</v>
      </c>
      <c r="AM43" s="837" t="str">
        <f t="shared" si="16"/>
        <v>3.2) Government support</v>
      </c>
      <c r="AN43" s="837" t="str">
        <f t="shared" si="17"/>
        <v>3.2) Government support</v>
      </c>
      <c r="AO43" s="837" t="str">
        <f>$AM$38</f>
        <v>3) CULTURE</v>
      </c>
      <c r="AP43" s="838">
        <f>MATCH($E43,Weights!$C$13:$C$106,0)</f>
        <v>20</v>
      </c>
      <c r="AQ43" s="838">
        <f>IF(ISERROR($AP43),1,INDEX(Weights!$G$13:$G$106,$AP43))</f>
        <v>5</v>
      </c>
      <c r="AR43" s="837">
        <f t="shared" si="39"/>
        <v>0.3125</v>
      </c>
      <c r="AS43" s="836">
        <v>1</v>
      </c>
      <c r="AT43" s="837" t="str">
        <f>IF(INPUTS!Q43="","",INPUTS!Q43)</f>
        <v/>
      </c>
      <c r="AU43" s="837" t="str">
        <f>IF(INPUTS!R43="","",INPUTS!R43)</f>
        <v/>
      </c>
      <c r="AV43" s="837" t="str">
        <f>IF(INPUTS!S43="","",INPUTS!S43)</f>
        <v/>
      </c>
      <c r="AW43" s="837" t="str">
        <f>IF(INPUTS!T43="","",INPUTS!T43)</f>
        <v/>
      </c>
      <c r="AX43" s="837" t="str">
        <f>IF(INPUTS!U43="","",INPUTS!U43)</f>
        <v/>
      </c>
      <c r="AZ43" s="867" t="str">
        <f t="shared" si="10"/>
        <v>Weighted: 31.3%</v>
      </c>
    </row>
    <row r="44" spans="1:52" ht="15" customHeight="1">
      <c r="A44" s="837">
        <f t="shared" si="3"/>
        <v>43</v>
      </c>
      <c r="B44" s="838">
        <v>0</v>
      </c>
      <c r="C44" s="838">
        <f t="shared" si="12"/>
        <v>3</v>
      </c>
      <c r="D44" s="837" t="s">
        <v>434</v>
      </c>
      <c r="E44" s="837" t="str">
        <f t="shared" si="40"/>
        <v>CULT3_2_1</v>
      </c>
      <c r="F44" s="837" t="str">
        <f>$E$43</f>
        <v>CULT3_2</v>
      </c>
      <c r="G44" s="838">
        <v>3</v>
      </c>
      <c r="H44" s="837" t="s">
        <v>746</v>
      </c>
      <c r="I44" s="837" t="str">
        <f>IF(INPUTS!C44="","",INPUTS!C44)</f>
        <v>Data protection law</v>
      </c>
      <c r="J44" s="837" t="str">
        <f>IF(INPUTS!D44="","",INPUTS!D44)</f>
        <v>Data protection law</v>
      </c>
      <c r="K44" s="837" t="str">
        <f>IF(INPUTS!E44="","",INPUTS!E44)</f>
        <v>3.2.1</v>
      </c>
      <c r="L44" s="837"/>
      <c r="M44" s="837" t="str">
        <f>IF(INPUTS!F44="","",INPUTS!F44)</f>
        <v>Assesses whether the country/city has legislation on data protection, which is a set of privacy laws, policies and procedures that aim to minimise personal data thefts.</v>
      </c>
      <c r="N44" s="821"/>
      <c r="O44" s="837" t="str">
        <f t="shared" si="5"/>
        <v>Assesses whether the country/city has legislation on data protection, which is a set of privacy laws, policies and procedures that aim to minimise personal data thefts.</v>
      </c>
      <c r="P44" s="837" t="str">
        <f>IF(INPUTS!I44="","",INPUTS!I44)</f>
        <v>Does the country/city have a data protection law? 
0 - There is no law on data protection
1- There is a data protection bill at the national/state level or a law which is not updated in last ten years / lacks specific details
2 -There is a data protection law at the national level/state level</v>
      </c>
      <c r="Q44" s="821"/>
      <c r="R44" s="821"/>
      <c r="S44" s="837" t="str">
        <f>IF(INPUTS!J44="","",INPUTS!J44)</f>
        <v>Qualitative scoring by Economist Impact analysts</v>
      </c>
      <c r="T44" s="821"/>
      <c r="U44" s="821"/>
      <c r="V44" s="833">
        <f t="shared" si="14"/>
        <v>4</v>
      </c>
      <c r="W44" s="837">
        <f>INPUTS!BC44</f>
        <v>2</v>
      </c>
      <c r="X44" s="838"/>
      <c r="Y44" s="837" t="s">
        <v>584</v>
      </c>
      <c r="Z44" s="837" t="str">
        <f>IF(INPUTS!K44="","",INPUTS!K44)</f>
        <v>Scale (0-2)</v>
      </c>
      <c r="AA44" s="837">
        <f>IF(INPUTS!L44="","",INPUTS!L44)</f>
        <v>2021</v>
      </c>
      <c r="AB44" s="837" t="str">
        <f>IF(INPUTS!M44="","",INPUTS!M44)</f>
        <v>Highest = best</v>
      </c>
      <c r="AC44" s="837" t="str">
        <f t="shared" si="0"/>
        <v>#,##0</v>
      </c>
      <c r="AD44" s="837">
        <f>IF(INPUTS!N44="","",INPUTS!N44)</f>
        <v>0</v>
      </c>
      <c r="AE44" s="837">
        <v>2</v>
      </c>
      <c r="AF44" s="837">
        <f t="shared" si="1"/>
        <v>0</v>
      </c>
      <c r="AG44" s="857">
        <v>3</v>
      </c>
      <c r="AH44" s="837">
        <v>0</v>
      </c>
      <c r="AI44" s="850">
        <v>2</v>
      </c>
      <c r="AJ44" s="838">
        <v>0</v>
      </c>
      <c r="AK44" s="838">
        <v>0</v>
      </c>
      <c r="AL44" s="837" t="str">
        <f t="shared" si="15"/>
        <v>3.2.1) Data protection law</v>
      </c>
      <c r="AM44" s="837" t="str">
        <f t="shared" si="16"/>
        <v>3.2.1) Data protection law</v>
      </c>
      <c r="AN44" s="837" t="str">
        <f t="shared" si="17"/>
        <v>3.2.1) 3.2.1</v>
      </c>
      <c r="AO44" s="837" t="str">
        <f>$AM$43</f>
        <v>3.2) Government support</v>
      </c>
      <c r="AP44" s="838">
        <f>MATCH($E44,Weights!$C$13:$C$106,0)</f>
        <v>68</v>
      </c>
      <c r="AQ44" s="838">
        <f>IF(ISERROR($AP44),1,INDEX(Weights!$G$13:$G$106,$AP44))</f>
        <v>1</v>
      </c>
      <c r="AR44" s="837">
        <f t="shared" si="39"/>
        <v>0.2</v>
      </c>
      <c r="AS44" s="836">
        <v>3</v>
      </c>
      <c r="AT44" s="837" t="str">
        <f>IF(INPUTS!Q44="","",INPUTS!Q44)</f>
        <v>There is a data protection law at the national level/state level</v>
      </c>
      <c r="AU44" s="837" t="str">
        <f>IF(INPUTS!R44="","",INPUTS!R44)</f>
        <v>There is a data protection bill at the national/state level or a law which is not updated in last ten years / lacks specific details</v>
      </c>
      <c r="AV44" s="837" t="str">
        <f>IF(INPUTS!S44="","",INPUTS!S44)</f>
        <v>There is no law on data protection</v>
      </c>
      <c r="AW44" s="837" t="str">
        <f>IF(INPUTS!T44="","",INPUTS!T44)</f>
        <v/>
      </c>
      <c r="AX44" s="837" t="str">
        <f>IF(INPUTS!U44="","",INPUTS!U44)</f>
        <v/>
      </c>
      <c r="AZ44" s="867" t="str">
        <f t="shared" si="10"/>
        <v>Weighted: 20%</v>
      </c>
    </row>
    <row r="45" spans="1:52" ht="15" customHeight="1">
      <c r="A45" s="837">
        <f t="shared" si="3"/>
        <v>44</v>
      </c>
      <c r="B45" s="838">
        <v>0</v>
      </c>
      <c r="C45" s="838">
        <f t="shared" si="12"/>
        <v>3</v>
      </c>
      <c r="D45" s="837" t="s">
        <v>435</v>
      </c>
      <c r="E45" s="837" t="str">
        <f t="shared" si="40"/>
        <v>CULT3_2_2</v>
      </c>
      <c r="F45" s="837" t="str">
        <f t="shared" ref="F45:F48" si="42">$E$43</f>
        <v>CULT3_2</v>
      </c>
      <c r="G45" s="838">
        <v>3</v>
      </c>
      <c r="H45" s="837" t="s">
        <v>747</v>
      </c>
      <c r="I45" s="837" t="str">
        <f>IF(INPUTS!C45="","",INPUTS!C45)</f>
        <v>Cyber security preparedness</v>
      </c>
      <c r="J45" s="837" t="str">
        <f>IF(INPUTS!D45="","",INPUTS!D45)</f>
        <v>Cyber security preparedness</v>
      </c>
      <c r="K45" s="837" t="str">
        <f>IF(INPUTS!E45="","",INPUTS!E45)</f>
        <v>3.2.2</v>
      </c>
      <c r="L45" s="837"/>
      <c r="M45" s="837" t="str">
        <f>IF(INPUTS!F45="","",INPUTS!F45)</f>
        <v>Cyber security is the application of technologies, processes and controls to protect systems, networks, programs, devices and data from cyber attacks. The indicator assesses the level of a country's cyber security preparedness.</v>
      </c>
      <c r="N45" s="821"/>
      <c r="O45" s="837" t="str">
        <f t="shared" si="5"/>
        <v>Cyber security is the application of technologies, processes and controls to protect systems, networks, programs, devices and data from cyber attacks. The indicator assesses the level of a country's cyber security preparedness.</v>
      </c>
      <c r="P45" s="837" t="str">
        <f>IF(INPUTS!I45="","",INPUTS!I45)</f>
        <v>What is the level of country's cyber security preparedness? 
0 - Very low preparedness. There is no national level cyber security strategy. There are no barriers in place to defend key infrastructure.
1 - Low preparedness, reflecting low awareness within both the government and corporate sector, and intermittent implementation of strategy.
2 - Moderate preparedness, reflecting a lack of co-ordination over cyber security and gaps in awareness and technical capacity at the corporate and government level.
3 - High preparedness, with uniform cyber security awareness, but coordination and capacity gaps exist.
4 - Very high preparedness, with uniform cyber security awareness, and advanced technical barriers in place to defend key infrastructure.</v>
      </c>
      <c r="Q45" s="821"/>
      <c r="R45" s="821"/>
      <c r="S45" s="837" t="str">
        <f>IF(INPUTS!J45="","",INPUTS!J45)</f>
        <v>EIU risk briefing</v>
      </c>
      <c r="T45" s="821"/>
      <c r="U45" s="821"/>
      <c r="V45" s="833">
        <f t="shared" si="14"/>
        <v>4</v>
      </c>
      <c r="W45" s="837">
        <f>INPUTS!BC45</f>
        <v>2</v>
      </c>
      <c r="X45" s="838"/>
      <c r="Y45" s="837" t="s">
        <v>585</v>
      </c>
      <c r="Z45" s="837" t="str">
        <f>IF(INPUTS!K45="","",INPUTS!K45)</f>
        <v>Scale (0-4 )</v>
      </c>
      <c r="AA45" s="837">
        <f>IF(INPUTS!L45="","",INPUTS!L45)</f>
        <v>2021</v>
      </c>
      <c r="AB45" s="837" t="str">
        <f>IF(INPUTS!M45="","",INPUTS!M45)</f>
        <v>Highest = best</v>
      </c>
      <c r="AC45" s="837" t="str">
        <f t="shared" si="0"/>
        <v>#,##0</v>
      </c>
      <c r="AD45" s="837">
        <f>IF(INPUTS!N45="","",INPUTS!N45)</f>
        <v>0</v>
      </c>
      <c r="AE45" s="837">
        <v>2</v>
      </c>
      <c r="AF45" s="837">
        <f t="shared" si="1"/>
        <v>0</v>
      </c>
      <c r="AG45" s="857">
        <v>3</v>
      </c>
      <c r="AH45" s="837">
        <v>0</v>
      </c>
      <c r="AI45" s="850">
        <v>4</v>
      </c>
      <c r="AJ45" s="838">
        <v>0</v>
      </c>
      <c r="AK45" s="838">
        <v>0</v>
      </c>
      <c r="AL45" s="837" t="str">
        <f t="shared" si="15"/>
        <v>3.2.2) Cyber security preparedness</v>
      </c>
      <c r="AM45" s="837" t="str">
        <f t="shared" si="16"/>
        <v>3.2.2) Cyber security preparedness</v>
      </c>
      <c r="AN45" s="837" t="str">
        <f t="shared" si="17"/>
        <v>3.2.2) 3.2.2</v>
      </c>
      <c r="AO45" s="837" t="str">
        <f>$AM$43</f>
        <v>3.2) Government support</v>
      </c>
      <c r="AP45" s="838">
        <f>MATCH($E45,Weights!$C$13:$C$106,0)</f>
        <v>69</v>
      </c>
      <c r="AQ45" s="838">
        <f>IF(ISERROR($AP45),1,INDEX(Weights!$G$13:$G$106,$AP45))</f>
        <v>1</v>
      </c>
      <c r="AR45" s="837">
        <f t="shared" si="39"/>
        <v>0.2</v>
      </c>
      <c r="AS45" s="836">
        <v>5</v>
      </c>
      <c r="AT45" s="837" t="str">
        <f>IF(INPUTS!Q45="","",INPUTS!Q45)</f>
        <v>Very high preparedness</v>
      </c>
      <c r="AU45" s="837" t="str">
        <f>IF(INPUTS!R45="","",INPUTS!R45)</f>
        <v>High preparedness</v>
      </c>
      <c r="AV45" s="837" t="str">
        <f>IF(INPUTS!S45="","",INPUTS!S45)</f>
        <v>Moderate preparedness</v>
      </c>
      <c r="AW45" s="837" t="str">
        <f>IF(INPUTS!T45="","",INPUTS!T45)</f>
        <v>Low preparedness</v>
      </c>
      <c r="AX45" s="837" t="str">
        <f>IF(INPUTS!U45="","",INPUTS!U45)</f>
        <v>Very low preparedness</v>
      </c>
      <c r="AY45" s="837"/>
      <c r="AZ45" s="867" t="str">
        <f t="shared" si="10"/>
        <v>Weighted: 20%</v>
      </c>
    </row>
    <row r="46" spans="1:52" ht="15" customHeight="1">
      <c r="A46" s="835">
        <f t="shared" si="3"/>
        <v>45</v>
      </c>
      <c r="B46" s="836">
        <v>0</v>
      </c>
      <c r="C46" s="836">
        <f t="shared" si="12"/>
        <v>3</v>
      </c>
      <c r="D46" s="835" t="s">
        <v>729</v>
      </c>
      <c r="E46" s="837" t="str">
        <f t="shared" si="40"/>
        <v>CULT3_2_3</v>
      </c>
      <c r="F46" s="837" t="str">
        <f t="shared" si="42"/>
        <v>CULT3_2</v>
      </c>
      <c r="G46" s="836">
        <v>3</v>
      </c>
      <c r="H46" s="835" t="s">
        <v>748</v>
      </c>
      <c r="I46" s="837" t="str">
        <f>IF(INPUTS!C46="","",INPUTS!C46)</f>
        <v>Cyber security risk awareness</v>
      </c>
      <c r="J46" s="837" t="str">
        <f>IF(INPUTS!D46="","",INPUTS!D46)</f>
        <v>Cyber security risk awareness</v>
      </c>
      <c r="K46" s="835" t="str">
        <f>IF(INPUTS!E46="","",INPUTS!E46)</f>
        <v>3.2.3</v>
      </c>
      <c r="L46" s="837"/>
      <c r="M46" s="837" t="str">
        <f>IF(INPUTS!F46="","",INPUTS!F46)</f>
        <v>Cyber security has become important given the near-constant instances of cyber attacks and an ever-increasing cyber risk landscape. It is important for the citizens to be aware of the kinds of cyber attacks and ways to protect one's data. The indicator assesses if initiatives are undertaken by citizen groups, NGOs or government to increase cyber security risk awareness.</v>
      </c>
      <c r="N46" s="821"/>
      <c r="O46" s="837" t="str">
        <f t="shared" si="5"/>
        <v>Cyber security has become important given the near-constant instances of cyber attacks and an ever-increasing cyber risk landscape. It is important for the citizens to be aware of the kinds of cyber attacks and ways to protect one's data. The indicator assesses if initiatives are undertaken by citizen groups, NGOs or government to increase cyber security risk awareness.</v>
      </c>
      <c r="P46" s="837" t="str">
        <f>IF(INPUTS!I46="","",INPUTS!I46)</f>
        <v>Scale 0-4, sum of checklist below:
- Are there any citizen groups organized around digital awareness/threats?
- Are there any significant local or transnational NGOs working on this issue?
- Does the local government have a public liaison for digital issues?
- Is cybersecurity education a priority?</v>
      </c>
      <c r="Q46" s="821"/>
      <c r="R46" s="821"/>
      <c r="S46" s="835" t="str">
        <f>IF(INPUTS!J46="","",INPUTS!J46)</f>
        <v>Qualitative scoring by Economist Impact analysts</v>
      </c>
      <c r="T46" s="821"/>
      <c r="U46" s="821"/>
      <c r="V46" s="833">
        <f t="shared" si="14"/>
        <v>4</v>
      </c>
      <c r="W46" s="837">
        <f>INPUTS!BC46</f>
        <v>2</v>
      </c>
      <c r="X46" s="836"/>
      <c r="Y46" s="835" t="s">
        <v>584</v>
      </c>
      <c r="Z46" s="837" t="str">
        <f>IF(INPUTS!K46="","",INPUTS!K46)</f>
        <v>Scale (0-4)</v>
      </c>
      <c r="AA46" s="837">
        <f>IF(INPUTS!L46="","",INPUTS!L46)</f>
        <v>2021</v>
      </c>
      <c r="AB46" s="837" t="str">
        <f>IF(INPUTS!M46="","",INPUTS!M46)</f>
        <v>Highest = best</v>
      </c>
      <c r="AC46" s="835" t="str">
        <f t="shared" si="0"/>
        <v>#,##0</v>
      </c>
      <c r="AD46" s="837">
        <f>IF(INPUTS!N46="","",INPUTS!N46)</f>
        <v>0</v>
      </c>
      <c r="AE46" s="835">
        <v>2</v>
      </c>
      <c r="AF46" s="835">
        <f t="shared" si="1"/>
        <v>0</v>
      </c>
      <c r="AG46" s="856">
        <v>3</v>
      </c>
      <c r="AH46" s="835">
        <v>0</v>
      </c>
      <c r="AI46" s="849">
        <v>4</v>
      </c>
      <c r="AJ46" s="836">
        <v>0</v>
      </c>
      <c r="AK46" s="836">
        <v>0</v>
      </c>
      <c r="AL46" s="837" t="str">
        <f t="shared" si="15"/>
        <v>3.2.3) Cyber security risk awareness</v>
      </c>
      <c r="AM46" s="837" t="str">
        <f t="shared" si="16"/>
        <v>3.2.3) Cyber security risk awareness</v>
      </c>
      <c r="AN46" s="837" t="str">
        <f t="shared" si="17"/>
        <v>3.2.3) 3.2.3</v>
      </c>
      <c r="AO46" s="837" t="str">
        <f>$AM$43</f>
        <v>3.2) Government support</v>
      </c>
      <c r="AP46" s="836">
        <f>MATCH($E46,Weights!$C$13:$C$106,0)</f>
        <v>70</v>
      </c>
      <c r="AQ46" s="836">
        <f>IF(ISERROR($AP46),1,INDEX(Weights!$G$13:$G$106,$AP46))</f>
        <v>1</v>
      </c>
      <c r="AR46" s="835">
        <f t="shared" si="39"/>
        <v>0.2</v>
      </c>
      <c r="AS46" s="836">
        <v>1</v>
      </c>
      <c r="AT46" s="837" t="str">
        <f>IF(INPUTS!Q46="","",INPUTS!Q46)</f>
        <v/>
      </c>
      <c r="AU46" s="837" t="str">
        <f>IF(INPUTS!R46="","",INPUTS!R46)</f>
        <v/>
      </c>
      <c r="AV46" s="837" t="str">
        <f>IF(INPUTS!S46="","",INPUTS!S46)</f>
        <v/>
      </c>
      <c r="AW46" s="837" t="str">
        <f>IF(INPUTS!T46="","",INPUTS!T46)</f>
        <v/>
      </c>
      <c r="AX46" s="837" t="str">
        <f>IF(INPUTS!U46="","",INPUTS!U46)</f>
        <v/>
      </c>
      <c r="AZ46" s="867" t="str">
        <f t="shared" si="10"/>
        <v>Weighted: 20%</v>
      </c>
    </row>
    <row r="47" spans="1:52" ht="15" customHeight="1">
      <c r="A47" s="837">
        <f t="shared" si="3"/>
        <v>46</v>
      </c>
      <c r="B47" s="838">
        <v>0</v>
      </c>
      <c r="C47" s="838">
        <f t="shared" si="12"/>
        <v>3</v>
      </c>
      <c r="D47" s="837" t="s">
        <v>730</v>
      </c>
      <c r="E47" s="837" t="str">
        <f t="shared" si="40"/>
        <v>CULT3_2_4</v>
      </c>
      <c r="F47" s="837" t="str">
        <f t="shared" si="42"/>
        <v>CULT3_2</v>
      </c>
      <c r="G47" s="838">
        <v>3</v>
      </c>
      <c r="H47" s="837" t="s">
        <v>749</v>
      </c>
      <c r="I47" s="837" t="str">
        <f>IF(INPUTS!C47="","",INPUTS!C47)</f>
        <v>Open data access and use</v>
      </c>
      <c r="J47" s="837" t="str">
        <f>IF(INPUTS!D47="","",INPUTS!D47)</f>
        <v>Open data access and use</v>
      </c>
      <c r="K47" s="837" t="str">
        <f>IF(INPUTS!E47="","",INPUTS!E47)</f>
        <v>3.2.4</v>
      </c>
      <c r="L47" s="837"/>
      <c r="M47" s="837" t="str">
        <f>IF(INPUTS!F47="","",INPUTS!F47)</f>
        <v>Assesses how the governments are publishing and using open data for accountability, innovation and social impact.</v>
      </c>
      <c r="N47" s="821"/>
      <c r="O47" s="837" t="str">
        <f t="shared" si="5"/>
        <v>Assesses how the governments are publishing and using open data for accountability, innovation and social impact.</v>
      </c>
      <c r="P47" s="837" t="str">
        <f>IF(INPUTS!I47="","",INPUTS!I47)</f>
        <v>Score as in the Open Data Barometer report 2017</v>
      </c>
      <c r="Q47" s="821"/>
      <c r="R47" s="821"/>
      <c r="S47" s="837" t="str">
        <f>IF(INPUTS!J47="","",INPUTS!J47)</f>
        <v>Open Data Barometer</v>
      </c>
      <c r="T47" s="821"/>
      <c r="U47" s="821"/>
      <c r="V47" s="833">
        <f t="shared" si="14"/>
        <v>4</v>
      </c>
      <c r="W47" s="837">
        <f>INPUTS!BC47</f>
        <v>2</v>
      </c>
      <c r="X47" s="838"/>
      <c r="Y47" s="837" t="s">
        <v>585</v>
      </c>
      <c r="Z47" s="837" t="str">
        <f>IF(INPUTS!K47="","",INPUTS!K47)</f>
        <v>Scale (0-100)</v>
      </c>
      <c r="AA47" s="837">
        <f>IF(INPUTS!L47="","",INPUTS!L47)</f>
        <v>2017</v>
      </c>
      <c r="AB47" s="837" t="str">
        <f>IF(INPUTS!M47="","",INPUTS!M47)</f>
        <v>Highest = best</v>
      </c>
      <c r="AC47" s="837" t="str">
        <f t="shared" si="0"/>
        <v>#,##0</v>
      </c>
      <c r="AD47" s="837">
        <f>IF(INPUTS!N47="","",INPUTS!N47)</f>
        <v>0</v>
      </c>
      <c r="AE47" s="837">
        <v>2</v>
      </c>
      <c r="AF47" s="837">
        <f t="shared" si="1"/>
        <v>0</v>
      </c>
      <c r="AG47" s="857">
        <v>2</v>
      </c>
      <c r="AH47" s="837"/>
      <c r="AI47" s="850"/>
      <c r="AJ47" s="838">
        <v>0</v>
      </c>
      <c r="AK47" s="838">
        <v>0</v>
      </c>
      <c r="AL47" s="837" t="str">
        <f t="shared" si="15"/>
        <v>3.2.4) Open data access and use</v>
      </c>
      <c r="AM47" s="837" t="str">
        <f t="shared" si="16"/>
        <v>3.2.4) Open data access and use</v>
      </c>
      <c r="AN47" s="837" t="str">
        <f t="shared" si="17"/>
        <v>3.2.4) 3.2.4</v>
      </c>
      <c r="AO47" s="837" t="str">
        <f>$AM$43</f>
        <v>3.2) Government support</v>
      </c>
      <c r="AP47" s="838">
        <f>MATCH($E47,Weights!$C$13:$C$106,0)</f>
        <v>71</v>
      </c>
      <c r="AQ47" s="838">
        <f>IF(ISERROR($AP47),1,INDEX(Weights!$G$13:$G$106,$AP47))</f>
        <v>1</v>
      </c>
      <c r="AR47" s="837">
        <f t="shared" si="39"/>
        <v>0.2</v>
      </c>
      <c r="AS47" s="836">
        <v>1</v>
      </c>
      <c r="AT47" s="837" t="str">
        <f>IF(INPUTS!Q47="","",INPUTS!Q47)</f>
        <v/>
      </c>
      <c r="AU47" s="837" t="str">
        <f>IF(INPUTS!R47="","",INPUTS!R47)</f>
        <v/>
      </c>
      <c r="AV47" s="837" t="str">
        <f>IF(INPUTS!S47="","",INPUTS!S47)</f>
        <v/>
      </c>
      <c r="AW47" s="837" t="str">
        <f>IF(INPUTS!T47="","",INPUTS!T47)</f>
        <v/>
      </c>
      <c r="AX47" s="837" t="str">
        <f>IF(INPUTS!U47="","",INPUTS!U47)</f>
        <v/>
      </c>
      <c r="AZ47" s="867" t="str">
        <f t="shared" si="10"/>
        <v>Weighted: 20%</v>
      </c>
    </row>
    <row r="48" spans="1:52" s="367" customFormat="1" ht="15" customHeight="1">
      <c r="A48" s="837">
        <f t="shared" si="3"/>
        <v>47</v>
      </c>
      <c r="B48" s="838">
        <v>0</v>
      </c>
      <c r="C48" s="838">
        <f t="shared" ref="C48" si="43">IFERROR(VALUE(LEFT(D48,1)),LEFT(D48,1))</f>
        <v>3</v>
      </c>
      <c r="D48" s="837" t="s">
        <v>1183</v>
      </c>
      <c r="E48" s="837" t="str">
        <f t="shared" ref="E48" si="44">$E$38&amp;H48</f>
        <v>CULT3_2_5</v>
      </c>
      <c r="F48" s="837" t="str">
        <f t="shared" si="42"/>
        <v>CULT3_2</v>
      </c>
      <c r="G48" s="838">
        <v>3</v>
      </c>
      <c r="H48" s="837" t="s">
        <v>1184</v>
      </c>
      <c r="I48" s="837" t="str">
        <f>IF(INPUTS!C48="","",INPUTS!C48)</f>
        <v>Internet freedom</v>
      </c>
      <c r="J48" s="837" t="str">
        <f>IF(INPUTS!D48="","",INPUTS!D48)</f>
        <v>Internet freedom</v>
      </c>
      <c r="K48" s="837" t="str">
        <f>IF(INPUTS!E48="","",INPUTS!E48)</f>
        <v>3.2.5</v>
      </c>
      <c r="L48" s="837"/>
      <c r="M48" s="837" t="str">
        <f>IF(INPUTS!F48="","",INPUTS!F48)</f>
        <v>Assesses the freedom of the internet taking into account obstacles to access to the internet, limits on content and violation of user rights.</v>
      </c>
      <c r="N48" s="821"/>
      <c r="O48" s="837" t="str">
        <f t="shared" ref="O48" si="45">IF(AG48=1,L48,M48)</f>
        <v>Assesses the freedom of the internet taking into account obstacles to access to the internet, limits on content and violation of user rights.</v>
      </c>
      <c r="P48" s="837" t="str">
        <f>IF(INPUTS!I48="","",INPUTS!I48)</f>
        <v>Score as in the Internet Freedom Index</v>
      </c>
      <c r="Q48" s="821"/>
      <c r="R48" s="821"/>
      <c r="S48" s="837" t="str">
        <f>IF(INPUTS!J48="","",INPUTS!J48)</f>
        <v>Freedom House</v>
      </c>
      <c r="T48" s="821"/>
      <c r="U48" s="821"/>
      <c r="V48" s="833">
        <f t="shared" si="14"/>
        <v>4</v>
      </c>
      <c r="W48" s="837">
        <f>INPUTS!BC48</f>
        <v>2</v>
      </c>
      <c r="X48" s="838"/>
      <c r="Y48" s="837" t="s">
        <v>585</v>
      </c>
      <c r="Z48" s="837" t="str">
        <f>IF(INPUTS!K48="","",INPUTS!K48)</f>
        <v>Scale (0-100)</v>
      </c>
      <c r="AA48" s="837">
        <f>IF(INPUTS!L48="","",INPUTS!L48)</f>
        <v>2021</v>
      </c>
      <c r="AB48" s="837" t="str">
        <f>IF(INPUTS!M48="","",INPUTS!M48)</f>
        <v>Highest = best</v>
      </c>
      <c r="AC48" s="837" t="str">
        <f t="shared" ref="AC48" si="46">CHOOSE(AD48+1,"#,##0","#,##0.0","#,##0.00","#,##0.000","#,##0.0000","#,##0.00000")</f>
        <v>#,##0.0</v>
      </c>
      <c r="AD48" s="837">
        <f>IF(INPUTS!N48="","",INPUTS!N48)</f>
        <v>1</v>
      </c>
      <c r="AE48" s="837">
        <v>2</v>
      </c>
      <c r="AF48" s="837">
        <f t="shared" ref="AF48" si="47">IF(AB48="",2,IF(AB48="Highest = best",0,1))</f>
        <v>0</v>
      </c>
      <c r="AG48" s="857">
        <v>2</v>
      </c>
      <c r="AH48" s="837"/>
      <c r="AI48" s="850"/>
      <c r="AJ48" s="838">
        <v>0</v>
      </c>
      <c r="AK48" s="838">
        <v>0</v>
      </c>
      <c r="AL48" s="837" t="str">
        <f t="shared" ref="AL48" si="48">IF(H48="",I48,CONCATENATE(D48,") ",IF(G48&gt;=2,I48,UPPER(I48))))</f>
        <v>3.2.5) Internet freedom</v>
      </c>
      <c r="AM48" s="837" t="str">
        <f t="shared" ref="AM48" si="49">IF(H48="",J48,CONCATENATE(D48,") ",IF(G48&gt;=2,J48,UPPER(J48))))</f>
        <v>3.2.5) Internet freedom</v>
      </c>
      <c r="AN48" s="837" t="str">
        <f t="shared" ref="AN48" si="50">IF(H48="",K48,IF(G48=1,UPPER(K48),CONCATENATE(D48,") "&amp;K48)))</f>
        <v>3.2.5) 3.2.5</v>
      </c>
      <c r="AO48" s="837" t="str">
        <f>$AM$43</f>
        <v>3.2) Government support</v>
      </c>
      <c r="AP48" s="838">
        <f>MATCH($E48,Weights!$C$13:$C$106,0)</f>
        <v>72</v>
      </c>
      <c r="AQ48" s="838">
        <f>IF(ISERROR($AP48),1,INDEX(Weights!$G$13:$G$106,$AP48))</f>
        <v>1</v>
      </c>
      <c r="AR48" s="837">
        <f t="shared" si="39"/>
        <v>0.2</v>
      </c>
      <c r="AS48" s="836">
        <v>1</v>
      </c>
      <c r="AT48" s="837" t="str">
        <f>IF(INPUTS!Q48="","",INPUTS!Q48)</f>
        <v/>
      </c>
      <c r="AU48" s="837" t="str">
        <f>IF(INPUTS!R48="","",INPUTS!R48)</f>
        <v/>
      </c>
      <c r="AV48" s="837" t="str">
        <f>IF(INPUTS!S48="","",INPUTS!S48)</f>
        <v/>
      </c>
      <c r="AW48" s="837" t="str">
        <f>IF(INPUTS!T48="","",INPUTS!T48)</f>
        <v/>
      </c>
      <c r="AX48" s="837" t="str">
        <f>IF(INPUTS!U48="","",INPUTS!U48)</f>
        <v/>
      </c>
      <c r="AY48" s="971"/>
      <c r="AZ48" s="867" t="str">
        <f t="shared" ref="AZ48" si="51">"Weighted: "&amp;ROUND(AR48*100,1)&amp;"%"</f>
        <v>Weighted: 20%</v>
      </c>
    </row>
    <row r="49" spans="1:52" ht="15" customHeight="1">
      <c r="A49" s="837">
        <f t="shared" si="3"/>
        <v>48</v>
      </c>
      <c r="B49" s="838">
        <v>0</v>
      </c>
      <c r="C49" s="838">
        <f t="shared" si="12"/>
        <v>3</v>
      </c>
      <c r="D49" s="837">
        <v>3.3</v>
      </c>
      <c r="E49" s="837" t="str">
        <f t="shared" si="40"/>
        <v>CULT3_3</v>
      </c>
      <c r="F49" s="837" t="str">
        <f>$E$38</f>
        <v>CULT</v>
      </c>
      <c r="G49" s="838">
        <v>2</v>
      </c>
      <c r="H49" s="837" t="s">
        <v>190</v>
      </c>
      <c r="I49" s="837" t="str">
        <f>IF(INPUTS!C49="","",INPUTS!C49)</f>
        <v>Innovation ecosystem</v>
      </c>
      <c r="J49" s="837" t="str">
        <f>IF(INPUTS!D49="","",INPUTS!D49)</f>
        <v>Innovation ecosystem</v>
      </c>
      <c r="K49" s="837" t="str">
        <f>IF(INPUTS!E49="","",INPUTS!E49)</f>
        <v>Innovation ecosystem</v>
      </c>
      <c r="L49" s="837" t="str">
        <f>"The category score is the weighted sum of the following indicator scores:
"&amp;AM50&amp;" ("&amp;TEXT(AZ50,"0.0")&amp;")
"&amp;AM51&amp;" ("&amp;TEXT(AZ51,"0.0")&amp;")
"&amp;AM52&amp;" ("&amp;TEXT(AZ52,"0.0")&amp;")
"&amp;AM53&amp;" ("&amp;TEXT(AZ53,"0.0")&amp;")
"&amp;AM54&amp;" ("&amp;TEXT(AZ54,"0.0")&amp;")"</f>
        <v>The category score is the weighted sum of the following indicator scores:
3.3.1) AI readiness of government (Weighted: 22.4%)
3.3.2) Blockchain technology strategy (Weighted: 12.1%)
3.3.3) Tech startup ecosytem (Weighted: 24.1%)
3.3.4) Intellectual Property Rights (Weighted: 19%)
3.3.5) Business environment (Weighted: 22.4%)</v>
      </c>
      <c r="M49" s="837" t="str">
        <f>IF(INPUTS!F49="","",INPUTS!F49)</f>
        <v/>
      </c>
      <c r="N49" s="821"/>
      <c r="O49" s="837" t="str">
        <f t="shared" si="5"/>
        <v>The category score is the weighted sum of the following indicator scores:
3.3.1) AI readiness of government (Weighted: 22.4%)
3.3.2) Blockchain technology strategy (Weighted: 12.1%)
3.3.3) Tech startup ecosytem (Weighted: 24.1%)
3.3.4) Intellectual Property Rights (Weighted: 19%)
3.3.5) Business environment (Weighted: 22.4%)</v>
      </c>
      <c r="P49" s="837" t="str">
        <f>IF(INPUTS!I49="","",INPUTS!I49)</f>
        <v/>
      </c>
      <c r="Q49" s="821"/>
      <c r="R49" s="821"/>
      <c r="S49" s="837" t="str">
        <f>IF(INPUTS!J49="","",INPUTS!J49)</f>
        <v>Economist Impact calculation</v>
      </c>
      <c r="T49" s="821"/>
      <c r="U49" s="821"/>
      <c r="V49" s="833">
        <f t="shared" si="14"/>
        <v>4</v>
      </c>
      <c r="W49" s="837">
        <f>INPUTS!BC49</f>
        <v>1</v>
      </c>
      <c r="X49" s="838"/>
      <c r="Y49" s="837"/>
      <c r="Z49" s="837" t="str">
        <f>IF(INPUTS!K49="","",INPUTS!K49)</f>
        <v/>
      </c>
      <c r="AA49" s="837" t="str">
        <f>IF(INPUTS!L49="","",INPUTS!L49)</f>
        <v/>
      </c>
      <c r="AB49" s="531" t="s">
        <v>575</v>
      </c>
      <c r="AC49" s="837" t="str">
        <f t="shared" si="0"/>
        <v>#,##0.0</v>
      </c>
      <c r="AD49" s="837">
        <f>IF(INPUTS!N49="","",INPUTS!N49)</f>
        <v>1</v>
      </c>
      <c r="AE49" s="837">
        <v>2</v>
      </c>
      <c r="AF49" s="837">
        <f t="shared" si="1"/>
        <v>0</v>
      </c>
      <c r="AG49" s="857">
        <v>1</v>
      </c>
      <c r="AH49" s="837"/>
      <c r="AI49" s="850"/>
      <c r="AJ49" s="838">
        <v>0</v>
      </c>
      <c r="AK49" s="838">
        <v>0</v>
      </c>
      <c r="AL49" s="837" t="str">
        <f t="shared" si="15"/>
        <v>3.3) Innovation ecosystem</v>
      </c>
      <c r="AM49" s="837" t="str">
        <f t="shared" si="16"/>
        <v>3.3) Innovation ecosystem</v>
      </c>
      <c r="AN49" s="837" t="str">
        <f t="shared" si="17"/>
        <v>3.3) Innovation ecosystem</v>
      </c>
      <c r="AO49" s="837" t="str">
        <f>$AM$38</f>
        <v>3) CULTURE</v>
      </c>
      <c r="AP49" s="838">
        <f>MATCH($E49,Weights!$C$13:$C$106,0)</f>
        <v>21</v>
      </c>
      <c r="AQ49" s="838">
        <f>IF(ISERROR($AP49),1,INDEX(Weights!$G$13:$G$106,$AP49))</f>
        <v>5</v>
      </c>
      <c r="AR49" s="837">
        <f t="shared" si="39"/>
        <v>0.3125</v>
      </c>
      <c r="AS49" s="836">
        <v>1</v>
      </c>
      <c r="AT49" s="837" t="str">
        <f>IF(INPUTS!Q49="","",INPUTS!Q49)</f>
        <v/>
      </c>
      <c r="AU49" s="837" t="str">
        <f>IF(INPUTS!R49="","",INPUTS!R49)</f>
        <v/>
      </c>
      <c r="AV49" s="837" t="str">
        <f>IF(INPUTS!S49="","",INPUTS!S49)</f>
        <v/>
      </c>
      <c r="AW49" s="837" t="str">
        <f>IF(INPUTS!T49="","",INPUTS!T49)</f>
        <v/>
      </c>
      <c r="AX49" s="837" t="str">
        <f>IF(INPUTS!U49="","",INPUTS!U49)</f>
        <v/>
      </c>
      <c r="AZ49" s="867" t="str">
        <f t="shared" si="10"/>
        <v>Weighted: 31.3%</v>
      </c>
    </row>
    <row r="50" spans="1:52" ht="15" customHeight="1">
      <c r="A50" s="837">
        <f t="shared" si="3"/>
        <v>49</v>
      </c>
      <c r="B50" s="838">
        <v>0</v>
      </c>
      <c r="C50" s="838">
        <f t="shared" si="12"/>
        <v>3</v>
      </c>
      <c r="D50" s="837" t="s">
        <v>436</v>
      </c>
      <c r="E50" s="837" t="str">
        <f t="shared" si="40"/>
        <v>CULT3_3_1</v>
      </c>
      <c r="F50" s="837" t="str">
        <f>$E$49</f>
        <v>CULT3_3</v>
      </c>
      <c r="G50" s="838">
        <v>3</v>
      </c>
      <c r="H50" s="837" t="s">
        <v>750</v>
      </c>
      <c r="I50" s="837" t="str">
        <f>IF(INPUTS!C50="","",INPUTS!C50)</f>
        <v>AI readiness of government</v>
      </c>
      <c r="J50" s="837" t="str">
        <f>IF(INPUTS!D50="","",INPUTS!D50)</f>
        <v>AI readiness of government</v>
      </c>
      <c r="K50" s="837" t="str">
        <f>IF(INPUTS!E50="","",INPUTS!E50)</f>
        <v>3.3.1</v>
      </c>
      <c r="L50" s="837"/>
      <c r="M50" s="837" t="str">
        <f>IF(INPUTS!F50="","",INPUTS!F50)</f>
        <v>Assesses how ready a given government is to implement AI in the delivery of public services to their citizens.</v>
      </c>
      <c r="N50" s="821"/>
      <c r="O50" s="837" t="str">
        <f t="shared" si="5"/>
        <v>Assesses how ready a given government is to implement AI in the delivery of public services to their citizens.</v>
      </c>
      <c r="P50" s="837" t="str">
        <f>IF(INPUTS!I50="","",INPUTS!I50)</f>
        <v>Score as in Government AI readiness index</v>
      </c>
      <c r="Q50" s="821"/>
      <c r="R50" s="821"/>
      <c r="S50" s="837" t="str">
        <f>IF(INPUTS!J50="","",INPUTS!J50)</f>
        <v>Oxford Insights</v>
      </c>
      <c r="T50" s="821"/>
      <c r="U50" s="821"/>
      <c r="V50" s="833">
        <v>4</v>
      </c>
      <c r="W50" s="837">
        <f>INPUTS!BC50</f>
        <v>2</v>
      </c>
      <c r="X50" s="838"/>
      <c r="Y50" s="837" t="s">
        <v>585</v>
      </c>
      <c r="Z50" s="837" t="str">
        <f>IF(INPUTS!K50="","",INPUTS!K50)</f>
        <v>Scale (0-100)</v>
      </c>
      <c r="AA50" s="837">
        <f>IF(INPUTS!L50="","",INPUTS!L50)</f>
        <v>2020</v>
      </c>
      <c r="AB50" s="837" t="str">
        <f>IF(INPUTS!M50="","",INPUTS!M50)</f>
        <v>Highest = best</v>
      </c>
      <c r="AC50" s="837" t="str">
        <f t="shared" si="0"/>
        <v>#,##0.0</v>
      </c>
      <c r="AD50" s="837">
        <f>IF(INPUTS!N50="","",INPUTS!N50)</f>
        <v>1</v>
      </c>
      <c r="AE50" s="837">
        <v>2</v>
      </c>
      <c r="AF50" s="837">
        <f t="shared" si="1"/>
        <v>0</v>
      </c>
      <c r="AG50" s="857">
        <v>2</v>
      </c>
      <c r="AH50" s="837"/>
      <c r="AI50" s="850"/>
      <c r="AJ50" s="838">
        <v>0</v>
      </c>
      <c r="AK50" s="838">
        <v>0</v>
      </c>
      <c r="AL50" s="837" t="str">
        <f t="shared" si="15"/>
        <v>3.3.1) AI readiness of government</v>
      </c>
      <c r="AM50" s="837" t="str">
        <f t="shared" si="16"/>
        <v>3.3.1) AI readiness of government</v>
      </c>
      <c r="AN50" s="837" t="str">
        <f t="shared" si="17"/>
        <v>3.3.1) 3.3.1</v>
      </c>
      <c r="AO50" s="837" t="str">
        <f>$AM$49</f>
        <v>3.3) Innovation ecosystem</v>
      </c>
      <c r="AP50" s="838">
        <f>MATCH($E50,Weights!$C$13:$C$106,0)</f>
        <v>74</v>
      </c>
      <c r="AQ50" s="838">
        <f>IF(ISERROR($AP50),1,INDEX(Weights!$G$13:$G$106,$AP50))</f>
        <v>4.333333333333333</v>
      </c>
      <c r="AR50" s="837">
        <f t="shared" si="39"/>
        <v>0.22417658216933956</v>
      </c>
      <c r="AS50" s="836">
        <v>1</v>
      </c>
      <c r="AT50" s="837" t="str">
        <f>IF(INPUTS!Q50="","",INPUTS!Q50)</f>
        <v/>
      </c>
      <c r="AU50" s="837" t="str">
        <f>IF(INPUTS!R50="","",INPUTS!R50)</f>
        <v/>
      </c>
      <c r="AV50" s="837" t="str">
        <f>IF(INPUTS!S50="","",INPUTS!S50)</f>
        <v/>
      </c>
      <c r="AW50" s="837" t="str">
        <f>IF(INPUTS!T50="","",INPUTS!T50)</f>
        <v/>
      </c>
      <c r="AX50" s="837" t="str">
        <f>IF(INPUTS!U50="","",INPUTS!U50)</f>
        <v/>
      </c>
      <c r="AZ50" s="867" t="str">
        <f t="shared" si="10"/>
        <v>Weighted: 22.4%</v>
      </c>
    </row>
    <row r="51" spans="1:52" ht="15" customHeight="1">
      <c r="A51" s="835">
        <f t="shared" si="3"/>
        <v>50</v>
      </c>
      <c r="B51" s="836">
        <v>0</v>
      </c>
      <c r="C51" s="836">
        <f t="shared" si="12"/>
        <v>3</v>
      </c>
      <c r="D51" s="835" t="s">
        <v>437</v>
      </c>
      <c r="E51" s="837" t="str">
        <f t="shared" si="40"/>
        <v>CULT3_3_2</v>
      </c>
      <c r="F51" s="837" t="str">
        <f t="shared" ref="F51:F54" si="52">$E$49</f>
        <v>CULT3_3</v>
      </c>
      <c r="G51" s="836">
        <v>3</v>
      </c>
      <c r="H51" s="835" t="s">
        <v>751</v>
      </c>
      <c r="I51" s="837" t="str">
        <f>IF(INPUTS!C51="","",INPUTS!C51)</f>
        <v>Blockchain technology strategy</v>
      </c>
      <c r="J51" s="837" t="str">
        <f>IF(INPUTS!D51="","",INPUTS!D51)</f>
        <v>Blockchain technology strategy</v>
      </c>
      <c r="K51" s="835" t="str">
        <f>IF(INPUTS!E51="","",INPUTS!E51)</f>
        <v>3.3.2</v>
      </c>
      <c r="L51" s="837"/>
      <c r="M51" s="837" t="str">
        <f>IF(INPUTS!F51="","",INPUTS!F51)</f>
        <v>Assesses whether  there is a well-defined blockchain technology strategy in the country/city. A blockchain based digital government can protect data, streamline processes, and reduce fraud, while simultaneously increasing trust and accountability.</v>
      </c>
      <c r="N51" s="831"/>
      <c r="O51" s="837" t="str">
        <f t="shared" si="5"/>
        <v>Assesses whether  there is a well-defined blockchain technology strategy in the country/city. A blockchain based digital government can protect data, streamline processes, and reduce fraud, while simultaneously increasing trust and accountability.</v>
      </c>
      <c r="P51" s="837" t="str">
        <f>IF(INPUTS!I51="","",INPUTS!I51)</f>
        <v>Does the city/country have a blockchain technology strategy? 
0 - There is no evidence of a national or state-level blockchain technology strategy
1 - There is a draft national or state level blockchain technology strategy
2 - There is a national or state level blockchain technology strategy
3 - The strategy has clearly defined goals and a roadmap of implementation</v>
      </c>
      <c r="Q51" s="831"/>
      <c r="R51" s="831"/>
      <c r="S51" s="835" t="str">
        <f>IF(INPUTS!J51="","",INPUTS!J51)</f>
        <v>Qualitative scoring by Economist Impact analysts</v>
      </c>
      <c r="T51" s="831"/>
      <c r="U51" s="831"/>
      <c r="V51" s="832">
        <v>4</v>
      </c>
      <c r="W51" s="837">
        <f>INPUTS!BC51</f>
        <v>2</v>
      </c>
      <c r="X51" s="836"/>
      <c r="Y51" s="835" t="s">
        <v>809</v>
      </c>
      <c r="Z51" s="837" t="str">
        <f>IF(INPUTS!K51="","",INPUTS!K51)</f>
        <v>Scale (0-3)</v>
      </c>
      <c r="AA51" s="837">
        <f>IF(INPUTS!L51="","",INPUTS!L51)</f>
        <v>2021</v>
      </c>
      <c r="AB51" s="837" t="str">
        <f>IF(INPUTS!M51="","",INPUTS!M51)</f>
        <v>Highest = best</v>
      </c>
      <c r="AC51" s="835" t="str">
        <f t="shared" si="0"/>
        <v>#,##0</v>
      </c>
      <c r="AD51" s="837">
        <f>IF(INPUTS!N51="","",INPUTS!N51)</f>
        <v>0</v>
      </c>
      <c r="AE51" s="835">
        <v>2</v>
      </c>
      <c r="AF51" s="835">
        <f t="shared" si="1"/>
        <v>0</v>
      </c>
      <c r="AG51" s="856">
        <v>3</v>
      </c>
      <c r="AH51" s="835">
        <v>0</v>
      </c>
      <c r="AI51" s="849">
        <v>3</v>
      </c>
      <c r="AJ51" s="836">
        <v>0</v>
      </c>
      <c r="AK51" s="836">
        <v>0</v>
      </c>
      <c r="AL51" s="837" t="str">
        <f t="shared" si="15"/>
        <v>3.3.2) Blockchain technology strategy</v>
      </c>
      <c r="AM51" s="837" t="str">
        <f t="shared" si="16"/>
        <v>3.3.2) Blockchain technology strategy</v>
      </c>
      <c r="AN51" s="837" t="str">
        <f t="shared" si="17"/>
        <v>3.3.2) 3.3.2</v>
      </c>
      <c r="AO51" s="837" t="str">
        <f>$AM$49</f>
        <v>3.3) Innovation ecosystem</v>
      </c>
      <c r="AP51" s="836">
        <f>MATCH($E51,Weights!$C$13:$C$106,0)</f>
        <v>75</v>
      </c>
      <c r="AQ51" s="836">
        <f>IF(ISERROR($AP51),1,INDEX(Weights!$G$13:$G$106,$AP51))</f>
        <v>2.3333333333333335</v>
      </c>
      <c r="AR51" s="835">
        <f t="shared" si="39"/>
        <v>0.12071046732195208</v>
      </c>
      <c r="AS51" s="836">
        <v>4</v>
      </c>
      <c r="AT51" s="837" t="str">
        <f>IF(INPUTS!Q51="","",INPUTS!Q51)</f>
        <v xml:space="preserve">The strategy has clearly defined goals and a roadmap of implementation
</v>
      </c>
      <c r="AU51" s="837" t="str">
        <f>IF(INPUTS!R51="","",INPUTS!R51)</f>
        <v>There is a national or state level blockchain technology strategy</v>
      </c>
      <c r="AV51" s="837" t="str">
        <f>IF(INPUTS!S51="","",INPUTS!S51)</f>
        <v xml:space="preserve">There is a draft national or state level blockchain technology strategy
</v>
      </c>
      <c r="AW51" s="837" t="str">
        <f>IF(INPUTS!T51="","",INPUTS!T51)</f>
        <v xml:space="preserve">No evidence of strategy
</v>
      </c>
      <c r="AX51" s="837" t="str">
        <f>IF(INPUTS!U51="","",INPUTS!U51)</f>
        <v/>
      </c>
      <c r="AZ51" s="867" t="str">
        <f t="shared" si="10"/>
        <v>Weighted: 12.1%</v>
      </c>
    </row>
    <row r="52" spans="1:52" ht="15" customHeight="1">
      <c r="A52" s="837">
        <f t="shared" si="3"/>
        <v>51</v>
      </c>
      <c r="B52" s="838">
        <v>0</v>
      </c>
      <c r="C52" s="838">
        <f t="shared" si="12"/>
        <v>3</v>
      </c>
      <c r="D52" s="837" t="s">
        <v>519</v>
      </c>
      <c r="E52" s="837" t="str">
        <f t="shared" si="40"/>
        <v>CULT3_3_3</v>
      </c>
      <c r="F52" s="837" t="str">
        <f t="shared" si="52"/>
        <v>CULT3_3</v>
      </c>
      <c r="G52" s="838">
        <v>3</v>
      </c>
      <c r="H52" s="837" t="s">
        <v>752</v>
      </c>
      <c r="I52" s="837" t="str">
        <f>IF(INPUTS!C52="","",INPUTS!C52)</f>
        <v>Tech startup ecosytem</v>
      </c>
      <c r="J52" s="837" t="str">
        <f>IF(INPUTS!D52="","",INPUTS!D52)</f>
        <v>Tech startup ecosytem</v>
      </c>
      <c r="K52" s="837" t="str">
        <f>IF(INPUTS!E52="","",INPUTS!E52)</f>
        <v>3.3.3</v>
      </c>
      <c r="L52" s="837"/>
      <c r="M52" s="837" t="str">
        <f>IF(INPUTS!F52="","",INPUTS!F52)</f>
        <v>Assesses the quality and quantity of startups in a city, taking into account different metrics, like number of startups, number of coworking spaces, and number of accelerators, to establish the activity level of the startup ecosystem.</v>
      </c>
      <c r="N52" s="821"/>
      <c r="O52" s="837" t="str">
        <f t="shared" si="5"/>
        <v>Assesses the quality and quantity of startups in a city, taking into account different metrics, like number of startups, number of coworking spaces, and number of accelerators, to establish the activity level of the startup ecosystem.</v>
      </c>
      <c r="P52" s="837" t="str">
        <f>IF(INPUTS!I52="","",INPUTS!I52)</f>
        <v>Score in the startup ecosystem report by Startup Blink</v>
      </c>
      <c r="Q52" s="821"/>
      <c r="R52" s="821"/>
      <c r="S52" s="837" t="str">
        <f>IF(INPUTS!J52="","",INPUTS!J52)</f>
        <v>Startup Blink</v>
      </c>
      <c r="T52" s="821"/>
      <c r="U52" s="821"/>
      <c r="V52" s="833">
        <v>4</v>
      </c>
      <c r="W52" s="837">
        <f>INPUTS!BC52</f>
        <v>2</v>
      </c>
      <c r="X52" s="838"/>
      <c r="Y52" s="837" t="s">
        <v>810</v>
      </c>
      <c r="Z52" s="837" t="str">
        <f>IF(INPUTS!K52="","",INPUTS!K52)</f>
        <v>Score</v>
      </c>
      <c r="AA52" s="837">
        <f>IF(INPUTS!L52="","",INPUTS!L52)</f>
        <v>2021</v>
      </c>
      <c r="AB52" s="837" t="str">
        <f>IF(INPUTS!M52="","",INPUTS!M52)</f>
        <v>Highest = best</v>
      </c>
      <c r="AC52" s="837" t="str">
        <f t="shared" si="0"/>
        <v>#,##0.0</v>
      </c>
      <c r="AD52" s="837">
        <f>IF(INPUTS!N52="","",INPUTS!N52)</f>
        <v>1</v>
      </c>
      <c r="AE52" s="837">
        <v>2</v>
      </c>
      <c r="AF52" s="837">
        <f t="shared" si="1"/>
        <v>0</v>
      </c>
      <c r="AG52" s="857">
        <v>2</v>
      </c>
      <c r="AH52" s="837"/>
      <c r="AI52" s="850"/>
      <c r="AJ52" s="838">
        <v>0</v>
      </c>
      <c r="AK52" s="838">
        <v>0</v>
      </c>
      <c r="AL52" s="837" t="str">
        <f t="shared" si="15"/>
        <v>3.3.3) Tech startup ecosytem</v>
      </c>
      <c r="AM52" s="837" t="str">
        <f t="shared" si="16"/>
        <v>3.3.3) Tech startup ecosytem</v>
      </c>
      <c r="AN52" s="837" t="str">
        <f t="shared" si="17"/>
        <v>3.3.3) 3.3.3</v>
      </c>
      <c r="AO52" s="837" t="str">
        <f>$AM$49</f>
        <v>3.3) Innovation ecosystem</v>
      </c>
      <c r="AP52" s="838">
        <f>MATCH($E52,Weights!$C$13:$C$106,0)</f>
        <v>76</v>
      </c>
      <c r="AQ52" s="838">
        <f>IF(ISERROR($AP52),1,INDEX(Weights!$G$13:$G$106,$AP52))</f>
        <v>4.666666666666667</v>
      </c>
      <c r="AR52" s="837">
        <f t="shared" si="39"/>
        <v>0.24142093464390416</v>
      </c>
      <c r="AS52" s="836">
        <v>1</v>
      </c>
      <c r="AT52" s="837" t="str">
        <f>IF(INPUTS!Q52="","",INPUTS!Q52)</f>
        <v/>
      </c>
      <c r="AU52" s="837" t="str">
        <f>IF(INPUTS!R52="","",INPUTS!R52)</f>
        <v/>
      </c>
      <c r="AV52" s="837" t="str">
        <f>IF(INPUTS!S52="","",INPUTS!S52)</f>
        <v/>
      </c>
      <c r="AW52" s="837" t="str">
        <f>IF(INPUTS!T52="","",INPUTS!T52)</f>
        <v/>
      </c>
      <c r="AX52" s="837" t="str">
        <f>IF(INPUTS!U52="","",INPUTS!U52)</f>
        <v/>
      </c>
      <c r="AZ52" s="867" t="str">
        <f t="shared" si="10"/>
        <v>Weighted: 24.1%</v>
      </c>
    </row>
    <row r="53" spans="1:52" ht="15" customHeight="1">
      <c r="A53" s="837">
        <f t="shared" si="3"/>
        <v>52</v>
      </c>
      <c r="B53" s="838">
        <v>0</v>
      </c>
      <c r="C53" s="838">
        <f t="shared" si="12"/>
        <v>3</v>
      </c>
      <c r="D53" s="837" t="s">
        <v>731</v>
      </c>
      <c r="E53" s="837" t="str">
        <f t="shared" si="40"/>
        <v>CULT3_3_4</v>
      </c>
      <c r="F53" s="837" t="str">
        <f t="shared" si="52"/>
        <v>CULT3_3</v>
      </c>
      <c r="G53" s="838">
        <v>3</v>
      </c>
      <c r="H53" s="837" t="s">
        <v>753</v>
      </c>
      <c r="I53" s="837" t="str">
        <f>IF(INPUTS!C53="","",INPUTS!C53)</f>
        <v>Intellectual property rights</v>
      </c>
      <c r="J53" s="837" t="str">
        <f>IF(INPUTS!D53="","",INPUTS!D53)</f>
        <v>Intellectual Property Rights</v>
      </c>
      <c r="K53" s="837" t="str">
        <f>IF(INPUTS!E53="","",INPUTS!E53)</f>
        <v>3.3.4</v>
      </c>
      <c r="L53" s="837"/>
      <c r="M53" s="837" t="str">
        <f>IF(INPUTS!F53="","",INPUTS!F53)</f>
        <v>Assesses the level of intellectual property protection which is critical to fostering digital innovation. Without protection of ideas, businesses and individuals would not be able to reap the full benefits of their inventions.</v>
      </c>
      <c r="N53" s="821"/>
      <c r="O53" s="837" t="str">
        <f t="shared" si="5"/>
        <v>Assesses the level of intellectual property protection which is critical to fostering digital innovation. Without protection of ideas, businesses and individuals would not be able to reap the full benefits of their inventions.</v>
      </c>
      <c r="P53" s="837" t="str">
        <f>IF(INPUTS!I53="","",INPUTS!I53)</f>
        <v xml:space="preserve">Level of Intellectual Property Rights enforcement
1 - Very Poor: IP protection is not codified or enforced
2 - Poor: IP laws have substantial gaps and are often not enforced
3 - Fair: IP laws are of a moderate standard with some gaps and enforcement may be inconsistent
4 - Good: A good standard of comprehensive IP laws is generally enforced effectively
5 - Very Good : A high standard of comprehensive IP laws is strongly enforced </v>
      </c>
      <c r="Q53" s="821"/>
      <c r="R53" s="821"/>
      <c r="S53" s="837" t="str">
        <f>IF(INPUTS!J53="","",INPUTS!J53)</f>
        <v>EIU</v>
      </c>
      <c r="T53" s="821"/>
      <c r="U53" s="821"/>
      <c r="V53" s="833">
        <v>4</v>
      </c>
      <c r="W53" s="837">
        <f>INPUTS!BC53</f>
        <v>2</v>
      </c>
      <c r="X53" s="838"/>
      <c r="Y53" s="837" t="s">
        <v>585</v>
      </c>
      <c r="Z53" s="837" t="str">
        <f>IF(INPUTS!K53="","",INPUTS!K53)</f>
        <v>Scale (1-5)</v>
      </c>
      <c r="AA53" s="837">
        <f>IF(INPUTS!L53="","",INPUTS!L53)</f>
        <v>2021</v>
      </c>
      <c r="AB53" s="837" t="str">
        <f>IF(INPUTS!M53="","",INPUTS!M53)</f>
        <v>Highest = best</v>
      </c>
      <c r="AC53" s="837" t="str">
        <f t="shared" si="0"/>
        <v>#,##0</v>
      </c>
      <c r="AD53" s="837">
        <f>IF(INPUTS!N53="","",INPUTS!N53)</f>
        <v>0</v>
      </c>
      <c r="AE53" s="837">
        <v>2</v>
      </c>
      <c r="AF53" s="837">
        <f t="shared" si="1"/>
        <v>0</v>
      </c>
      <c r="AG53" s="857">
        <v>3</v>
      </c>
      <c r="AH53" s="837">
        <v>1</v>
      </c>
      <c r="AI53" s="850">
        <v>5</v>
      </c>
      <c r="AJ53" s="838">
        <v>0</v>
      </c>
      <c r="AK53" s="838">
        <v>1</v>
      </c>
      <c r="AL53" s="837" t="str">
        <f t="shared" si="15"/>
        <v>3.3.4) Intellectual property rights</v>
      </c>
      <c r="AM53" s="837" t="str">
        <f t="shared" si="16"/>
        <v>3.3.4) Intellectual Property Rights</v>
      </c>
      <c r="AN53" s="837" t="str">
        <f t="shared" si="17"/>
        <v>3.3.4) 3.3.4</v>
      </c>
      <c r="AO53" s="837" t="str">
        <f>$AM$49</f>
        <v>3.3) Innovation ecosystem</v>
      </c>
      <c r="AP53" s="838">
        <f>MATCH($E53,Weights!$C$13:$C$106,0)</f>
        <v>77</v>
      </c>
      <c r="AQ53" s="838">
        <f>IF(ISERROR($AP53),1,INDEX(Weights!$G$13:$G$106,$AP53))</f>
        <v>3.6666666666666665</v>
      </c>
      <c r="AR53" s="837">
        <f t="shared" si="39"/>
        <v>0.18968787722021038</v>
      </c>
      <c r="AS53" s="836">
        <v>5</v>
      </c>
      <c r="AT53" s="837" t="str">
        <f>IF(INPUTS!Q53="","",INPUTS!Q53)</f>
        <v xml:space="preserve">Very good
</v>
      </c>
      <c r="AU53" s="837" t="str">
        <f>IF(INPUTS!R53="","",INPUTS!R53)</f>
        <v xml:space="preserve">Good
</v>
      </c>
      <c r="AV53" s="837" t="str">
        <f>IF(INPUTS!S53="","",INPUTS!S53)</f>
        <v xml:space="preserve">Fair
</v>
      </c>
      <c r="AW53" s="837" t="str">
        <f>IF(INPUTS!T53="","",INPUTS!T53)</f>
        <v xml:space="preserve">Poor
</v>
      </c>
      <c r="AX53" s="837" t="str">
        <f>IF(INPUTS!U53="","",INPUTS!U53)</f>
        <v xml:space="preserve">Very poor
</v>
      </c>
      <c r="AZ53" s="867" t="str">
        <f t="shared" si="10"/>
        <v>Weighted: 19%</v>
      </c>
    </row>
    <row r="54" spans="1:52" s="367" customFormat="1" ht="15" customHeight="1">
      <c r="A54" s="837">
        <f t="shared" si="3"/>
        <v>53</v>
      </c>
      <c r="B54" s="838">
        <v>0</v>
      </c>
      <c r="C54" s="838">
        <f t="shared" ref="C54" si="53">IFERROR(VALUE(LEFT(D54,1)),LEFT(D54,1))</f>
        <v>3</v>
      </c>
      <c r="D54" s="837" t="s">
        <v>1186</v>
      </c>
      <c r="E54" s="837" t="str">
        <f t="shared" ref="E54" si="54">$E$38&amp;H54</f>
        <v>CULT3_3_5</v>
      </c>
      <c r="F54" s="837" t="str">
        <f t="shared" si="52"/>
        <v>CULT3_3</v>
      </c>
      <c r="G54" s="838">
        <v>3</v>
      </c>
      <c r="H54" s="837" t="s">
        <v>1185</v>
      </c>
      <c r="I54" s="837" t="str">
        <f>IF(INPUTS!C54="","",INPUTS!C54)</f>
        <v>Business environment</v>
      </c>
      <c r="J54" s="837" t="str">
        <f>IF(INPUTS!D54="","",INPUTS!D54)</f>
        <v>Business environment</v>
      </c>
      <c r="K54" s="837" t="str">
        <f>IF(INPUTS!E54="","",INPUTS!E54)</f>
        <v>3.3.5</v>
      </c>
      <c r="L54" s="837"/>
      <c r="M54" s="837" t="str">
        <f>IF(INPUTS!F54="","",INPUTS!F54)</f>
        <v>Assesses the degree to which businesses can invest and operate in a free, open and competitive market, with policies and legal assurances that their rights and assets would be secure.</v>
      </c>
      <c r="N54" s="821"/>
      <c r="O54" s="837" t="str">
        <f t="shared" ref="O54" si="55">IF(AG54=1,L54,M54)</f>
        <v>Assesses the degree to which businesses can invest and operate in a free, open and competitive market, with policies and legal assurances that their rights and assets would be secure.</v>
      </c>
      <c r="P54" s="837" t="str">
        <f>IF(INPUTS!I54="","",INPUTS!I54)</f>
        <v xml:space="preserve">The indicator is a composite of 13 sub-indicators from two pillars from the EIU Business Environment Rankings. The two pillars are: 
-Private enterprise policy which covers aspects like protection of private property, government regulation, freedom to compete, competition policy, price controls, lobbying, state control, minority shareholders. Protection of intellectual property is not included
-Foreign investment policy which covers policies in the areas like foreign investors, openness of national culture, expropriation risk, investor protection, government favouritism
</v>
      </c>
      <c r="Q54" s="821"/>
      <c r="R54" s="821"/>
      <c r="S54" s="837" t="str">
        <f>IF(INPUTS!J54="","",INPUTS!J54)</f>
        <v>EIU</v>
      </c>
      <c r="T54" s="821"/>
      <c r="U54" s="821"/>
      <c r="V54" s="833">
        <v>4</v>
      </c>
      <c r="W54" s="837">
        <f>INPUTS!BC54</f>
        <v>2</v>
      </c>
      <c r="X54" s="838"/>
      <c r="Y54" s="837" t="s">
        <v>585</v>
      </c>
      <c r="Z54" s="837" t="str">
        <f>IF(INPUTS!K54="","",INPUTS!K54)</f>
        <v>Scale (0-100)</v>
      </c>
      <c r="AA54" s="837">
        <f>IF(INPUTS!L54="","",INPUTS!L54)</f>
        <v>2021</v>
      </c>
      <c r="AB54" s="837" t="str">
        <f>IF(INPUTS!M54="","",INPUTS!M54)</f>
        <v>Highest = best</v>
      </c>
      <c r="AC54" s="837" t="str">
        <f t="shared" ref="AC54" si="56">CHOOSE(AD54+1,"#,##0","#,##0.0","#,##0.00","#,##0.000","#,##0.0000","#,##0.00000")</f>
        <v>#,##0.0</v>
      </c>
      <c r="AD54" s="837">
        <f>IF(INPUTS!N54="","",INPUTS!N54)</f>
        <v>1</v>
      </c>
      <c r="AE54" s="837">
        <v>2</v>
      </c>
      <c r="AF54" s="837">
        <f t="shared" ref="AF54" si="57">IF(AB54="",2,IF(AB54="Highest = best",0,1))</f>
        <v>0</v>
      </c>
      <c r="AG54" s="857">
        <v>2</v>
      </c>
      <c r="AH54" s="837"/>
      <c r="AI54" s="850"/>
      <c r="AJ54" s="838">
        <v>0</v>
      </c>
      <c r="AK54" s="838">
        <v>1</v>
      </c>
      <c r="AL54" s="837" t="str">
        <f t="shared" ref="AL54" si="58">IF(H54="",I54,CONCATENATE(D54,") ",IF(G54&gt;=2,I54,UPPER(I54))))</f>
        <v>3.3.5) Business environment</v>
      </c>
      <c r="AM54" s="837" t="str">
        <f t="shared" ref="AM54" si="59">IF(H54="",J54,CONCATENATE(D54,") ",IF(G54&gt;=2,J54,UPPER(J54))))</f>
        <v>3.3.5) Business environment</v>
      </c>
      <c r="AN54" s="837" t="str">
        <f t="shared" ref="AN54" si="60">IF(H54="",K54,IF(G54=1,UPPER(K54),CONCATENATE(D54,") "&amp;K54)))</f>
        <v>3.3.5) 3.3.5</v>
      </c>
      <c r="AO54" s="837" t="str">
        <f>$AM$49</f>
        <v>3.3) Innovation ecosystem</v>
      </c>
      <c r="AP54" s="838">
        <f>MATCH($E54,Weights!$C$13:$C$106,0)</f>
        <v>78</v>
      </c>
      <c r="AQ54" s="838">
        <f>IF(ISERROR($AP54),1,INDEX(Weights!$G$13:$G$106,$AP54))</f>
        <v>4.33</v>
      </c>
      <c r="AR54" s="837">
        <f t="shared" si="39"/>
        <v>0.22400413864459393</v>
      </c>
      <c r="AS54" s="836">
        <v>1</v>
      </c>
      <c r="AT54" s="837" t="str">
        <f>IF(INPUTS!Q54="","",INPUTS!Q54)</f>
        <v/>
      </c>
      <c r="AU54" s="837" t="str">
        <f>IF(INPUTS!R54="","",INPUTS!R54)</f>
        <v/>
      </c>
      <c r="AV54" s="837" t="str">
        <f>IF(INPUTS!S54="","",INPUTS!S54)</f>
        <v/>
      </c>
      <c r="AW54" s="837" t="str">
        <f>IF(INPUTS!T54="","",INPUTS!T54)</f>
        <v/>
      </c>
      <c r="AX54" s="837" t="str">
        <f>IF(INPUTS!U54="","",INPUTS!U54)</f>
        <v/>
      </c>
      <c r="AY54" s="971"/>
      <c r="AZ54" s="867" t="str">
        <f t="shared" ref="AZ54" si="61">"Weighted: "&amp;ROUND(AR54*100,1)&amp;"%"</f>
        <v>Weighted: 22.4%</v>
      </c>
    </row>
    <row r="55" spans="1:52" ht="15" customHeight="1">
      <c r="A55" s="835">
        <f t="shared" si="3"/>
        <v>54</v>
      </c>
      <c r="B55" s="836">
        <v>0</v>
      </c>
      <c r="C55" s="836">
        <f t="shared" si="12"/>
        <v>3</v>
      </c>
      <c r="D55" s="835">
        <v>3.4</v>
      </c>
      <c r="E55" s="837" t="str">
        <f t="shared" si="40"/>
        <v>CULT3_4</v>
      </c>
      <c r="F55" s="837" t="str">
        <f>$E$38</f>
        <v>CULT</v>
      </c>
      <c r="G55" s="836">
        <v>2</v>
      </c>
      <c r="H55" s="835" t="s">
        <v>363</v>
      </c>
      <c r="I55" s="837" t="str">
        <f>IF(INPUTS!C55="","",INPUTS!C55)</f>
        <v>Public attitude and engagement</v>
      </c>
      <c r="J55" s="837" t="str">
        <f>IF(INPUTS!D55="","",INPUTS!D55)</f>
        <v>Public attitude and engagement</v>
      </c>
      <c r="K55" s="835" t="str">
        <f>IF(INPUTS!E55="","",INPUTS!E55)</f>
        <v>Public attitude and engagement</v>
      </c>
      <c r="L55" s="837" t="str">
        <f>"The category score is the weighted sum of the following indicator scores:
"&amp;AM56&amp;" ("&amp;TEXT(AZ56,"0.0")&amp;")
"&amp;AM57&amp;" ("&amp;TEXT(AZ57,"0.0")&amp;")"</f>
        <v>The category score is the weighted sum of the following indicator scores:
3.4.1) Online public comfort (Weighted: 50%)
3.4.2) E-participation on government portals (Weighted: 50%)</v>
      </c>
      <c r="M55" s="837" t="str">
        <f>IF(INPUTS!F55="","",INPUTS!F55)</f>
        <v/>
      </c>
      <c r="N55" s="831"/>
      <c r="O55" s="837" t="str">
        <f t="shared" si="5"/>
        <v>The category score is the weighted sum of the following indicator scores:
3.4.1) Online public comfort (Weighted: 50%)
3.4.2) E-participation on government portals (Weighted: 50%)</v>
      </c>
      <c r="P55" s="837" t="str">
        <f>IF(INPUTS!I55="","",INPUTS!I55)</f>
        <v/>
      </c>
      <c r="Q55" s="831"/>
      <c r="R55" s="831"/>
      <c r="S55" s="835" t="str">
        <f>IF(INPUTS!J55="","",INPUTS!J55)</f>
        <v>Economist Impact calculation</v>
      </c>
      <c r="T55" s="831"/>
      <c r="U55" s="831"/>
      <c r="V55" s="832">
        <v>4</v>
      </c>
      <c r="W55" s="837">
        <f>INPUTS!BC55</f>
        <v>1</v>
      </c>
      <c r="X55" s="836"/>
      <c r="Y55" s="835"/>
      <c r="Z55" s="837" t="str">
        <f>IF(INPUTS!K55="","",INPUTS!K55)</f>
        <v/>
      </c>
      <c r="AA55" s="837" t="str">
        <f>IF(INPUTS!L55="","",INPUTS!L55)</f>
        <v/>
      </c>
      <c r="AB55" s="531" t="s">
        <v>575</v>
      </c>
      <c r="AC55" s="835" t="str">
        <f t="shared" si="0"/>
        <v>#,##0.0</v>
      </c>
      <c r="AD55" s="837">
        <f>IF(INPUTS!N55="","",INPUTS!N55)</f>
        <v>1</v>
      </c>
      <c r="AE55" s="835">
        <v>2</v>
      </c>
      <c r="AF55" s="835">
        <f t="shared" si="1"/>
        <v>0</v>
      </c>
      <c r="AG55" s="856">
        <v>1</v>
      </c>
      <c r="AH55" s="835"/>
      <c r="AI55" s="849"/>
      <c r="AJ55" s="836">
        <v>0</v>
      </c>
      <c r="AK55" s="836">
        <v>0</v>
      </c>
      <c r="AL55" s="837" t="str">
        <f t="shared" si="15"/>
        <v>3.4) Public attitude and engagement</v>
      </c>
      <c r="AM55" s="837" t="str">
        <f t="shared" si="16"/>
        <v>3.4) Public attitude and engagement</v>
      </c>
      <c r="AN55" s="837" t="str">
        <f t="shared" si="17"/>
        <v>3.4) Public attitude and engagement</v>
      </c>
      <c r="AO55" s="837" t="str">
        <f>$AM$38</f>
        <v>3) CULTURE</v>
      </c>
      <c r="AP55" s="836">
        <f>MATCH($E55,Weights!$C$13:$C$106,0)</f>
        <v>22</v>
      </c>
      <c r="AQ55" s="836">
        <f>IF(ISERROR($AP55),1,INDEX(Weights!$G$13:$G$106,$AP55))</f>
        <v>3</v>
      </c>
      <c r="AR55" s="835">
        <f t="shared" si="39"/>
        <v>0.1875</v>
      </c>
      <c r="AS55" s="836">
        <v>1</v>
      </c>
      <c r="AT55" s="837" t="str">
        <f>IF(INPUTS!Q55="","",INPUTS!Q55)</f>
        <v/>
      </c>
      <c r="AU55" s="837" t="str">
        <f>IF(INPUTS!R55="","",INPUTS!R55)</f>
        <v/>
      </c>
      <c r="AV55" s="837" t="str">
        <f>IF(INPUTS!S55="","",INPUTS!S55)</f>
        <v/>
      </c>
      <c r="AW55" s="837" t="str">
        <f>IF(INPUTS!T55="","",INPUTS!T55)</f>
        <v/>
      </c>
      <c r="AX55" s="837" t="str">
        <f>IF(INPUTS!U55="","",INPUTS!U55)</f>
        <v/>
      </c>
      <c r="AZ55" s="867" t="str">
        <f t="shared" si="10"/>
        <v>Weighted: 18.8%</v>
      </c>
    </row>
    <row r="56" spans="1:52" ht="15" customHeight="1">
      <c r="A56" s="837">
        <f t="shared" si="3"/>
        <v>55</v>
      </c>
      <c r="B56" s="838">
        <v>0</v>
      </c>
      <c r="C56" s="838">
        <f t="shared" si="12"/>
        <v>3</v>
      </c>
      <c r="D56" s="837" t="s">
        <v>389</v>
      </c>
      <c r="E56" s="837" t="str">
        <f t="shared" si="40"/>
        <v>CULT3_4_1</v>
      </c>
      <c r="F56" s="837" t="str">
        <f>$E$55</f>
        <v>CULT3_4</v>
      </c>
      <c r="G56" s="838">
        <v>3</v>
      </c>
      <c r="H56" s="837" t="s">
        <v>754</v>
      </c>
      <c r="I56" s="837" t="str">
        <f>IF(INPUTS!C56="","",INPUTS!C56)</f>
        <v>Public comfort with sharing information online</v>
      </c>
      <c r="J56" s="837" t="str">
        <f>IF(INPUTS!D56="","",INPUTS!D56)</f>
        <v>Online public comfort</v>
      </c>
      <c r="K56" s="837" t="str">
        <f>IF(INPUTS!E56="","",INPUTS!E56)</f>
        <v>3.4.1</v>
      </c>
      <c r="L56" s="837"/>
      <c r="M56" s="837" t="str">
        <f>IF(INPUTS!F56="","",INPUTS!F56)</f>
        <v>Assesses the residents’ comfort in  sharing their financial and personal details on various digital platforms, such as ecommerce websites, e-payment apps, e-government platforms, health and wellness apps, tracking apps (navigation, location), food delivery apps, ride-sharing apps, etc, and the likelihood of cyber attacks and level of preparedness.</v>
      </c>
      <c r="N56" s="821"/>
      <c r="O56" s="837" t="str">
        <f t="shared" si="5"/>
        <v>Assesses the residents’ comfort in  sharing their financial and personal details on various digital platforms, such as ecommerce websites, e-payment apps, e-government platforms, health and wellness apps, tracking apps (navigation, location), food delivery apps, ride-sharing apps, etc, and the likelihood of cyber attacks and level of preparedness.</v>
      </c>
      <c r="P56" s="837" t="str">
        <f>IF(INPUTS!I56="","",INPUTS!I56)</f>
        <v>The score is a combination of three measures: 
1) level of public comfort in sharing information which evaluates the percentage of people who are comfortable with sharing their personal and financial details on various online platforms
2) likelihood of cyber security attacks which shows how susceptible the city is to cyber threats and attacks
3) level of cyber security preparedness which assesses how equipped the government is to handle such attacks
The score ranges between 0 to 100 where 0 means relatively high risk of cyber attacks, low preparedness and low level of public comfort, while 100 means relatively low risk of cyber attacks, high preparedness and high level of public comfort.</v>
      </c>
      <c r="Q56" s="821"/>
      <c r="R56" s="821"/>
      <c r="S56" s="837" t="str">
        <f>IF(INPUTS!J56="","",INPUTS!J56)</f>
        <v>Economist Impact survey; EIU risk briefing</v>
      </c>
      <c r="T56" s="821"/>
      <c r="U56" s="821"/>
      <c r="V56" s="833">
        <v>4</v>
      </c>
      <c r="W56" s="837">
        <f>INPUTS!BC56</f>
        <v>2</v>
      </c>
      <c r="X56" s="838"/>
      <c r="Y56" s="837" t="s">
        <v>584</v>
      </c>
      <c r="Z56" s="837" t="str">
        <f>IF(INPUTS!K56="","",INPUTS!K56)</f>
        <v>Scale (0-100)</v>
      </c>
      <c r="AA56" s="837">
        <f>IF(INPUTS!L56="","",INPUTS!L56)</f>
        <v>2021</v>
      </c>
      <c r="AB56" s="837" t="str">
        <f>IF(INPUTS!M56="","",INPUTS!M56)</f>
        <v>Highest = best</v>
      </c>
      <c r="AC56" s="837" t="str">
        <f t="shared" si="0"/>
        <v>#,##0</v>
      </c>
      <c r="AD56" s="837">
        <f>IF(INPUTS!N56="","",INPUTS!N56)</f>
        <v>0</v>
      </c>
      <c r="AE56" s="837">
        <v>2</v>
      </c>
      <c r="AF56" s="837">
        <f t="shared" si="1"/>
        <v>0</v>
      </c>
      <c r="AG56" s="857">
        <v>2</v>
      </c>
      <c r="AH56" s="837"/>
      <c r="AI56" s="850"/>
      <c r="AJ56" s="838">
        <v>0</v>
      </c>
      <c r="AK56" s="838">
        <v>0</v>
      </c>
      <c r="AL56" s="837" t="str">
        <f t="shared" si="15"/>
        <v>3.4.1) Public comfort with sharing information online</v>
      </c>
      <c r="AM56" s="837" t="str">
        <f t="shared" si="16"/>
        <v>3.4.1) Online public comfort</v>
      </c>
      <c r="AN56" s="837" t="str">
        <f t="shared" si="17"/>
        <v>3.4.1) 3.4.1</v>
      </c>
      <c r="AO56" s="837" t="str">
        <f>$AM$55</f>
        <v>3.4) Public attitude and engagement</v>
      </c>
      <c r="AP56" s="838">
        <f>MATCH($E56,Weights!$C$13:$C$106,0)</f>
        <v>80</v>
      </c>
      <c r="AQ56" s="838">
        <f>IF(ISERROR($AP56),1,INDEX(Weights!$G$13:$G$106,$AP56))</f>
        <v>4.666666666666667</v>
      </c>
      <c r="AR56" s="837">
        <f t="shared" si="39"/>
        <v>0.5</v>
      </c>
      <c r="AS56" s="836">
        <v>1</v>
      </c>
      <c r="AT56" s="837" t="str">
        <f>IF(INPUTS!Q56="","",INPUTS!Q56)</f>
        <v/>
      </c>
      <c r="AU56" s="837" t="str">
        <f>IF(INPUTS!R56="","",INPUTS!R56)</f>
        <v/>
      </c>
      <c r="AV56" s="837" t="str">
        <f>IF(INPUTS!S56="","",INPUTS!S56)</f>
        <v/>
      </c>
      <c r="AW56" s="837" t="str">
        <f>IF(INPUTS!T56="","",INPUTS!T56)</f>
        <v/>
      </c>
      <c r="AX56" s="837" t="str">
        <f>IF(INPUTS!U56="","",INPUTS!U56)</f>
        <v/>
      </c>
      <c r="AZ56" s="867" t="str">
        <f t="shared" si="10"/>
        <v>Weighted: 50%</v>
      </c>
    </row>
    <row r="57" spans="1:52" ht="15" customHeight="1">
      <c r="A57" s="837">
        <f t="shared" si="3"/>
        <v>56</v>
      </c>
      <c r="B57" s="838">
        <v>0</v>
      </c>
      <c r="C57" s="838">
        <f t="shared" si="12"/>
        <v>3</v>
      </c>
      <c r="D57" s="837" t="s">
        <v>390</v>
      </c>
      <c r="E57" s="837" t="str">
        <f t="shared" si="40"/>
        <v>CULT3_4_2</v>
      </c>
      <c r="F57" s="837" t="str">
        <f t="shared" ref="F57" si="62">$E$55</f>
        <v>CULT3_4</v>
      </c>
      <c r="G57" s="838">
        <v>3</v>
      </c>
      <c r="H57" s="837" t="s">
        <v>755</v>
      </c>
      <c r="I57" s="837" t="str">
        <f>IF(INPUTS!C57="","",INPUTS!C57)</f>
        <v>E-participation on government portals</v>
      </c>
      <c r="J57" s="837" t="str">
        <f>IF(INPUTS!D57="","",INPUTS!D57)</f>
        <v>E-participation on government portals</v>
      </c>
      <c r="K57" s="837" t="str">
        <f>IF(INPUTS!E57="","",INPUTS!E57)</f>
        <v>3.4.2</v>
      </c>
      <c r="L57" s="837"/>
      <c r="M57" s="837" t="str">
        <f>IF(INPUTS!F57="","",INPUTS!F57)</f>
        <v>Measures residents’ awareness and satisfaction with interactive e- platforms provided by the government.</v>
      </c>
      <c r="N57" s="821"/>
      <c r="O57" s="837" t="str">
        <f t="shared" si="5"/>
        <v>Measures residents’ awareness and satisfaction with interactive e- platforms provided by the government.</v>
      </c>
      <c r="P57" s="837" t="str">
        <f>IF(INPUTS!I57="","",INPUTS!I57)</f>
        <v xml:space="preserve">Percentage of people that are aware and satisfied with online services provided by the government. Online services can include grievance redressal, citizen feedback, policy consultation, e-voting, signing of an e-petition, crime reporting etc.
</v>
      </c>
      <c r="Q57" s="821"/>
      <c r="R57" s="821"/>
      <c r="S57" s="837" t="str">
        <f>IF(INPUTS!J57="","",INPUTS!J57)</f>
        <v>Economist Impact survey</v>
      </c>
      <c r="T57" s="821"/>
      <c r="U57" s="821"/>
      <c r="V57" s="833">
        <v>4</v>
      </c>
      <c r="W57" s="837">
        <f>INPUTS!BC57</f>
        <v>2</v>
      </c>
      <c r="X57" s="838"/>
      <c r="Y57" s="837" t="s">
        <v>584</v>
      </c>
      <c r="Z57" s="837" t="str">
        <f>IF(INPUTS!K57="","",INPUTS!K57)</f>
        <v>%</v>
      </c>
      <c r="AA57" s="837">
        <f>IF(INPUTS!L57="","",INPUTS!L57)</f>
        <v>2021</v>
      </c>
      <c r="AB57" s="837" t="str">
        <f>IF(INPUTS!M57="","",INPUTS!M57)</f>
        <v>Highest = best</v>
      </c>
      <c r="AC57" s="837" t="str">
        <f t="shared" si="0"/>
        <v>#,##0.0</v>
      </c>
      <c r="AD57" s="837">
        <f>IF(INPUTS!N57="","",INPUTS!N57)</f>
        <v>1</v>
      </c>
      <c r="AE57" s="837">
        <v>2</v>
      </c>
      <c r="AF57" s="837">
        <f t="shared" si="1"/>
        <v>0</v>
      </c>
      <c r="AG57" s="857">
        <v>2</v>
      </c>
      <c r="AH57" s="837"/>
      <c r="AI57" s="850"/>
      <c r="AJ57" s="838">
        <v>0</v>
      </c>
      <c r="AK57" s="838">
        <v>0</v>
      </c>
      <c r="AL57" s="837" t="str">
        <f t="shared" si="15"/>
        <v>3.4.2) E-participation on government portals</v>
      </c>
      <c r="AM57" s="837" t="str">
        <f t="shared" si="16"/>
        <v>3.4.2) E-participation on government portals</v>
      </c>
      <c r="AN57" s="837" t="str">
        <f t="shared" si="17"/>
        <v>3.4.2) 3.4.2</v>
      </c>
      <c r="AO57" s="837" t="str">
        <f>$AM$55</f>
        <v>3.4) Public attitude and engagement</v>
      </c>
      <c r="AP57" s="838">
        <f>MATCH($E57,Weights!$C$13:$C$106,0)</f>
        <v>81</v>
      </c>
      <c r="AQ57" s="838">
        <f>IF(ISERROR($AP57),1,INDEX(Weights!$G$13:$G$106,$AP57))</f>
        <v>4.666666666666667</v>
      </c>
      <c r="AR57" s="837">
        <f t="shared" si="39"/>
        <v>0.5</v>
      </c>
      <c r="AS57" s="836">
        <v>1</v>
      </c>
      <c r="AT57" s="837" t="str">
        <f>IF(INPUTS!Q57="","",INPUTS!Q57)</f>
        <v/>
      </c>
      <c r="AU57" s="837" t="str">
        <f>IF(INPUTS!R57="","",INPUTS!R57)</f>
        <v/>
      </c>
      <c r="AV57" s="837" t="str">
        <f>IF(INPUTS!S57="","",INPUTS!S57)</f>
        <v/>
      </c>
      <c r="AW57" s="837" t="str">
        <f>IF(INPUTS!T57="","",INPUTS!T57)</f>
        <v/>
      </c>
      <c r="AX57" s="837" t="str">
        <f>IF(INPUTS!U57="","",INPUTS!U57)</f>
        <v/>
      </c>
      <c r="AZ57" s="867" t="str">
        <f t="shared" si="10"/>
        <v>Weighted: 50%</v>
      </c>
    </row>
    <row r="58" spans="1:52" ht="15" customHeight="1">
      <c r="A58" s="837">
        <f t="shared" si="3"/>
        <v>57</v>
      </c>
      <c r="B58" s="838">
        <v>0</v>
      </c>
      <c r="C58" s="838">
        <f t="shared" si="12"/>
        <v>4</v>
      </c>
      <c r="D58" s="837">
        <v>4</v>
      </c>
      <c r="E58" s="837" t="s">
        <v>518</v>
      </c>
      <c r="F58" s="835" t="str">
        <f>$E$2</f>
        <v>OVERALL</v>
      </c>
      <c r="G58" s="838">
        <v>1</v>
      </c>
      <c r="H58" s="837">
        <v>4</v>
      </c>
      <c r="I58" s="837" t="str">
        <f>IF(INPUTS!C58="","",INPUTS!C58)</f>
        <v>Sustainability</v>
      </c>
      <c r="J58" s="837" t="str">
        <f>IF(INPUTS!D58="","",INPUTS!D58)</f>
        <v>Sustainability</v>
      </c>
      <c r="K58" s="837" t="str">
        <f>IF(INPUTS!E58="","",INPUTS!E58)</f>
        <v>Sustainability</v>
      </c>
      <c r="L58" s="837" t="str">
        <f>"The domain score is the weighted sum of the following category scores:
"&amp;AM59&amp;" ("&amp;TEXT(AZ59,"0.0")&amp;")
"&amp;AM63&amp;" ("&amp;TEXT(AZ63,"0.0")&amp;")
"&amp;AM67&amp;" ("&amp;TEXT(AZ67,"0.0")&amp;")
"&amp;AM69&amp;" ("&amp;TEXT(AZ69,"0.0")&amp;")"</f>
        <v>The domain score is the weighted sum of the following category scores:
4.1) Efficient resource management (Weighted: 27.8%)
4.2) Emissions reduction (Weighted: 27.8%)
4.3) Pollution (Weighted: 22.2%)
4.4) Circular economy (Weighted: 22.2%)</v>
      </c>
      <c r="M58" s="837" t="str">
        <f>IF(INPUTS!F58="","",INPUTS!F58)</f>
        <v/>
      </c>
      <c r="N58" s="821"/>
      <c r="O58" s="837" t="str">
        <f t="shared" si="5"/>
        <v>The domain score is the weighted sum of the following category scores:
4.1) Efficient resource management (Weighted: 27.8%)
4.2) Emissions reduction (Weighted: 27.8%)
4.3) Pollution (Weighted: 22.2%)
4.4) Circular economy (Weighted: 22.2%)</v>
      </c>
      <c r="P58" s="837" t="str">
        <f>IF(INPUTS!I58="","",INPUTS!I58)</f>
        <v/>
      </c>
      <c r="Q58" s="821"/>
      <c r="R58" s="821"/>
      <c r="S58" s="837" t="str">
        <f>IF(INPUTS!J58="","",INPUTS!J58)</f>
        <v>Economist Impact calculation</v>
      </c>
      <c r="T58" s="821"/>
      <c r="U58" s="821"/>
      <c r="V58" s="833">
        <v>4</v>
      </c>
      <c r="W58" s="837">
        <f>INPUTS!BC58</f>
        <v>1</v>
      </c>
      <c r="X58" s="838"/>
      <c r="Y58" s="837"/>
      <c r="Z58" s="837" t="str">
        <f>IF(INPUTS!K58="","",INPUTS!K58)</f>
        <v/>
      </c>
      <c r="AA58" s="837" t="str">
        <f>IF(INPUTS!L58="","",INPUTS!L58)</f>
        <v/>
      </c>
      <c r="AB58" s="531" t="s">
        <v>575</v>
      </c>
      <c r="AC58" s="837" t="str">
        <f t="shared" si="0"/>
        <v>#,##0.0</v>
      </c>
      <c r="AD58" s="837">
        <f>IF(INPUTS!N58="","",INPUTS!N58)</f>
        <v>1</v>
      </c>
      <c r="AE58" s="837">
        <v>2</v>
      </c>
      <c r="AF58" s="837">
        <f t="shared" si="1"/>
        <v>0</v>
      </c>
      <c r="AG58" s="857">
        <v>1</v>
      </c>
      <c r="AH58" s="837"/>
      <c r="AI58" s="850"/>
      <c r="AJ58" s="838">
        <v>0</v>
      </c>
      <c r="AK58" s="838">
        <v>0</v>
      </c>
      <c r="AL58" s="835" t="str">
        <f t="shared" si="15"/>
        <v>4) SUSTAINABILITY</v>
      </c>
      <c r="AM58" s="835" t="str">
        <f t="shared" si="16"/>
        <v>4) SUSTAINABILITY</v>
      </c>
      <c r="AN58" s="835" t="str">
        <f t="shared" si="17"/>
        <v>SUSTAINABILITY</v>
      </c>
      <c r="AO58" s="835" t="str">
        <f>$AM$2</f>
        <v>OVERALL SCORE</v>
      </c>
      <c r="AP58" s="838">
        <f>MATCH($E58,Weights!$C$13:$C$106,0)</f>
        <v>4</v>
      </c>
      <c r="AQ58" s="838">
        <f>IF(ISERROR($AP58),1,INDEX(Weights!$G$13:$G$106,$AP58))</f>
        <v>21</v>
      </c>
      <c r="AR58" s="837">
        <f t="shared" si="39"/>
        <v>0.21</v>
      </c>
      <c r="AS58" s="836">
        <v>1</v>
      </c>
      <c r="AT58" s="837" t="str">
        <f>IF(INPUTS!Q58="","",INPUTS!Q58)</f>
        <v/>
      </c>
      <c r="AU58" s="837" t="str">
        <f>IF(INPUTS!R58="","",INPUTS!R58)</f>
        <v/>
      </c>
      <c r="AV58" s="837" t="str">
        <f>IF(INPUTS!S58="","",INPUTS!S58)</f>
        <v/>
      </c>
      <c r="AW58" s="837" t="str">
        <f>IF(INPUTS!T58="","",INPUTS!T58)</f>
        <v/>
      </c>
      <c r="AX58" s="837" t="str">
        <f>IF(INPUTS!U58="","",INPUTS!U58)</f>
        <v/>
      </c>
      <c r="AZ58" s="867" t="str">
        <f t="shared" si="10"/>
        <v>Weighted: 21%</v>
      </c>
    </row>
    <row r="59" spans="1:52" s="843" customFormat="1" ht="15" customHeight="1">
      <c r="A59" s="837">
        <f t="shared" si="3"/>
        <v>58</v>
      </c>
      <c r="B59" s="838">
        <v>0</v>
      </c>
      <c r="C59" s="838">
        <f t="shared" si="12"/>
        <v>4</v>
      </c>
      <c r="D59" s="837">
        <v>4.0999999999999996</v>
      </c>
      <c r="E59" s="837" t="str">
        <f>$E$58&amp;H59</f>
        <v>SUST4_1</v>
      </c>
      <c r="F59" s="837" t="str">
        <f>$E$58</f>
        <v>SUST</v>
      </c>
      <c r="G59" s="838">
        <v>2</v>
      </c>
      <c r="H59" s="837" t="s">
        <v>756</v>
      </c>
      <c r="I59" s="837" t="str">
        <f>IF(INPUTS!C59="","",INPUTS!C59)</f>
        <v>Efficient resource management</v>
      </c>
      <c r="J59" s="837" t="str">
        <f>IF(INPUTS!D59="","",INPUTS!D59)</f>
        <v>Efficient resource management</v>
      </c>
      <c r="K59" s="837" t="str">
        <f>IF(INPUTS!E59="","",INPUTS!E59)</f>
        <v>Efficient resource management</v>
      </c>
      <c r="L59" s="837" t="str">
        <f>"The category score is the weighted sum of the following indicator scores:
"&amp;AM60&amp;" ("&amp;TEXT(AZ60,"0.0")&amp;")
"&amp;AM61&amp;" ("&amp;TEXT(AZ61,"0.0")&amp;")
"&amp;AM62&amp;" ("&amp;TEXT(AZ62,"0.0")&amp;")"</f>
        <v>The category score is the weighted sum of the following indicator scores:
4.1.1) Smart utility management (Weighted: 50%)
4.1.2) Smart urban agriculture (Weighted: 21.1%)
4.1.3) Smart construction (Weighted: 29%)</v>
      </c>
      <c r="M59" s="837" t="str">
        <f>IF(INPUTS!F59="","",INPUTS!F59)</f>
        <v/>
      </c>
      <c r="N59" s="841"/>
      <c r="O59" s="837" t="str">
        <f t="shared" si="5"/>
        <v>The category score is the weighted sum of the following indicator scores:
4.1.1) Smart utility management (Weighted: 50%)
4.1.2) Smart urban agriculture (Weighted: 21.1%)
4.1.3) Smart construction (Weighted: 29%)</v>
      </c>
      <c r="P59" s="837" t="str">
        <f>IF(INPUTS!I59="","",INPUTS!I59)</f>
        <v/>
      </c>
      <c r="Q59" s="841"/>
      <c r="R59" s="841"/>
      <c r="S59" s="837" t="str">
        <f>IF(INPUTS!J59="","",INPUTS!J59)</f>
        <v>Economist Impact calculation</v>
      </c>
      <c r="T59" s="841"/>
      <c r="U59" s="841"/>
      <c r="V59" s="842">
        <v>4</v>
      </c>
      <c r="W59" s="837">
        <f>INPUTS!BC59</f>
        <v>1</v>
      </c>
      <c r="X59" s="838"/>
      <c r="Y59" s="837"/>
      <c r="Z59" s="837" t="str">
        <f>IF(INPUTS!K59="","",INPUTS!K59)</f>
        <v/>
      </c>
      <c r="AA59" s="837" t="str">
        <f>IF(INPUTS!L59="","",INPUTS!L59)</f>
        <v/>
      </c>
      <c r="AB59" s="531" t="s">
        <v>575</v>
      </c>
      <c r="AC59" s="837" t="str">
        <f t="shared" si="0"/>
        <v>#,##0.0</v>
      </c>
      <c r="AD59" s="837">
        <f>IF(INPUTS!N59="","",INPUTS!N59)</f>
        <v>1</v>
      </c>
      <c r="AE59" s="837">
        <v>2</v>
      </c>
      <c r="AF59" s="837">
        <f t="shared" si="1"/>
        <v>0</v>
      </c>
      <c r="AG59" s="857">
        <v>1</v>
      </c>
      <c r="AH59" s="837"/>
      <c r="AI59" s="850"/>
      <c r="AJ59" s="838">
        <v>0</v>
      </c>
      <c r="AK59" s="838">
        <v>0</v>
      </c>
      <c r="AL59" s="837" t="str">
        <f t="shared" si="15"/>
        <v>4.1) Efficient resource management</v>
      </c>
      <c r="AM59" s="837" t="str">
        <f t="shared" si="16"/>
        <v>4.1) Efficient resource management</v>
      </c>
      <c r="AN59" s="837" t="str">
        <f t="shared" si="17"/>
        <v>4.1) Efficient resource management</v>
      </c>
      <c r="AO59" s="837" t="str">
        <f>$AM$58</f>
        <v>4) SUSTAINABILITY</v>
      </c>
      <c r="AP59" s="838">
        <f>MATCH($E59,Weights!$C$13:$C$106,0)</f>
        <v>24</v>
      </c>
      <c r="AQ59" s="838">
        <f>IF(ISERROR($AP59),1,INDEX(Weights!$G$13:$G$106,$AP59))</f>
        <v>5</v>
      </c>
      <c r="AR59" s="837">
        <f t="shared" si="39"/>
        <v>0.27777777777777779</v>
      </c>
      <c r="AS59" s="836">
        <v>1</v>
      </c>
      <c r="AT59" s="837" t="str">
        <f>IF(INPUTS!Q59="","",INPUTS!Q59)</f>
        <v/>
      </c>
      <c r="AU59" s="837" t="str">
        <f>IF(INPUTS!R59="","",INPUTS!R59)</f>
        <v/>
      </c>
      <c r="AV59" s="837" t="str">
        <f>IF(INPUTS!S59="","",INPUTS!S59)</f>
        <v/>
      </c>
      <c r="AW59" s="837" t="str">
        <f>IF(INPUTS!T59="","",INPUTS!T59)</f>
        <v/>
      </c>
      <c r="AX59" s="837" t="str">
        <f>IF(INPUTS!U59="","",INPUTS!U59)</f>
        <v/>
      </c>
      <c r="AY59" s="973"/>
      <c r="AZ59" s="867" t="str">
        <f t="shared" si="10"/>
        <v>Weighted: 27.8%</v>
      </c>
    </row>
    <row r="60" spans="1:52" s="843" customFormat="1" ht="15" customHeight="1">
      <c r="A60" s="837">
        <f t="shared" si="3"/>
        <v>59</v>
      </c>
      <c r="B60" s="838">
        <v>0</v>
      </c>
      <c r="C60" s="838">
        <f t="shared" si="12"/>
        <v>4</v>
      </c>
      <c r="D60" s="837" t="s">
        <v>732</v>
      </c>
      <c r="E60" s="837" t="str">
        <f t="shared" ref="E60:E71" si="63">$E$58&amp;H60</f>
        <v>SUST4_1_1</v>
      </c>
      <c r="F60" s="837" t="str">
        <f>$E$59</f>
        <v>SUST4_1</v>
      </c>
      <c r="G60" s="838">
        <v>3</v>
      </c>
      <c r="H60" s="837" t="s">
        <v>757</v>
      </c>
      <c r="I60" s="837" t="str">
        <f>IF(INPUTS!C60="","",INPUTS!C60)</f>
        <v>Smart utility management</v>
      </c>
      <c r="J60" s="837" t="str">
        <f>IF(INPUTS!D60="","",INPUTS!D60)</f>
        <v>Smart utility management</v>
      </c>
      <c r="K60" s="837" t="str">
        <f>IF(INPUTS!E60="","",INPUTS!E60)</f>
        <v>4.1.1</v>
      </c>
      <c r="L60" s="837"/>
      <c r="M60" s="837" t="str">
        <f>IF(INPUTS!F60="","",INPUTS!F60)</f>
        <v xml:space="preserve">Digital technologies like IoT and AI are being used to improve utility management. Cities are assessed on their use of such technologies in managing water, electricity and waste efficiently. </v>
      </c>
      <c r="N60" s="821"/>
      <c r="O60" s="837" t="str">
        <f t="shared" si="5"/>
        <v xml:space="preserve">Digital technologies like IoT and AI are being used to improve utility management. Cities are assessed on their use of such technologies in managing water, electricity and waste efficiently. </v>
      </c>
      <c r="P60" s="837" t="str">
        <f>IF(INPUTS!I60="","",INPUTS!I60)</f>
        <v>Does the city have smart monitoring and management of utility services?
1 point awarded for the smart management of each service:
-electricity: smart electricity meters in households that allow data to be collected and analysed remotely
-water: smart water meters in households that allow data to be collected and analysed remotely
-street lighting: IoT enabled street lighting with sensors (switch off when road not in use) or provide WIFI connectivity
-waste management: installation of smart bins or use of digital technologies such as AI enabled waste robots in sorting/dismantling of waste</v>
      </c>
      <c r="Q60" s="821"/>
      <c r="R60" s="821"/>
      <c r="S60" s="837" t="str">
        <f>IF(INPUTS!J60="","",INPUTS!J60)</f>
        <v>Qualitative scoring by Economist Impact analysts</v>
      </c>
      <c r="T60" s="821"/>
      <c r="U60" s="821"/>
      <c r="V60" s="833">
        <v>4</v>
      </c>
      <c r="W60" s="837">
        <f>INPUTS!BC60</f>
        <v>2</v>
      </c>
      <c r="X60" s="838"/>
      <c r="Y60" s="837" t="s">
        <v>809</v>
      </c>
      <c r="Z60" s="837" t="str">
        <f>IF(INPUTS!K60="","",INPUTS!K60)</f>
        <v>Scale (0-4)</v>
      </c>
      <c r="AA60" s="837">
        <f>IF(INPUTS!L60="","",INPUTS!L60)</f>
        <v>2021</v>
      </c>
      <c r="AB60" s="837" t="str">
        <f>IF(INPUTS!M60="","",INPUTS!M60)</f>
        <v>Highest = best</v>
      </c>
      <c r="AC60" s="837" t="str">
        <f t="shared" si="0"/>
        <v>#,##0</v>
      </c>
      <c r="AD60" s="837">
        <f>IF(INPUTS!N60="","",INPUTS!N60)</f>
        <v>0</v>
      </c>
      <c r="AE60" s="837">
        <v>2</v>
      </c>
      <c r="AF60" s="837">
        <f t="shared" si="1"/>
        <v>0</v>
      </c>
      <c r="AG60" s="857">
        <v>3</v>
      </c>
      <c r="AH60" s="837">
        <v>0</v>
      </c>
      <c r="AI60" s="850">
        <v>4</v>
      </c>
      <c r="AJ60" s="838">
        <v>0</v>
      </c>
      <c r="AK60" s="838">
        <v>0</v>
      </c>
      <c r="AL60" s="837" t="str">
        <f t="shared" si="15"/>
        <v>4.1.1) Smart utility management</v>
      </c>
      <c r="AM60" s="837" t="str">
        <f t="shared" si="16"/>
        <v>4.1.1) Smart utility management</v>
      </c>
      <c r="AN60" s="837" t="str">
        <f t="shared" si="17"/>
        <v>4.1.1) 4.1.1</v>
      </c>
      <c r="AO60" s="837" t="str">
        <f>$AM$59</f>
        <v>4.1) Efficient resource management</v>
      </c>
      <c r="AP60" s="838">
        <f>MATCH($E60,Weights!$C$13:$C$106,0)</f>
        <v>83</v>
      </c>
      <c r="AQ60" s="838">
        <f>IF(ISERROR($AP60),1,INDEX(Weights!$G$13:$G$106,$AP60))</f>
        <v>6.33</v>
      </c>
      <c r="AR60" s="837">
        <f t="shared" si="39"/>
        <v>0.49986838641747833</v>
      </c>
      <c r="AS60" s="836">
        <v>1</v>
      </c>
      <c r="AT60" s="837" t="str">
        <f>IF(INPUTS!Q60="","",INPUTS!Q60)</f>
        <v/>
      </c>
      <c r="AU60" s="837" t="str">
        <f>IF(INPUTS!R60="","",INPUTS!R60)</f>
        <v/>
      </c>
      <c r="AV60" s="837" t="str">
        <f>IF(INPUTS!S60="","",INPUTS!S60)</f>
        <v/>
      </c>
      <c r="AW60" s="837" t="str">
        <f>IF(INPUTS!T60="","",INPUTS!T60)</f>
        <v/>
      </c>
      <c r="AX60" s="837" t="str">
        <f>IF(INPUTS!U60="","",INPUTS!U60)</f>
        <v/>
      </c>
      <c r="AY60" s="973"/>
      <c r="AZ60" s="867" t="str">
        <f t="shared" si="10"/>
        <v>Weighted: 50%</v>
      </c>
    </row>
    <row r="61" spans="1:52" s="843" customFormat="1" ht="15" customHeight="1">
      <c r="A61" s="837">
        <f t="shared" si="3"/>
        <v>60</v>
      </c>
      <c r="B61" s="838">
        <v>0</v>
      </c>
      <c r="C61" s="838">
        <f t="shared" si="12"/>
        <v>4</v>
      </c>
      <c r="D61" s="837" t="s">
        <v>733</v>
      </c>
      <c r="E61" s="837" t="str">
        <f t="shared" si="63"/>
        <v>SUST4_1_2</v>
      </c>
      <c r="F61" s="837" t="str">
        <f>$E$59</f>
        <v>SUST4_1</v>
      </c>
      <c r="G61" s="838">
        <v>3</v>
      </c>
      <c r="H61" s="837" t="s">
        <v>758</v>
      </c>
      <c r="I61" s="837" t="str">
        <f>IF(INPUTS!C61="","",INPUTS!C61)</f>
        <v>Smart urban agriculture</v>
      </c>
      <c r="J61" s="837" t="str">
        <f>IF(INPUTS!D61="","",INPUTS!D61)</f>
        <v>Smart urban agriculture</v>
      </c>
      <c r="K61" s="837" t="str">
        <f>IF(INPUTS!E61="","",INPUTS!E61)</f>
        <v>4.1.2</v>
      </c>
      <c r="L61" s="837"/>
      <c r="M61" s="837" t="str">
        <f>IF(INPUTS!F61="","",INPUTS!F61)</f>
        <v>Smart urban agriculture refers to the use of digital technologies in farming activities within the city. This could include the use of drones in vertical farming, use of IoT for light and heat controlling in indoor farming, use of sensors and tracking devices in dispensing water to crops. The indicator assesses if the city has employed such digital technologies that would make their agricultural activities smarter, sustainable and more efficient.</v>
      </c>
      <c r="N61" s="821"/>
      <c r="O61" s="837" t="str">
        <f t="shared" si="5"/>
        <v>Smart urban agriculture refers to the use of digital technologies in farming activities within the city. This could include the use of drones in vertical farming, use of IoT for light and heat controlling in indoor farming, use of sensors and tracking devices in dispensing water to crops. The indicator assesses if the city has employed such digital technologies that would make their agricultural activities smarter, sustainable and more efficient.</v>
      </c>
      <c r="P61" s="837" t="str">
        <f>IF(INPUTS!I61="","",INPUTS!I61)</f>
        <v>Does the city use digital technologies in urban agriculture? 
 0- No evidence
 1- Yes</v>
      </c>
      <c r="Q61" s="821"/>
      <c r="R61" s="821"/>
      <c r="S61" s="837" t="str">
        <f>IF(INPUTS!J61="","",INPUTS!J61)</f>
        <v>Qualitative scoring by Economist Impact analysts</v>
      </c>
      <c r="T61" s="821"/>
      <c r="U61" s="821"/>
      <c r="V61" s="833">
        <v>4</v>
      </c>
      <c r="W61" s="837">
        <f>INPUTS!BC61</f>
        <v>2</v>
      </c>
      <c r="X61" s="838"/>
      <c r="Y61" s="837" t="s">
        <v>809</v>
      </c>
      <c r="Z61" s="837" t="str">
        <f>IF(INPUTS!K61="","",INPUTS!K61)</f>
        <v>Scale (0-1)</v>
      </c>
      <c r="AA61" s="837">
        <f>IF(INPUTS!L61="","",INPUTS!L61)</f>
        <v>2021</v>
      </c>
      <c r="AB61" s="837" t="str">
        <f>IF(INPUTS!M61="","",INPUTS!M61)</f>
        <v>Highest = best</v>
      </c>
      <c r="AC61" s="837" t="str">
        <f t="shared" si="0"/>
        <v>#,##0</v>
      </c>
      <c r="AD61" s="837">
        <f>IF(INPUTS!N61="","",INPUTS!N61)</f>
        <v>0</v>
      </c>
      <c r="AE61" s="837">
        <v>2</v>
      </c>
      <c r="AF61" s="837">
        <f t="shared" si="1"/>
        <v>0</v>
      </c>
      <c r="AG61" s="857">
        <v>3</v>
      </c>
      <c r="AH61" s="837">
        <v>0</v>
      </c>
      <c r="AI61" s="850">
        <v>1</v>
      </c>
      <c r="AJ61" s="838">
        <v>0</v>
      </c>
      <c r="AK61" s="838">
        <v>0</v>
      </c>
      <c r="AL61" s="837" t="str">
        <f t="shared" si="15"/>
        <v>4.1.2) Smart urban agriculture</v>
      </c>
      <c r="AM61" s="837" t="str">
        <f t="shared" si="16"/>
        <v>4.1.2) Smart urban agriculture</v>
      </c>
      <c r="AN61" s="837" t="str">
        <f t="shared" si="17"/>
        <v>4.1.2) 4.1.2</v>
      </c>
      <c r="AO61" s="837" t="str">
        <f>$AM$59</f>
        <v>4.1) Efficient resource management</v>
      </c>
      <c r="AP61" s="838">
        <f>MATCH($E61,Weights!$C$13:$C$106,0)</f>
        <v>84</v>
      </c>
      <c r="AQ61" s="838">
        <f>IF(ISERROR($AP61),1,INDEX(Weights!$G$13:$G$106,$AP61))</f>
        <v>2.6666666666666665</v>
      </c>
      <c r="AR61" s="837">
        <f t="shared" si="39"/>
        <v>0.21058173203474601</v>
      </c>
      <c r="AS61" s="836">
        <v>2</v>
      </c>
      <c r="AT61" s="837" t="str">
        <f>IF(INPUTS!Q61="","",INPUTS!Q61)</f>
        <v>Yes</v>
      </c>
      <c r="AU61" s="837" t="str">
        <f>IF(INPUTS!R61="","",INPUTS!R61)</f>
        <v>No</v>
      </c>
      <c r="AV61" s="837" t="str">
        <f>IF(INPUTS!S61="","",INPUTS!S61)</f>
        <v/>
      </c>
      <c r="AW61" s="837" t="str">
        <f>IF(INPUTS!T61="","",INPUTS!T61)</f>
        <v/>
      </c>
      <c r="AX61" s="837" t="str">
        <f>IF(INPUTS!U61="","",INPUTS!U61)</f>
        <v/>
      </c>
      <c r="AY61" s="973"/>
      <c r="AZ61" s="867" t="str">
        <f t="shared" si="10"/>
        <v>Weighted: 21.1%</v>
      </c>
    </row>
    <row r="62" spans="1:52" s="843" customFormat="1" ht="15" customHeight="1">
      <c r="A62" s="837">
        <f t="shared" si="3"/>
        <v>61</v>
      </c>
      <c r="B62" s="838">
        <v>0</v>
      </c>
      <c r="C62" s="838">
        <f t="shared" si="12"/>
        <v>4</v>
      </c>
      <c r="D62" s="837" t="s">
        <v>734</v>
      </c>
      <c r="E62" s="837" t="str">
        <f t="shared" si="63"/>
        <v>SUST4_1_3</v>
      </c>
      <c r="F62" s="837" t="str">
        <f>$E$59</f>
        <v>SUST4_1</v>
      </c>
      <c r="G62" s="838">
        <v>3</v>
      </c>
      <c r="H62" s="837" t="s">
        <v>759</v>
      </c>
      <c r="I62" s="837" t="str">
        <f>IF(INPUTS!C62="","",INPUTS!C62)</f>
        <v>Smart construction</v>
      </c>
      <c r="J62" s="837" t="str">
        <f>IF(INPUTS!D62="","",INPUTS!D62)</f>
        <v>Smart construction</v>
      </c>
      <c r="K62" s="837" t="str">
        <f>IF(INPUTS!E62="","",INPUTS!E62)</f>
        <v>4.1.3</v>
      </c>
      <c r="L62" s="837"/>
      <c r="M62" s="837" t="str">
        <f>IF(INPUTS!F62="","",INPUTS!F62)</f>
        <v xml:space="preserve">Smart construction refers to the use of digital technologies in construction activities in the city to make construction smarter and more efficient. </v>
      </c>
      <c r="N62" s="821"/>
      <c r="O62" s="837" t="str">
        <f t="shared" si="5"/>
        <v xml:space="preserve">Smart construction refers to the use of digital technologies in construction activities in the city to make construction smarter and more efficient. </v>
      </c>
      <c r="P62" s="837" t="str">
        <f>IF(INPUTS!I62="","",INPUTS!I62)</f>
        <v>Does the city use emerging technologies like AI, robotics, IoT, digital twin technology, in construction?
 0- No evidence
 1- Yes</v>
      </c>
      <c r="Q62" s="821"/>
      <c r="R62" s="821"/>
      <c r="S62" s="837" t="str">
        <f>IF(INPUTS!J62="","",INPUTS!J62)</f>
        <v>Qualitative scoring by Economist Impact analysts</v>
      </c>
      <c r="T62" s="821"/>
      <c r="U62" s="821"/>
      <c r="V62" s="833">
        <v>4</v>
      </c>
      <c r="W62" s="837">
        <f>INPUTS!BC62</f>
        <v>2</v>
      </c>
      <c r="X62" s="838"/>
      <c r="Y62" s="837" t="s">
        <v>584</v>
      </c>
      <c r="Z62" s="837" t="str">
        <f>IF(INPUTS!K62="","",INPUTS!K62)</f>
        <v>Scale (0-1)</v>
      </c>
      <c r="AA62" s="837">
        <f>IF(INPUTS!L62="","",INPUTS!L62)</f>
        <v>2021</v>
      </c>
      <c r="AB62" s="837" t="str">
        <f>IF(INPUTS!M62="","",INPUTS!M62)</f>
        <v>Highest = best</v>
      </c>
      <c r="AC62" s="837" t="str">
        <f t="shared" si="0"/>
        <v>#,##0</v>
      </c>
      <c r="AD62" s="837">
        <f>IF(INPUTS!N62="","",INPUTS!N62)</f>
        <v>0</v>
      </c>
      <c r="AE62" s="837">
        <v>2</v>
      </c>
      <c r="AF62" s="837">
        <f t="shared" si="1"/>
        <v>0</v>
      </c>
      <c r="AG62" s="857">
        <v>3</v>
      </c>
      <c r="AH62" s="837">
        <v>0</v>
      </c>
      <c r="AI62" s="850">
        <v>1</v>
      </c>
      <c r="AJ62" s="838">
        <v>0</v>
      </c>
      <c r="AK62" s="838">
        <v>0</v>
      </c>
      <c r="AL62" s="837" t="str">
        <f t="shared" si="15"/>
        <v>4.1.3) Smart construction</v>
      </c>
      <c r="AM62" s="837" t="str">
        <f t="shared" si="16"/>
        <v>4.1.3) Smart construction</v>
      </c>
      <c r="AN62" s="837" t="str">
        <f t="shared" si="17"/>
        <v>4.1.3) 4.1.3</v>
      </c>
      <c r="AO62" s="837" t="str">
        <f>$AM$59</f>
        <v>4.1) Efficient resource management</v>
      </c>
      <c r="AP62" s="838">
        <f>MATCH($E62,Weights!$C$13:$C$106,0)</f>
        <v>85</v>
      </c>
      <c r="AQ62" s="838">
        <f>IF(ISERROR($AP62),1,INDEX(Weights!$G$13:$G$106,$AP62))</f>
        <v>3.6666666666666665</v>
      </c>
      <c r="AR62" s="837">
        <f t="shared" si="39"/>
        <v>0.28954988154777572</v>
      </c>
      <c r="AS62" s="836">
        <v>2</v>
      </c>
      <c r="AT62" s="837" t="str">
        <f>IF(INPUTS!Q62="","",INPUTS!Q62)</f>
        <v>Yes</v>
      </c>
      <c r="AU62" s="837" t="str">
        <f>IF(INPUTS!R62="","",INPUTS!R62)</f>
        <v>No</v>
      </c>
      <c r="AV62" s="837" t="str">
        <f>IF(INPUTS!S62="","",INPUTS!S62)</f>
        <v/>
      </c>
      <c r="AW62" s="837" t="str">
        <f>IF(INPUTS!T62="","",INPUTS!T62)</f>
        <v/>
      </c>
      <c r="AX62" s="837" t="str">
        <f>IF(INPUTS!U62="","",INPUTS!U62)</f>
        <v/>
      </c>
      <c r="AY62" s="973"/>
      <c r="AZ62" s="867" t="str">
        <f t="shared" si="10"/>
        <v>Weighted: 29%</v>
      </c>
    </row>
    <row r="63" spans="1:52" s="843" customFormat="1" ht="15" customHeight="1">
      <c r="A63" s="839">
        <f t="shared" si="3"/>
        <v>62</v>
      </c>
      <c r="B63" s="840">
        <v>0</v>
      </c>
      <c r="C63" s="840">
        <f t="shared" ref="C63:C64" si="64">IFERROR(VALUE(LEFT(D63,1)),LEFT(D63,1))</f>
        <v>4</v>
      </c>
      <c r="D63" s="839">
        <v>4.2</v>
      </c>
      <c r="E63" s="837" t="str">
        <f t="shared" si="63"/>
        <v>SUST4_2</v>
      </c>
      <c r="F63" s="837" t="str">
        <f>$E$58</f>
        <v>SUST</v>
      </c>
      <c r="G63" s="840">
        <v>2</v>
      </c>
      <c r="H63" s="839" t="s">
        <v>760</v>
      </c>
      <c r="I63" s="839" t="str">
        <f>IF(INPUTS!C63="","",INPUTS!C63)</f>
        <v>Emissions reduction</v>
      </c>
      <c r="J63" s="837" t="str">
        <f>IF(INPUTS!D63="","",INPUTS!D63)</f>
        <v>Emissions reduction</v>
      </c>
      <c r="K63" s="839" t="str">
        <f>IF(INPUTS!E63="","",INPUTS!E63)</f>
        <v>Emissions reduction</v>
      </c>
      <c r="L63" s="837" t="str">
        <f>"The category score is the weighted sum of the following indicator scores:
"&amp;AM64&amp;" ("&amp;TEXT(AZ64,"0.0")&amp;")
"&amp;AM65&amp;" ("&amp;TEXT(AZ65,"0.0")&amp;")
"&amp;AM66&amp;" ("&amp;TEXT(AZ66,"0.0")&amp;")"</f>
        <v>The category score is the weighted sum of the following indicator scores:
4.2.1) Net-zero emission (Weighted: 32.4%)
4.2.2) Traffic management  (Weighted: 37.8%)
4.2.3) Support for autonomous vehicles (Weighted: 29.7%)</v>
      </c>
      <c r="M63" s="839" t="str">
        <f>IF(INPUTS!F63="","",INPUTS!F63)</f>
        <v/>
      </c>
      <c r="N63" s="820"/>
      <c r="O63" s="839" t="str">
        <f t="shared" si="5"/>
        <v>The category score is the weighted sum of the following indicator scores:
4.2.1) Net-zero emission (Weighted: 32.4%)
4.2.2) Traffic management  (Weighted: 37.8%)
4.2.3) Support for autonomous vehicles (Weighted: 29.7%)</v>
      </c>
      <c r="P63" s="839" t="str">
        <f>IF(INPUTS!I63="","",INPUTS!I63)</f>
        <v/>
      </c>
      <c r="Q63" s="820"/>
      <c r="R63" s="820"/>
      <c r="S63" s="839" t="str">
        <f>IF(INPUTS!J63="","",INPUTS!J63)</f>
        <v>Economist Impact calculation</v>
      </c>
      <c r="T63" s="820"/>
      <c r="U63" s="820"/>
      <c r="V63" s="834">
        <v>4</v>
      </c>
      <c r="W63" s="837">
        <f>INPUTS!BC63</f>
        <v>2</v>
      </c>
      <c r="X63" s="840"/>
      <c r="Y63" s="839"/>
      <c r="Z63" s="837" t="str">
        <f>IF(INPUTS!K63="","",INPUTS!K63)</f>
        <v/>
      </c>
      <c r="AA63" s="837" t="str">
        <f>IF(INPUTS!L63="","",INPUTS!L63)</f>
        <v/>
      </c>
      <c r="AB63" s="531" t="s">
        <v>575</v>
      </c>
      <c r="AC63" s="839" t="str">
        <f t="shared" si="0"/>
        <v>#,##0.0</v>
      </c>
      <c r="AD63" s="837">
        <f>IF(INPUTS!N63="","",INPUTS!N63)</f>
        <v>1</v>
      </c>
      <c r="AE63" s="839">
        <v>2</v>
      </c>
      <c r="AF63" s="839">
        <f t="shared" si="1"/>
        <v>0</v>
      </c>
      <c r="AG63" s="858">
        <v>1</v>
      </c>
      <c r="AH63" s="839"/>
      <c r="AI63" s="851"/>
      <c r="AJ63" s="840">
        <v>0</v>
      </c>
      <c r="AK63" s="840">
        <v>0</v>
      </c>
      <c r="AL63" s="837" t="str">
        <f t="shared" ref="AL63:AL65" si="65">IF(H63="",I63,CONCATENATE(D63,") ",IF(G63&gt;=2,I63,UPPER(I63))))</f>
        <v>4.2) Emissions reduction</v>
      </c>
      <c r="AM63" s="837" t="str">
        <f t="shared" ref="AM63:AM65" si="66">IF(H63="",J63,CONCATENATE(D63,") ",IF(G63&gt;=2,J63,UPPER(J63))))</f>
        <v>4.2) Emissions reduction</v>
      </c>
      <c r="AN63" s="837" t="str">
        <f t="shared" ref="AN63:AN65" si="67">IF(H63="",K63,IF(G63=1,UPPER(K63),CONCATENATE(D63,") "&amp;K63)))</f>
        <v>4.2) Emissions reduction</v>
      </c>
      <c r="AO63" s="837" t="str">
        <f>$AM$58</f>
        <v>4) SUSTAINABILITY</v>
      </c>
      <c r="AP63" s="840">
        <f>MATCH($E63,Weights!$C$13:$C$106,0)</f>
        <v>25</v>
      </c>
      <c r="AQ63" s="840">
        <f>IF(ISERROR($AP63),1,INDEX(Weights!$G$13:$G$106,$AP63))</f>
        <v>5</v>
      </c>
      <c r="AR63" s="839">
        <f t="shared" si="39"/>
        <v>0.27777777777777779</v>
      </c>
      <c r="AS63" s="836">
        <v>1</v>
      </c>
      <c r="AT63" s="837" t="str">
        <f>IF(INPUTS!Q63="","",INPUTS!Q63)</f>
        <v/>
      </c>
      <c r="AU63" s="837" t="str">
        <f>IF(INPUTS!R63="","",INPUTS!R63)</f>
        <v/>
      </c>
      <c r="AV63" s="837" t="str">
        <f>IF(INPUTS!S63="","",INPUTS!S63)</f>
        <v/>
      </c>
      <c r="AW63" s="837" t="str">
        <f>IF(INPUTS!T63="","",INPUTS!T63)</f>
        <v/>
      </c>
      <c r="AX63" s="837" t="str">
        <f>IF(INPUTS!U63="","",INPUTS!U63)</f>
        <v/>
      </c>
      <c r="AY63" s="973"/>
      <c r="AZ63" s="867" t="str">
        <f t="shared" si="10"/>
        <v>Weighted: 27.8%</v>
      </c>
    </row>
    <row r="64" spans="1:52" s="843" customFormat="1" ht="15" customHeight="1">
      <c r="A64" s="839">
        <f t="shared" si="3"/>
        <v>63</v>
      </c>
      <c r="B64" s="840">
        <v>0</v>
      </c>
      <c r="C64" s="840">
        <f t="shared" si="64"/>
        <v>4</v>
      </c>
      <c r="D64" s="839" t="s">
        <v>735</v>
      </c>
      <c r="E64" s="837" t="str">
        <f t="shared" si="63"/>
        <v>SUST4_2_1</v>
      </c>
      <c r="F64" s="839" t="str">
        <f>$E$63</f>
        <v>SUST4_2</v>
      </c>
      <c r="G64" s="840">
        <v>3</v>
      </c>
      <c r="H64" s="839" t="s">
        <v>761</v>
      </c>
      <c r="I64" s="839" t="str">
        <f>IF(INPUTS!C64="","",INPUTS!C64)</f>
        <v>Net-zero emission</v>
      </c>
      <c r="J64" s="837" t="str">
        <f>IF(INPUTS!D64="","",INPUTS!D64)</f>
        <v>Net-zero emission</v>
      </c>
      <c r="K64" s="839" t="str">
        <f>IF(INPUTS!E64="","",INPUTS!E64)</f>
        <v>4.2.1</v>
      </c>
      <c r="L64" s="839"/>
      <c r="M64" s="839" t="str">
        <f>IF(INPUTS!F64="","",INPUTS!F64)</f>
        <v xml:space="preserve">Net zero emissions is the state in which the greenhouse gases going into the atmosphere are balanced by those being removed from the atmosphere. As digital technologies also contribute to greenhouse gas emissions, it is necessary for governments to balance their growth against emissions. This indicator assesses if the city has  targets in place to achieve net zero emissions in the foreseeable future and whether there are concrete actions being taken to satisfy those targets in the form of policies, reforms or laws. 
</v>
      </c>
      <c r="N64" s="820"/>
      <c r="O64" s="839" t="str">
        <f t="shared" si="5"/>
        <v xml:space="preserve">Net zero emissions is the state in which the greenhouse gases going into the atmosphere are balanced by those being removed from the atmosphere. As digital technologies also contribute to greenhouse gas emissions, it is necessary for governments to balance their growth against emissions. This indicator assesses if the city has  targets in place to achieve net zero emissions in the foreseeable future and whether there are concrete actions being taken to satisfy those targets in the form of policies, reforms or laws. 
</v>
      </c>
      <c r="P64" s="839" t="str">
        <f>IF(INPUTS!I64="","",INPUTS!I64)</f>
        <v>Is there a policy/declaration focussed on eliminating emissions? 
 0- No evidence of a declaration 
 1- Announced net zero target
 2- Policy implemented to support achieving the target</v>
      </c>
      <c r="Q64" s="820"/>
      <c r="R64" s="820"/>
      <c r="S64" s="839" t="str">
        <f>IF(INPUTS!J64="","",INPUTS!J64)</f>
        <v>Qualitative scoring by Economist Impact analysts</v>
      </c>
      <c r="T64" s="820"/>
      <c r="U64" s="820"/>
      <c r="V64" s="834">
        <v>4</v>
      </c>
      <c r="W64" s="837">
        <f>INPUTS!BC64</f>
        <v>2</v>
      </c>
      <c r="X64" s="840"/>
      <c r="Y64" s="839" t="s">
        <v>809</v>
      </c>
      <c r="Z64" s="837" t="str">
        <f>IF(INPUTS!K64="","",INPUTS!K64)</f>
        <v>Scale (0-2)</v>
      </c>
      <c r="AA64" s="837">
        <f>IF(INPUTS!L64="","",INPUTS!L64)</f>
        <v>2021</v>
      </c>
      <c r="AB64" s="837" t="str">
        <f>IF(INPUTS!M64="","",INPUTS!M64)</f>
        <v>Highest = best</v>
      </c>
      <c r="AC64" s="839" t="str">
        <f t="shared" si="0"/>
        <v>#,##0</v>
      </c>
      <c r="AD64" s="837">
        <f>IF(INPUTS!N64="","",INPUTS!N64)</f>
        <v>0</v>
      </c>
      <c r="AE64" s="839">
        <v>2</v>
      </c>
      <c r="AF64" s="839">
        <f t="shared" si="1"/>
        <v>0</v>
      </c>
      <c r="AG64" s="858">
        <v>3</v>
      </c>
      <c r="AH64" s="839">
        <v>0</v>
      </c>
      <c r="AI64" s="851">
        <v>2</v>
      </c>
      <c r="AJ64" s="840">
        <v>0</v>
      </c>
      <c r="AK64" s="840">
        <v>0</v>
      </c>
      <c r="AL64" s="839" t="str">
        <f t="shared" si="65"/>
        <v>4.2.1) Net-zero emission</v>
      </c>
      <c r="AM64" s="839" t="str">
        <f t="shared" si="66"/>
        <v>4.2.1) Net-zero emission</v>
      </c>
      <c r="AN64" s="839" t="str">
        <f t="shared" si="67"/>
        <v>4.2.1) 4.2.1</v>
      </c>
      <c r="AO64" s="839" t="str">
        <f>$AM$63</f>
        <v>4.2) Emissions reduction</v>
      </c>
      <c r="AP64" s="840">
        <f>MATCH($E64,Weights!$C$13:$C$106,0)</f>
        <v>87</v>
      </c>
      <c r="AQ64" s="840">
        <f>IF(ISERROR($AP64),1,INDEX(Weights!$G$13:$G$106,$AP64))</f>
        <v>4</v>
      </c>
      <c r="AR64" s="839">
        <f t="shared" si="39"/>
        <v>0.32432432432432429</v>
      </c>
      <c r="AS64" s="836">
        <v>3</v>
      </c>
      <c r="AT64" s="837" t="str">
        <f>IF(INPUTS!Q64="","",INPUTS!Q64)</f>
        <v>Policy implemented to support the target</v>
      </c>
      <c r="AU64" s="837" t="str">
        <f>IF(INPUTS!R64="","",INPUTS!R64)</f>
        <v>Announced net zero targets</v>
      </c>
      <c r="AV64" s="837" t="str">
        <f>IF(INPUTS!S64="","",INPUTS!S64)</f>
        <v>No target announced</v>
      </c>
      <c r="AW64" s="837" t="str">
        <f>IF(INPUTS!T64="","",INPUTS!T64)</f>
        <v/>
      </c>
      <c r="AX64" s="837" t="str">
        <f>IF(INPUTS!U64="","",INPUTS!U64)</f>
        <v/>
      </c>
      <c r="AY64" s="973"/>
      <c r="AZ64" s="867" t="str">
        <f t="shared" si="10"/>
        <v>Weighted: 32.4%</v>
      </c>
    </row>
    <row r="65" spans="1:52" s="843" customFormat="1" ht="15" customHeight="1">
      <c r="A65" s="837">
        <f t="shared" si="3"/>
        <v>64</v>
      </c>
      <c r="B65" s="838">
        <v>0</v>
      </c>
      <c r="C65" s="838">
        <f t="shared" si="12"/>
        <v>4</v>
      </c>
      <c r="D65" s="837" t="s">
        <v>736</v>
      </c>
      <c r="E65" s="837" t="str">
        <f t="shared" si="63"/>
        <v>SUST4_2_2</v>
      </c>
      <c r="F65" s="839" t="str">
        <f t="shared" ref="F65:F66" si="68">$E$63</f>
        <v>SUST4_2</v>
      </c>
      <c r="G65" s="838">
        <v>3</v>
      </c>
      <c r="H65" s="837" t="s">
        <v>762</v>
      </c>
      <c r="I65" s="837" t="str">
        <f>IF(INPUTS!C65="","",INPUTS!C65)</f>
        <v xml:space="preserve">Traffic management </v>
      </c>
      <c r="J65" s="837" t="str">
        <f>IF(INPUTS!D65="","",INPUTS!D65)</f>
        <v xml:space="preserve">Traffic management </v>
      </c>
      <c r="K65" s="837" t="str">
        <f>IF(INPUTS!E65="","",INPUTS!E65)</f>
        <v>4.2.2</v>
      </c>
      <c r="L65" s="837"/>
      <c r="M65" s="837" t="str">
        <f>IF(INPUTS!F65="","",INPUTS!F65)</f>
        <v>Smart traffic management refers to the use of digital technologies in traffic management. This indicator assesses if the city has employed technologies, such as autonomous traffic lights that adapt to traffic conditions and traffic lights that can be remotely controlled, to manage traffic. The use of these technologies are assessed against the severity of congestion levels of the city to ascertain if congestion has been adequately addressed.</v>
      </c>
      <c r="N65" s="821"/>
      <c r="O65" s="837" t="str">
        <f t="shared" si="5"/>
        <v>Smart traffic management refers to the use of digital technologies in traffic management. This indicator assesses if the city has employed technologies, such as autonomous traffic lights that adapt to traffic conditions and traffic lights that can be remotely controlled, to manage traffic. The use of these technologies are assessed against the severity of congestion levels of the city to ascertain if congestion has been adequately addressed.</v>
      </c>
      <c r="P65" s="837" t="str">
        <f>IF(INPUTS!I65="","",INPUTS!I65)</f>
        <v>Does the city employ smart traffic management to address congestion? 
Score is a of summation of A+B:
A:
0- No IoT-enabled traffic management system in place
1- IoT-enabled traffic management system is in place 
B:
0-4, where 0 is awarded to cities with the worst congestion problem (highest congestion level %)</v>
      </c>
      <c r="Q65" s="821"/>
      <c r="R65" s="821"/>
      <c r="S65" s="837" t="str">
        <f>IF(INPUTS!J65="","",INPUTS!J65)</f>
        <v>TomTom Traffic Index; Qualitative scoring by Economist Impact analysts</v>
      </c>
      <c r="T65" s="821"/>
      <c r="U65" s="821"/>
      <c r="V65" s="833">
        <v>4</v>
      </c>
      <c r="W65" s="837">
        <f>INPUTS!BC65</f>
        <v>2</v>
      </c>
      <c r="X65" s="838"/>
      <c r="Y65" s="837" t="s">
        <v>584</v>
      </c>
      <c r="Z65" s="837" t="str">
        <f>IF(INPUTS!K65="","",INPUTS!K65)</f>
        <v>Scale (0-5)</v>
      </c>
      <c r="AA65" s="837">
        <f>IF(INPUTS!L65="","",INPUTS!L65)</f>
        <v>2021</v>
      </c>
      <c r="AB65" s="837" t="str">
        <f>IF(INPUTS!M65="","",INPUTS!M65)</f>
        <v>Highest = best</v>
      </c>
      <c r="AC65" s="837" t="str">
        <f t="shared" si="0"/>
        <v>#,##0</v>
      </c>
      <c r="AD65" s="837">
        <f>IF(INPUTS!N65="","",INPUTS!N65)</f>
        <v>0</v>
      </c>
      <c r="AE65" s="837">
        <v>2</v>
      </c>
      <c r="AF65" s="837">
        <f t="shared" si="1"/>
        <v>0</v>
      </c>
      <c r="AG65" s="857">
        <v>3</v>
      </c>
      <c r="AH65" s="837">
        <v>0</v>
      </c>
      <c r="AI65" s="850">
        <v>5</v>
      </c>
      <c r="AJ65" s="838">
        <v>0</v>
      </c>
      <c r="AK65" s="838">
        <v>0</v>
      </c>
      <c r="AL65" s="839" t="str">
        <f t="shared" si="65"/>
        <v xml:space="preserve">4.2.2) Traffic management </v>
      </c>
      <c r="AM65" s="839" t="str">
        <f t="shared" si="66"/>
        <v xml:space="preserve">4.2.2) Traffic management </v>
      </c>
      <c r="AN65" s="839" t="str">
        <f t="shared" si="67"/>
        <v>4.2.2) 4.2.2</v>
      </c>
      <c r="AO65" s="839" t="str">
        <f>$AM$63</f>
        <v>4.2) Emissions reduction</v>
      </c>
      <c r="AP65" s="838">
        <f>MATCH($E65,Weights!$C$13:$C$106,0)</f>
        <v>88</v>
      </c>
      <c r="AQ65" s="838">
        <f>IF(ISERROR($AP65),1,INDEX(Weights!$G$13:$G$106,$AP65))</f>
        <v>4.666666666666667</v>
      </c>
      <c r="AR65" s="837">
        <f t="shared" si="39"/>
        <v>0.3783783783783784</v>
      </c>
      <c r="AS65" s="836">
        <v>1</v>
      </c>
      <c r="AT65" s="837" t="str">
        <f>IF(INPUTS!Q65="","",INPUTS!Q65)</f>
        <v/>
      </c>
      <c r="AU65" s="837" t="str">
        <f>IF(INPUTS!R65="","",INPUTS!R65)</f>
        <v/>
      </c>
      <c r="AV65" s="837" t="str">
        <f>IF(INPUTS!S65="","",INPUTS!S65)</f>
        <v/>
      </c>
      <c r="AW65" s="837" t="str">
        <f>IF(INPUTS!T65="","",INPUTS!T65)</f>
        <v/>
      </c>
      <c r="AX65" s="837" t="str">
        <f>IF(INPUTS!U65="","",INPUTS!U65)</f>
        <v/>
      </c>
      <c r="AY65" s="973"/>
      <c r="AZ65" s="867" t="str">
        <f t="shared" si="10"/>
        <v>Weighted: 37.8%</v>
      </c>
    </row>
    <row r="66" spans="1:52" s="843" customFormat="1" ht="15" customHeight="1">
      <c r="A66" s="839">
        <f t="shared" si="3"/>
        <v>65</v>
      </c>
      <c r="B66" s="840">
        <v>0</v>
      </c>
      <c r="C66" s="840">
        <f t="shared" si="12"/>
        <v>4</v>
      </c>
      <c r="D66" s="839" t="s">
        <v>737</v>
      </c>
      <c r="E66" s="837" t="str">
        <f t="shared" si="63"/>
        <v>SUST4_2_3</v>
      </c>
      <c r="F66" s="839" t="str">
        <f t="shared" si="68"/>
        <v>SUST4_2</v>
      </c>
      <c r="G66" s="840">
        <v>3</v>
      </c>
      <c r="H66" s="839" t="s">
        <v>763</v>
      </c>
      <c r="I66" s="839" t="str">
        <f>IF(INPUTS!C66="","",INPUTS!C66)</f>
        <v>Autonomous vehicle support</v>
      </c>
      <c r="J66" s="837" t="str">
        <f>IF(INPUTS!D66="","",INPUTS!D66)</f>
        <v>Support for autonomous vehicles</v>
      </c>
      <c r="K66" s="839" t="str">
        <f>IF(INPUTS!E66="","",INPUTS!E66)</f>
        <v>4.2.3</v>
      </c>
      <c r="L66" s="839"/>
      <c r="M66" s="839" t="str">
        <f>IF(INPUTS!F66="","",INPUTS!F66)</f>
        <v xml:space="preserve">Autonomous vehicles are capable of sensing their environment and operating without human involvement. This indicator assesses government support for autonomous vehicle development and operation by evaluating whether policies are supportive or limiting. </v>
      </c>
      <c r="N66" s="820"/>
      <c r="O66" s="839" t="str">
        <f t="shared" si="5"/>
        <v xml:space="preserve">Autonomous vehicles are capable of sensing their environment and operating without human involvement. This indicator assesses government support for autonomous vehicle development and operation by evaluating whether policies are supportive or limiting. </v>
      </c>
      <c r="P66" s="839" t="str">
        <f>IF(INPUTS!I66="","",INPUTS!I66)</f>
        <v>Is there regulatory support for autonomous vehicles?
 0 - There either is an outright ban or there is no work, public or private, going on in the AVs space
 1 - No clear evidence of stance taken by the government in terms of policies to support or ban AVs, but there is private sector work ongoing indicating that the government is okay with innovation taking place on AVs
 2 - There are policies/initiatives/strategies/frameworks permitting or encouraging the testing/usage of autonomous vehicles</v>
      </c>
      <c r="Q66" s="820"/>
      <c r="R66" s="820"/>
      <c r="S66" s="839" t="str">
        <f>IF(INPUTS!J66="","",INPUTS!J66)</f>
        <v>Qualitative scoring by Economist Impact analysts</v>
      </c>
      <c r="T66" s="820"/>
      <c r="U66" s="820"/>
      <c r="V66" s="834">
        <v>4</v>
      </c>
      <c r="W66" s="837">
        <f>INPUTS!BC66</f>
        <v>2</v>
      </c>
      <c r="X66" s="840"/>
      <c r="Y66" s="839" t="s">
        <v>584</v>
      </c>
      <c r="Z66" s="837" t="str">
        <f>IF(INPUTS!K66="","",INPUTS!K66)</f>
        <v>Scale (0-2)</v>
      </c>
      <c r="AA66" s="837">
        <f>IF(INPUTS!L66="","",INPUTS!L66)</f>
        <v>2021</v>
      </c>
      <c r="AB66" s="837" t="str">
        <f>IF(INPUTS!M66="","",INPUTS!M66)</f>
        <v>Highest = best</v>
      </c>
      <c r="AC66" s="839" t="str">
        <f t="shared" si="0"/>
        <v>#,##0</v>
      </c>
      <c r="AD66" s="837">
        <f>IF(INPUTS!N66="","",INPUTS!N66)</f>
        <v>0</v>
      </c>
      <c r="AE66" s="839">
        <v>2</v>
      </c>
      <c r="AF66" s="839">
        <f t="shared" si="1"/>
        <v>0</v>
      </c>
      <c r="AG66" s="858">
        <v>3</v>
      </c>
      <c r="AH66" s="839">
        <v>0</v>
      </c>
      <c r="AI66" s="851">
        <v>2</v>
      </c>
      <c r="AJ66" s="840">
        <v>0</v>
      </c>
      <c r="AK66" s="840">
        <v>0</v>
      </c>
      <c r="AL66" s="839" t="str">
        <f t="shared" si="15"/>
        <v>4.2.3) Autonomous vehicle support</v>
      </c>
      <c r="AM66" s="839" t="str">
        <f t="shared" si="16"/>
        <v>4.2.3) Support for autonomous vehicles</v>
      </c>
      <c r="AN66" s="839" t="str">
        <f t="shared" si="17"/>
        <v>4.2.3) 4.2.3</v>
      </c>
      <c r="AO66" s="839" t="str">
        <f>$AM$63</f>
        <v>4.2) Emissions reduction</v>
      </c>
      <c r="AP66" s="840">
        <f>MATCH($E66,Weights!$C$13:$C$106,0)</f>
        <v>89</v>
      </c>
      <c r="AQ66" s="840">
        <f>IF(ISERROR($AP66),1,INDEX(Weights!$G$13:$G$106,$AP66))</f>
        <v>3.6666666666666665</v>
      </c>
      <c r="AR66" s="839">
        <f t="shared" si="39"/>
        <v>0.29729729729729726</v>
      </c>
      <c r="AS66" s="836">
        <v>3</v>
      </c>
      <c r="AT66" s="837" t="str">
        <f>IF(INPUTS!Q66="","",INPUTS!Q66)</f>
        <v>Policies explicitly encouraging the testing/usage of autonomous vehicles</v>
      </c>
      <c r="AU66" s="837" t="str">
        <f>IF(INPUTS!R66="","",INPUTS!R66)</f>
        <v>No explicit policy - autonomous vehicles not prevented from being tested or operated</v>
      </c>
      <c r="AV66" s="837" t="str">
        <f>IF(INPUTS!S66="","",INPUTS!S66)</f>
        <v>Policies banning testing/operating autonomous vehicles</v>
      </c>
      <c r="AW66" s="837" t="str">
        <f>IF(INPUTS!T66="","",INPUTS!T66)</f>
        <v/>
      </c>
      <c r="AX66" s="837" t="str">
        <f>IF(INPUTS!U66="","",INPUTS!U66)</f>
        <v/>
      </c>
      <c r="AY66" s="973"/>
      <c r="AZ66" s="867" t="str">
        <f t="shared" si="10"/>
        <v>Weighted: 29.7%</v>
      </c>
    </row>
    <row r="67" spans="1:52" s="843" customFormat="1" ht="15" customHeight="1">
      <c r="A67" s="839">
        <f t="shared" ref="A67:A77" si="69">A66+1</f>
        <v>66</v>
      </c>
      <c r="B67" s="840">
        <v>0</v>
      </c>
      <c r="C67" s="840">
        <f t="shared" si="12"/>
        <v>4</v>
      </c>
      <c r="D67" s="839">
        <v>4.3</v>
      </c>
      <c r="E67" s="837" t="str">
        <f t="shared" si="63"/>
        <v>SUST4_3</v>
      </c>
      <c r="F67" s="837" t="str">
        <f>$E$58</f>
        <v>SUST</v>
      </c>
      <c r="G67" s="840">
        <v>2</v>
      </c>
      <c r="H67" s="839" t="s">
        <v>764</v>
      </c>
      <c r="I67" s="839" t="str">
        <f>IF(INPUTS!C67="","",INPUTS!C67)</f>
        <v>Pollution</v>
      </c>
      <c r="J67" s="837" t="str">
        <f>IF(INPUTS!D67="","",INPUTS!D67)</f>
        <v>Pollution</v>
      </c>
      <c r="K67" s="839" t="str">
        <f>IF(INPUTS!E67="","",INPUTS!E67)</f>
        <v>Pollution</v>
      </c>
      <c r="L67" s="837" t="str">
        <f>"The category score is the weighted sum of the following indicator score:
"&amp;AM68&amp;" ("&amp;TEXT(AZ68,"0.0")&amp;")"</f>
        <v>The category score is the weighted sum of the following indicator score:
4.3.1) Air pollution (Weighted: 100%)</v>
      </c>
      <c r="M67" s="839" t="str">
        <f>IF(INPUTS!F67="","",INPUTS!F67)</f>
        <v/>
      </c>
      <c r="N67" s="820"/>
      <c r="O67" s="839" t="str">
        <f t="shared" si="5"/>
        <v>The category score is the weighted sum of the following indicator score:
4.3.1) Air pollution (Weighted: 100%)</v>
      </c>
      <c r="P67" s="839" t="str">
        <f>IF(INPUTS!I67="","",INPUTS!I67)</f>
        <v/>
      </c>
      <c r="Q67" s="820"/>
      <c r="R67" s="820"/>
      <c r="S67" s="839" t="str">
        <f>IF(INPUTS!J67="","",INPUTS!J67)</f>
        <v>Economist Impact calculation</v>
      </c>
      <c r="T67" s="820"/>
      <c r="U67" s="820"/>
      <c r="V67" s="834">
        <v>4</v>
      </c>
      <c r="W67" s="837">
        <f>INPUTS!BC67</f>
        <v>1</v>
      </c>
      <c r="X67" s="840"/>
      <c r="Y67" s="839"/>
      <c r="Z67" s="837" t="str">
        <f>IF(INPUTS!K67="","",INPUTS!K67)</f>
        <v/>
      </c>
      <c r="AA67" s="837" t="str">
        <f>IF(INPUTS!L67="","",INPUTS!L67)</f>
        <v/>
      </c>
      <c r="AB67" s="531" t="s">
        <v>575</v>
      </c>
      <c r="AC67" s="839" t="str">
        <f t="shared" si="0"/>
        <v>#,##0.0</v>
      </c>
      <c r="AD67" s="837">
        <f>IF(INPUTS!N67="","",INPUTS!N67)</f>
        <v>1</v>
      </c>
      <c r="AE67" s="839">
        <v>2</v>
      </c>
      <c r="AF67" s="839">
        <f t="shared" si="1"/>
        <v>0</v>
      </c>
      <c r="AG67" s="858">
        <v>1</v>
      </c>
      <c r="AH67" s="839"/>
      <c r="AI67" s="851"/>
      <c r="AJ67" s="840">
        <v>0</v>
      </c>
      <c r="AK67" s="840">
        <v>0</v>
      </c>
      <c r="AL67" s="837" t="str">
        <f t="shared" si="15"/>
        <v>4.3) Pollution</v>
      </c>
      <c r="AM67" s="837" t="str">
        <f t="shared" si="16"/>
        <v>4.3) Pollution</v>
      </c>
      <c r="AN67" s="837" t="str">
        <f t="shared" si="17"/>
        <v>4.3) Pollution</v>
      </c>
      <c r="AO67" s="837" t="str">
        <f>$AM$58</f>
        <v>4) SUSTAINABILITY</v>
      </c>
      <c r="AP67" s="840">
        <f>MATCH($E67,Weights!$C$13:$C$106,0)</f>
        <v>26</v>
      </c>
      <c r="AQ67" s="840">
        <f>IF(ISERROR($AP67),1,INDEX(Weights!$G$13:$G$106,$AP67))</f>
        <v>4</v>
      </c>
      <c r="AR67" s="839">
        <f t="shared" si="39"/>
        <v>0.22222222222222221</v>
      </c>
      <c r="AS67" s="836">
        <v>1</v>
      </c>
      <c r="AT67" s="837" t="str">
        <f>IF(INPUTS!Q67="","",INPUTS!Q67)</f>
        <v/>
      </c>
      <c r="AU67" s="837" t="str">
        <f>IF(INPUTS!R67="","",INPUTS!R67)</f>
        <v/>
      </c>
      <c r="AV67" s="837" t="str">
        <f>IF(INPUTS!S67="","",INPUTS!S67)</f>
        <v/>
      </c>
      <c r="AW67" s="837" t="str">
        <f>IF(INPUTS!T67="","",INPUTS!T67)</f>
        <v/>
      </c>
      <c r="AX67" s="837" t="str">
        <f>IF(INPUTS!U67="","",INPUTS!U67)</f>
        <v/>
      </c>
      <c r="AY67" s="973"/>
      <c r="AZ67" s="867" t="str">
        <f t="shared" si="10"/>
        <v>Weighted: 22.2%</v>
      </c>
    </row>
    <row r="68" spans="1:52" s="843" customFormat="1" ht="15" customHeight="1">
      <c r="A68" s="837">
        <f t="shared" si="69"/>
        <v>67</v>
      </c>
      <c r="B68" s="838">
        <v>0</v>
      </c>
      <c r="C68" s="838">
        <f t="shared" si="12"/>
        <v>4</v>
      </c>
      <c r="D68" s="837" t="s">
        <v>738</v>
      </c>
      <c r="E68" s="837" t="str">
        <f t="shared" si="63"/>
        <v>SUST4_3_1</v>
      </c>
      <c r="F68" s="837" t="str">
        <f>$E$67</f>
        <v>SUST4_3</v>
      </c>
      <c r="G68" s="838">
        <v>3</v>
      </c>
      <c r="H68" s="837" t="s">
        <v>765</v>
      </c>
      <c r="I68" s="837" t="str">
        <f>IF(INPUTS!C68="","",INPUTS!C68)</f>
        <v>Air pollution</v>
      </c>
      <c r="J68" s="837" t="str">
        <f>IF(INPUTS!D68="","",INPUTS!D68)</f>
        <v>Air pollution</v>
      </c>
      <c r="K68" s="837" t="str">
        <f>IF(INPUTS!E68="","",INPUTS!E68)</f>
        <v>4.3.1</v>
      </c>
      <c r="L68" s="837"/>
      <c r="M68" s="837" t="str">
        <f>IF(INPUTS!F68="","",INPUTS!F68)</f>
        <v xml:space="preserve">Digital technologies can be adopted to measure air pollution at a more granular level. This indicator assesses if cities are installing air sensors on multi-functional/smart poles or street lights for granular air pollution data collection. The use of these technologies are assessed against the severity of pollution levels of the city to highlight the need for smarter tools to combat particle pollution.  
</v>
      </c>
      <c r="N68" s="821"/>
      <c r="O68" s="837" t="str">
        <f t="shared" si="5"/>
        <v xml:space="preserve">Digital technologies can be adopted to measure air pollution at a more granular level. This indicator assesses if cities are installing air sensors on multi-functional/smart poles or street lights for granular air pollution data collection. The use of these technologies are assessed against the severity of pollution levels of the city to highlight the need for smarter tools to combat particle pollution.  
</v>
      </c>
      <c r="P68" s="837" t="str">
        <f>IF(INPUTS!I68="","",INPUTS!I68)</f>
        <v>How does the city score on air pollution and whether it deploys air quality sensors on multifunctional/smart poles/street lights?
Score is a of summation of A+B:
A:
0- No air quality sensors deployed on multifunctional/smart poles/street lights
1- There are pilots/tests on implementing air quality sensors on multifunctional/smart poles/street lights
2- Air quality sensors have been deployed on multifunctional/smart poles/street lights
B:
0-4, where 0 is awarded to cities with the worst air quality as assessed by PM 2.5 levels</v>
      </c>
      <c r="Q68" s="821"/>
      <c r="R68" s="821"/>
      <c r="S68" s="837" t="str">
        <f>IF(INPUTS!J68="","",INPUTS!J68)</f>
        <v>IQAir; Qualitative scoring by Economist Impact analysts</v>
      </c>
      <c r="T68" s="821"/>
      <c r="U68" s="821"/>
      <c r="V68" s="833">
        <v>4</v>
      </c>
      <c r="W68" s="837">
        <f>INPUTS!BC68</f>
        <v>2</v>
      </c>
      <c r="X68" s="838"/>
      <c r="Y68" s="837" t="s">
        <v>809</v>
      </c>
      <c r="Z68" s="837" t="str">
        <f>IF(INPUTS!K68="","",INPUTS!K68)</f>
        <v>Scale (0-6)</v>
      </c>
      <c r="AA68" s="837">
        <f>IF(INPUTS!L68="","",INPUTS!L68)</f>
        <v>2021</v>
      </c>
      <c r="AB68" s="837" t="str">
        <f>IF(INPUTS!M68="","",INPUTS!M68)</f>
        <v>Highest = best</v>
      </c>
      <c r="AC68" s="837" t="str">
        <f t="shared" si="0"/>
        <v>#,##0</v>
      </c>
      <c r="AD68" s="837">
        <f>IF(INPUTS!N68="","",INPUTS!N68)</f>
        <v>0</v>
      </c>
      <c r="AE68" s="837">
        <v>2</v>
      </c>
      <c r="AF68" s="837">
        <f t="shared" si="1"/>
        <v>0</v>
      </c>
      <c r="AG68" s="857">
        <v>3</v>
      </c>
      <c r="AH68" s="837">
        <v>0</v>
      </c>
      <c r="AI68" s="850">
        <v>6</v>
      </c>
      <c r="AJ68" s="838">
        <v>0</v>
      </c>
      <c r="AK68" s="838">
        <v>0</v>
      </c>
      <c r="AL68" s="837" t="str">
        <f t="shared" si="15"/>
        <v>4.3.1) Air pollution</v>
      </c>
      <c r="AM68" s="837" t="str">
        <f t="shared" si="16"/>
        <v>4.3.1) Air pollution</v>
      </c>
      <c r="AN68" s="837" t="str">
        <f t="shared" si="17"/>
        <v>4.3.1) 4.3.1</v>
      </c>
      <c r="AO68" s="837" t="str">
        <f>$AM$67</f>
        <v>4.3) Pollution</v>
      </c>
      <c r="AP68" s="838">
        <f>MATCH($E68,Weights!$C$13:$C$106,0)</f>
        <v>91</v>
      </c>
      <c r="AQ68" s="838">
        <f>IF(ISERROR($AP68),1,INDEX(Weights!$G$13:$G$106,$AP68))</f>
        <v>1</v>
      </c>
      <c r="AR68" s="837">
        <f t="shared" ref="AR68:AR69" si="70">IF(ISERROR(AQ68/SUMIF($F$2:$F$71,$F68,AQ$2:AQ$71)),0,AQ68/SUMIF($F$2:$F$71,$F68,AQ$2:AQ$71))</f>
        <v>1</v>
      </c>
      <c r="AS68" s="836">
        <v>1</v>
      </c>
      <c r="AT68" s="837" t="str">
        <f>IF(INPUTS!Q68="","",INPUTS!Q68)</f>
        <v/>
      </c>
      <c r="AU68" s="837" t="str">
        <f>IF(INPUTS!R68="","",INPUTS!R68)</f>
        <v/>
      </c>
      <c r="AV68" s="837" t="str">
        <f>IF(INPUTS!S68="","",INPUTS!S68)</f>
        <v/>
      </c>
      <c r="AW68" s="837" t="str">
        <f>IF(INPUTS!T68="","",INPUTS!T68)</f>
        <v/>
      </c>
      <c r="AX68" s="837" t="str">
        <f>IF(INPUTS!U68="","",INPUTS!U68)</f>
        <v/>
      </c>
      <c r="AY68" s="973"/>
      <c r="AZ68" s="867" t="str">
        <f t="shared" si="10"/>
        <v>Weighted: 100%</v>
      </c>
    </row>
    <row r="69" spans="1:52" s="843" customFormat="1" ht="15" customHeight="1">
      <c r="A69" s="837">
        <f t="shared" si="69"/>
        <v>68</v>
      </c>
      <c r="B69" s="838">
        <v>0</v>
      </c>
      <c r="C69" s="838">
        <f t="shared" ref="C69:C71" si="71">IFERROR(VALUE(LEFT(D69,1)),LEFT(D69,1))</f>
        <v>4</v>
      </c>
      <c r="D69" s="837">
        <v>4.4000000000000004</v>
      </c>
      <c r="E69" s="837" t="str">
        <f t="shared" si="63"/>
        <v>SUST4_4</v>
      </c>
      <c r="F69" s="837" t="str">
        <f>$E$58</f>
        <v>SUST</v>
      </c>
      <c r="G69" s="838">
        <v>2</v>
      </c>
      <c r="H69" s="837" t="s">
        <v>766</v>
      </c>
      <c r="I69" s="837" t="str">
        <f>IF(INPUTS!C69="","",INPUTS!C69)</f>
        <v>Circular economy</v>
      </c>
      <c r="J69" s="837" t="str">
        <f>IF(INPUTS!D69="","",INPUTS!D69)</f>
        <v>Circular economy</v>
      </c>
      <c r="K69" s="837" t="str">
        <f>IF(INPUTS!E69="","",INPUTS!E69)</f>
        <v>Circular economy</v>
      </c>
      <c r="L69" s="837" t="str">
        <f>"The category score is the weighted sum of the following indicator scores:
"&amp;AM70&amp;" ("&amp;TEXT(AZ70,"0.0")&amp;")
"&amp;AM71&amp;" ("&amp;TEXT(AZ71,"0.0")&amp;")"</f>
        <v>The category score is the weighted sum of the following indicator scores:
4.4.1) Development of sharing economy  (Weighted: 61.9%)
4.4.2) E-waste management (Weighted: 38.1%)</v>
      </c>
      <c r="M69" s="837" t="str">
        <f>IF(INPUTS!F69="","",INPUTS!F69)</f>
        <v/>
      </c>
      <c r="N69" s="841"/>
      <c r="O69" s="837" t="str">
        <f t="shared" si="5"/>
        <v>The category score is the weighted sum of the following indicator scores:
4.4.1) Development of sharing economy  (Weighted: 61.9%)
4.4.2) E-waste management (Weighted: 38.1%)</v>
      </c>
      <c r="P69" s="837" t="str">
        <f>IF(INPUTS!I69="","",INPUTS!I69)</f>
        <v/>
      </c>
      <c r="Q69" s="841"/>
      <c r="R69" s="841"/>
      <c r="S69" s="837" t="str">
        <f>IF(INPUTS!J69="","",INPUTS!J69)</f>
        <v>Economist Impact calculation</v>
      </c>
      <c r="T69" s="841"/>
      <c r="U69" s="841"/>
      <c r="V69" s="842">
        <v>4</v>
      </c>
      <c r="W69" s="837">
        <f>INPUTS!BC69</f>
        <v>1</v>
      </c>
      <c r="X69" s="838"/>
      <c r="Y69" s="837"/>
      <c r="Z69" s="837" t="str">
        <f>IF(INPUTS!K69="","",INPUTS!K69)</f>
        <v/>
      </c>
      <c r="AA69" s="837" t="str">
        <f>IF(INPUTS!L69="","",INPUTS!L69)</f>
        <v/>
      </c>
      <c r="AB69" s="531" t="s">
        <v>575</v>
      </c>
      <c r="AC69" s="837" t="str">
        <f t="shared" si="0"/>
        <v>#,##0.0</v>
      </c>
      <c r="AD69" s="837">
        <f>IF(INPUTS!N69="","",INPUTS!N69)</f>
        <v>1</v>
      </c>
      <c r="AE69" s="837">
        <v>2</v>
      </c>
      <c r="AF69" s="837">
        <f t="shared" ref="AF69:AF77" si="72">IF(AB69="",2,IF(AB69="Highest = best",0,1))</f>
        <v>0</v>
      </c>
      <c r="AG69" s="857">
        <v>1</v>
      </c>
      <c r="AH69" s="837"/>
      <c r="AI69" s="850"/>
      <c r="AJ69" s="838">
        <v>0</v>
      </c>
      <c r="AK69" s="838">
        <v>0</v>
      </c>
      <c r="AL69" s="837" t="str">
        <f t="shared" si="15"/>
        <v>4.4) Circular economy</v>
      </c>
      <c r="AM69" s="837" t="str">
        <f t="shared" si="16"/>
        <v>4.4) Circular economy</v>
      </c>
      <c r="AN69" s="837" t="str">
        <f t="shared" si="17"/>
        <v>4.4) Circular economy</v>
      </c>
      <c r="AO69" s="837" t="str">
        <f>$AM$58</f>
        <v>4) SUSTAINABILITY</v>
      </c>
      <c r="AP69" s="838">
        <f>MATCH($E69,Weights!$C$13:$C$106,0)</f>
        <v>27</v>
      </c>
      <c r="AQ69" s="838">
        <f>IF(ISERROR($AP69),1,INDEX(Weights!$G$13:$G$106,$AP69))</f>
        <v>4</v>
      </c>
      <c r="AR69" s="837">
        <f t="shared" si="70"/>
        <v>0.22222222222222221</v>
      </c>
      <c r="AS69" s="836">
        <v>1</v>
      </c>
      <c r="AT69" s="837" t="str">
        <f>IF(INPUTS!Q69="","",INPUTS!Q69)</f>
        <v/>
      </c>
      <c r="AU69" s="837" t="str">
        <f>IF(INPUTS!R69="","",INPUTS!R69)</f>
        <v/>
      </c>
      <c r="AV69" s="837" t="str">
        <f>IF(INPUTS!S69="","",INPUTS!S69)</f>
        <v/>
      </c>
      <c r="AW69" s="837" t="str">
        <f>IF(INPUTS!T69="","",INPUTS!T69)</f>
        <v/>
      </c>
      <c r="AX69" s="837" t="str">
        <f>IF(INPUTS!U69="","",INPUTS!U69)</f>
        <v/>
      </c>
      <c r="AY69" s="973"/>
      <c r="AZ69" s="867" t="str">
        <f t="shared" si="10"/>
        <v>Weighted: 22.2%</v>
      </c>
    </row>
    <row r="70" spans="1:52" s="843" customFormat="1" ht="15" customHeight="1">
      <c r="A70" s="837">
        <f t="shared" si="69"/>
        <v>69</v>
      </c>
      <c r="B70" s="838">
        <v>0</v>
      </c>
      <c r="C70" s="838">
        <f t="shared" si="71"/>
        <v>4</v>
      </c>
      <c r="D70" s="837" t="s">
        <v>739</v>
      </c>
      <c r="E70" s="837" t="str">
        <f t="shared" si="63"/>
        <v>SUST4_4_1</v>
      </c>
      <c r="F70" s="837" t="str">
        <f>$E$69</f>
        <v>SUST4_4</v>
      </c>
      <c r="G70" s="838">
        <v>3</v>
      </c>
      <c r="H70" s="837" t="s">
        <v>767</v>
      </c>
      <c r="I70" s="837" t="str">
        <f>IF(INPUTS!C70="","",INPUTS!C70)</f>
        <v>Sharing economy development</v>
      </c>
      <c r="J70" s="837" t="str">
        <f>IF(INPUTS!D70="","",INPUTS!D70)</f>
        <v xml:space="preserve">Development of sharing economy </v>
      </c>
      <c r="K70" s="837" t="str">
        <f>IF(INPUTS!E70="","",INPUTS!E70)</f>
        <v>4.4.1</v>
      </c>
      <c r="L70" s="837"/>
      <c r="M70" s="837" t="str">
        <f>IF(INPUTS!F70="","",INPUTS!F70)</f>
        <v xml:space="preserve">Sharing economy is an economic model in which goods and resources are shared by individuals and groups, usually through an online platform that acts as a virtual meeting place for suppliers and renters. This in turn leads to the greater use of existing resources and reduces the demand for the production of new goods. This indicator assesses the government's support for the sharing economy through the evaluation of plans, policies, strategies or frameworks. </v>
      </c>
      <c r="N70" s="821"/>
      <c r="O70" s="837" t="str">
        <f t="shared" si="5"/>
        <v xml:space="preserve">Sharing economy is an economic model in which goods and resources are shared by individuals and groups, usually through an online platform that acts as a virtual meeting place for suppliers and renters. This in turn leads to the greater use of existing resources and reduces the demand for the production of new goods. This indicator assesses the government's support for the sharing economy through the evaluation of plans, policies, strategies or frameworks. </v>
      </c>
      <c r="P70" s="837" t="str">
        <f>IF(INPUTS!I70="","",INPUTS!I70)</f>
        <v>Does the city have a plan/policy/framework to promote the development of the sharing economy? 
 0- There is no evidence of a plan/policy/framework
 1- There is no evidence of a specific plan/policy on the sharing economy but the government has other initiatives, which include sharing economy being tackled in a larger policy/ a specific government unit for the development of the sharing economy / public-private collaborations to promote the sharing economy
 2- There is a specific plan/policy/framework on the sharing economy</v>
      </c>
      <c r="Q70" s="821"/>
      <c r="R70" s="821"/>
      <c r="S70" s="837" t="str">
        <f>IF(INPUTS!J70="","",INPUTS!J70)</f>
        <v>Qualitative scoring by Economist Impact analysts</v>
      </c>
      <c r="T70" s="821"/>
      <c r="U70" s="821"/>
      <c r="V70" s="833">
        <v>4</v>
      </c>
      <c r="W70" s="837">
        <f>INPUTS!BC70</f>
        <v>2</v>
      </c>
      <c r="X70" s="838"/>
      <c r="Y70" s="837" t="s">
        <v>584</v>
      </c>
      <c r="Z70" s="837" t="str">
        <f>IF(INPUTS!K70="","",INPUTS!K70)</f>
        <v>Scale (0-2)</v>
      </c>
      <c r="AA70" s="837">
        <f>IF(INPUTS!L70="","",INPUTS!L70)</f>
        <v>2021</v>
      </c>
      <c r="AB70" s="837" t="str">
        <f>IF(INPUTS!M70="","",INPUTS!M70)</f>
        <v>Highest = best</v>
      </c>
      <c r="AC70" s="837" t="str">
        <f t="shared" ref="AC70:AC77" si="73">CHOOSE(AD70+1,"#,##0","#,##0.0","#,##0.00","#,##0.000","#,##0.0000","#,##0.00000")</f>
        <v>#,##0</v>
      </c>
      <c r="AD70" s="837">
        <f>IF(INPUTS!N70="","",INPUTS!N70)</f>
        <v>0</v>
      </c>
      <c r="AE70" s="837">
        <v>2</v>
      </c>
      <c r="AF70" s="837">
        <f t="shared" si="72"/>
        <v>0</v>
      </c>
      <c r="AG70" s="857">
        <v>3</v>
      </c>
      <c r="AH70" s="837">
        <v>0</v>
      </c>
      <c r="AI70" s="850">
        <v>2</v>
      </c>
      <c r="AJ70" s="838">
        <v>0</v>
      </c>
      <c r="AK70" s="838">
        <v>0</v>
      </c>
      <c r="AL70" s="837" t="str">
        <f t="shared" si="15"/>
        <v>4.4.1) Sharing economy development</v>
      </c>
      <c r="AM70" s="837" t="str">
        <f t="shared" si="16"/>
        <v xml:space="preserve">4.4.1) Development of sharing economy </v>
      </c>
      <c r="AN70" s="837" t="str">
        <f t="shared" si="17"/>
        <v>4.4.1) 4.4.1</v>
      </c>
      <c r="AO70" s="837" t="str">
        <f>$AM$69</f>
        <v>4.4) Circular economy</v>
      </c>
      <c r="AP70" s="838">
        <f>MATCH($E70,Weights!$C$13:$C$106,0)</f>
        <v>93</v>
      </c>
      <c r="AQ70" s="838">
        <f>IF(ISERROR($AP70),1,INDEX(Weights!$G$13:$G$106,$AP70))</f>
        <v>4.333333333333333</v>
      </c>
      <c r="AR70" s="837">
        <f t="shared" ref="AR70" si="74">IF(ISERROR(AQ70/SUMIF($F$2:$F$71,$F70,AQ$2:AQ$71)),0,AQ70/SUMIF($F$2:$F$71,$F70,AQ$2:AQ$71))</f>
        <v>0.61904761904761896</v>
      </c>
      <c r="AS70" s="836">
        <v>3</v>
      </c>
      <c r="AT70" s="837" t="str">
        <f>IF(INPUTS!Q70="","",INPUTS!Q70)</f>
        <v xml:space="preserve">There is a specific plan/policy/framework on the sharing economy
</v>
      </c>
      <c r="AU70" s="837" t="str">
        <f>IF(INPUTS!R70="","",INPUTS!R70)</f>
        <v>No specific plan/policy/framework but there are other government initiatives</v>
      </c>
      <c r="AV70" s="837" t="str">
        <f>IF(INPUTS!S70="","",INPUTS!S70)</f>
        <v>No evidence of plan/policy/framework</v>
      </c>
      <c r="AW70" s="837" t="str">
        <f>IF(INPUTS!T70="","",INPUTS!T70)</f>
        <v/>
      </c>
      <c r="AX70" s="837" t="str">
        <f>IF(INPUTS!U70="","",INPUTS!U70)</f>
        <v/>
      </c>
      <c r="AY70" s="973"/>
      <c r="AZ70" s="867" t="str">
        <f t="shared" si="10"/>
        <v>Weighted: 61.9%</v>
      </c>
    </row>
    <row r="71" spans="1:52" s="843" customFormat="1" ht="15" customHeight="1">
      <c r="A71" s="837">
        <f t="shared" si="69"/>
        <v>70</v>
      </c>
      <c r="B71" s="838">
        <v>0</v>
      </c>
      <c r="C71" s="838">
        <f t="shared" si="71"/>
        <v>4</v>
      </c>
      <c r="D71" s="837" t="s">
        <v>740</v>
      </c>
      <c r="E71" s="837" t="str">
        <f t="shared" si="63"/>
        <v>SUST4_4_2</v>
      </c>
      <c r="F71" s="837" t="str">
        <f t="shared" ref="F71" si="75">$E$69</f>
        <v>SUST4_4</v>
      </c>
      <c r="G71" s="838">
        <v>3</v>
      </c>
      <c r="H71" s="837" t="s">
        <v>768</v>
      </c>
      <c r="I71" s="837" t="str">
        <f>IF(INPUTS!C71="","",INPUTS!C71)</f>
        <v>E-waste management</v>
      </c>
      <c r="J71" s="837" t="str">
        <f>IF(INPUTS!D71="","",INPUTS!D71)</f>
        <v>E-waste management</v>
      </c>
      <c r="K71" s="837" t="str">
        <f>IF(INPUTS!E71="","",INPUTS!E71)</f>
        <v>4.4.2</v>
      </c>
      <c r="L71" s="837"/>
      <c r="M71" s="837" t="str">
        <f>IF(INPUTS!F71="","",INPUTS!F71)</f>
        <v xml:space="preserve">E-waste refers to discarded electrical or electronic equipment and their parts without the intention of re-use. This indicator assesses if the government has e-waste management policies/laws which target proper disposal or mandate reuse of e-waste, among others. </v>
      </c>
      <c r="N71" s="821"/>
      <c r="O71" s="837" t="str">
        <f t="shared" ref="O71" si="76">IF(AG71=1,L71,M71)</f>
        <v xml:space="preserve">E-waste refers to discarded electrical or electronic equipment and their parts without the intention of re-use. This indicator assesses if the government has e-waste management policies/laws which target proper disposal or mandate reuse of e-waste, among others. </v>
      </c>
      <c r="P71" s="837" t="str">
        <f>IF(INPUTS!I71="","",INPUTS!I71)</f>
        <v>Does the city have a policy/law on e-waste?
0- No evidence of a policy
1- Has a policy on e-waste management and clear actions /initiatives to show for it</v>
      </c>
      <c r="Q71" s="821"/>
      <c r="R71" s="821"/>
      <c r="S71" s="837" t="str">
        <f>IF(INPUTS!J71="","",INPUTS!J71)</f>
        <v>Qualitative scoring by Economist Impact analysts</v>
      </c>
      <c r="T71" s="821"/>
      <c r="U71" s="821"/>
      <c r="V71" s="833">
        <v>4</v>
      </c>
      <c r="W71" s="837">
        <f>INPUTS!BC71</f>
        <v>2</v>
      </c>
      <c r="X71" s="838"/>
      <c r="Y71" s="837" t="s">
        <v>809</v>
      </c>
      <c r="Z71" s="837" t="str">
        <f>IF(INPUTS!K71="","",INPUTS!K71)</f>
        <v>Scale (0-1)</v>
      </c>
      <c r="AA71" s="837">
        <f>IF(INPUTS!L71="","",INPUTS!L71)</f>
        <v>2021</v>
      </c>
      <c r="AB71" s="837" t="str">
        <f>IF(INPUTS!M71="","",INPUTS!M71)</f>
        <v>Highest = best</v>
      </c>
      <c r="AC71" s="837" t="str">
        <f t="shared" si="73"/>
        <v>#,##0</v>
      </c>
      <c r="AD71" s="837">
        <f>IF(INPUTS!N71="","",INPUTS!N71)</f>
        <v>0</v>
      </c>
      <c r="AE71" s="837">
        <v>2</v>
      </c>
      <c r="AF71" s="837">
        <f t="shared" si="72"/>
        <v>0</v>
      </c>
      <c r="AG71" s="857">
        <v>3</v>
      </c>
      <c r="AH71" s="837">
        <v>0</v>
      </c>
      <c r="AI71" s="850">
        <v>1</v>
      </c>
      <c r="AJ71" s="838">
        <v>0</v>
      </c>
      <c r="AK71" s="838">
        <v>0</v>
      </c>
      <c r="AL71" s="837" t="str">
        <f t="shared" si="15"/>
        <v>4.4.2) E-waste management</v>
      </c>
      <c r="AM71" s="837" t="str">
        <f t="shared" si="16"/>
        <v>4.4.2) E-waste management</v>
      </c>
      <c r="AN71" s="837" t="str">
        <f t="shared" si="17"/>
        <v>4.4.2) 4.4.2</v>
      </c>
      <c r="AO71" s="837" t="str">
        <f>$AM$69</f>
        <v>4.4) Circular economy</v>
      </c>
      <c r="AP71" s="838">
        <f>MATCH($E71,Weights!$C$13:$C$106,0)</f>
        <v>94</v>
      </c>
      <c r="AQ71" s="838">
        <f>IF(ISERROR($AP71),1,INDEX(Weights!$G$13:$G$106,$AP71))</f>
        <v>2.6666666666666665</v>
      </c>
      <c r="AR71" s="837">
        <f t="shared" ref="AR71" si="77">IF(ISERROR(AQ71/SUMIF($F$2:$F$71,$F71,AQ$2:AQ$71)),0,AQ71/SUMIF($F$2:$F$71,$F71,AQ$2:AQ$71))</f>
        <v>0.38095238095238093</v>
      </c>
      <c r="AS71" s="836">
        <v>2</v>
      </c>
      <c r="AT71" s="837" t="str">
        <f>IF(INPUTS!Q71="","",INPUTS!Q71)</f>
        <v>Has a policy on e-waste management and clear actions /initiatives to show for it</v>
      </c>
      <c r="AU71" s="837" t="str">
        <f>IF(INPUTS!R71="","",INPUTS!R71)</f>
        <v>No evidence of policy</v>
      </c>
      <c r="AV71" s="837" t="str">
        <f>IF(INPUTS!S71="","",INPUTS!S71)</f>
        <v/>
      </c>
      <c r="AW71" s="837" t="str">
        <f>IF(INPUTS!T71="","",INPUTS!T71)</f>
        <v/>
      </c>
      <c r="AX71" s="837" t="str">
        <f>IF(INPUTS!U71="","",INPUTS!U71)</f>
        <v/>
      </c>
      <c r="AY71" s="973"/>
      <c r="AZ71" s="867" t="str">
        <f t="shared" ref="AZ71" si="78">"Weighted: "&amp;ROUND(AR71*100,1)&amp;"%"</f>
        <v>Weighted: 38.1%</v>
      </c>
    </row>
    <row r="72" spans="1:52" s="1028" customFormat="1" ht="15" customHeight="1">
      <c r="A72" s="1028">
        <f>A71+1</f>
        <v>71</v>
      </c>
      <c r="B72" s="1028">
        <v>1</v>
      </c>
      <c r="D72" s="1028" t="s">
        <v>803</v>
      </c>
      <c r="E72" s="1028" t="s">
        <v>879</v>
      </c>
      <c r="G72" s="1028">
        <v>2</v>
      </c>
      <c r="H72" s="1028">
        <v>1</v>
      </c>
      <c r="I72" s="1028" t="str">
        <f>IF(INPUTS!C72="","",INPUTS!C72)</f>
        <v>Background Indicators</v>
      </c>
      <c r="J72" s="1028" t="str">
        <f>IF(INPUTS!D72="","",INPUTS!D72)</f>
        <v>Background Indicators</v>
      </c>
      <c r="K72" s="1028" t="str">
        <f>IF(INPUTS!E72="","",INPUTS!E72)</f>
        <v/>
      </c>
      <c r="M72" s="1028" t="str">
        <f>IF(INPUTS!F72="","",INPUTS!F72)</f>
        <v/>
      </c>
      <c r="P72" s="1028" t="str">
        <f>IF(INPUTS!I72="","",INPUTS!I72)</f>
        <v/>
      </c>
      <c r="S72" s="1028" t="str">
        <f>IF(INPUTS!J72="","",INPUTS!J72)</f>
        <v/>
      </c>
      <c r="V72" s="1072">
        <v>4</v>
      </c>
      <c r="X72" s="1072"/>
      <c r="Z72" s="1028" t="str">
        <f>IF(INPUTS!K72="","",INPUTS!K72)</f>
        <v/>
      </c>
      <c r="AA72" s="1028" t="str">
        <f>IF(INPUTS!L72="","",INPUTS!L72)</f>
        <v/>
      </c>
      <c r="AB72" s="1028" t="str">
        <f>IF(INPUTS!M72="","",INPUTS!M72)</f>
        <v/>
      </c>
      <c r="AF72" s="1028">
        <f t="shared" si="72"/>
        <v>2</v>
      </c>
      <c r="AJ72" s="1072"/>
      <c r="AK72" s="1072"/>
    </row>
    <row r="73" spans="1:52" ht="15" customHeight="1">
      <c r="A73" s="17">
        <f t="shared" si="69"/>
        <v>72</v>
      </c>
      <c r="B73" s="634">
        <v>1</v>
      </c>
      <c r="C73" s="705"/>
      <c r="D73" s="17" t="s">
        <v>804</v>
      </c>
      <c r="E73" s="17" t="str">
        <f>$D$72&amp;H73</f>
        <v>BG.11_1</v>
      </c>
      <c r="F73" s="17" t="str">
        <f>$D$72</f>
        <v>BG.1</v>
      </c>
      <c r="G73" s="634">
        <v>3</v>
      </c>
      <c r="H73" s="17" t="s">
        <v>184</v>
      </c>
      <c r="I73" s="17" t="str">
        <f>IF(INPUTS!C73="","",INPUTS!C73)</f>
        <v>Real GDP growth</v>
      </c>
      <c r="J73" s="17" t="str">
        <f>IF(INPUTS!D73="","",INPUTS!D73)</f>
        <v>Real GDP growth</v>
      </c>
      <c r="K73" s="17" t="str">
        <f>IF(INPUTS!E73="","",INPUTS!E73)</f>
        <v>Real GDP growth</v>
      </c>
      <c r="M73" s="17" t="str">
        <f>IF(INPUTS!F73="","",INPUTS!F73)</f>
        <v>Real GDP (% change pa)</v>
      </c>
      <c r="O73" s="17" t="str">
        <f t="shared" ref="O73:O77" si="79">M73</f>
        <v>Real GDP (% change pa)</v>
      </c>
      <c r="S73" s="17" t="str">
        <f>IF(INPUTS!J73="","",INPUTS!J73)</f>
        <v>Economist Intelligence</v>
      </c>
      <c r="V73" s="1070">
        <v>4</v>
      </c>
      <c r="W73" s="1027">
        <v>4</v>
      </c>
      <c r="Y73" s="17" t="s">
        <v>584</v>
      </c>
      <c r="Z73" s="837" t="str">
        <f>IF(INPUTS!K73="","",INPUTS!K73)</f>
        <v>%</v>
      </c>
      <c r="AA73" s="837">
        <f>IF(INPUTS!L73="","",INPUTS!L73)</f>
        <v>2021</v>
      </c>
      <c r="AB73" s="837" t="str">
        <f>IF(INPUTS!M73="","",INPUTS!M73)</f>
        <v/>
      </c>
      <c r="AC73" s="17" t="str">
        <f t="shared" si="73"/>
        <v>#,##0.0</v>
      </c>
      <c r="AD73" s="837">
        <f>IF(INPUTS!N73="","",INPUTS!N73)</f>
        <v>1</v>
      </c>
      <c r="AE73" s="17">
        <v>1</v>
      </c>
      <c r="AF73" s="837">
        <f t="shared" si="72"/>
        <v>2</v>
      </c>
      <c r="AG73" s="859">
        <v>2</v>
      </c>
      <c r="AJ73" s="1073">
        <v>1</v>
      </c>
      <c r="AK73" s="1073">
        <v>1</v>
      </c>
      <c r="AL73" s="17" t="str">
        <f t="shared" ref="AL73:AL75" si="80">IF(H73="",I73,CONCATENATE(D73,") ",IF(G73&gt;=2,I73,UPPER(I73))))</f>
        <v>BG_1.1) Real GDP growth</v>
      </c>
      <c r="AM73" s="17" t="str">
        <f t="shared" ref="AM73:AM75" si="81">IF(H73="",J73,CONCATENATE(D73,") ",IF(G73&gt;=2,J73,UPPER(J73))))</f>
        <v>BG_1.1) Real GDP growth</v>
      </c>
      <c r="AN73" s="17" t="str">
        <f t="shared" ref="AN73:AN75" si="82">IF(H73="",K73,IF(G73=1,UPPER(K73),CONCATENATE(D73,") "&amp;K73)))</f>
        <v>BG_1.1) Real GDP growth</v>
      </c>
      <c r="AO73" s="17">
        <f>$AM$72</f>
        <v>0</v>
      </c>
      <c r="AS73" s="565">
        <v>1</v>
      </c>
      <c r="AT73" s="17"/>
      <c r="AU73" s="17"/>
      <c r="AV73" s="17"/>
      <c r="AW73" s="17"/>
      <c r="AX73" s="17"/>
      <c r="AZ73" s="17"/>
    </row>
    <row r="74" spans="1:52" ht="15" customHeight="1">
      <c r="A74" s="17">
        <f t="shared" si="69"/>
        <v>73</v>
      </c>
      <c r="B74" s="634">
        <v>1</v>
      </c>
      <c r="C74" s="705"/>
      <c r="D74" s="17" t="s">
        <v>805</v>
      </c>
      <c r="E74" s="17" t="str">
        <f t="shared" ref="E74:E77" si="83">$D$72&amp;H74</f>
        <v>BG.11_2</v>
      </c>
      <c r="F74" s="17" t="str">
        <f t="shared" ref="F74:F77" si="84">$D$72</f>
        <v>BG.1</v>
      </c>
      <c r="G74" s="634">
        <v>3</v>
      </c>
      <c r="H74" s="17" t="s">
        <v>185</v>
      </c>
      <c r="I74" s="17" t="str">
        <f>IF(INPUTS!C74="","",INPUTS!C74)</f>
        <v>Corruption</v>
      </c>
      <c r="J74" s="17" t="str">
        <f>IF(INPUTS!D74="","",INPUTS!D74)</f>
        <v>Corruption</v>
      </c>
      <c r="K74" s="17" t="str">
        <f>IF(INPUTS!E74="","",INPUTS!E74)</f>
        <v>Corruption</v>
      </c>
      <c r="M74" s="17" t="str">
        <f>IF(INPUTS!F74="","",INPUTS!F74)</f>
        <v>What is the country's operational business risk score  for official corruption?</v>
      </c>
      <c r="O74" s="17" t="str">
        <f t="shared" si="79"/>
        <v>What is the country's operational business risk score  for official corruption?</v>
      </c>
      <c r="S74" s="17" t="str">
        <f>IF(INPUTS!J74="","",INPUTS!J74)</f>
        <v>Economist Intelligence</v>
      </c>
      <c r="V74" s="1070">
        <v>4</v>
      </c>
      <c r="W74" s="1027">
        <v>4</v>
      </c>
      <c r="Y74" s="17" t="s">
        <v>584</v>
      </c>
      <c r="Z74" s="837" t="str">
        <f>IF(INPUTS!K74="","",INPUTS!K74)</f>
        <v>0-4 score</v>
      </c>
      <c r="AA74" s="837">
        <f>IF(INPUTS!L74="","",INPUTS!L74)</f>
        <v>2021</v>
      </c>
      <c r="AB74" s="837" t="str">
        <f>IF(INPUTS!M74="","",INPUTS!M74)</f>
        <v/>
      </c>
      <c r="AC74" s="17" t="str">
        <f t="shared" si="73"/>
        <v>#,##0.0</v>
      </c>
      <c r="AD74" s="837">
        <f>IF(INPUTS!N74="","",INPUTS!N74)</f>
        <v>1</v>
      </c>
      <c r="AE74" s="17">
        <v>1</v>
      </c>
      <c r="AF74" s="837">
        <f t="shared" si="72"/>
        <v>2</v>
      </c>
      <c r="AG74" s="859">
        <v>2</v>
      </c>
      <c r="AJ74" s="1073">
        <v>1</v>
      </c>
      <c r="AK74" s="1073">
        <v>1</v>
      </c>
      <c r="AL74" s="17" t="str">
        <f t="shared" si="80"/>
        <v>BG_1.2) Corruption</v>
      </c>
      <c r="AM74" s="17" t="str">
        <f t="shared" si="81"/>
        <v>BG_1.2) Corruption</v>
      </c>
      <c r="AN74" s="17" t="str">
        <f t="shared" si="82"/>
        <v>BG_1.2) Corruption</v>
      </c>
      <c r="AO74" s="17">
        <f t="shared" ref="AO74:AO77" si="85">$AM$72</f>
        <v>0</v>
      </c>
      <c r="AS74" s="828">
        <v>1</v>
      </c>
      <c r="AT74" s="17"/>
      <c r="AU74" s="17"/>
      <c r="AV74" s="17"/>
      <c r="AW74" s="17"/>
      <c r="AX74" s="17"/>
      <c r="AZ74" s="17"/>
    </row>
    <row r="75" spans="1:52" ht="15" customHeight="1">
      <c r="A75" s="17">
        <f t="shared" si="69"/>
        <v>74</v>
      </c>
      <c r="B75" s="634">
        <v>1</v>
      </c>
      <c r="C75" s="705"/>
      <c r="D75" s="17" t="s">
        <v>806</v>
      </c>
      <c r="E75" s="17" t="str">
        <f t="shared" si="83"/>
        <v>BG.11_3</v>
      </c>
      <c r="F75" s="17" t="str">
        <f t="shared" si="84"/>
        <v>BG.1</v>
      </c>
      <c r="G75" s="634">
        <v>3</v>
      </c>
      <c r="H75" s="17" t="s">
        <v>186</v>
      </c>
      <c r="I75" s="17" t="str">
        <f>IF(INPUTS!C75="","",INPUTS!C75)</f>
        <v>Human Development Index</v>
      </c>
      <c r="J75" s="17" t="str">
        <f>IF(INPUTS!D75="","",INPUTS!D75)</f>
        <v>Human Development Index</v>
      </c>
      <c r="K75" s="17" t="str">
        <f>IF(INPUTS!E75="","",INPUTS!E75)</f>
        <v>HDI</v>
      </c>
      <c r="M75" s="17" t="str">
        <f>IF(INPUTS!F75="","",INPUTS!F75)</f>
        <v>The Human Development Index is a statistic composite index of life expectancy, education, and per capita income indicators</v>
      </c>
      <c r="O75" s="17" t="str">
        <f t="shared" si="79"/>
        <v>The Human Development Index is a statistic composite index of life expectancy, education, and per capita income indicators</v>
      </c>
      <c r="S75" s="17" t="str">
        <f>IF(INPUTS!J75="","",INPUTS!J75)</f>
        <v>UNDP</v>
      </c>
      <c r="V75" s="1070">
        <v>4</v>
      </c>
      <c r="W75" s="1027">
        <v>4</v>
      </c>
      <c r="Y75" s="17" t="s">
        <v>584</v>
      </c>
      <c r="Z75" s="837" t="str">
        <f>IF(INPUTS!K75="","",INPUTS!K75)</f>
        <v>0-1 score (Fragmented into decimal points)</v>
      </c>
      <c r="AA75" s="837">
        <f>IF(INPUTS!L75="","",INPUTS!L75)</f>
        <v>2019</v>
      </c>
      <c r="AB75" s="837" t="str">
        <f>IF(INPUTS!M75="","",INPUTS!M75)</f>
        <v/>
      </c>
      <c r="AC75" s="17" t="str">
        <f t="shared" si="73"/>
        <v>#,##0.000</v>
      </c>
      <c r="AD75" s="837">
        <f>IF(INPUTS!N75="","",INPUTS!N75)</f>
        <v>3</v>
      </c>
      <c r="AE75" s="17">
        <v>1</v>
      </c>
      <c r="AF75" s="837">
        <f t="shared" si="72"/>
        <v>2</v>
      </c>
      <c r="AG75" s="859">
        <v>2</v>
      </c>
      <c r="AJ75" s="1073">
        <v>1</v>
      </c>
      <c r="AK75" s="1073">
        <v>1</v>
      </c>
      <c r="AL75" s="17" t="str">
        <f t="shared" si="80"/>
        <v>BG_1.3) Human Development Index</v>
      </c>
      <c r="AM75" s="17" t="str">
        <f t="shared" si="81"/>
        <v>BG_1.3) Human Development Index</v>
      </c>
      <c r="AN75" s="17" t="str">
        <f t="shared" si="82"/>
        <v>BG_1.3) HDI</v>
      </c>
      <c r="AO75" s="17">
        <f t="shared" si="85"/>
        <v>0</v>
      </c>
      <c r="AS75" s="828">
        <v>1</v>
      </c>
      <c r="AT75" s="17"/>
      <c r="AU75" s="17"/>
      <c r="AV75" s="17"/>
      <c r="AW75" s="17"/>
      <c r="AX75" s="17"/>
      <c r="AZ75" s="17"/>
    </row>
    <row r="76" spans="1:52" s="367" customFormat="1" ht="15" customHeight="1">
      <c r="A76" s="17">
        <f t="shared" si="69"/>
        <v>75</v>
      </c>
      <c r="B76" s="700">
        <v>1</v>
      </c>
      <c r="C76" s="705"/>
      <c r="D76" s="17" t="s">
        <v>807</v>
      </c>
      <c r="E76" s="17" t="str">
        <f t="shared" si="83"/>
        <v>BG.11_4</v>
      </c>
      <c r="F76" s="17" t="str">
        <f t="shared" si="84"/>
        <v>BG.1</v>
      </c>
      <c r="G76" s="700">
        <v>3</v>
      </c>
      <c r="H76" s="17" t="s">
        <v>579</v>
      </c>
      <c r="I76" s="17" t="str">
        <f>IF(INPUTS!C76="","",INPUTS!C76)</f>
        <v>Gender Inequality Index</v>
      </c>
      <c r="J76" s="17" t="str">
        <f>IF(INPUTS!D76="","",INPUTS!D76)</f>
        <v>Gender Inequality Index</v>
      </c>
      <c r="K76" s="17" t="str">
        <f>IF(INPUTS!E76="","",INPUTS!E76)</f>
        <v>GII</v>
      </c>
      <c r="L76" s="17"/>
      <c r="M76" s="17" t="str">
        <f>IF(INPUTS!F76="","",INPUTS!F76)</f>
        <v>To expose differences in the distribution of achievements between women and men.</v>
      </c>
      <c r="N76" s="17"/>
      <c r="O76" s="17" t="str">
        <f t="shared" si="79"/>
        <v>To expose differences in the distribution of achievements between women and men.</v>
      </c>
      <c r="P76" s="17"/>
      <c r="Q76" s="17"/>
      <c r="R76" s="17"/>
      <c r="S76" s="17" t="str">
        <f>IF(INPUTS!J76="","",INPUTS!J76)</f>
        <v>UNDP</v>
      </c>
      <c r="T76" s="17"/>
      <c r="U76" s="17"/>
      <c r="V76" s="1070">
        <v>4</v>
      </c>
      <c r="W76" s="1027">
        <v>4</v>
      </c>
      <c r="X76" s="1073"/>
      <c r="Y76" s="17" t="s">
        <v>584</v>
      </c>
      <c r="Z76" s="837" t="str">
        <f>IF(INPUTS!K76="","",INPUTS!K76)</f>
        <v>0-1 score (Fragmented into decimal points)</v>
      </c>
      <c r="AA76" s="837">
        <f>IF(INPUTS!L76="","",INPUTS!L76)</f>
        <v>2019</v>
      </c>
      <c r="AB76" s="837" t="str">
        <f>IF(INPUTS!M76="","",INPUTS!M76)</f>
        <v/>
      </c>
      <c r="AC76" s="17" t="str">
        <f t="shared" si="73"/>
        <v>#,##0.000</v>
      </c>
      <c r="AD76" s="837">
        <f>IF(INPUTS!N76="","",INPUTS!N76)</f>
        <v>3</v>
      </c>
      <c r="AE76" s="17">
        <v>1</v>
      </c>
      <c r="AF76" s="837">
        <f t="shared" si="72"/>
        <v>2</v>
      </c>
      <c r="AG76" s="859">
        <v>2</v>
      </c>
      <c r="AH76" s="852"/>
      <c r="AI76" s="853"/>
      <c r="AJ76" s="1073">
        <v>1</v>
      </c>
      <c r="AK76" s="1073">
        <v>1</v>
      </c>
      <c r="AL76" s="17" t="str">
        <f t="shared" ref="AL76:AL77" si="86">IF(H76="",I76,CONCATENATE(D76,") ",IF(G76&gt;=2,I76,UPPER(I76))))</f>
        <v>BG_1.4) Gender Inequality Index</v>
      </c>
      <c r="AM76" s="17" t="str">
        <f t="shared" ref="AM76:AM77" si="87">IF(H76="",J76,CONCATENATE(D76,") ",IF(G76&gt;=2,J76,UPPER(J76))))</f>
        <v>BG_1.4) Gender Inequality Index</v>
      </c>
      <c r="AN76" s="17" t="str">
        <f t="shared" ref="AN76:AN77" si="88">IF(H76="",K76,IF(G76=1,UPPER(K76),CONCATENATE(D76,") "&amp;K76)))</f>
        <v>BG_1.4) GII</v>
      </c>
      <c r="AO76" s="17">
        <f t="shared" si="85"/>
        <v>0</v>
      </c>
      <c r="AP76" s="700"/>
      <c r="AQ76" s="700"/>
      <c r="AR76" s="17"/>
      <c r="AS76" s="828">
        <v>1</v>
      </c>
      <c r="AT76" s="17"/>
      <c r="AU76" s="17"/>
      <c r="AV76" s="17"/>
      <c r="AW76" s="17"/>
      <c r="AX76" s="17"/>
      <c r="AY76" s="971"/>
      <c r="AZ76" s="17"/>
    </row>
    <row r="77" spans="1:52" s="367" customFormat="1" ht="15" customHeight="1">
      <c r="A77" s="17">
        <f t="shared" si="69"/>
        <v>76</v>
      </c>
      <c r="B77" s="700">
        <v>1</v>
      </c>
      <c r="C77" s="705"/>
      <c r="D77" s="17" t="s">
        <v>808</v>
      </c>
      <c r="E77" s="17" t="str">
        <f t="shared" si="83"/>
        <v>BG.11_5</v>
      </c>
      <c r="F77" s="17" t="str">
        <f t="shared" si="84"/>
        <v>BG.1</v>
      </c>
      <c r="G77" s="700">
        <v>3</v>
      </c>
      <c r="H77" s="17" t="s">
        <v>580</v>
      </c>
      <c r="I77" s="17" t="str">
        <f>IF(INPUTS!C77="","",INPUTS!C77)</f>
        <v>Per capita income</v>
      </c>
      <c r="J77" s="17" t="str">
        <f>IF(INPUTS!D77="","",INPUTS!D77)</f>
        <v>Per capita income</v>
      </c>
      <c r="K77" s="17" t="str">
        <f>IF(INPUTS!E77="","",INPUTS!E77)</f>
        <v>BG5</v>
      </c>
      <c r="L77" s="17"/>
      <c r="M77" s="17" t="str">
        <f>IF(INPUTS!F77="","",INPUTS!F77)</f>
        <v>The total value of personal income after taxes and deductions divided by total population.</v>
      </c>
      <c r="N77" s="17"/>
      <c r="O77" s="17" t="str">
        <f t="shared" si="79"/>
        <v>The total value of personal income after taxes and deductions divided by total population.</v>
      </c>
      <c r="P77" s="17"/>
      <c r="Q77" s="17"/>
      <c r="R77" s="17"/>
      <c r="S77" s="17" t="str">
        <f>IF(INPUTS!J77="","",INPUTS!J77)</f>
        <v>Economist Intelligence</v>
      </c>
      <c r="T77" s="17"/>
      <c r="U77" s="17"/>
      <c r="V77" s="1070">
        <v>4</v>
      </c>
      <c r="W77" s="1027">
        <v>4</v>
      </c>
      <c r="X77" s="1073"/>
      <c r="Y77" s="17" t="s">
        <v>584</v>
      </c>
      <c r="Z77" s="837" t="str">
        <f>IF(INPUTS!K77="","",INPUTS!K77)</f>
        <v>per head, US$</v>
      </c>
      <c r="AA77" s="837">
        <f>IF(INPUTS!L77="","",INPUTS!L77)</f>
        <v>2021</v>
      </c>
      <c r="AB77" s="837" t="str">
        <f>IF(INPUTS!M77="","",INPUTS!M77)</f>
        <v/>
      </c>
      <c r="AC77" s="17" t="str">
        <f t="shared" si="73"/>
        <v>#,##0</v>
      </c>
      <c r="AD77" s="837">
        <f>IF(INPUTS!N77="","",INPUTS!N77)</f>
        <v>0</v>
      </c>
      <c r="AE77" s="17">
        <v>3</v>
      </c>
      <c r="AF77" s="837">
        <f t="shared" si="72"/>
        <v>2</v>
      </c>
      <c r="AG77" s="859">
        <v>2</v>
      </c>
      <c r="AH77" s="852"/>
      <c r="AI77" s="853"/>
      <c r="AJ77" s="1073">
        <v>1</v>
      </c>
      <c r="AK77" s="1073">
        <v>1</v>
      </c>
      <c r="AL77" s="17" t="str">
        <f t="shared" si="86"/>
        <v>BG_1.5) Per capita income</v>
      </c>
      <c r="AM77" s="17" t="str">
        <f t="shared" si="87"/>
        <v>BG_1.5) Per capita income</v>
      </c>
      <c r="AN77" s="17" t="str">
        <f t="shared" si="88"/>
        <v>BG_1.5) BG5</v>
      </c>
      <c r="AO77" s="17">
        <f t="shared" si="85"/>
        <v>0</v>
      </c>
      <c r="AP77" s="700"/>
      <c r="AQ77" s="700"/>
      <c r="AR77" s="17"/>
      <c r="AS77" s="828">
        <v>1</v>
      </c>
      <c r="AT77" s="17"/>
      <c r="AU77" s="17"/>
      <c r="AV77" s="17"/>
      <c r="AW77" s="17"/>
      <c r="AX77" s="17"/>
      <c r="AY77" s="971"/>
      <c r="AZ77" s="17"/>
    </row>
    <row r="78" spans="1:52" ht="15" customHeight="1">
      <c r="W78" s="1027"/>
      <c r="Z78" s="837" t="str">
        <f>IF(INPUTS!K78="","",INPUTS!K78)</f>
        <v/>
      </c>
      <c r="AA78" s="837" t="str">
        <f>IF(INPUTS!L78="","",INPUTS!L78)</f>
        <v/>
      </c>
      <c r="AB78" s="837" t="str">
        <f>IF(INPUTS!M78="","",INPUTS!M78)</f>
        <v/>
      </c>
      <c r="AD78" s="837" t="str">
        <f>IF(INPUTS!N78="","",INPUTS!N78)</f>
        <v/>
      </c>
      <c r="AT78" s="17"/>
      <c r="AU78" s="17"/>
      <c r="AV78" s="17"/>
      <c r="AW78" s="17"/>
      <c r="AX78" s="17"/>
      <c r="AZ78" s="17"/>
    </row>
    <row r="79" spans="1:52" ht="15" customHeight="1">
      <c r="W79" s="1027"/>
      <c r="Z79" s="837" t="str">
        <f>IF(INPUTS!K79="","",INPUTS!K79)</f>
        <v/>
      </c>
      <c r="AA79" s="837" t="str">
        <f>IF(INPUTS!L79="","",INPUTS!L79)</f>
        <v/>
      </c>
      <c r="AB79" s="837" t="str">
        <f>IF(INPUTS!M79="","",INPUTS!M79)</f>
        <v/>
      </c>
      <c r="AD79" s="837" t="str">
        <f>IF(INPUTS!N79="","",INPUTS!N79)</f>
        <v/>
      </c>
      <c r="AT79" s="17"/>
      <c r="AU79" s="17"/>
      <c r="AV79" s="17"/>
      <c r="AW79" s="17"/>
      <c r="AX79" s="17"/>
      <c r="AZ79" s="17"/>
    </row>
    <row r="80" spans="1:52" ht="15" customHeight="1">
      <c r="W80" s="1027"/>
      <c r="AD80" s="837" t="str">
        <f>IF(INPUTS!N80="","",INPUTS!N80)</f>
        <v/>
      </c>
    </row>
    <row r="81" spans="23:23" ht="15" customHeight="1">
      <c r="W81" s="1027"/>
    </row>
  </sheetData>
  <phoneticPr fontId="74" type="noConversion"/>
  <conditionalFormatting sqref="A2:I2 AO2:XFD4 AO37:AR37 T2:V2 AO5:AS36 AO38:AS71 I3:I71 Q2:R71 N2:N71 AY5:XFD71 T3:W71 A3:G71">
    <cfRule type="expression" dxfId="122" priority="129">
      <formula>$G2=1</formula>
    </cfRule>
    <cfRule type="expression" dxfId="121" priority="130">
      <formula>$G2=2</formula>
    </cfRule>
  </conditionalFormatting>
  <conditionalFormatting sqref="H3:H71">
    <cfRule type="expression" dxfId="120" priority="127">
      <formula>$G3=1</formula>
    </cfRule>
    <cfRule type="expression" dxfId="119" priority="128">
      <formula>$G3=2</formula>
    </cfRule>
  </conditionalFormatting>
  <conditionalFormatting sqref="J2:J71">
    <cfRule type="expression" dxfId="118" priority="125">
      <formula>$G2=1</formula>
    </cfRule>
    <cfRule type="expression" dxfId="117" priority="126">
      <formula>$G2=2</formula>
    </cfRule>
  </conditionalFormatting>
  <conditionalFormatting sqref="K2:K71">
    <cfRule type="expression" dxfId="116" priority="123">
      <formula>$G2=1</formula>
    </cfRule>
    <cfRule type="expression" dxfId="115" priority="124">
      <formula>$G2=2</formula>
    </cfRule>
  </conditionalFormatting>
  <conditionalFormatting sqref="M2 M4:M71">
    <cfRule type="expression" dxfId="114" priority="121">
      <formula>$G2=1</formula>
    </cfRule>
    <cfRule type="expression" dxfId="113" priority="122">
      <formula>$G2=2</formula>
    </cfRule>
  </conditionalFormatting>
  <conditionalFormatting sqref="Z2">
    <cfRule type="expression" dxfId="112" priority="119">
      <formula>$G2=1</formula>
    </cfRule>
    <cfRule type="expression" dxfId="111" priority="120">
      <formula>$G2=2</formula>
    </cfRule>
  </conditionalFormatting>
  <conditionalFormatting sqref="Z3:Z4">
    <cfRule type="expression" dxfId="110" priority="117">
      <formula>$G3=1</formula>
    </cfRule>
    <cfRule type="expression" dxfId="109" priority="118">
      <formula>$G3=2</formula>
    </cfRule>
  </conditionalFormatting>
  <conditionalFormatting sqref="AL2:AN71">
    <cfRule type="expression" dxfId="108" priority="115">
      <formula>$G2=1</formula>
    </cfRule>
    <cfRule type="expression" dxfId="107" priority="116">
      <formula>$G2=2</formula>
    </cfRule>
  </conditionalFormatting>
  <conditionalFormatting sqref="L2:L71">
    <cfRule type="expression" dxfId="106" priority="113">
      <formula>$G2=1</formula>
    </cfRule>
    <cfRule type="expression" dxfId="105" priority="114">
      <formula>$G2=2</formula>
    </cfRule>
  </conditionalFormatting>
  <conditionalFormatting sqref="Y2">
    <cfRule type="expression" dxfId="104" priority="111">
      <formula>$G2=1</formula>
    </cfRule>
    <cfRule type="expression" dxfId="103" priority="112">
      <formula>$G2=2</formula>
    </cfRule>
  </conditionalFormatting>
  <conditionalFormatting sqref="Y3:Y71">
    <cfRule type="expression" dxfId="102" priority="109">
      <formula>$G3=1</formula>
    </cfRule>
    <cfRule type="expression" dxfId="101" priority="110">
      <formula>$G3=2</formula>
    </cfRule>
  </conditionalFormatting>
  <conditionalFormatting sqref="S3:S71">
    <cfRule type="expression" dxfId="100" priority="105">
      <formula>$G3=1</formula>
    </cfRule>
    <cfRule type="expression" dxfId="99" priority="106">
      <formula>$G3=2</formula>
    </cfRule>
  </conditionalFormatting>
  <conditionalFormatting sqref="AG2:AI2">
    <cfRule type="expression" dxfId="98" priority="103">
      <formula>$G2=1</formula>
    </cfRule>
    <cfRule type="expression" dxfId="97" priority="104">
      <formula>$G2=2</formula>
    </cfRule>
  </conditionalFormatting>
  <conditionalFormatting sqref="AG3:AI71">
    <cfRule type="expression" dxfId="96" priority="101">
      <formula>$G3=1</formula>
    </cfRule>
    <cfRule type="expression" dxfId="95" priority="102">
      <formula>$G3=2</formula>
    </cfRule>
  </conditionalFormatting>
  <conditionalFormatting sqref="AA2:AE2 AB3:AB4">
    <cfRule type="expression" dxfId="94" priority="99">
      <formula>$G2=1</formula>
    </cfRule>
    <cfRule type="expression" dxfId="93" priority="100">
      <formula>$G2=2</formula>
    </cfRule>
  </conditionalFormatting>
  <conditionalFormatting sqref="AA3:AA4 AC3:AF4 AC5:AC71 AE5:AF71">
    <cfRule type="expression" dxfId="92" priority="97">
      <formula>$G3=1</formula>
    </cfRule>
    <cfRule type="expression" dxfId="91" priority="98">
      <formula>$G3=2</formula>
    </cfRule>
  </conditionalFormatting>
  <conditionalFormatting sqref="P2:P4 P6:P71">
    <cfRule type="expression" dxfId="90" priority="95">
      <formula>$G2=1</formula>
    </cfRule>
    <cfRule type="expression" dxfId="89" priority="96">
      <formula>$G2=2</formula>
    </cfRule>
  </conditionalFormatting>
  <conditionalFormatting sqref="O2:O71">
    <cfRule type="expression" dxfId="88" priority="93">
      <formula>$G2=1</formula>
    </cfRule>
    <cfRule type="expression" dxfId="87" priority="94">
      <formula>$G2=2</formula>
    </cfRule>
  </conditionalFormatting>
  <conditionalFormatting sqref="AS37">
    <cfRule type="expression" dxfId="86" priority="79">
      <formula>$G37=1</formula>
    </cfRule>
    <cfRule type="expression" dxfId="85" priority="80">
      <formula>$G37=2</formula>
    </cfRule>
  </conditionalFormatting>
  <conditionalFormatting sqref="M3">
    <cfRule type="expression" dxfId="84" priority="67">
      <formula>$G3=1</formula>
    </cfRule>
    <cfRule type="expression" dxfId="83" priority="68">
      <formula>$G3=2</formula>
    </cfRule>
  </conditionalFormatting>
  <conditionalFormatting sqref="P5">
    <cfRule type="expression" dxfId="82" priority="65">
      <formula>$G5=1</formula>
    </cfRule>
    <cfRule type="expression" dxfId="81" priority="66">
      <formula>$G5=2</formula>
    </cfRule>
  </conditionalFormatting>
  <conditionalFormatting sqref="Z5:AB8 A72:W72 AL72:XFD72 Y72:AI72 Z10:AB13 Z9:AA9 Z15:AB16 Z14:AA14 Z19:AB21 Z17:AA18 Z23:AB25 Z22:AA22 Z27:AB28 Z26:AA26 Z30:AB32 Z29:AA29 Z34:AB34 Z33:AA33 Z36:AB37 Z35:AA35 Z40:AB42 Z38:AA39 Z43:AA43 Z49:AA49 Z56:AB57 Z55:AA55 Z60:AB62 Z58:AA59 Z64:AB66 Z63:AA63 Z68:AB68 Z67:AA67 Z70:AB79 Z69:AA69 Z44:AB48 Z50:AB54">
    <cfRule type="expression" dxfId="80" priority="63">
      <formula>$G5=1</formula>
    </cfRule>
    <cfRule type="expression" dxfId="79" priority="64">
      <formula>$G5=2</formula>
    </cfRule>
  </conditionalFormatting>
  <conditionalFormatting sqref="AD5:AD80">
    <cfRule type="expression" dxfId="78" priority="61">
      <formula>$G5=1</formula>
    </cfRule>
    <cfRule type="expression" dxfId="77" priority="62">
      <formula>$G5=2</formula>
    </cfRule>
  </conditionalFormatting>
  <conditionalFormatting sqref="AT5:AX71">
    <cfRule type="expression" dxfId="76" priority="59">
      <formula>$G5=1</formula>
    </cfRule>
    <cfRule type="expression" dxfId="75" priority="60">
      <formula>$G5=2</formula>
    </cfRule>
  </conditionalFormatting>
  <conditionalFormatting sqref="W2">
    <cfRule type="expression" dxfId="74" priority="57">
      <formula>$G2=1</formula>
    </cfRule>
    <cfRule type="expression" dxfId="73" priority="58">
      <formula>$G2=2</formula>
    </cfRule>
  </conditionalFormatting>
  <conditionalFormatting sqref="AK2">
    <cfRule type="expression" dxfId="72" priority="55">
      <formula>$G2=1</formula>
    </cfRule>
    <cfRule type="expression" dxfId="71" priority="56">
      <formula>$G2=2</formula>
    </cfRule>
  </conditionalFormatting>
  <conditionalFormatting sqref="AK3:AK71">
    <cfRule type="expression" dxfId="70" priority="53">
      <formula>$G3=1</formula>
    </cfRule>
    <cfRule type="expression" dxfId="69" priority="54">
      <formula>$G3=2</formula>
    </cfRule>
  </conditionalFormatting>
  <conditionalFormatting sqref="AK72">
    <cfRule type="expression" dxfId="68" priority="51">
      <formula>$G72=1</formula>
    </cfRule>
    <cfRule type="expression" dxfId="67" priority="52">
      <formula>$G72=2</formula>
    </cfRule>
  </conditionalFormatting>
  <conditionalFormatting sqref="AJ2">
    <cfRule type="expression" dxfId="66" priority="49">
      <formula>$G2=1</formula>
    </cfRule>
    <cfRule type="expression" dxfId="65" priority="50">
      <formula>$G2=2</formula>
    </cfRule>
  </conditionalFormatting>
  <conditionalFormatting sqref="AJ3:AJ71">
    <cfRule type="expression" dxfId="64" priority="47">
      <formula>$G3=1</formula>
    </cfRule>
    <cfRule type="expression" dxfId="63" priority="48">
      <formula>$G3=2</formula>
    </cfRule>
  </conditionalFormatting>
  <conditionalFormatting sqref="AJ72">
    <cfRule type="expression" dxfId="62" priority="45">
      <formula>$G72=1</formula>
    </cfRule>
    <cfRule type="expression" dxfId="61" priority="46">
      <formula>$G72=2</formula>
    </cfRule>
  </conditionalFormatting>
  <conditionalFormatting sqref="X2">
    <cfRule type="expression" dxfId="60" priority="43">
      <formula>$G2=1</formula>
    </cfRule>
    <cfRule type="expression" dxfId="59" priority="44">
      <formula>$G2=2</formula>
    </cfRule>
  </conditionalFormatting>
  <conditionalFormatting sqref="X3:X71">
    <cfRule type="expression" dxfId="58" priority="41">
      <formula>$G3=1</formula>
    </cfRule>
    <cfRule type="expression" dxfId="57" priority="42">
      <formula>$G3=2</formula>
    </cfRule>
  </conditionalFormatting>
  <conditionalFormatting sqref="X72">
    <cfRule type="expression" dxfId="56" priority="39">
      <formula>$G72=1</formula>
    </cfRule>
    <cfRule type="expression" dxfId="55" priority="40">
      <formula>$G72=2</formula>
    </cfRule>
  </conditionalFormatting>
  <conditionalFormatting sqref="AF73:AF77">
    <cfRule type="expression" dxfId="54" priority="37">
      <formula>$G73=1</formula>
    </cfRule>
    <cfRule type="expression" dxfId="53" priority="38">
      <formula>$G73=2</formula>
    </cfRule>
  </conditionalFormatting>
  <conditionalFormatting sqref="S2">
    <cfRule type="expression" dxfId="52" priority="35">
      <formula>$G2=1</formula>
    </cfRule>
    <cfRule type="expression" dxfId="51" priority="36">
      <formula>$G2=2</formula>
    </cfRule>
  </conditionalFormatting>
  <conditionalFormatting sqref="AF2">
    <cfRule type="expression" dxfId="50" priority="33">
      <formula>$G2=1</formula>
    </cfRule>
    <cfRule type="expression" dxfId="49" priority="34">
      <formula>$G2=2</formula>
    </cfRule>
  </conditionalFormatting>
  <conditionalFormatting sqref="AB9">
    <cfRule type="expression" dxfId="48" priority="31">
      <formula>$G9=1</formula>
    </cfRule>
    <cfRule type="expression" dxfId="47" priority="32">
      <formula>$G9=2</formula>
    </cfRule>
  </conditionalFormatting>
  <conditionalFormatting sqref="AB14">
    <cfRule type="expression" dxfId="46" priority="29">
      <formula>$G14=1</formula>
    </cfRule>
    <cfRule type="expression" dxfId="45" priority="30">
      <formula>$G14=2</formula>
    </cfRule>
  </conditionalFormatting>
  <conditionalFormatting sqref="AB17:AB18">
    <cfRule type="expression" dxfId="44" priority="27">
      <formula>$G17=1</formula>
    </cfRule>
    <cfRule type="expression" dxfId="43" priority="28">
      <formula>$G17=2</formula>
    </cfRule>
  </conditionalFormatting>
  <conditionalFormatting sqref="AB22">
    <cfRule type="expression" dxfId="42" priority="25">
      <formula>$G22=1</formula>
    </cfRule>
    <cfRule type="expression" dxfId="41" priority="26">
      <formula>$G22=2</formula>
    </cfRule>
  </conditionalFormatting>
  <conditionalFormatting sqref="AB26">
    <cfRule type="expression" dxfId="40" priority="23">
      <formula>$G26=1</formula>
    </cfRule>
    <cfRule type="expression" dxfId="39" priority="24">
      <formula>$G26=2</formula>
    </cfRule>
  </conditionalFormatting>
  <conditionalFormatting sqref="AB29">
    <cfRule type="expression" dxfId="38" priority="21">
      <formula>$G29=1</formula>
    </cfRule>
    <cfRule type="expression" dxfId="37" priority="22">
      <formula>$G29=2</formula>
    </cfRule>
  </conditionalFormatting>
  <conditionalFormatting sqref="AB33">
    <cfRule type="expression" dxfId="36" priority="19">
      <formula>$G33=1</formula>
    </cfRule>
    <cfRule type="expression" dxfId="35" priority="20">
      <formula>$G33=2</formula>
    </cfRule>
  </conditionalFormatting>
  <conditionalFormatting sqref="AB35">
    <cfRule type="expression" dxfId="34" priority="17">
      <formula>$G35=1</formula>
    </cfRule>
    <cfRule type="expression" dxfId="33" priority="18">
      <formula>$G35=2</formula>
    </cfRule>
  </conditionalFormatting>
  <conditionalFormatting sqref="AB38:AB39">
    <cfRule type="expression" dxfId="32" priority="15">
      <formula>$G38=1</formula>
    </cfRule>
    <cfRule type="expression" dxfId="31" priority="16">
      <formula>$G38=2</formula>
    </cfRule>
  </conditionalFormatting>
  <conditionalFormatting sqref="AB43">
    <cfRule type="expression" dxfId="30" priority="13">
      <formula>$G43=1</formula>
    </cfRule>
    <cfRule type="expression" dxfId="29" priority="14">
      <formula>$G43=2</formula>
    </cfRule>
  </conditionalFormatting>
  <conditionalFormatting sqref="AB49">
    <cfRule type="expression" dxfId="28" priority="11">
      <formula>$G49=1</formula>
    </cfRule>
    <cfRule type="expression" dxfId="27" priority="12">
      <formula>$G49=2</formula>
    </cfRule>
  </conditionalFormatting>
  <conditionalFormatting sqref="AB55">
    <cfRule type="expression" dxfId="26" priority="9">
      <formula>$G55=1</formula>
    </cfRule>
    <cfRule type="expression" dxfId="25" priority="10">
      <formula>$G55=2</formula>
    </cfRule>
  </conditionalFormatting>
  <conditionalFormatting sqref="AB58:AB59">
    <cfRule type="expression" dxfId="24" priority="7">
      <formula>$G58=1</formula>
    </cfRule>
    <cfRule type="expression" dxfId="23" priority="8">
      <formula>$G58=2</formula>
    </cfRule>
  </conditionalFormatting>
  <conditionalFormatting sqref="AB63">
    <cfRule type="expression" dxfId="22" priority="5">
      <formula>$G63=1</formula>
    </cfRule>
    <cfRule type="expression" dxfId="21" priority="6">
      <formula>$G63=2</formula>
    </cfRule>
  </conditionalFormatting>
  <conditionalFormatting sqref="AB67">
    <cfRule type="expression" dxfId="20" priority="3">
      <formula>$G67=1</formula>
    </cfRule>
    <cfRule type="expression" dxfId="19" priority="4">
      <formula>$G67=2</formula>
    </cfRule>
  </conditionalFormatting>
  <conditionalFormatting sqref="AB69">
    <cfRule type="expression" dxfId="18" priority="1">
      <formula>$G69=1</formula>
    </cfRule>
    <cfRule type="expression" dxfId="17" priority="2">
      <formula>$G69=2</formula>
    </cfRule>
  </conditionalFormatting>
  <pageMargins left="0.55118110236220474" right="0.55118110236220474" top="0.59055118110236227" bottom="0.78740157480314965" header="0.51181102362204722" footer="0.51181102362204722"/>
  <pageSetup paperSize="9" scale="26" orientation="landscape" r:id="rId1"/>
  <headerFooter alignWithMargins="0">
    <oddHeader>&amp;RCity Water Optimization Index: 2020</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pageSetUpPr fitToPage="1"/>
  </sheetPr>
  <dimension ref="A1:AK319"/>
  <sheetViews>
    <sheetView showRowColHeaders="0" topLeftCell="A67" zoomScaleNormal="100" workbookViewId="0">
      <selection activeCell="D67" sqref="D67"/>
    </sheetView>
  </sheetViews>
  <sheetFormatPr defaultColWidth="9.1796875" defaultRowHeight="10.5"/>
  <cols>
    <col min="1" max="1" width="30.7265625" style="24" bestFit="1" customWidth="1"/>
    <col min="2" max="2" width="21" style="24" customWidth="1"/>
    <col min="3" max="3" width="52.7265625" style="24" bestFit="1" customWidth="1"/>
    <col min="4" max="4" width="28" style="24" bestFit="1" customWidth="1"/>
    <col min="5" max="7" width="8.26953125" style="24" customWidth="1"/>
    <col min="8" max="8" width="14.7265625" style="24" customWidth="1"/>
    <col min="9" max="10" width="8.26953125" style="24" customWidth="1"/>
    <col min="11" max="11" width="23.1796875" style="24" customWidth="1"/>
    <col min="12" max="12" width="22" style="24" customWidth="1"/>
    <col min="13" max="31" width="8.26953125" style="24" customWidth="1"/>
    <col min="32" max="16384" width="9.1796875" style="24"/>
  </cols>
  <sheetData>
    <row r="1" spans="1:29" ht="15" customHeight="1">
      <c r="A1" s="26" t="s">
        <v>37</v>
      </c>
      <c r="B1" s="24">
        <f>COUNTA(luCities)</f>
        <v>30</v>
      </c>
      <c r="C1" s="26">
        <f>B1</f>
        <v>30</v>
      </c>
      <c r="D1" s="24">
        <v>25</v>
      </c>
      <c r="G1" s="26" t="s">
        <v>487</v>
      </c>
      <c r="H1" s="26" t="s">
        <v>275</v>
      </c>
      <c r="I1" s="334"/>
      <c r="M1" s="375"/>
    </row>
    <row r="2" spans="1:29" ht="19.5" customHeight="1">
      <c r="A2" s="26" t="s">
        <v>66</v>
      </c>
      <c r="B2" s="24">
        <v>8</v>
      </c>
      <c r="G2" s="524"/>
      <c r="H2" s="525"/>
      <c r="I2" s="334"/>
      <c r="M2" s="371"/>
    </row>
    <row r="3" spans="1:29" ht="15" customHeight="1">
      <c r="A3" s="24" t="s">
        <v>9</v>
      </c>
      <c r="B3" s="24">
        <v>1</v>
      </c>
      <c r="G3" s="526"/>
      <c r="H3" s="527"/>
      <c r="I3" s="334"/>
      <c r="M3" s="301"/>
    </row>
    <row r="4" spans="1:29" ht="15" customHeight="1">
      <c r="A4" s="26" t="s">
        <v>119</v>
      </c>
      <c r="B4" s="25">
        <v>1</v>
      </c>
      <c r="C4" s="24">
        <v>1</v>
      </c>
      <c r="G4" s="26"/>
      <c r="H4" s="26"/>
      <c r="I4" s="334"/>
      <c r="M4" s="371"/>
    </row>
    <row r="5" spans="1:29" ht="15" customHeight="1">
      <c r="A5" s="26" t="s">
        <v>149</v>
      </c>
      <c r="B5" s="26">
        <f>iWeights1!W3</f>
        <v>0</v>
      </c>
      <c r="C5" s="26" t="s">
        <v>288</v>
      </c>
      <c r="D5" s="26" t="s">
        <v>40</v>
      </c>
      <c r="E5" s="27" t="s">
        <v>611</v>
      </c>
      <c r="F5" s="27" t="s">
        <v>129</v>
      </c>
      <c r="G5" s="26"/>
      <c r="H5" s="26"/>
      <c r="I5" s="335"/>
      <c r="J5" s="26"/>
      <c r="K5" s="31" t="s">
        <v>250</v>
      </c>
      <c r="L5" s="31"/>
      <c r="M5" s="371"/>
      <c r="N5" s="31"/>
    </row>
    <row r="6" spans="1:29" ht="15" customHeight="1">
      <c r="A6" s="26" t="s">
        <v>612</v>
      </c>
      <c r="B6" s="66">
        <v>1</v>
      </c>
      <c r="C6" s="26" t="str">
        <f ca="1">INDEX(LuCityPlusNone,B6)</f>
        <v>&lt;none&gt;</v>
      </c>
      <c r="D6" s="26" t="str">
        <f ca="1">INDEX(LuCountry,B6)</f>
        <v>Amsterdam</v>
      </c>
      <c r="E6" s="27" t="s">
        <v>446</v>
      </c>
      <c r="F6" s="27">
        <f>IF(ISERROR(MATCH($E6,tblTerritories!$B$3:$B$32,0)+1),1,MATCH($E6,tblTerritories!$B$3:$B$32,0)+1)</f>
        <v>1</v>
      </c>
      <c r="G6" s="27"/>
      <c r="H6" s="26" t="s">
        <v>12</v>
      </c>
      <c r="I6" s="26"/>
      <c r="J6" s="26"/>
      <c r="K6" s="26">
        <v>13</v>
      </c>
      <c r="L6" s="31"/>
      <c r="M6" s="621"/>
      <c r="N6" s="31"/>
    </row>
    <row r="7" spans="1:29" ht="15" customHeight="1">
      <c r="A7" s="26" t="s">
        <v>107</v>
      </c>
      <c r="B7" s="28">
        <f>B6-1</f>
        <v>0</v>
      </c>
      <c r="I7" s="26"/>
      <c r="J7" s="26"/>
      <c r="K7" s="26"/>
    </row>
    <row r="8" spans="1:29" ht="15" customHeight="1">
      <c r="A8" s="26" t="s">
        <v>65</v>
      </c>
      <c r="B8" s="25">
        <v>1</v>
      </c>
      <c r="C8" s="24" t="str">
        <f>INDEX(tblTerritories!$AR$3:$AR$11,B8)</f>
        <v>&lt;no filter&gt;</v>
      </c>
      <c r="D8" s="24">
        <f>COUNTA(lu_Highlight)</f>
        <v>13</v>
      </c>
    </row>
    <row r="9" spans="1:29" ht="15" customHeight="1">
      <c r="A9" s="26" t="s">
        <v>16</v>
      </c>
      <c r="B9" s="28">
        <v>1</v>
      </c>
      <c r="C9" s="24" t="str">
        <f>INDEX(tblTerritories!$S$4:$S$11,B9)</f>
        <v>All Groups</v>
      </c>
    </row>
    <row r="10" spans="1:29" ht="15" customHeight="1">
      <c r="A10" s="26" t="s">
        <v>323</v>
      </c>
      <c r="B10" s="25">
        <v>1</v>
      </c>
      <c r="D10" s="26">
        <f ca="1">COUNTA(lu_Filter_Income)</f>
        <v>4</v>
      </c>
      <c r="E10" s="24">
        <f>B10+B12+B158</f>
        <v>3</v>
      </c>
    </row>
    <row r="11" spans="1:29" ht="15" customHeight="1">
      <c r="A11" s="26"/>
      <c r="B11" s="28">
        <f>B10-1</f>
        <v>0</v>
      </c>
      <c r="AC11" s="38"/>
    </row>
    <row r="12" spans="1:29" ht="15" customHeight="1">
      <c r="A12" s="26" t="s">
        <v>324</v>
      </c>
      <c r="B12" s="24">
        <v>1</v>
      </c>
      <c r="C12" s="26">
        <f ca="1">COUNTA(lu_Filter_Var)</f>
        <v>6</v>
      </c>
      <c r="F12" s="29" t="s">
        <v>104</v>
      </c>
      <c r="G12" s="29" t="s">
        <v>103</v>
      </c>
      <c r="AC12" s="38"/>
    </row>
    <row r="13" spans="1:29" ht="15" customHeight="1">
      <c r="A13" s="26" t="s">
        <v>120</v>
      </c>
      <c r="B13" s="25">
        <v>3</v>
      </c>
      <c r="F13" s="24" t="str">
        <f>INDEX(tblIndicators!$AL$2:$AO$71,$C$13,1)</f>
        <v>1.2.4) Fixed broadband latency</v>
      </c>
      <c r="G13" s="24" t="str">
        <f>INDEX(tblIndicators!$AL$2:$AO$71,$C$13,3)</f>
        <v>1.2.4) 1.2.4</v>
      </c>
      <c r="AC13" s="38"/>
    </row>
    <row r="14" spans="1:29" ht="15" customHeight="1">
      <c r="B14" s="24">
        <v>2</v>
      </c>
      <c r="AC14" s="38"/>
    </row>
    <row r="15" spans="1:29" ht="15" customHeight="1" thickBot="1">
      <c r="A15" s="26" t="s">
        <v>174</v>
      </c>
      <c r="B15" s="24">
        <v>2</v>
      </c>
      <c r="C15" s="24" t="str">
        <f>INDEX(tblIndiSets!C4:C11,uxb_works!B15)&amp;"
"&amp;E15</f>
        <v>OVERALL SCORE
The overall score is the weighted sum of the following domain scores:
1) CONNECTIVITY  (Weighted: 30%)
2) SERVICES  (Weighted: 28%)
3) CULTURE  (Weighted: 21%)
4) SUSTAINABILITY  (Weighted: 21%)</v>
      </c>
      <c r="D15" s="24">
        <f>INDEX(tblIndiSets!$B$4:$B$11,B15)</f>
        <v>1</v>
      </c>
      <c r="E15" s="24" t="str">
        <f>INDEX(tblIndicators!$O$2:$O$71,D15)</f>
        <v>The overall score is the weighted sum of the following domain scores:
1) CONNECTIVITY  (Weighted: 30%)
2) SERVICES  (Weighted: 28%)
3) CULTURE  (Weighted: 21%)
4) SUSTAINABILITY  (Weighted: 21%)</v>
      </c>
      <c r="AC15" s="38"/>
    </row>
    <row r="16" spans="1:29" ht="15" customHeight="1" thickBot="1">
      <c r="A16" s="311" t="s">
        <v>331</v>
      </c>
      <c r="B16" s="297">
        <v>1</v>
      </c>
      <c r="C16" s="24">
        <f>COUNTA(tblTerritories!AW3:AW15)</f>
        <v>13</v>
      </c>
      <c r="K16" s="1181">
        <f>VALUE(B16&amp;C17)</f>
        <v>11</v>
      </c>
      <c r="L16" s="24">
        <f>IF(K16=11,1,IF(K16=21,2,IF(K16=12,3,4)))</f>
        <v>1</v>
      </c>
      <c r="M16" s="316">
        <f>B10+B12+B158+B160</f>
        <v>4</v>
      </c>
      <c r="AC16" s="38"/>
    </row>
    <row r="17" spans="1:37" ht="15" customHeight="1" thickBot="1">
      <c r="A17" s="293" t="s">
        <v>196</v>
      </c>
      <c r="B17" s="312" t="b">
        <v>0</v>
      </c>
      <c r="C17" s="312">
        <v>1</v>
      </c>
      <c r="D17" s="313" t="str">
        <f>INDEX(G17:H17,C17)</f>
        <v>World Bank Region</v>
      </c>
      <c r="E17" s="312"/>
      <c r="F17" s="312"/>
      <c r="G17" s="314" t="s">
        <v>318</v>
      </c>
      <c r="H17" s="314" t="s">
        <v>319</v>
      </c>
      <c r="I17" s="293" t="b">
        <v>1</v>
      </c>
      <c r="K17" s="1182"/>
      <c r="AC17" s="38"/>
    </row>
    <row r="18" spans="1:37" ht="15" customHeight="1">
      <c r="A18" s="26" t="s">
        <v>68</v>
      </c>
      <c r="B18" s="28">
        <f>tblIndiSets!AA2</f>
        <v>75</v>
      </c>
      <c r="C18" s="24">
        <f>tblIndiSets!A10</f>
        <v>70</v>
      </c>
      <c r="AC18" s="38"/>
    </row>
    <row r="19" spans="1:37" ht="15" customHeight="1">
      <c r="A19" s="26" t="s">
        <v>121</v>
      </c>
      <c r="B19" s="24">
        <f>COUNT(tblIndiSets!B189:B190)</f>
        <v>0</v>
      </c>
      <c r="L19" s="24">
        <v>1</v>
      </c>
      <c r="M19" s="24">
        <v>2</v>
      </c>
      <c r="N19" s="24">
        <v>3</v>
      </c>
      <c r="O19" s="24">
        <v>4</v>
      </c>
      <c r="P19" s="24">
        <v>5</v>
      </c>
    </row>
    <row r="20" spans="1:37" ht="15" customHeight="1">
      <c r="A20" s="39" t="s">
        <v>10</v>
      </c>
      <c r="B20" s="25">
        <f>INDEX(tblIndiSets!$AA$4:$AA$78,uxb_works!$B$23)</f>
        <v>41</v>
      </c>
      <c r="C20" s="29" t="s">
        <v>101</v>
      </c>
      <c r="D20" s="29" t="s">
        <v>102</v>
      </c>
      <c r="E20" s="29" t="s">
        <v>47</v>
      </c>
      <c r="F20" s="29" t="s">
        <v>104</v>
      </c>
      <c r="G20" s="29" t="s">
        <v>103</v>
      </c>
      <c r="H20" s="29" t="s">
        <v>105</v>
      </c>
      <c r="I20" s="29" t="s">
        <v>161</v>
      </c>
      <c r="J20" s="29" t="s">
        <v>42</v>
      </c>
      <c r="K20" s="29" t="s">
        <v>171</v>
      </c>
      <c r="L20" s="29">
        <v>0</v>
      </c>
      <c r="M20" s="29">
        <v>1</v>
      </c>
      <c r="N20" s="29">
        <v>2</v>
      </c>
      <c r="O20" s="29">
        <v>3</v>
      </c>
      <c r="P20" s="29">
        <v>4</v>
      </c>
      <c r="Q20" s="29" t="str">
        <f>tblIndicators!AG1</f>
        <v>NORM_ID (1=sumproduct, 2=min max set by data values, 3=min max set by user here)</v>
      </c>
      <c r="R20" s="29" t="s">
        <v>242</v>
      </c>
      <c r="S20" s="29" t="s">
        <v>243</v>
      </c>
      <c r="T20" s="29" t="s">
        <v>303</v>
      </c>
      <c r="U20" s="29"/>
      <c r="V20" s="29"/>
      <c r="W20" s="29"/>
      <c r="X20" s="29"/>
      <c r="Y20" s="29"/>
      <c r="Z20" s="29"/>
      <c r="AA20" s="29"/>
      <c r="AB20" s="29"/>
      <c r="AC20" s="29"/>
      <c r="AD20" s="29"/>
      <c r="AE20" s="29"/>
      <c r="AF20" s="29"/>
      <c r="AG20" s="29"/>
      <c r="AH20" s="29"/>
      <c r="AI20" s="29"/>
      <c r="AJ20" s="29"/>
      <c r="AK20" s="40"/>
    </row>
    <row r="21" spans="1:37" ht="15" customHeight="1">
      <c r="A21" s="26" t="s">
        <v>71</v>
      </c>
      <c r="B21" s="25">
        <f>INDEX(tblIndiSets!$AA$4:$AA$78,uxb_works!$B$23)</f>
        <v>41</v>
      </c>
      <c r="C21" s="24" t="str">
        <f>INDEX(tblIndiSets!$E$12:$E$178,$B22)</f>
        <v xml:space="preserve">   3.1.3) Digital skills</v>
      </c>
      <c r="D21" s="24">
        <f>INDEX(tblIndiSets!$D$11:$D$178,$B22)</f>
        <v>3</v>
      </c>
      <c r="E21" s="24" t="str">
        <f>INDEX(tblIndicators!$AC$2:$AC$166,$B22)</f>
        <v>#,##0.0</v>
      </c>
      <c r="F21" s="24" t="str">
        <f>IF(B22=1,"",INDEX(tblIndicators!$AL$2:$AO$155,$B22,1))</f>
        <v>3.1.3) Digital skills</v>
      </c>
      <c r="G21" s="24" t="str">
        <f>INDEX(tblIndicators!$AL$2:$AO$155,$B22,4)</f>
        <v>3.1) Digital inclusion</v>
      </c>
      <c r="H21" s="24" t="str">
        <f>INDEX(tblIndicators!$H$2:$H$155,$B$22)</f>
        <v>3_1_3</v>
      </c>
      <c r="I21" s="24">
        <f>INDEX(tblIndicators!$V$2:$V$155,$B$22)</f>
        <v>4</v>
      </c>
      <c r="J21" s="24">
        <f>INDEX(tblIndicators!$AS$2:$AS$155,$B$22)</f>
        <v>1</v>
      </c>
      <c r="K21" s="24">
        <f>IF(INDEX(tblIndicators!$AF$2:$AF$155,$B$22)="",0,INDEX(tblIndicators!$AF$2:$AF$155,$B$22))</f>
        <v>0</v>
      </c>
      <c r="L21" s="24" t="str">
        <f>INDEX(tblIndicators!$AT$2:$AX$155,uxb_works!$B$22,uxb_works!L19)</f>
        <v/>
      </c>
      <c r="M21" s="24" t="str">
        <f>INDEX(tblIndicators!$AT$2:$AX$155,uxb_works!$B$22,uxb_works!M19)</f>
        <v/>
      </c>
      <c r="N21" s="24" t="str">
        <f>INDEX(tblIndicators!$AT$2:$AX$155,uxb_works!$B$22,uxb_works!N19)</f>
        <v/>
      </c>
      <c r="O21" s="24" t="str">
        <f>INDEX(tblIndicators!$AT$2:$AX$155,uxb_works!$B$22,uxb_works!O19)</f>
        <v/>
      </c>
      <c r="P21" s="24" t="str">
        <f>INDEX(tblIndicators!$AT$2:$AX$155,uxb_works!$B$22,uxb_works!P19)</f>
        <v/>
      </c>
      <c r="Q21" s="24">
        <f>INDEX(tblIndicators!$AG$2:$AG$155,$B$22)</f>
        <v>2</v>
      </c>
      <c r="R21" s="24">
        <f>IF(INDEX(tblIndicators!$Q$2:$Q$155,$B$22)&lt;&gt;0,1,0)</f>
        <v>0</v>
      </c>
      <c r="S21" s="24">
        <f>INDEX(tblIndicators!$U$2:$U$155,$B$22)</f>
        <v>0</v>
      </c>
      <c r="T21" s="24">
        <f>INDEX(tblIndicators!B2:B155,B22)</f>
        <v>0</v>
      </c>
    </row>
    <row r="22" spans="1:37" ht="15" customHeight="1">
      <c r="A22" s="26"/>
      <c r="B22" s="24">
        <f>B21</f>
        <v>41</v>
      </c>
      <c r="C22" s="24">
        <v>1</v>
      </c>
      <c r="H22" s="26"/>
      <c r="I22" s="26"/>
      <c r="J22" s="26"/>
      <c r="K22" s="31" t="s">
        <v>250</v>
      </c>
    </row>
    <row r="23" spans="1:37" ht="15" customHeight="1">
      <c r="B23" s="24">
        <v>41</v>
      </c>
      <c r="K23" s="26">
        <v>26</v>
      </c>
    </row>
    <row r="24" spans="1:37" ht="15" customHeight="1">
      <c r="A24" s="26" t="s">
        <v>249</v>
      </c>
      <c r="B24" s="24">
        <v>12</v>
      </c>
    </row>
    <row r="25" spans="1:37" s="31" customFormat="1" ht="15" customHeight="1">
      <c r="A25" s="41" t="s">
        <v>108</v>
      </c>
      <c r="B25" s="26"/>
      <c r="C25" s="26" t="s">
        <v>115</v>
      </c>
      <c r="D25" s="26"/>
      <c r="E25" s="26"/>
      <c r="F25" s="26"/>
      <c r="G25" s="26"/>
      <c r="H25" s="26"/>
      <c r="I25" s="26"/>
      <c r="J25" s="26"/>
    </row>
    <row r="26" spans="1:37" s="31" customFormat="1" ht="14.5">
      <c r="A26" s="26" t="s">
        <v>620</v>
      </c>
      <c r="B26" s="26">
        <v>1</v>
      </c>
      <c r="C26" s="26" t="str">
        <f>INDEX(luCities,B26)</f>
        <v>Amsterdam</v>
      </c>
      <c r="D26" s="26">
        <f>B26</f>
        <v>1</v>
      </c>
      <c r="E26" s="26"/>
      <c r="F26" s="30"/>
      <c r="G26" s="30"/>
      <c r="H26" s="26"/>
      <c r="I26" s="26"/>
      <c r="J26" s="26"/>
      <c r="K26" s="26"/>
    </row>
    <row r="27" spans="1:37" s="31" customFormat="1" ht="14.5">
      <c r="A27" s="26" t="s">
        <v>621</v>
      </c>
      <c r="B27" s="26">
        <v>3</v>
      </c>
      <c r="C27" s="26" t="str">
        <f ca="1">INDEX(LuCityPlusNone,B27)</f>
        <v>Auckland</v>
      </c>
      <c r="D27" s="26">
        <f>B27-1</f>
        <v>2</v>
      </c>
      <c r="E27" s="26"/>
      <c r="F27" s="30"/>
      <c r="G27" s="30"/>
      <c r="H27" s="26"/>
      <c r="I27" s="26"/>
      <c r="J27" s="26"/>
      <c r="K27" s="26"/>
    </row>
    <row r="28" spans="1:37" s="31" customFormat="1" ht="14.5">
      <c r="A28" s="26" t="s">
        <v>622</v>
      </c>
      <c r="B28" s="26">
        <v>11</v>
      </c>
      <c r="C28" s="26" t="str">
        <f ca="1">INDEX(LuCityPlusNone,B28)</f>
        <v>Dubai</v>
      </c>
      <c r="D28" s="26">
        <f>B28-1</f>
        <v>10</v>
      </c>
      <c r="E28" s="26"/>
      <c r="F28" s="30"/>
      <c r="G28" s="30"/>
      <c r="H28" s="26"/>
      <c r="I28" s="26"/>
      <c r="J28" s="26"/>
      <c r="K28" s="26"/>
    </row>
    <row r="29" spans="1:37" s="31" customFormat="1" ht="14.5">
      <c r="A29" s="26" t="s">
        <v>623</v>
      </c>
      <c r="B29" s="26">
        <v>15</v>
      </c>
      <c r="C29" s="26" t="str">
        <f ca="1">INDEX(LuCityPlusNone,B29)</f>
        <v>Kuala Lumpur</v>
      </c>
      <c r="D29" s="26">
        <f>B29-1</f>
        <v>14</v>
      </c>
      <c r="E29" s="26"/>
      <c r="F29" s="30"/>
      <c r="G29" s="30"/>
      <c r="H29" s="26"/>
      <c r="I29" s="26"/>
      <c r="J29" s="26"/>
      <c r="K29" s="26"/>
    </row>
    <row r="30" spans="1:37" s="31" customFormat="1" ht="14.5">
      <c r="A30" s="26" t="s">
        <v>624</v>
      </c>
      <c r="B30" s="26">
        <v>1</v>
      </c>
      <c r="C30" s="26" t="str">
        <f ca="1">INDEX(LuCityPlusNone,B30)</f>
        <v>&lt;none&gt;</v>
      </c>
      <c r="D30" s="26">
        <f t="shared" ref="D30:D31" si="0">B30-1</f>
        <v>0</v>
      </c>
      <c r="E30" s="26"/>
      <c r="F30" s="30"/>
      <c r="G30" s="30"/>
      <c r="H30" s="26"/>
      <c r="I30" s="26"/>
      <c r="J30" s="26"/>
      <c r="K30" s="26"/>
    </row>
    <row r="31" spans="1:37" s="31" customFormat="1" ht="14.5">
      <c r="A31" s="26" t="s">
        <v>625</v>
      </c>
      <c r="B31" s="26">
        <v>1</v>
      </c>
      <c r="C31" s="26" t="str">
        <f ca="1">INDEX(LuCityPlusNone,B31)</f>
        <v>&lt;none&gt;</v>
      </c>
      <c r="D31" s="26">
        <f t="shared" si="0"/>
        <v>0</v>
      </c>
      <c r="E31" s="26"/>
      <c r="F31" s="30"/>
      <c r="G31" s="30"/>
      <c r="H31" s="26"/>
      <c r="I31" s="26"/>
      <c r="J31" s="26"/>
      <c r="K31" s="26"/>
    </row>
    <row r="32" spans="1:37" s="31" customFormat="1" ht="14.5">
      <c r="A32" s="26" t="s">
        <v>142</v>
      </c>
      <c r="B32" s="26">
        <v>1</v>
      </c>
      <c r="C32" s="26">
        <f>COUNT(tblIndiSets!B86:B107)</f>
        <v>22</v>
      </c>
      <c r="D32" s="26" t="str">
        <f>INDEX(tblIndiSets!E86:E107,B32)</f>
        <v>OVERALL SCORE</v>
      </c>
      <c r="E32" s="26"/>
      <c r="F32" s="30">
        <f ca="1">iCP_Chart!CK25</f>
        <v>41</v>
      </c>
      <c r="G32" s="31">
        <f ca="1">iCP_Chart!A23</f>
        <v>41</v>
      </c>
      <c r="H32" s="30"/>
      <c r="I32" s="26"/>
      <c r="J32" s="26"/>
      <c r="K32" s="26"/>
    </row>
    <row r="33" spans="1:15" s="31" customFormat="1" ht="14.5">
      <c r="A33" s="26" t="s">
        <v>64</v>
      </c>
      <c r="B33" s="26">
        <v>2</v>
      </c>
      <c r="C33" s="26"/>
      <c r="D33" s="26"/>
      <c r="E33" s="26"/>
      <c r="F33" s="30"/>
      <c r="G33" s="30"/>
      <c r="H33" s="26"/>
      <c r="I33" s="26"/>
      <c r="J33" s="26"/>
    </row>
    <row r="34" spans="1:15" s="31" customFormat="1" ht="14.5">
      <c r="B34" s="31">
        <v>2</v>
      </c>
      <c r="C34" s="31">
        <v>1</v>
      </c>
      <c r="D34" s="31">
        <v>2</v>
      </c>
      <c r="E34" s="31">
        <v>3</v>
      </c>
      <c r="F34" s="31">
        <v>4</v>
      </c>
      <c r="G34" s="31">
        <v>6</v>
      </c>
      <c r="I34" s="31" t="s">
        <v>282</v>
      </c>
      <c r="J34" s="31" t="s">
        <v>308</v>
      </c>
      <c r="K34" s="31" t="s">
        <v>283</v>
      </c>
      <c r="L34" s="31" t="s">
        <v>287</v>
      </c>
      <c r="N34" s="31" t="s">
        <v>354</v>
      </c>
      <c r="O34" s="31" t="s">
        <v>356</v>
      </c>
    </row>
    <row r="35" spans="1:15" s="31" customFormat="1" ht="14.5">
      <c r="A35" s="26" t="s">
        <v>51</v>
      </c>
      <c r="B35" s="31">
        <v>1</v>
      </c>
      <c r="C35" s="31">
        <f>COUNTA(lu_Scatter_X)</f>
        <v>27</v>
      </c>
      <c r="D35" s="85">
        <f ca="1">OFFSET(INDEX(lu_Scatter_X,B35),0,-1)</f>
        <v>1</v>
      </c>
      <c r="E35" s="31">
        <v>24</v>
      </c>
      <c r="F35" s="24" t="str">
        <f ca="1">INDEX(tblIndicators!$AL$2:$AO$84,$D$35,2)</f>
        <v>OVERALL SCORE</v>
      </c>
      <c r="G35" s="24" t="str">
        <f ca="1">INDEX(tblIndicators!$AL$2:$AO$84,$D$35,4)</f>
        <v>OVERALL SCORE</v>
      </c>
      <c r="I35" s="31">
        <f ca="1">INDEX(tblIndicators!$B$2:$B$84,D35)</f>
        <v>0</v>
      </c>
      <c r="J35" s="31" t="str">
        <f ca="1">IF(INDEX(tblIndicators!$AC$2:$AC$84,$D35)="","",INDEX(tblIndicators!$AC$2:$AC$84,$D35))</f>
        <v>#,##0.0</v>
      </c>
      <c r="K35" s="31" t="str">
        <f ca="1">IF(INDEX(tblIndicators!$Z$2:$Z$84,$D35)="","",INDEX(tblIndicators!$Z$2:$Z$84,$D35))</f>
        <v/>
      </c>
      <c r="L35" s="31">
        <f ca="1">INDEX(tblIndicators!$AD$2:$AD$84,D35)</f>
        <v>1</v>
      </c>
      <c r="N35" s="31">
        <v>1</v>
      </c>
      <c r="O35" s="31">
        <f>tblIndiSets!D192</f>
        <v>27</v>
      </c>
    </row>
    <row r="36" spans="1:15" s="31" customFormat="1" ht="14.5">
      <c r="A36" s="26" t="s">
        <v>52</v>
      </c>
      <c r="B36" s="31">
        <v>1</v>
      </c>
      <c r="C36" s="31">
        <f ca="1">COUNTA(lu_Scatter_Y)</f>
        <v>27</v>
      </c>
      <c r="D36" s="85">
        <f ca="1">OFFSET(INDEX(lu_Scatter_Y,B36),0,-1)</f>
        <v>1</v>
      </c>
      <c r="E36" s="31">
        <v>24</v>
      </c>
      <c r="F36" s="24" t="str">
        <f ca="1">INDEX(tblIndicators!$AL$2:$AO$84,$D$36,2)</f>
        <v>OVERALL SCORE</v>
      </c>
      <c r="G36" s="24" t="str">
        <f ca="1">INDEX(tblIndicators!$AL$2:$AO$84,$D$36,4)</f>
        <v>OVERALL SCORE</v>
      </c>
      <c r="I36" s="31">
        <f ca="1">INDEX(tblIndicators!$B$2:$B$84,D36)</f>
        <v>0</v>
      </c>
      <c r="J36" s="31" t="str">
        <f ca="1">IF(INDEX(tblIndicators!$AC$2:$AC$84,$D36)="","",INDEX(tblIndicators!$AC$2:$AC$84,$D36))</f>
        <v>#,##0.0</v>
      </c>
      <c r="K36" s="31" t="str">
        <f ca="1">IF(INDEX(tblIndicators!$Z$2:$Z$84,D36)="","",INDEX(tblIndicators!$Z$2:$Z$84,D36))</f>
        <v/>
      </c>
      <c r="L36" s="31">
        <f ca="1">INDEX(tblIndicators!$AD$2:$AD$84,D36)</f>
        <v>1</v>
      </c>
      <c r="N36" s="31">
        <v>1</v>
      </c>
      <c r="O36" s="31">
        <f>tblIndiSets!D224</f>
        <v>27</v>
      </c>
    </row>
    <row r="37" spans="1:15" s="31" customFormat="1" ht="14.5">
      <c r="A37" s="26" t="s">
        <v>70</v>
      </c>
      <c r="B37" s="31">
        <v>140</v>
      </c>
    </row>
    <row r="38" spans="1:15" s="31" customFormat="1" ht="14.5">
      <c r="A38" s="31" t="s">
        <v>50</v>
      </c>
      <c r="B38" s="31" t="b">
        <v>0</v>
      </c>
    </row>
    <row r="39" spans="1:15" s="31" customFormat="1" ht="14.5">
      <c r="A39" s="31" t="s">
        <v>49</v>
      </c>
      <c r="B39" s="31" t="b">
        <v>0</v>
      </c>
    </row>
    <row r="40" spans="1:15" s="31" customFormat="1" ht="14.5"/>
    <row r="41" spans="1:15" s="31" customFormat="1" ht="14.5">
      <c r="A41" s="31" t="s">
        <v>112</v>
      </c>
    </row>
    <row r="42" spans="1:15" s="31" customFormat="1" ht="14.5">
      <c r="A42" s="26" t="s">
        <v>69</v>
      </c>
      <c r="B42" s="25">
        <v>1</v>
      </c>
    </row>
    <row r="43" spans="1:15" s="31" customFormat="1" ht="14.5">
      <c r="A43" s="26" t="s">
        <v>113</v>
      </c>
      <c r="B43" s="24">
        <f>B10</f>
        <v>1</v>
      </c>
      <c r="C43" s="31" t="str">
        <f>INDEX(tblIndiSets!$C$187:$C$190,uxb_works!B43)</f>
        <v>All Country Average</v>
      </c>
    </row>
    <row r="44" spans="1:15" s="31" customFormat="1" ht="14.5">
      <c r="A44" s="31" t="s">
        <v>114</v>
      </c>
      <c r="B44" s="31">
        <v>1</v>
      </c>
      <c r="C44" s="31">
        <f>IF(B44,1,0)</f>
        <v>1</v>
      </c>
    </row>
    <row r="45" spans="1:15" s="31" customFormat="1" ht="14.5">
      <c r="B45" s="31" t="b">
        <v>1</v>
      </c>
    </row>
    <row r="46" spans="1:15" s="31" customFormat="1" ht="14.5">
      <c r="A46" s="31" t="s">
        <v>168</v>
      </c>
      <c r="B46" s="31">
        <v>3</v>
      </c>
      <c r="C46" s="31">
        <f>COUNTA(tblIndiSets!A181:A185)</f>
        <v>4</v>
      </c>
    </row>
    <row r="47" spans="1:15" s="31" customFormat="1" ht="14.5">
      <c r="A47" s="31" t="s">
        <v>124</v>
      </c>
      <c r="B47" s="31">
        <v>2</v>
      </c>
      <c r="D47" s="31" t="s">
        <v>99</v>
      </c>
      <c r="H47" s="31" t="s">
        <v>221</v>
      </c>
      <c r="I47" s="31" t="s">
        <v>222</v>
      </c>
    </row>
    <row r="48" spans="1:15" s="31" customFormat="1" ht="14.5">
      <c r="A48" s="31" t="s">
        <v>223</v>
      </c>
      <c r="B48" s="31">
        <v>1</v>
      </c>
      <c r="C48" s="31" t="str">
        <f>INDEX($H$47:$I$48,B47,B48)</f>
        <v>Show weights</v>
      </c>
      <c r="D48" s="31" t="s">
        <v>98</v>
      </c>
      <c r="H48" s="31" t="s">
        <v>220</v>
      </c>
      <c r="I48" s="31" t="s">
        <v>219</v>
      </c>
    </row>
    <row r="49" spans="1:5" s="31" customFormat="1" ht="14.5">
      <c r="A49" s="31" t="s">
        <v>148</v>
      </c>
      <c r="B49" s="31" t="b">
        <v>1</v>
      </c>
      <c r="C49" s="31">
        <f>IF(B49,1,0)</f>
        <v>1</v>
      </c>
    </row>
    <row r="50" spans="1:5" s="31" customFormat="1" ht="14.5">
      <c r="A50" s="31" t="s">
        <v>245</v>
      </c>
      <c r="B50" s="31">
        <v>1</v>
      </c>
      <c r="C50" s="31" t="str">
        <f>INDEX($D$50:$E$50,B50)</f>
        <v>Show Source</v>
      </c>
      <c r="D50" s="31" t="s">
        <v>246</v>
      </c>
      <c r="E50" s="31" t="s">
        <v>247</v>
      </c>
    </row>
    <row r="51" spans="1:5" s="31" customFormat="1" ht="14.5">
      <c r="A51" s="32" t="s">
        <v>100</v>
      </c>
      <c r="B51" s="32" t="b">
        <v>0</v>
      </c>
      <c r="C51" s="32">
        <f>IF(B51,1,0)</f>
        <v>0</v>
      </c>
      <c r="E51" s="31">
        <f>IF(B51,1,0)</f>
        <v>0</v>
      </c>
    </row>
    <row r="52" spans="1:5" s="31" customFormat="1" ht="14.5">
      <c r="A52" s="31" t="s">
        <v>463</v>
      </c>
      <c r="B52" s="31">
        <v>1</v>
      </c>
    </row>
    <row r="53" spans="1:5" s="31" customFormat="1" ht="14.5">
      <c r="B53" s="33">
        <v>0.7</v>
      </c>
      <c r="C53" s="32">
        <v>70</v>
      </c>
    </row>
    <row r="54" spans="1:5" s="31" customFormat="1" ht="14.5">
      <c r="A54" s="42"/>
      <c r="B54" s="33">
        <v>0.8</v>
      </c>
      <c r="C54" s="32">
        <v>80</v>
      </c>
    </row>
    <row r="55" spans="1:5" s="31" customFormat="1" ht="14.5">
      <c r="B55" s="33">
        <v>0.9</v>
      </c>
      <c r="C55" s="32">
        <v>90</v>
      </c>
    </row>
    <row r="56" spans="1:5" s="31" customFormat="1" ht="14.5">
      <c r="B56" s="32" t="s">
        <v>370</v>
      </c>
      <c r="C56" s="32">
        <v>100</v>
      </c>
    </row>
    <row r="57" spans="1:5" s="31" customFormat="1" ht="14.5">
      <c r="B57" s="33">
        <v>1.25</v>
      </c>
      <c r="C57" s="32">
        <v>125</v>
      </c>
    </row>
    <row r="58" spans="1:5" s="31" customFormat="1" ht="14.5">
      <c r="C58" s="24"/>
    </row>
    <row r="59" spans="1:5" s="31" customFormat="1" ht="14.5">
      <c r="A59" s="24"/>
      <c r="B59" s="31">
        <v>4</v>
      </c>
      <c r="C59" s="31">
        <f>INDEX(C53:C57,B59)</f>
        <v>100</v>
      </c>
    </row>
    <row r="60" spans="1:5" s="31" customFormat="1" ht="14.5">
      <c r="A60" s="31" t="s">
        <v>59</v>
      </c>
      <c r="B60" s="31">
        <f>C59</f>
        <v>100</v>
      </c>
    </row>
    <row r="61" spans="1:5" s="31" customFormat="1" ht="14.5">
      <c r="A61" s="31" t="s">
        <v>67</v>
      </c>
      <c r="B61" s="31" t="s">
        <v>1301</v>
      </c>
    </row>
    <row r="62" spans="1:5" s="31" customFormat="1" ht="14.5">
      <c r="A62" s="31" t="s">
        <v>361</v>
      </c>
      <c r="B62" s="31" t="str">
        <f ca="1">INDEX(lu_Filter_Income,B10)</f>
        <v>&lt;no filter&gt;</v>
      </c>
      <c r="C62" s="31" t="str">
        <f ca="1">INDEX(lu_Filter_Var,B12)</f>
        <v>&lt;no filter&gt;</v>
      </c>
      <c r="D62" s="31">
        <f>E62</f>
        <v>0</v>
      </c>
    </row>
    <row r="63" spans="1:5" s="31" customFormat="1" ht="14.5">
      <c r="A63" s="31" t="s">
        <v>595</v>
      </c>
      <c r="B63" s="31">
        <v>2</v>
      </c>
      <c r="C63" s="31" t="str">
        <f>INDEX($L$94:$L$96,B63+1)</f>
        <v>The access menus are now available above.</v>
      </c>
    </row>
    <row r="64" spans="1:5" s="31" customFormat="1" ht="14.5">
      <c r="B64" s="31" t="b">
        <v>0</v>
      </c>
    </row>
    <row r="65" spans="1:12" s="31" customFormat="1" ht="14.5">
      <c r="A65" s="31" t="s">
        <v>178</v>
      </c>
      <c r="B65" s="34" t="b">
        <v>0</v>
      </c>
    </row>
    <row r="66" spans="1:12" s="31" customFormat="1" ht="14.5">
      <c r="A66" s="31" t="s">
        <v>255</v>
      </c>
    </row>
    <row r="67" spans="1:12" s="31" customFormat="1" ht="14.5">
      <c r="A67" s="31" t="s">
        <v>258</v>
      </c>
      <c r="B67" s="31">
        <v>1</v>
      </c>
      <c r="C67" s="31">
        <f>G67</f>
        <v>0</v>
      </c>
      <c r="D67" s="31" t="str">
        <f>IF(E67=1,"There is "&amp;E67&amp;" city in the active filter set","There are "&amp;E67&amp;" cities in the active filter set")</f>
        <v>There are 30 cities in the active filter set</v>
      </c>
      <c r="E67" s="31">
        <f>tblTerritories!AZ2</f>
        <v>30</v>
      </c>
    </row>
    <row r="68" spans="1:12" s="31" customFormat="1" ht="14.5">
      <c r="A68" s="31" t="s">
        <v>256</v>
      </c>
      <c r="B68" s="31">
        <v>3</v>
      </c>
      <c r="C68" s="62" cm="1">
        <f t="array" ref="C68">INDEX(iCSCtbl!$B$3:$B$24,B68)</f>
        <v>3</v>
      </c>
    </row>
    <row r="69" spans="1:12" s="31" customFormat="1" ht="14.5">
      <c r="A69" s="31" t="s">
        <v>257</v>
      </c>
      <c r="B69" s="31" t="b">
        <v>1</v>
      </c>
    </row>
    <row r="70" spans="1:12" s="31" customFormat="1" ht="14.5">
      <c r="A70" s="31" t="s">
        <v>259</v>
      </c>
    </row>
    <row r="71" spans="1:12" s="31" customFormat="1" ht="14.5">
      <c r="A71" s="44" t="s">
        <v>76</v>
      </c>
      <c r="B71" s="31">
        <v>3</v>
      </c>
    </row>
    <row r="72" spans="1:12">
      <c r="A72" s="44" t="s">
        <v>77</v>
      </c>
      <c r="B72" s="45" t="s">
        <v>90</v>
      </c>
    </row>
    <row r="73" spans="1:12">
      <c r="A73" s="44" t="s">
        <v>78</v>
      </c>
      <c r="B73" s="45" t="s">
        <v>90</v>
      </c>
    </row>
    <row r="74" spans="1:12">
      <c r="A74" s="44" t="s">
        <v>79</v>
      </c>
      <c r="B74" s="45" t="s">
        <v>90</v>
      </c>
    </row>
    <row r="75" spans="1:12" ht="14.5">
      <c r="A75" s="44" t="s">
        <v>80</v>
      </c>
      <c r="B75" s="618" t="s">
        <v>1164</v>
      </c>
      <c r="L75"/>
    </row>
    <row r="76" spans="1:12" ht="14.5">
      <c r="A76" s="44" t="s">
        <v>81</v>
      </c>
      <c r="B76"/>
      <c r="L76"/>
    </row>
    <row r="77" spans="1:12" ht="14.5">
      <c r="A77" s="44" t="s">
        <v>82</v>
      </c>
      <c r="B77"/>
      <c r="G77"/>
      <c r="L77"/>
    </row>
    <row r="78" spans="1:12" ht="14.5">
      <c r="A78" s="44" t="s">
        <v>83</v>
      </c>
      <c r="B78"/>
      <c r="G78"/>
      <c r="L78"/>
    </row>
    <row r="79" spans="1:12" ht="14.5">
      <c r="A79" s="44" t="s">
        <v>84</v>
      </c>
      <c r="G79"/>
      <c r="L79"/>
    </row>
    <row r="80" spans="1:12" ht="14.5">
      <c r="A80" s="44" t="s">
        <v>85</v>
      </c>
      <c r="B80" s="22"/>
      <c r="G80"/>
      <c r="L80"/>
    </row>
    <row r="81" spans="1:12" ht="14.5">
      <c r="A81" s="44" t="s">
        <v>86</v>
      </c>
      <c r="B81" s="22"/>
      <c r="G81"/>
      <c r="L81"/>
    </row>
    <row r="82" spans="1:12" ht="14.5">
      <c r="A82" s="44" t="s">
        <v>87</v>
      </c>
      <c r="B82" s="22"/>
      <c r="G82"/>
      <c r="L82"/>
    </row>
    <row r="83" spans="1:12" ht="14.5">
      <c r="A83" s="44" t="s">
        <v>88</v>
      </c>
      <c r="B83" s="22"/>
      <c r="G83"/>
      <c r="L83"/>
    </row>
    <row r="84" spans="1:12" ht="14.5">
      <c r="A84" s="44" t="s">
        <v>89</v>
      </c>
      <c r="B84" s="22"/>
      <c r="G84"/>
      <c r="L84"/>
    </row>
    <row r="85" spans="1:12" ht="14.5">
      <c r="A85" s="26" t="s">
        <v>353</v>
      </c>
      <c r="B85" s="26"/>
      <c r="G85"/>
    </row>
    <row r="86" spans="1:12" ht="14.5">
      <c r="A86" s="26" t="s">
        <v>335</v>
      </c>
      <c r="B86" s="26" t="s">
        <v>360</v>
      </c>
      <c r="G86"/>
    </row>
    <row r="87" spans="1:12" ht="14.5">
      <c r="A87" s="26" t="s">
        <v>92</v>
      </c>
      <c r="B87" s="26" t="s">
        <v>627</v>
      </c>
      <c r="C87" s="26" t="s">
        <v>629</v>
      </c>
      <c r="G87"/>
    </row>
    <row r="88" spans="1:12">
      <c r="A88" s="26" t="s">
        <v>93</v>
      </c>
      <c r="B88" s="24" t="str">
        <f>"Rank out of "&amp;B1&amp;" cities, 1=best; '=' denotes tied rank between two or more cities"</f>
        <v>Rank out of 30 cities, 1=best; '=' denotes tied rank between two or more cities</v>
      </c>
    </row>
    <row r="89" spans="1:12">
      <c r="A89" s="26" t="s">
        <v>95</v>
      </c>
      <c r="B89" s="90" t="s">
        <v>170</v>
      </c>
      <c r="C89" s="24">
        <f>LEN(B89)</f>
        <v>7</v>
      </c>
    </row>
    <row r="90" spans="1:12" ht="14.5">
      <c r="A90" s="26" t="s">
        <v>96</v>
      </c>
      <c r="B90" s="46"/>
    </row>
    <row r="91" spans="1:12">
      <c r="A91" s="301"/>
      <c r="B91" s="301"/>
      <c r="C91" s="301"/>
      <c r="D91" s="301"/>
      <c r="E91" s="301"/>
      <c r="F91" s="301"/>
      <c r="G91" s="301"/>
      <c r="H91" s="301"/>
      <c r="I91" s="301"/>
      <c r="J91" s="301"/>
      <c r="K91" s="301"/>
      <c r="L91" s="301"/>
    </row>
    <row r="92" spans="1:12" ht="21">
      <c r="A92" s="26" t="s">
        <v>48</v>
      </c>
      <c r="B92" s="125" t="s">
        <v>800</v>
      </c>
      <c r="J92" s="26" t="s">
        <v>326</v>
      </c>
    </row>
    <row r="93" spans="1:12" ht="21">
      <c r="A93" s="26" t="s">
        <v>248</v>
      </c>
      <c r="B93" s="125" t="s">
        <v>800</v>
      </c>
      <c r="D93" s="285" t="s">
        <v>352</v>
      </c>
    </row>
    <row r="94" spans="1:12" s="585" customFormat="1" ht="18" customHeight="1">
      <c r="A94" s="582" t="s">
        <v>97</v>
      </c>
      <c r="B94" s="583"/>
      <c r="C94" s="584" t="s">
        <v>383</v>
      </c>
      <c r="D94" s="285" t="s">
        <v>614</v>
      </c>
      <c r="H94" s="582" t="s">
        <v>376</v>
      </c>
      <c r="L94" s="26" t="s">
        <v>596</v>
      </c>
    </row>
    <row r="95" spans="1:12" s="585" customFormat="1" ht="18" customHeight="1">
      <c r="A95" s="582" t="s">
        <v>133</v>
      </c>
      <c r="B95" s="583" t="s">
        <v>617</v>
      </c>
      <c r="C95" s="584" t="s">
        <v>336</v>
      </c>
      <c r="D95" s="285" t="s">
        <v>298</v>
      </c>
      <c r="E95" s="586"/>
      <c r="F95" s="586"/>
      <c r="H95" s="587" t="s">
        <v>357</v>
      </c>
      <c r="K95" s="580"/>
      <c r="L95" s="26" t="s">
        <v>597</v>
      </c>
    </row>
    <row r="96" spans="1:12" s="585" customFormat="1" ht="18" customHeight="1">
      <c r="A96" s="582" t="s">
        <v>134</v>
      </c>
      <c r="B96" s="583" t="s">
        <v>359</v>
      </c>
      <c r="C96" s="584" t="s">
        <v>395</v>
      </c>
      <c r="D96" s="285" t="s">
        <v>590</v>
      </c>
      <c r="E96" s="586"/>
      <c r="F96" s="586"/>
      <c r="H96" s="587"/>
      <c r="J96" s="585" t="s">
        <v>327</v>
      </c>
      <c r="K96" s="581"/>
      <c r="L96" s="26" t="s">
        <v>597</v>
      </c>
    </row>
    <row r="97" spans="1:11" s="585" customFormat="1" ht="18" customHeight="1">
      <c r="A97" s="582" t="s">
        <v>135</v>
      </c>
      <c r="B97" s="583" t="s">
        <v>955</v>
      </c>
      <c r="C97" s="584" t="s">
        <v>398</v>
      </c>
      <c r="D97" s="285" t="s">
        <v>299</v>
      </c>
      <c r="E97" s="586"/>
      <c r="F97" s="586"/>
      <c r="H97" s="587"/>
      <c r="K97" s="580"/>
    </row>
    <row r="98" spans="1:11" s="585" customFormat="1" ht="18" customHeight="1">
      <c r="A98" s="582" t="s">
        <v>136</v>
      </c>
      <c r="B98" s="583" t="s">
        <v>598</v>
      </c>
      <c r="C98" s="584" t="s">
        <v>166</v>
      </c>
      <c r="D98" s="285" t="str">
        <f>"REGION FILTER "&amp;CHOOSE(C17,E98,F98)</f>
        <v>REGION FILTER A</v>
      </c>
      <c r="E98" s="586" t="s">
        <v>218</v>
      </c>
      <c r="F98" s="586" t="s">
        <v>367</v>
      </c>
      <c r="H98" s="587"/>
    </row>
    <row r="99" spans="1:11" s="585" customFormat="1" ht="18" customHeight="1">
      <c r="A99" s="582" t="s">
        <v>137</v>
      </c>
      <c r="B99" s="583" t="s">
        <v>684</v>
      </c>
      <c r="D99" s="586"/>
      <c r="E99" s="586"/>
      <c r="F99" s="586"/>
      <c r="H99" s="587"/>
    </row>
    <row r="100" spans="1:11" s="585" customFormat="1" ht="18" customHeight="1">
      <c r="A100" s="582" t="s">
        <v>138</v>
      </c>
      <c r="B100" s="583" t="s">
        <v>294</v>
      </c>
      <c r="C100" s="586" t="s">
        <v>415</v>
      </c>
      <c r="D100" s="582" t="s">
        <v>377</v>
      </c>
      <c r="E100" s="582" t="s">
        <v>496</v>
      </c>
      <c r="G100" s="582" t="s">
        <v>686</v>
      </c>
      <c r="H100" s="587"/>
    </row>
    <row r="101" spans="1:11" s="585" customFormat="1" ht="18" customHeight="1">
      <c r="A101" s="582" t="s">
        <v>139</v>
      </c>
      <c r="B101" s="583" t="s">
        <v>599</v>
      </c>
      <c r="C101" s="586" t="s">
        <v>399</v>
      </c>
      <c r="D101" s="582" t="s">
        <v>351</v>
      </c>
      <c r="E101" s="588" t="s">
        <v>603</v>
      </c>
      <c r="G101" s="582" t="s">
        <v>723</v>
      </c>
      <c r="H101" s="582"/>
    </row>
    <row r="102" spans="1:11" s="585" customFormat="1" ht="18" customHeight="1">
      <c r="A102" s="582" t="s">
        <v>140</v>
      </c>
      <c r="B102" s="583" t="s">
        <v>397</v>
      </c>
      <c r="C102" s="586" t="s">
        <v>417</v>
      </c>
      <c r="D102" s="582" t="s">
        <v>492</v>
      </c>
      <c r="E102" s="588" t="s">
        <v>604</v>
      </c>
      <c r="G102" s="582" t="s">
        <v>687</v>
      </c>
    </row>
    <row r="103" spans="1:11" s="585" customFormat="1" ht="18" customHeight="1">
      <c r="A103" s="582" t="s">
        <v>141</v>
      </c>
      <c r="B103" s="583" t="s">
        <v>956</v>
      </c>
      <c r="D103" s="582" t="s">
        <v>396</v>
      </c>
      <c r="E103" s="588" t="s">
        <v>605</v>
      </c>
    </row>
    <row r="104" spans="1:11" s="585" customFormat="1" ht="18" customHeight="1">
      <c r="A104" s="582" t="s">
        <v>286</v>
      </c>
      <c r="B104" s="583" t="s">
        <v>1162</v>
      </c>
      <c r="C104" s="583"/>
      <c r="D104" s="582" t="s">
        <v>493</v>
      </c>
      <c r="E104" s="588" t="s">
        <v>606</v>
      </c>
    </row>
    <row r="105" spans="1:11" s="585" customFormat="1" ht="18" customHeight="1">
      <c r="A105" s="582" t="s">
        <v>285</v>
      </c>
      <c r="B105" s="589" t="b">
        <v>1</v>
      </c>
      <c r="C105" s="583" t="s">
        <v>346</v>
      </c>
      <c r="D105" s="582" t="s">
        <v>494</v>
      </c>
      <c r="E105" s="588" t="s">
        <v>607</v>
      </c>
    </row>
    <row r="106" spans="1:11" s="585" customFormat="1" ht="18" customHeight="1">
      <c r="A106" s="590" t="s">
        <v>358</v>
      </c>
      <c r="B106" s="591">
        <v>2</v>
      </c>
      <c r="D106" s="582" t="s">
        <v>494</v>
      </c>
    </row>
    <row r="107" spans="1:11" s="585" customFormat="1" ht="18" customHeight="1">
      <c r="A107" s="582" t="s">
        <v>608</v>
      </c>
      <c r="B107" s="589"/>
      <c r="D107" s="582" t="s">
        <v>495</v>
      </c>
    </row>
    <row r="108" spans="1:11" ht="15.5">
      <c r="A108" s="26" t="s">
        <v>145</v>
      </c>
      <c r="B108" s="59">
        <v>54</v>
      </c>
    </row>
    <row r="109" spans="1:11" ht="15.5">
      <c r="A109" s="26" t="s">
        <v>146</v>
      </c>
      <c r="B109" s="59">
        <v>6</v>
      </c>
    </row>
    <row r="110" spans="1:11">
      <c r="B110" s="58"/>
    </row>
    <row r="111" spans="1:11">
      <c r="A111" s="26" t="s">
        <v>217</v>
      </c>
      <c r="B111" s="58">
        <v>2</v>
      </c>
      <c r="C111" s="24" t="str">
        <f>IF(B111=1,E111,D111)</f>
        <v>Hide these options</v>
      </c>
      <c r="D111" s="26" t="s">
        <v>412</v>
      </c>
      <c r="E111" s="26" t="s">
        <v>411</v>
      </c>
    </row>
    <row r="112" spans="1:11" s="26" customFormat="1">
      <c r="A112" s="26" t="s">
        <v>224</v>
      </c>
      <c r="B112" s="58">
        <v>1</v>
      </c>
      <c r="C112" s="26" t="str">
        <f>IF(B112,E112,D112)</f>
        <v>Hide help bar</v>
      </c>
      <c r="D112" s="26" t="s">
        <v>225</v>
      </c>
      <c r="E112" s="26" t="s">
        <v>226</v>
      </c>
    </row>
    <row r="113" spans="1:11" ht="15.5">
      <c r="A113" s="26"/>
      <c r="B113" s="59"/>
    </row>
    <row r="114" spans="1:11" ht="15.5">
      <c r="A114" s="26"/>
      <c r="B114" s="59"/>
    </row>
    <row r="115" spans="1:11" ht="15.5">
      <c r="A115" s="26" t="s">
        <v>214</v>
      </c>
      <c r="B115" s="59">
        <v>1</v>
      </c>
    </row>
    <row r="116" spans="1:11" ht="13.5" customHeight="1">
      <c r="A116" s="26" t="s">
        <v>215</v>
      </c>
      <c r="B116" s="59">
        <f>tblIndiSets!C281</f>
        <v>9</v>
      </c>
    </row>
    <row r="117" spans="1:11">
      <c r="A117" s="26" t="s">
        <v>216</v>
      </c>
      <c r="B117" s="24" t="str">
        <f ca="1">INDEX(Bold_Text,C117)</f>
        <v>Notes:</v>
      </c>
      <c r="C117" s="24">
        <v>9</v>
      </c>
    </row>
    <row r="118" spans="1:11">
      <c r="A118" s="26" t="s">
        <v>123</v>
      </c>
    </row>
    <row r="119" spans="1:11">
      <c r="A119" s="24">
        <f>B123</f>
        <v>0</v>
      </c>
      <c r="B119" s="26">
        <v>100</v>
      </c>
      <c r="C119" s="26" t="s">
        <v>1158</v>
      </c>
      <c r="D119" s="26">
        <v>4</v>
      </c>
      <c r="E119" s="26">
        <v>0</v>
      </c>
      <c r="G119" s="311"/>
      <c r="H119" s="24" t="str">
        <f>C119&amp;G119&amp;K119</f>
        <v>Very high: 75.1 to 100</v>
      </c>
      <c r="I119" s="24" t="str">
        <f>H122</f>
        <v>Low: 0 to 25.0</v>
      </c>
      <c r="K119" s="26" t="s">
        <v>602</v>
      </c>
    </row>
    <row r="120" spans="1:11">
      <c r="A120" s="24">
        <v>25</v>
      </c>
      <c r="B120" s="24">
        <v>75</v>
      </c>
      <c r="C120" s="26" t="s">
        <v>1159</v>
      </c>
      <c r="D120" s="26">
        <v>3</v>
      </c>
      <c r="E120" s="26">
        <v>1</v>
      </c>
      <c r="G120" s="311"/>
      <c r="H120" s="24" t="str">
        <f>C120&amp;G120&amp;K120</f>
        <v>High: 50.1 to 75.0</v>
      </c>
      <c r="I120" s="24" t="str">
        <f>H121</f>
        <v>Medium: 25.1 to 50.0</v>
      </c>
      <c r="K120" s="26" t="s">
        <v>587</v>
      </c>
    </row>
    <row r="121" spans="1:11">
      <c r="A121" s="26">
        <v>50</v>
      </c>
      <c r="B121" s="24">
        <v>50</v>
      </c>
      <c r="C121" s="26" t="s">
        <v>1160</v>
      </c>
      <c r="D121" s="26">
        <v>2</v>
      </c>
      <c r="E121" s="26">
        <v>2</v>
      </c>
      <c r="G121" s="311"/>
      <c r="H121" s="24" t="str">
        <f t="shared" ref="H121:H122" si="1">C121&amp;G121&amp;K121</f>
        <v>Medium: 25.1 to 50.0</v>
      </c>
      <c r="I121" s="24" t="str">
        <f>H120</f>
        <v>High: 50.1 to 75.0</v>
      </c>
      <c r="K121" s="26" t="s">
        <v>588</v>
      </c>
    </row>
    <row r="122" spans="1:11">
      <c r="A122" s="24">
        <v>75</v>
      </c>
      <c r="B122" s="24">
        <v>25</v>
      </c>
      <c r="C122" s="26" t="s">
        <v>1161</v>
      </c>
      <c r="D122" s="26">
        <v>1</v>
      </c>
      <c r="E122" s="26">
        <v>3</v>
      </c>
      <c r="G122" s="311"/>
      <c r="H122" s="24" t="str">
        <f t="shared" si="1"/>
        <v>Low: 0 to 25.0</v>
      </c>
      <c r="I122" s="24" t="str">
        <f>H119</f>
        <v>Very high: 75.1 to 100</v>
      </c>
      <c r="K122" s="26" t="s">
        <v>589</v>
      </c>
    </row>
    <row r="123" spans="1:11">
      <c r="A123" s="26">
        <v>100</v>
      </c>
      <c r="B123" s="24">
        <v>0</v>
      </c>
      <c r="D123" s="26">
        <v>0</v>
      </c>
      <c r="E123" s="26">
        <v>4</v>
      </c>
    </row>
    <row r="125" spans="1:11">
      <c r="B125" s="26" t="s">
        <v>339</v>
      </c>
      <c r="C125" s="104" t="s">
        <v>340</v>
      </c>
      <c r="D125" s="104" t="s">
        <v>272</v>
      </c>
      <c r="E125" s="26"/>
      <c r="F125" s="26"/>
      <c r="I125" s="26"/>
    </row>
    <row r="126" spans="1:11">
      <c r="A126" s="26" t="s">
        <v>609</v>
      </c>
      <c r="B126" s="24">
        <v>1</v>
      </c>
      <c r="C126" s="24" t="e">
        <f>INDEX(luCITYVar,B126)</f>
        <v>#NAME?</v>
      </c>
      <c r="D126" s="24" t="e">
        <f ca="1">OFFSET(INDEX(luCountryVar,B126),0,1)</f>
        <v>#NAME?</v>
      </c>
      <c r="K126" s="26"/>
    </row>
    <row r="127" spans="1:11">
      <c r="A127" s="26" t="s">
        <v>330</v>
      </c>
      <c r="B127" s="24">
        <v>1</v>
      </c>
      <c r="C127" s="24">
        <f>tblIndiSets!AA2</f>
        <v>75</v>
      </c>
      <c r="K127" s="26"/>
    </row>
    <row r="128" spans="1:11">
      <c r="A128" s="26"/>
      <c r="D128" s="26" t="s">
        <v>270</v>
      </c>
      <c r="K128" s="26"/>
    </row>
    <row r="129" spans="1:9">
      <c r="A129" s="26"/>
    </row>
    <row r="130" spans="1:9">
      <c r="A130" s="26" t="s">
        <v>600</v>
      </c>
      <c r="B130" s="24">
        <v>1</v>
      </c>
      <c r="C130" s="24">
        <v>5</v>
      </c>
    </row>
    <row r="134" spans="1:9">
      <c r="A134" s="26" t="s">
        <v>197</v>
      </c>
      <c r="B134" s="113">
        <f>Summary1!I13+1</f>
        <v>32</v>
      </c>
    </row>
    <row r="135" spans="1:9">
      <c r="A135" s="26" t="s">
        <v>198</v>
      </c>
      <c r="D135" s="26"/>
    </row>
    <row r="136" spans="1:9">
      <c r="A136" s="26" t="s">
        <v>199</v>
      </c>
    </row>
    <row r="137" spans="1:9">
      <c r="A137" s="26" t="s">
        <v>610</v>
      </c>
      <c r="B137" s="24">
        <f ca="1">CCompare!B14</f>
        <v>22</v>
      </c>
      <c r="H137" s="26" t="s">
        <v>306</v>
      </c>
    </row>
    <row r="138" spans="1:9">
      <c r="A138" s="26" t="s">
        <v>200</v>
      </c>
      <c r="B138" s="24">
        <f>IF(INDEX(tblIndicators!$W$2:$W$155,uxb_works!B21)=3,50,25)</f>
        <v>25</v>
      </c>
      <c r="E138" s="24">
        <f>IFERROR(MAX(#REF!+#REF!,F138),F138)</f>
        <v>0</v>
      </c>
      <c r="F138" s="248"/>
      <c r="H138" s="24">
        <v>500</v>
      </c>
      <c r="I138" s="24">
        <f>IF(H138&gt;300,ROUNDUP(H138/150,0),0)</f>
        <v>4</v>
      </c>
    </row>
    <row r="139" spans="1:9">
      <c r="A139" s="24" t="s">
        <v>240</v>
      </c>
      <c r="B139" s="24">
        <f>iCComp!B10</f>
        <v>2</v>
      </c>
    </row>
    <row r="140" spans="1:9">
      <c r="A140" s="26" t="s">
        <v>394</v>
      </c>
    </row>
    <row r="141" spans="1:9">
      <c r="A141" s="26" t="s">
        <v>305</v>
      </c>
    </row>
    <row r="142" spans="1:9">
      <c r="A142" s="41"/>
    </row>
    <row r="143" spans="1:9">
      <c r="A143" s="26" t="s">
        <v>337</v>
      </c>
      <c r="B143" s="25">
        <v>1</v>
      </c>
      <c r="C143" s="24" t="str">
        <f>INDEX(tblTerritories!$S$4:$S$11,B143)</f>
        <v>All Groups</v>
      </c>
      <c r="D143" s="24">
        <v>8</v>
      </c>
    </row>
    <row r="144" spans="1:9">
      <c r="A144" s="26" t="s">
        <v>338</v>
      </c>
      <c r="B144" s="28">
        <v>1</v>
      </c>
      <c r="C144" s="24" t="str">
        <f>INDEX(tblTerritories!$S$4:$S$11,B144)</f>
        <v>All Groups</v>
      </c>
    </row>
    <row r="145" spans="1:4">
      <c r="A145" s="26"/>
    </row>
    <row r="146" spans="1:4">
      <c r="A146" s="26"/>
    </row>
    <row r="147" spans="1:4">
      <c r="A147" s="26" t="s">
        <v>341</v>
      </c>
      <c r="B147" s="24">
        <v>2</v>
      </c>
    </row>
    <row r="148" spans="1:4">
      <c r="A148" s="26"/>
    </row>
    <row r="149" spans="1:4">
      <c r="A149" s="26" t="s">
        <v>342</v>
      </c>
      <c r="B149" s="24">
        <v>1</v>
      </c>
      <c r="C149" s="26"/>
      <c r="D149" s="26"/>
    </row>
    <row r="150" spans="1:4">
      <c r="A150" s="26" t="s">
        <v>343</v>
      </c>
      <c r="B150" s="24">
        <v>2</v>
      </c>
    </row>
    <row r="151" spans="1:4">
      <c r="A151" s="26"/>
    </row>
    <row r="152" spans="1:4">
      <c r="A152" s="26" t="s">
        <v>347</v>
      </c>
    </row>
    <row r="153" spans="1:4">
      <c r="A153" s="26"/>
      <c r="C153" s="26" t="s">
        <v>349</v>
      </c>
    </row>
    <row r="154" spans="1:4">
      <c r="A154" s="26" t="s">
        <v>348</v>
      </c>
      <c r="B154" s="24">
        <v>1</v>
      </c>
      <c r="C154" s="24">
        <v>3</v>
      </c>
    </row>
    <row r="155" spans="1:4">
      <c r="A155" s="26"/>
      <c r="B155" s="26"/>
      <c r="C155" s="26"/>
    </row>
    <row r="156" spans="1:4">
      <c r="A156" s="26"/>
      <c r="C156" s="26"/>
      <c r="D156" s="26"/>
    </row>
    <row r="158" spans="1:4">
      <c r="A158" s="26" t="s">
        <v>685</v>
      </c>
      <c r="B158" s="24">
        <v>1</v>
      </c>
      <c r="C158" s="24">
        <v>5</v>
      </c>
    </row>
    <row r="159" spans="1:4">
      <c r="A159" s="26"/>
    </row>
    <row r="160" spans="1:4">
      <c r="A160" s="26" t="s">
        <v>685</v>
      </c>
      <c r="B160" s="24">
        <v>1</v>
      </c>
    </row>
    <row r="161" spans="1:11">
      <c r="A161" s="26"/>
    </row>
    <row r="162" spans="1:11">
      <c r="A162" s="26"/>
    </row>
    <row r="163" spans="1:11">
      <c r="A163" s="26" t="s">
        <v>721</v>
      </c>
      <c r="B163" s="24" cm="1">
        <f t="array" ref="B163">INDEX(tblIndicators!$B$2:$B$77,B23)</f>
        <v>0</v>
      </c>
    </row>
    <row r="164" spans="1:11">
      <c r="A164" s="26"/>
    </row>
    <row r="165" spans="1:11">
      <c r="A165" s="26"/>
    </row>
    <row r="166" spans="1:11">
      <c r="A166" s="26"/>
    </row>
    <row r="167" spans="1:11" s="26" customFormat="1">
      <c r="A167" s="26" t="s">
        <v>922</v>
      </c>
      <c r="B167" s="26">
        <v>2</v>
      </c>
      <c r="C167" s="26" t="s">
        <v>270</v>
      </c>
      <c r="D167" s="26" t="s">
        <v>917</v>
      </c>
    </row>
    <row r="168" spans="1:11">
      <c r="A168" s="26" t="s">
        <v>923</v>
      </c>
      <c r="B168" s="26">
        <v>1</v>
      </c>
      <c r="C168" s="26">
        <v>16</v>
      </c>
      <c r="D168" s="26" cm="1">
        <f t="array" ref="D168">INDEX(tblIndiSets!AR4:AR106,B168)</f>
        <v>1</v>
      </c>
      <c r="E168" s="26" t="s">
        <v>8</v>
      </c>
      <c r="F168" s="26" t="s">
        <v>8</v>
      </c>
      <c r="G168" s="26" t="e">
        <v>#N/A</v>
      </c>
      <c r="H168" s="26"/>
      <c r="I168" s="26" t="str">
        <f>IF($B$167=1,LEFT(TRIM(F168),3),LEFT(TRIM(F168),3))</f>
        <v>OVE</v>
      </c>
      <c r="J168" s="26">
        <v>1</v>
      </c>
      <c r="K168" s="26"/>
    </row>
    <row r="169" spans="1:11">
      <c r="A169" s="26" t="s">
        <v>924</v>
      </c>
      <c r="B169" s="26">
        <v>1</v>
      </c>
      <c r="C169" s="26"/>
      <c r="D169" s="26"/>
      <c r="E169" s="26"/>
      <c r="F169" s="26"/>
      <c r="G169" s="26"/>
      <c r="H169" s="26"/>
      <c r="I169" s="26">
        <f>IFERROR(VALUE(I168),1)</f>
        <v>1</v>
      </c>
      <c r="J169" s="26"/>
      <c r="K169" s="26"/>
    </row>
    <row r="170" spans="1:11">
      <c r="A170" s="26" t="s">
        <v>925</v>
      </c>
      <c r="B170" s="26">
        <v>3</v>
      </c>
      <c r="C170" s="26" t="str">
        <f>INDEX(luRegions,B170)</f>
        <v>High income</v>
      </c>
      <c r="D170" s="26"/>
      <c r="E170" s="26"/>
      <c r="F170" s="26"/>
      <c r="G170" s="26"/>
      <c r="H170" s="26"/>
      <c r="I170" s="26"/>
      <c r="J170" s="26"/>
      <c r="K170" s="26"/>
    </row>
    <row r="171" spans="1:11">
      <c r="A171" s="26" t="s">
        <v>926</v>
      </c>
      <c r="B171" s="26">
        <v>0</v>
      </c>
      <c r="C171" s="26"/>
      <c r="D171" s="26"/>
      <c r="E171" s="26"/>
      <c r="F171" s="26"/>
      <c r="G171" s="26"/>
      <c r="H171" s="26"/>
      <c r="I171" s="26"/>
      <c r="J171" s="26"/>
      <c r="K171" s="26"/>
    </row>
    <row r="172" spans="1:11">
      <c r="A172" s="26"/>
      <c r="B172" s="26" t="b">
        <v>1</v>
      </c>
      <c r="C172" s="26"/>
      <c r="D172" s="26"/>
      <c r="E172" s="26"/>
      <c r="F172" s="26"/>
      <c r="G172" s="26"/>
      <c r="H172" s="26"/>
      <c r="I172" s="26"/>
      <c r="J172" s="26"/>
      <c r="K172" s="26"/>
    </row>
    <row r="176" spans="1:11">
      <c r="A176" s="26" t="s">
        <v>260</v>
      </c>
      <c r="B176" s="26" t="s">
        <v>262</v>
      </c>
      <c r="C176" s="26" t="s">
        <v>263</v>
      </c>
      <c r="D176" s="26" t="s">
        <v>264</v>
      </c>
      <c r="E176" s="26" t="s">
        <v>269</v>
      </c>
      <c r="F176" s="26" t="s">
        <v>265</v>
      </c>
      <c r="G176" s="26" t="s">
        <v>265</v>
      </c>
      <c r="H176" s="26" t="s">
        <v>202</v>
      </c>
    </row>
    <row r="178" spans="1:20">
      <c r="A178" s="26" t="s">
        <v>261</v>
      </c>
      <c r="B178" s="24" t="s">
        <v>1196</v>
      </c>
      <c r="C178" s="24" t="str">
        <f ca="1">INDIRECT("Indicator_Ranking!"&amp;C179)</f>
        <v>Bangkok</v>
      </c>
      <c r="D178" s="24">
        <f ca="1">IFERROR(MATCH(C178,tblTerritories!C2:C32,0),0)</f>
        <v>4</v>
      </c>
      <c r="H178" s="24">
        <f ca="1">D178</f>
        <v>4</v>
      </c>
    </row>
    <row r="179" spans="1:20">
      <c r="B179" s="24" t="str">
        <f>B178&amp;":"</f>
        <v>$N$23:</v>
      </c>
      <c r="C179" s="24" t="str">
        <f>LEFT(B179,(FIND(":",B179,1)-1))</f>
        <v>$N$23</v>
      </c>
    </row>
    <row r="181" spans="1:20">
      <c r="A181" s="26" t="s">
        <v>266</v>
      </c>
      <c r="B181" s="26" t="s">
        <v>1166</v>
      </c>
      <c r="C181" s="24" t="str" cm="1">
        <f t="array" aca="1" ref="C181" ca="1">TRIM(INDIRECT("CProfile!"&amp;C182))</f>
        <v>2) SERVICES</v>
      </c>
      <c r="D181" s="24">
        <f ca="1">IFERROR(MATCH(C181,tblIndiSets!$F$12:$F$81,0),0)</f>
        <v>16</v>
      </c>
      <c r="E181" s="26" t="s">
        <v>497</v>
      </c>
    </row>
    <row r="182" spans="1:20">
      <c r="B182" s="24" t="str">
        <f>B181&amp;":"</f>
        <v>$C$17:</v>
      </c>
      <c r="C182" s="24" t="str">
        <f>LEFT(B182,(FIND(":",B182,1)-1))</f>
        <v>$C$17</v>
      </c>
    </row>
    <row r="184" spans="1:20">
      <c r="A184" s="26" t="s">
        <v>267</v>
      </c>
      <c r="B184" s="26"/>
    </row>
    <row r="185" spans="1:20">
      <c r="A185" s="26" t="s">
        <v>400</v>
      </c>
    </row>
    <row r="187" spans="1:20">
      <c r="A187" s="26" t="s">
        <v>268</v>
      </c>
      <c r="B187" s="26" t="s">
        <v>461</v>
      </c>
      <c r="C187" s="24" t="str">
        <f ca="1">IF(INDIRECT("CCompare!"&amp;J187)="",1,TRIM(INDIRECT("CCompare!"&amp;J187)))</f>
        <v>OVERALL SCORE</v>
      </c>
      <c r="D187" s="24">
        <f ca="1">MATCH(C187,tblIndiSets!$F$12:$F$81,0)</f>
        <v>1</v>
      </c>
      <c r="E187" s="26" t="s">
        <v>722</v>
      </c>
      <c r="F187" s="24" t="str">
        <f ca="1">C187</f>
        <v>OVERALL SCORE</v>
      </c>
      <c r="G187" s="24" t="str">
        <f ca="1">INDEX(tblIndicators!$O$2:$O$71,MATCH(C187,tblIndiSets!$F$12:$F$81,0))</f>
        <v>The overall score is the weighted sum of the following domain scores:
1) CONNECTIVITY  (Weighted: 30%)
2) SERVICES  (Weighted: 28%)
3) CULTURE  (Weighted: 21%)
4) SUSTAINABILITY  (Weighted: 21%)</v>
      </c>
      <c r="H187" s="24" t="str">
        <f ca="1">C187&amp;"
"&amp;G187</f>
        <v>OVERALL SCORE
The overall score is the weighted sum of the following domain scores:
1) CONNECTIVITY  (Weighted: 30%)
2) SERVICES  (Weighted: 28%)
3) CULTURE  (Weighted: 21%)
4) SUSTAINABILITY  (Weighted: 21%)</v>
      </c>
      <c r="J187" s="24" t="str">
        <f>LEFT(B187,5)</f>
        <v>$V$16</v>
      </c>
    </row>
    <row r="189" spans="1:20">
      <c r="J189" s="26" t="s">
        <v>271</v>
      </c>
    </row>
    <row r="190" spans="1:20" s="26" customFormat="1">
      <c r="A190" s="26" t="s">
        <v>1165</v>
      </c>
      <c r="B190" s="26" t="s">
        <v>1223</v>
      </c>
      <c r="C190" s="26" t="str">
        <f ca="1">TRIM(IF(ISERROR(INDIRECT("RegionCompare!"&amp;B190)),INDIRECT("RegionCompare!"&amp;LEFT(B190,5)),INDIRECT("RegionCompare!"&amp;B190)))</f>
        <v>OVERALL SCORE</v>
      </c>
      <c r="D190" s="26">
        <f ca="1">IFERROR(MATCH(C190,tblIndiSets!AV4:AV106,0),1)</f>
        <v>1</v>
      </c>
      <c r="H190" s="26">
        <f ca="1">D190</f>
        <v>1</v>
      </c>
      <c r="J190" s="26">
        <f ca="1">IF(C190="",99,1)</f>
        <v>1</v>
      </c>
    </row>
    <row r="192" spans="1:20">
      <c r="C192" s="26" t="s">
        <v>603</v>
      </c>
      <c r="D192" s="26" t="s">
        <v>45</v>
      </c>
      <c r="E192" s="26" t="s">
        <v>272</v>
      </c>
      <c r="F192" s="26" t="s">
        <v>31</v>
      </c>
      <c r="G192" s="26" t="s">
        <v>35</v>
      </c>
      <c r="H192" s="26" t="s">
        <v>241</v>
      </c>
      <c r="I192" s="26" t="s">
        <v>273</v>
      </c>
      <c r="K192" s="26" t="s">
        <v>274</v>
      </c>
      <c r="L192" s="26" t="s">
        <v>275</v>
      </c>
      <c r="M192" s="26"/>
      <c r="N192" s="26">
        <v>1</v>
      </c>
      <c r="O192" s="26">
        <v>2</v>
      </c>
      <c r="P192" s="24">
        <v>3</v>
      </c>
      <c r="Q192" s="26" t="s">
        <v>277</v>
      </c>
      <c r="R192" s="26" t="s">
        <v>278</v>
      </c>
      <c r="S192" s="26" t="s">
        <v>279</v>
      </c>
      <c r="T192" s="26" t="s">
        <v>280</v>
      </c>
    </row>
    <row r="193" spans="1:18" ht="70.5" customHeight="1">
      <c r="A193" s="26"/>
      <c r="G193" s="297"/>
      <c r="L193" s="265" t="e">
        <f>INDEX(N193:P193,M193)</f>
        <v>#VALUE!</v>
      </c>
      <c r="M193" s="264" t="e">
        <f>INDEX(tblIndicators!$W$2:$W$71,uxb_works!D193)</f>
        <v>#VALUE!</v>
      </c>
      <c r="N193" s="264" t="e">
        <f>$E$193&amp;"
"&amp;$F$193&amp;" and "&amp;$G$193&amp;"
"&amp;$Q$193</f>
        <v>#VALUE!</v>
      </c>
      <c r="O193" s="264" t="e">
        <f>$E$193&amp;"
"&amp;$F$193&amp;" and "&amp;$G$193&amp;"
"&amp;$Q$193&amp;"
"&amp;R193</f>
        <v>#VALUE!</v>
      </c>
      <c r="P193" s="264" t="e">
        <f>$E$193&amp;"
"&amp;$F$193&amp;" and "&amp;$G$193&amp;"
"&amp;$R$193&amp;"
"&amp;$S$193&amp;"
"&amp;$T$193</f>
        <v>#VALUE!</v>
      </c>
      <c r="Q193" s="24" t="e">
        <f>INDEX(tblIndicators!O2:O71,uxb_works!$D$193)</f>
        <v>#VALUE!</v>
      </c>
      <c r="R193" s="24" t="e">
        <f>INDEX(tblIndicators!P2:P71,uxb_works!$D$193)</f>
        <v>#VALUE!</v>
      </c>
    </row>
    <row r="194" spans="1:18">
      <c r="A194" s="26"/>
    </row>
    <row r="196" spans="1:18">
      <c r="A196" s="26" t="s">
        <v>284</v>
      </c>
      <c r="B196" s="24" t="s">
        <v>1295</v>
      </c>
      <c r="C196" s="24" t="str">
        <f ca="1">INDIRECT("Summary1!"&amp;B196)</f>
        <v>Sydney</v>
      </c>
      <c r="D196" s="24">
        <f ca="1">MATCH(C196,tblTerritories!$C$2:$C$32,0)</f>
        <v>27</v>
      </c>
    </row>
    <row r="198" spans="1:18">
      <c r="A198" s="26" t="s">
        <v>628</v>
      </c>
      <c r="B198" s="26" t="s">
        <v>713</v>
      </c>
      <c r="C198" s="26" t="str" cm="1">
        <f t="array" aca="1" ref="C198" ca="1">TRIM(INDIRECT("Summary1!"&amp;B198))</f>
        <v>Digital Cities Index</v>
      </c>
      <c r="D198" s="26" t="e">
        <f ca="1">MATCH(C198,tblIndiSets!H12:H81,0)</f>
        <v>#N/A</v>
      </c>
      <c r="E198" s="26" t="e" cm="1">
        <f t="array" aca="1" ref="E198" ca="1">INDEX(tblIndicators!E2:E116,uxb_works!D198)</f>
        <v>#N/A</v>
      </c>
      <c r="F198" s="26">
        <f ca="1">IFERROR(MATCH(E198,tblIndiSets!$A$86:$A$107,0),0)</f>
        <v>0</v>
      </c>
    </row>
    <row r="199" spans="1:18" s="26" customFormat="1">
      <c r="D199" s="26" t="s">
        <v>301</v>
      </c>
      <c r="E199" s="26" t="s">
        <v>302</v>
      </c>
      <c r="G199" s="26" t="s">
        <v>355</v>
      </c>
    </row>
    <row r="200" spans="1:18" s="26" customFormat="1">
      <c r="A200" s="26" t="s">
        <v>714</v>
      </c>
      <c r="B200" s="26" t="s">
        <v>1195</v>
      </c>
      <c r="C200" s="26" t="str">
        <f ca="1">IF(INDIRECT("Correlations!"&amp;B200)="",1,TRIM(INDIRECT("Correlations!"&amp;B200)))</f>
        <v>1.3) Affordability</v>
      </c>
      <c r="D200" s="26">
        <f ca="1">INDEX(tblIndiSets!B225:B251,MATCH(C200,tblIndiSets!G225:G251,0))</f>
        <v>13</v>
      </c>
      <c r="E200" s="26">
        <f ca="1">MATCH(D200,tblIndiSets!B225:B251,0)</f>
        <v>5</v>
      </c>
      <c r="G200" s="26" cm="1">
        <f t="array" aca="1" ref="G200" ca="1">INDEX(tblIndicators!B2:B77,uxb_works!D200)</f>
        <v>0</v>
      </c>
    </row>
    <row r="201" spans="1:18">
      <c r="C201" s="26" t="s">
        <v>126</v>
      </c>
      <c r="D201" s="26" t="s">
        <v>292</v>
      </c>
    </row>
    <row r="202" spans="1:18">
      <c r="A202" s="26" t="s">
        <v>304</v>
      </c>
      <c r="B202" s="24">
        <v>1</v>
      </c>
      <c r="C202" s="24">
        <f>IFERROR(INDEX(#REF!,B202),1)</f>
        <v>1</v>
      </c>
      <c r="D202" s="24">
        <f>IFERROR(INDEX(#REF!,B202),2)</f>
        <v>2</v>
      </c>
    </row>
    <row r="205" spans="1:18" ht="31.5">
      <c r="A205" s="26" t="s">
        <v>344</v>
      </c>
      <c r="B205" s="327" t="s">
        <v>345</v>
      </c>
    </row>
    <row r="209" spans="1:6">
      <c r="A209" s="26" t="s">
        <v>402</v>
      </c>
      <c r="B209" s="24">
        <v>1</v>
      </c>
    </row>
    <row r="210" spans="1:6">
      <c r="C210" s="26" t="s">
        <v>414</v>
      </c>
    </row>
    <row r="211" spans="1:6">
      <c r="A211" s="26" t="s">
        <v>406</v>
      </c>
      <c r="B211" s="24">
        <v>0</v>
      </c>
      <c r="C211" s="24">
        <v>0</v>
      </c>
    </row>
    <row r="212" spans="1:6">
      <c r="A212" s="26" t="s">
        <v>403</v>
      </c>
      <c r="B212" s="24">
        <f>(B211-1)*3+1</f>
        <v>-2</v>
      </c>
    </row>
    <row r="214" spans="1:6">
      <c r="A214" s="26" t="s">
        <v>404</v>
      </c>
      <c r="B214" s="26" t="s">
        <v>405</v>
      </c>
    </row>
    <row r="216" spans="1:6">
      <c r="B216" s="24">
        <v>1</v>
      </c>
    </row>
    <row r="217" spans="1:6">
      <c r="A217" s="26" t="s">
        <v>407</v>
      </c>
    </row>
    <row r="219" spans="1:6">
      <c r="A219" s="26" t="s">
        <v>408</v>
      </c>
    </row>
    <row r="220" spans="1:6">
      <c r="A220" s="26" t="s">
        <v>409</v>
      </c>
      <c r="B220" s="24">
        <v>4</v>
      </c>
      <c r="C220" s="24">
        <f>COUNT(tblIndiSets!#REF!)</f>
        <v>0</v>
      </c>
      <c r="D220" s="24" t="e">
        <f>INDEX(tblIndiSets!#REF!,uxb_works!$B220)</f>
        <v>#REF!</v>
      </c>
      <c r="E220" s="24" t="e">
        <f>INDEX(tblIndiSets!#REF!,uxb_works!$B220)</f>
        <v>#REF!</v>
      </c>
      <c r="F220" s="24" t="e">
        <f>INDEX(tblIndiSets!#REF!,uxb_works!$B220)</f>
        <v>#REF!</v>
      </c>
    </row>
    <row r="222" spans="1:6">
      <c r="A222" s="26" t="s">
        <v>410</v>
      </c>
      <c r="B222" s="24">
        <f>INDEX(tblIndicators!$T$2:$T$71,uxb_works!B21)</f>
        <v>0</v>
      </c>
    </row>
    <row r="225" spans="1:3">
      <c r="B225" s="24">
        <v>1</v>
      </c>
    </row>
    <row r="229" spans="1:3">
      <c r="A229" s="26" t="str">
        <f>I119</f>
        <v>Low: 0 to 25.0</v>
      </c>
      <c r="B229" s="26"/>
      <c r="C229" s="26" t="s">
        <v>466</v>
      </c>
    </row>
    <row r="230" spans="1:3">
      <c r="A230" s="26" t="str">
        <f t="shared" ref="A230:A231" si="2">I120</f>
        <v>Medium: 25.1 to 50.0</v>
      </c>
      <c r="B230" s="26"/>
      <c r="C230" s="26" t="s">
        <v>467</v>
      </c>
    </row>
    <row r="231" spans="1:3">
      <c r="A231" s="26" t="str">
        <f t="shared" si="2"/>
        <v>High: 50.1 to 75.0</v>
      </c>
      <c r="B231" s="26"/>
      <c r="C231" s="26" t="s">
        <v>468</v>
      </c>
    </row>
    <row r="232" spans="1:3">
      <c r="A232" s="26"/>
      <c r="B232" s="26"/>
      <c r="C232" s="26"/>
    </row>
    <row r="234" spans="1:3">
      <c r="A234" s="26" t="s">
        <v>469</v>
      </c>
      <c r="B234" s="24">
        <f ca="1">iCP_Chart!B10</f>
        <v>5</v>
      </c>
      <c r="C234" s="24">
        <f ca="1">iCP_Chart!C10</f>
        <v>324</v>
      </c>
    </row>
    <row r="319" spans="2:2">
      <c r="B319" s="24">
        <v>2</v>
      </c>
    </row>
  </sheetData>
  <mergeCells count="1">
    <mergeCell ref="K16:K17"/>
  </mergeCells>
  <phoneticPr fontId="4" type="noConversion"/>
  <pageMargins left="0.55118110236220474" right="0.55118110236220474" top="0.59055118110236227" bottom="0.78740157480314965" header="0.51181102362204722" footer="0.51181102362204722"/>
  <pageSetup paperSize="9" scale="12" orientation="landscape" r:id="rId1"/>
  <headerFooter alignWithMargins="0">
    <oddHeader>&amp;RCity Water Optimization Index: 2020</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pageSetUpPr fitToPage="1"/>
  </sheetPr>
  <dimension ref="A1:BF338"/>
  <sheetViews>
    <sheetView showRowColHeaders="0" zoomScaleNormal="100" workbookViewId="0">
      <pane xSplit="3" ySplit="4" topLeftCell="AO54" activePane="bottomRight" state="frozen"/>
      <selection pane="topRight" activeCell="D1" sqref="D1"/>
      <selection pane="bottomLeft" activeCell="A5" sqref="A5"/>
      <selection pane="bottomRight" activeCell="AT2" sqref="AT2"/>
    </sheetView>
  </sheetViews>
  <sheetFormatPr defaultColWidth="17.453125" defaultRowHeight="20.25" customHeight="1"/>
  <cols>
    <col min="1" max="1" width="17.453125" style="534"/>
    <col min="2" max="9" width="9" style="535" customWidth="1"/>
    <col min="10" max="10" width="17.453125" style="535"/>
    <col min="11" max="12" width="5.453125" style="535" customWidth="1"/>
    <col min="13" max="14" width="2.453125" style="535" customWidth="1"/>
    <col min="15" max="16" width="17.453125" style="535"/>
    <col min="17" max="25" width="17.453125" style="48"/>
    <col min="26" max="30" width="17.453125" style="535"/>
    <col min="31" max="31" width="17.453125" style="48"/>
    <col min="32" max="38" width="17.453125" style="535"/>
    <col min="39" max="51" width="9.453125" style="964"/>
    <col min="52" max="54" width="17.54296875" style="964" customWidth="1"/>
    <col min="55" max="58" width="17.453125" style="964"/>
    <col min="59" max="16384" width="17.453125" style="535"/>
  </cols>
  <sheetData>
    <row r="1" spans="1:58" ht="20.25" customHeight="1" thickBot="1">
      <c r="Y1" s="48">
        <v>1</v>
      </c>
      <c r="Z1" s="536" t="s">
        <v>172</v>
      </c>
      <c r="AD1" s="536">
        <v>0</v>
      </c>
      <c r="AE1" s="48">
        <v>1</v>
      </c>
      <c r="AF1" s="535">
        <v>2</v>
      </c>
      <c r="AG1" s="535">
        <v>3</v>
      </c>
      <c r="AH1" s="535">
        <v>4</v>
      </c>
      <c r="AI1" s="535">
        <v>5</v>
      </c>
      <c r="AJ1" s="535">
        <v>6</v>
      </c>
      <c r="AK1" s="535">
        <v>7</v>
      </c>
      <c r="AL1" s="535">
        <v>8</v>
      </c>
      <c r="AM1" s="963" t="s">
        <v>918</v>
      </c>
      <c r="AT1" s="964">
        <v>3</v>
      </c>
      <c r="BA1" s="964" t="s">
        <v>919</v>
      </c>
    </row>
    <row r="2" spans="1:58" ht="20.25" customHeight="1" thickBot="1">
      <c r="A2" s="537" t="s">
        <v>24</v>
      </c>
      <c r="Q2" s="48" t="s">
        <v>63</v>
      </c>
      <c r="R2" s="48" t="s">
        <v>63</v>
      </c>
      <c r="S2" s="48" t="s">
        <v>63</v>
      </c>
      <c r="T2" s="48" t="s">
        <v>63</v>
      </c>
      <c r="U2" s="48" t="s">
        <v>63</v>
      </c>
      <c r="Y2" s="538" t="s">
        <v>307</v>
      </c>
      <c r="Z2" s="539">
        <f>uxb_works!B127</f>
        <v>1</v>
      </c>
      <c r="AA2" s="535">
        <f>COUNT(AA4:AA78)</f>
        <v>75</v>
      </c>
      <c r="AE2" s="48" t="s">
        <v>312</v>
      </c>
      <c r="AF2" s="536" t="s">
        <v>313</v>
      </c>
      <c r="AG2" s="536" t="s">
        <v>314</v>
      </c>
      <c r="AH2" s="536" t="s">
        <v>315</v>
      </c>
      <c r="AI2" s="536" t="s">
        <v>316</v>
      </c>
      <c r="AJ2" s="536" t="s">
        <v>317</v>
      </c>
      <c r="AK2" s="536" t="s">
        <v>251</v>
      </c>
      <c r="AL2" s="536"/>
      <c r="AT2" s="965">
        <v>2</v>
      </c>
    </row>
    <row r="3" spans="1:58" ht="20.25" customHeight="1" thickBot="1">
      <c r="Q3" s="63"/>
      <c r="R3" s="63"/>
      <c r="S3" s="63"/>
      <c r="T3" s="63"/>
      <c r="U3" s="63"/>
      <c r="V3" s="63"/>
      <c r="AE3" s="63">
        <f>COUNTA(AE4:AE78)</f>
        <v>75</v>
      </c>
      <c r="AF3" s="535">
        <f>COUNTA(AF4:AF78)</f>
        <v>1</v>
      </c>
      <c r="AG3" s="535">
        <f>COUNTA(AG4:AG33)</f>
        <v>0</v>
      </c>
      <c r="AH3" s="535">
        <f>COUNTA(#REF!)</f>
        <v>1</v>
      </c>
      <c r="AI3" s="535">
        <f>COUNTA(AI4:AI38)</f>
        <v>0</v>
      </c>
      <c r="AJ3" s="535">
        <f>COUNTA(AJ4:AJ37)</f>
        <v>0</v>
      </c>
      <c r="AK3" s="535">
        <f>COUNTA(AK4:AK175)</f>
        <v>5</v>
      </c>
      <c r="AM3" s="964">
        <v>0</v>
      </c>
      <c r="AN3" s="964">
        <v>0</v>
      </c>
      <c r="AP3" s="964">
        <v>0</v>
      </c>
      <c r="AR3" s="966">
        <f>COUNT(AR4:AR106)</f>
        <v>70</v>
      </c>
      <c r="AS3" s="964" t="s">
        <v>920</v>
      </c>
      <c r="AU3" s="964" t="s">
        <v>921</v>
      </c>
      <c r="AZ3" s="964">
        <v>1</v>
      </c>
      <c r="BA3" s="964">
        <v>2</v>
      </c>
      <c r="BB3" s="964">
        <v>3</v>
      </c>
    </row>
    <row r="4" spans="1:58" ht="20.25" customHeight="1">
      <c r="B4" s="535">
        <v>1</v>
      </c>
      <c r="E4" s="536" t="s">
        <v>378</v>
      </c>
      <c r="H4" s="536" t="s">
        <v>311</v>
      </c>
      <c r="O4" s="48"/>
      <c r="P4" s="862" t="s">
        <v>874</v>
      </c>
      <c r="Q4" s="860" t="s">
        <v>62</v>
      </c>
      <c r="R4" s="540" t="s">
        <v>62</v>
      </c>
      <c r="S4" s="540" t="s">
        <v>62</v>
      </c>
      <c r="T4" s="866" t="s">
        <v>812</v>
      </c>
      <c r="U4" s="532" t="s">
        <v>520</v>
      </c>
      <c r="V4" s="544"/>
      <c r="Y4" s="48">
        <f>Y3+1</f>
        <v>1</v>
      </c>
      <c r="Z4" s="535" t="str">
        <f t="shared" ref="Z4:Z35" si="0">IF(INDEX($AE$4:$AL$175,Y4,$Z$2)="","",INDEX($AE$4:$AL$175,Y4,$Z$2))</f>
        <v>OVERALL</v>
      </c>
      <c r="AA4" s="535">
        <f>IF(Z4="","",MATCH(Z4,tblIndicators!E$2:E$85,0))</f>
        <v>1</v>
      </c>
      <c r="AB4" s="535" t="str">
        <f>IF($AA4="","",REPT(" ",AC4)&amp;(INDEX(tblIndicators!AM$2:AM$85,$AA4)))</f>
        <v>OVERALL SCORE</v>
      </c>
      <c r="AC4" s="535">
        <f>IF($AA4="","",INDEX(tblIndicators!G$2:G$85,$AA4))</f>
        <v>0</v>
      </c>
      <c r="AE4" s="542" t="str">
        <f>Q4</f>
        <v>OVERALL</v>
      </c>
      <c r="AF4" s="48" t="s">
        <v>251</v>
      </c>
      <c r="AG4" s="48"/>
      <c r="AH4" s="48"/>
      <c r="AI4" s="48"/>
      <c r="AJ4" s="48"/>
      <c r="AK4" s="48">
        <f>O5</f>
        <v>0</v>
      </c>
      <c r="AM4" s="967">
        <f>AM3+1</f>
        <v>1</v>
      </c>
      <c r="AN4" s="964">
        <f>AN3+1</f>
        <v>1</v>
      </c>
      <c r="AP4" s="964">
        <f>AP3+1</f>
        <v>1</v>
      </c>
      <c r="AQ4" s="964" t="str">
        <f t="shared" ref="AQ4:AQ35" si="1">IF(OR(INDEX($AZ$4:$BB$106,$AP4,$AT$2)=0,INDEX($AZ$4:$BB$106,$AP4,$AT$2)=""),"",INDEX($AZ$4:$BB$106,$AP4,$AT$2))</f>
        <v>OVERALL</v>
      </c>
      <c r="AR4" s="964">
        <f>MATCH(AQ4,tblIndicators!$E$2:$E$128,0)</f>
        <v>1</v>
      </c>
      <c r="AS4" s="964" t="str">
        <f>REPT(" ",AT4)&amp;IF($AR4="","",INDEX(tblIndicators!$AL$2:$AL$128,AR4))</f>
        <v>OVERALL SCORE</v>
      </c>
      <c r="AT4" s="964">
        <f>INDEX(tblIndicators!$G$2:$G$128,AR4)</f>
        <v>0</v>
      </c>
      <c r="AU4" s="964" t="str">
        <f>REPT(" ",AT4)&amp;IF($AR4="","",INDEX(tblIndicators!$AL$2:$AL$128,$AR4))</f>
        <v>OVERALL SCORE</v>
      </c>
      <c r="AV4" s="964" t="str">
        <f>TRIM(AU4)</f>
        <v>OVERALL SCORE</v>
      </c>
      <c r="AW4" s="964" t="str">
        <f>IF(AV4&lt;&gt;"",LEFT(AV4,3),"")</f>
        <v>OVE</v>
      </c>
      <c r="AX4" s="964" t="str">
        <f>IF($AR4="","",INDEX(tblIndicators!$AL$2:$AL$128,AR4))</f>
        <v>OVERALL SCORE</v>
      </c>
      <c r="AZ4" s="968" t="s">
        <v>62</v>
      </c>
      <c r="BA4" s="968" t="s">
        <v>62</v>
      </c>
      <c r="BB4" s="968" t="s">
        <v>62</v>
      </c>
    </row>
    <row r="5" spans="1:58" ht="20.25" customHeight="1">
      <c r="A5" s="329" t="s">
        <v>62</v>
      </c>
      <c r="B5" s="330">
        <f>IF(A5="","",MATCH(A5,tblIndicators!E$2:E$71,0))</f>
        <v>1</v>
      </c>
      <c r="C5" s="330" t="str">
        <f>IF($A5="","",INDEX(tblIndicators!AL$2:AL$71,$B5))</f>
        <v>OVERALL SCORE</v>
      </c>
      <c r="D5" s="536" t="s">
        <v>378</v>
      </c>
      <c r="E5" s="330" t="str">
        <f>IF($A5="","",INDEX(tblIndicators!AM$2:AM$71,$B5))</f>
        <v>OVERALL SCORE</v>
      </c>
      <c r="F5" s="330" t="str">
        <f>LOWER(E5)</f>
        <v>overall score</v>
      </c>
      <c r="G5" s="330"/>
      <c r="H5" s="330" t="str">
        <f>IF($A5="","",INDEX(tblIndicators!AN$2:AN$71,$B5))</f>
        <v>OVERALL SCORE</v>
      </c>
      <c r="I5" s="330"/>
      <c r="J5" s="330" t="str">
        <f>E4</f>
        <v>ALL CATEGORIES</v>
      </c>
      <c r="K5" s="330"/>
      <c r="L5" s="330"/>
      <c r="M5" s="330"/>
      <c r="N5" s="330"/>
      <c r="O5" s="48"/>
      <c r="P5" s="864" t="s">
        <v>875</v>
      </c>
      <c r="Q5" s="865" t="s">
        <v>797</v>
      </c>
      <c r="R5" s="861" t="s">
        <v>797</v>
      </c>
      <c r="S5" s="865" t="s">
        <v>797</v>
      </c>
      <c r="T5" s="862" t="s">
        <v>813</v>
      </c>
      <c r="U5" s="533" t="s">
        <v>521</v>
      </c>
      <c r="V5" s="533"/>
      <c r="Y5" s="48">
        <f t="shared" ref="Y5:Y78" si="2">Y4+1</f>
        <v>2</v>
      </c>
      <c r="Z5" s="535" t="str">
        <f t="shared" si="0"/>
        <v>CNTY</v>
      </c>
      <c r="AA5" s="535">
        <f>IF(Z5="","",MATCH(Z5,tblIndicators!E$2:E$85,0))</f>
        <v>2</v>
      </c>
      <c r="AB5" s="535" t="str">
        <f>IF($AA5="","",REPT(" ",AC5)&amp;(INDEX(tblIndicators!AM$2:AM$85,$AA5)))</f>
        <v xml:space="preserve"> 1) CONNECTIVITY</v>
      </c>
      <c r="AC5" s="535">
        <f>IF($AA5="","",INDEX(tblIndicators!G$2:G$85,$AA5))</f>
        <v>1</v>
      </c>
      <c r="AE5" s="541" t="str">
        <f t="shared" ref="AE5:AE68" si="3">Q5</f>
        <v>CNTY</v>
      </c>
      <c r="AF5" s="48"/>
      <c r="AG5" s="48"/>
      <c r="AH5" s="48"/>
      <c r="AI5" s="48"/>
      <c r="AJ5" s="48"/>
      <c r="AK5" s="48">
        <f>O8</f>
        <v>0</v>
      </c>
      <c r="AM5" s="967">
        <f t="shared" ref="AM5:AN20" si="4">AM4+1</f>
        <v>2</v>
      </c>
      <c r="AN5" s="964">
        <f t="shared" si="4"/>
        <v>2</v>
      </c>
      <c r="AP5" s="964">
        <f t="shared" ref="AP5:AP68" si="5">AP4+1</f>
        <v>2</v>
      </c>
      <c r="AQ5" s="964" t="str">
        <f t="shared" si="1"/>
        <v>CNTY</v>
      </c>
      <c r="AR5" s="964">
        <f>MATCH(AQ5,tblIndicators!$E$2:$E$128,0)</f>
        <v>2</v>
      </c>
      <c r="AS5" s="964" t="str">
        <f>REPT(" ",AT5)&amp;IF($AR5="","",INDEX(tblIndicators!$AL$2:$AL$128,AR5))</f>
        <v xml:space="preserve"> 1) CONNECTIVITY</v>
      </c>
      <c r="AT5" s="964">
        <f>INDEX(tblIndicators!$G$2:$G$128,AR5)</f>
        <v>1</v>
      </c>
      <c r="AU5" s="964" t="str">
        <f>REPT(" ",AT5)&amp;IF($AR5="","",INDEX(tblIndicators!$AL$2:$AL$128,$AR5))</f>
        <v xml:space="preserve"> 1) CONNECTIVITY</v>
      </c>
      <c r="AV5" s="964" t="str">
        <f t="shared" ref="AV5:AV68" si="6">TRIM(AU5)</f>
        <v>1) CONNECTIVITY</v>
      </c>
      <c r="AW5" s="964" t="str">
        <f t="shared" ref="AW5:AW68" si="7">IF(AV5&lt;&gt;"",LEFT(AV5,3),"")</f>
        <v xml:space="preserve">1) </v>
      </c>
      <c r="AX5" s="964" t="str">
        <f>IF($AR5="","",INDEX(tblIndicators!$AL$2:$AL$128,AR5))</f>
        <v>1) CONNECTIVITY</v>
      </c>
      <c r="AZ5" s="969" t="str">
        <f>S5</f>
        <v>CNTY</v>
      </c>
      <c r="BA5" s="968" t="s">
        <v>797</v>
      </c>
      <c r="BB5" s="969" t="str">
        <f>S5</f>
        <v>CNTY</v>
      </c>
    </row>
    <row r="6" spans="1:58" s="330" customFormat="1" ht="20.25" customHeight="1">
      <c r="A6" s="329" t="str">
        <f t="shared" ref="A6" si="8">R5</f>
        <v>CNTY</v>
      </c>
      <c r="B6" s="330">
        <f>IF(A6="","",MATCH(A6,tblIndicators!E$2:E$71,0))</f>
        <v>2</v>
      </c>
      <c r="C6" s="330" t="str">
        <f>IF($A6="","",INDEX(tblIndicators!AL$2:AL$71,$B6))</f>
        <v>1) CONNECTIVITY</v>
      </c>
      <c r="D6" s="330" t="str">
        <f>C6</f>
        <v>1) CONNECTIVITY</v>
      </c>
      <c r="E6" s="330" t="str">
        <f>IF($A6="","",INDEX(tblIndicators!AM$2:AM$71,$B6))</f>
        <v>1) CONNECTIVITY</v>
      </c>
      <c r="F6" s="330" t="str">
        <f>LOWER(E6)</f>
        <v>1) connectivity</v>
      </c>
      <c r="H6" s="330" t="str">
        <f>IF($A6="","",INDEX(tblIndicators!AN$2:AN$71,$B6))</f>
        <v>CONNECTIVITY</v>
      </c>
      <c r="J6" s="330" t="str">
        <f>E6</f>
        <v>1) CONNECTIVITY</v>
      </c>
      <c r="O6" s="48"/>
      <c r="P6" s="864" t="s">
        <v>876</v>
      </c>
      <c r="Q6" s="866" t="s">
        <v>812</v>
      </c>
      <c r="R6" s="862" t="s">
        <v>798</v>
      </c>
      <c r="S6" s="866" t="s">
        <v>812</v>
      </c>
      <c r="T6" s="862" t="s">
        <v>814</v>
      </c>
      <c r="U6" s="533" t="s">
        <v>522</v>
      </c>
      <c r="V6" s="533"/>
      <c r="W6" s="48"/>
      <c r="X6" s="331"/>
      <c r="Y6" s="331">
        <f>Y5+1</f>
        <v>3</v>
      </c>
      <c r="Z6" s="535" t="str">
        <f t="shared" si="0"/>
        <v>CNTY1_1</v>
      </c>
      <c r="AA6" s="535">
        <f>IF(Z6="","",MATCH(Z6,tblIndicators!E$2:E$85,0))</f>
        <v>3</v>
      </c>
      <c r="AB6" s="535" t="str">
        <f>IF($AA6="","",REPT(" ",AC6)&amp;(INDEX(tblIndicators!AM$2:AM$85,$AA6)))</f>
        <v xml:space="preserve">  1.1) Digital infrastructure</v>
      </c>
      <c r="AC6" s="535">
        <f>IF($AA6="","",INDEX(tblIndicators!G$2:G$85,$AA6))</f>
        <v>2</v>
      </c>
      <c r="AE6" s="541" t="str">
        <f t="shared" si="3"/>
        <v>CNTY1_1</v>
      </c>
      <c r="AF6" s="48"/>
      <c r="AG6" s="48"/>
      <c r="AH6" s="48"/>
      <c r="AI6" s="48"/>
      <c r="AJ6" s="48"/>
      <c r="AK6" s="48">
        <f>O9</f>
        <v>0</v>
      </c>
      <c r="AM6" s="967">
        <f t="shared" si="4"/>
        <v>3</v>
      </c>
      <c r="AN6" s="964">
        <f t="shared" si="4"/>
        <v>3</v>
      </c>
      <c r="AO6" s="964"/>
      <c r="AP6" s="964">
        <f t="shared" si="5"/>
        <v>3</v>
      </c>
      <c r="AQ6" s="964" t="str">
        <f>IF(OR(INDEX($AZ$4:$BB$106,$AP6,$AT$2)=0,INDEX($AZ$4:$BB$106,$AP6,$AT$2)=""),"",INDEX($AZ$4:$BB$106,$AP6,$AT$2))</f>
        <v>CNTY1_1</v>
      </c>
      <c r="AR6" s="964">
        <f>MATCH(AQ6,tblIndicators!$E$2:$E$128,0)</f>
        <v>3</v>
      </c>
      <c r="AS6" s="964" t="str">
        <f>REPT(" ",AT6)&amp;IF($AR6="","",INDEX(tblIndicators!$AL$2:$AL$128,AR6))</f>
        <v xml:space="preserve">  1.1) Digital infrastructure</v>
      </c>
      <c r="AT6" s="964">
        <f>INDEX(tblIndicators!$G$2:$G$128,AR6)</f>
        <v>2</v>
      </c>
      <c r="AU6" s="964" t="str">
        <f>REPT(" ",AT6)&amp;IF($AR6="","",INDEX(tblIndicators!$AL$2:$AL$128,$AR6))</f>
        <v xml:space="preserve">  1.1) Digital infrastructure</v>
      </c>
      <c r="AV6" s="964" t="str">
        <f t="shared" si="6"/>
        <v>1.1) Digital infrastructure</v>
      </c>
      <c r="AW6" s="964" t="str">
        <f t="shared" si="7"/>
        <v>1.1</v>
      </c>
      <c r="AX6" s="964" t="str">
        <f>IF($AR6="","",INDEX(tblIndicators!$AL$2:$AL$128,AR6))</f>
        <v>1.1) Digital infrastructure</v>
      </c>
      <c r="AY6" s="964"/>
      <c r="AZ6" s="969" t="str">
        <f t="shared" ref="AZ6:AZ25" si="9">S6</f>
        <v>CNTY1_1</v>
      </c>
      <c r="BA6" s="968" t="s">
        <v>812</v>
      </c>
      <c r="BB6" s="969" t="str">
        <f t="shared" ref="BB6:BB25" si="10">S6</f>
        <v>CNTY1_1</v>
      </c>
      <c r="BC6" s="964"/>
      <c r="BD6" s="964"/>
      <c r="BE6" s="964"/>
      <c r="BF6" s="964"/>
    </row>
    <row r="7" spans="1:58" s="330" customFormat="1" ht="20.25" customHeight="1">
      <c r="A7" s="329" t="str">
        <f t="shared" ref="A7:A9" si="11">R6</f>
        <v>SERV</v>
      </c>
      <c r="B7" s="330">
        <f>IF(A7="","",MATCH(A7,tblIndicators!E$2:E$71,0))</f>
        <v>16</v>
      </c>
      <c r="C7" s="330" t="str">
        <f>IF($A7="","",INDEX(tblIndicators!AL$2:AL$71,$B7))</f>
        <v>2) SERVICES</v>
      </c>
      <c r="D7" s="330" t="str">
        <f t="shared" ref="D7:D9" si="12">C7</f>
        <v>2) SERVICES</v>
      </c>
      <c r="E7" s="330" t="str">
        <f>IF($A7="","",INDEX(tblIndicators!AM$2:AM$71,$B7))</f>
        <v>2) SERVICES</v>
      </c>
      <c r="F7" s="330" t="str">
        <f t="shared" ref="F7:F9" si="13">LOWER(E7)</f>
        <v>2) services</v>
      </c>
      <c r="H7" s="330" t="str">
        <f>IF($A7="","",INDEX(tblIndicators!AN$2:AN$71,$B7))</f>
        <v>SERVICES</v>
      </c>
      <c r="J7" s="330" t="str">
        <f t="shared" ref="J7:J9" si="14">E7</f>
        <v>2) SERVICES</v>
      </c>
      <c r="O7" s="48"/>
      <c r="P7" s="864" t="s">
        <v>877</v>
      </c>
      <c r="Q7" s="862" t="s">
        <v>813</v>
      </c>
      <c r="R7" s="862" t="s">
        <v>799</v>
      </c>
      <c r="S7" s="866" t="s">
        <v>817</v>
      </c>
      <c r="T7" s="862" t="s">
        <v>815</v>
      </c>
      <c r="U7" s="533" t="s">
        <v>523</v>
      </c>
      <c r="V7" s="545"/>
      <c r="W7" s="48"/>
      <c r="X7" s="331"/>
      <c r="Y7" s="331">
        <f>Y6+1</f>
        <v>4</v>
      </c>
      <c r="Z7" s="535" t="str">
        <f t="shared" si="0"/>
        <v>CNTY1_1_1</v>
      </c>
      <c r="AA7" s="535">
        <f>IF(Z7="","",MATCH(Z7,tblIndicators!E$2:E$85,0))</f>
        <v>4</v>
      </c>
      <c r="AB7" s="535" t="str">
        <f>IF($AA7="","",REPT(" ",AC7)&amp;(INDEX(tblIndicators!AM$2:AM$85,$AA7)))</f>
        <v xml:space="preserve">   1.1.1) Mobile broadband subscriptions</v>
      </c>
      <c r="AC7" s="535">
        <f>IF($AA7="","",INDEX(tblIndicators!G$2:G$85,$AA7))</f>
        <v>3</v>
      </c>
      <c r="AE7" s="541" t="str">
        <f t="shared" si="3"/>
        <v>CNTY1_1_1</v>
      </c>
      <c r="AF7" s="48"/>
      <c r="AG7" s="48"/>
      <c r="AH7" s="48"/>
      <c r="AI7" s="48"/>
      <c r="AJ7" s="48"/>
      <c r="AK7" s="48">
        <f>O10</f>
        <v>0</v>
      </c>
      <c r="AM7" s="967">
        <f t="shared" si="4"/>
        <v>4</v>
      </c>
      <c r="AN7" s="964">
        <f t="shared" si="4"/>
        <v>4</v>
      </c>
      <c r="AO7" s="964"/>
      <c r="AP7" s="964">
        <f t="shared" si="5"/>
        <v>4</v>
      </c>
      <c r="AQ7" s="964" t="str">
        <f t="shared" si="1"/>
        <v>CNTY1_1_1</v>
      </c>
      <c r="AR7" s="964">
        <f>MATCH(AQ7,tblIndicators!$E$2:$E$128,0)</f>
        <v>4</v>
      </c>
      <c r="AS7" s="964" t="str">
        <f>REPT(" ",AT7)&amp;IF($AR7="","",INDEX(tblIndicators!$AL$2:$AL$128,AR7))</f>
        <v xml:space="preserve">   1.1.1) Mobile broadband subscriptions</v>
      </c>
      <c r="AT7" s="964">
        <f>INDEX(tblIndicators!$G$2:$G$128,AR7)</f>
        <v>3</v>
      </c>
      <c r="AU7" s="964" t="str">
        <f>REPT(" ",AT7)&amp;IF($AR7="","",INDEX(tblIndicators!$AL$2:$AL$128,$AR7))</f>
        <v xml:space="preserve">   1.1.1) Mobile broadband subscriptions</v>
      </c>
      <c r="AV7" s="964" t="str">
        <f t="shared" si="6"/>
        <v>1.1.1) Mobile broadband subscriptions</v>
      </c>
      <c r="AW7" s="964" t="str">
        <f t="shared" si="7"/>
        <v>1.1</v>
      </c>
      <c r="AX7" s="964" t="str">
        <f>IF($AR7="","",INDEX(tblIndicators!$AL$2:$AL$128,AR7))</f>
        <v>1.1.1) Mobile broadband subscriptions</v>
      </c>
      <c r="AY7" s="964"/>
      <c r="AZ7" s="969" t="str">
        <f t="shared" si="9"/>
        <v>CNTY1_2</v>
      </c>
      <c r="BA7" s="968" t="s">
        <v>813</v>
      </c>
      <c r="BB7" s="969" t="str">
        <f t="shared" si="10"/>
        <v>CNTY1_2</v>
      </c>
      <c r="BC7" s="964"/>
      <c r="BD7" s="964"/>
      <c r="BE7" s="964"/>
      <c r="BF7" s="964"/>
    </row>
    <row r="8" spans="1:58" s="330" customFormat="1" ht="20.25" customHeight="1">
      <c r="A8" s="329" t="str">
        <f t="shared" si="11"/>
        <v>CULT</v>
      </c>
      <c r="B8" s="330">
        <f>IF(A8="","",MATCH(A8,tblIndicators!E$2:E$71,0))</f>
        <v>37</v>
      </c>
      <c r="C8" s="330" t="str">
        <f>IF($A8="","",INDEX(tblIndicators!AL$2:AL$71,$B8))</f>
        <v>3) CULTURE</v>
      </c>
      <c r="D8" s="330" t="str">
        <f t="shared" si="12"/>
        <v>3) CULTURE</v>
      </c>
      <c r="E8" s="330" t="str">
        <f>IF($A8="","",INDEX(tblIndicators!AM$2:AM$71,$B8))</f>
        <v>3) CULTURE</v>
      </c>
      <c r="F8" s="330" t="str">
        <f t="shared" si="13"/>
        <v>3) culture</v>
      </c>
      <c r="H8" s="330" t="str">
        <f>IF($A8="","",INDEX(tblIndicators!AN$2:AN$71,$B8))</f>
        <v>CULTURE</v>
      </c>
      <c r="J8" s="330" t="str">
        <f t="shared" si="14"/>
        <v>3) CULTURE</v>
      </c>
      <c r="O8" s="48"/>
      <c r="P8" s="864" t="s">
        <v>878</v>
      </c>
      <c r="Q8" s="862" t="s">
        <v>814</v>
      </c>
      <c r="R8" s="48" t="s">
        <v>518</v>
      </c>
      <c r="S8" s="866" t="s">
        <v>821</v>
      </c>
      <c r="T8" s="862" t="s">
        <v>816</v>
      </c>
      <c r="U8" s="533" t="s">
        <v>524</v>
      </c>
      <c r="V8" s="533"/>
      <c r="W8" s="48"/>
      <c r="X8" s="331"/>
      <c r="Y8" s="331">
        <f t="shared" si="2"/>
        <v>5</v>
      </c>
      <c r="Z8" s="535" t="str">
        <f t="shared" si="0"/>
        <v>CNTY1_1_2</v>
      </c>
      <c r="AA8" s="535">
        <f>IF(Z8="","",MATCH(Z8,tblIndicators!E$2:E$85,0))</f>
        <v>5</v>
      </c>
      <c r="AB8" s="535" t="str">
        <f>IF($AA8="","",REPT(" ",AC8)&amp;(INDEX(tblIndicators!AM$2:AM$85,$AA8)))</f>
        <v xml:space="preserve">   1.1.2) Fixed broadband susbcriptions</v>
      </c>
      <c r="AC8" s="535">
        <f>IF($AA8="","",INDEX(tblIndicators!G$2:G$85,$AA8))</f>
        <v>3</v>
      </c>
      <c r="AE8" s="541" t="str">
        <f t="shared" si="3"/>
        <v>CNTY1_1_2</v>
      </c>
      <c r="AF8" s="48"/>
      <c r="AG8" s="48"/>
      <c r="AH8" s="48"/>
      <c r="AI8" s="48"/>
      <c r="AJ8" s="48"/>
      <c r="AK8" s="48">
        <f>O11</f>
        <v>0</v>
      </c>
      <c r="AM8" s="967">
        <f t="shared" si="4"/>
        <v>5</v>
      </c>
      <c r="AN8" s="964">
        <f t="shared" si="4"/>
        <v>5</v>
      </c>
      <c r="AO8" s="964"/>
      <c r="AP8" s="964">
        <f t="shared" si="5"/>
        <v>5</v>
      </c>
      <c r="AQ8" s="964" t="str">
        <f t="shared" si="1"/>
        <v>CNTY1_1_2</v>
      </c>
      <c r="AR8" s="964">
        <f>MATCH(AQ8,tblIndicators!$E$2:$E$128,0)</f>
        <v>5</v>
      </c>
      <c r="AS8" s="964" t="str">
        <f>REPT(" ",AT8)&amp;IF($AR8="","",INDEX(tblIndicators!$AL$2:$AL$128,AR8))</f>
        <v xml:space="preserve">   1.1.2) Fixed broadband susbcriptions</v>
      </c>
      <c r="AT8" s="964">
        <f>INDEX(tblIndicators!$G$2:$G$128,AR8)</f>
        <v>3</v>
      </c>
      <c r="AU8" s="964" t="str">
        <f>REPT(" ",AT8)&amp;IF($AR8="","",INDEX(tblIndicators!$AL$2:$AL$128,$AR8))</f>
        <v xml:space="preserve">   1.1.2) Fixed broadband susbcriptions</v>
      </c>
      <c r="AV8" s="964" t="str">
        <f t="shared" si="6"/>
        <v>1.1.2) Fixed broadband susbcriptions</v>
      </c>
      <c r="AW8" s="964" t="str">
        <f t="shared" si="7"/>
        <v>1.1</v>
      </c>
      <c r="AX8" s="964" t="str">
        <f>IF($AR8="","",INDEX(tblIndicators!$AL$2:$AL$128,AR8))</f>
        <v>1.1.2) Fixed broadband susbcriptions</v>
      </c>
      <c r="AY8" s="964"/>
      <c r="AZ8" s="969" t="str">
        <f t="shared" si="9"/>
        <v>CNTY1_3</v>
      </c>
      <c r="BA8" s="968" t="s">
        <v>814</v>
      </c>
      <c r="BB8" s="969" t="str">
        <f t="shared" si="10"/>
        <v>CNTY1_3</v>
      </c>
      <c r="BC8" s="964"/>
      <c r="BD8" s="964"/>
      <c r="BE8" s="964"/>
      <c r="BF8" s="964"/>
    </row>
    <row r="9" spans="1:58" s="330" customFormat="1" ht="20.25" customHeight="1">
      <c r="A9" s="329" t="str">
        <f t="shared" si="11"/>
        <v>SUST</v>
      </c>
      <c r="B9" s="330">
        <f>IF(A9="","",MATCH(A9,tblIndicators!E$2:E$71,0))</f>
        <v>57</v>
      </c>
      <c r="C9" s="330" t="str">
        <f>IF($A9="","",INDEX(tblIndicators!AL$2:AL$71,$B9))</f>
        <v>4) SUSTAINABILITY</v>
      </c>
      <c r="D9" s="330" t="str">
        <f t="shared" si="12"/>
        <v>4) SUSTAINABILITY</v>
      </c>
      <c r="E9" s="330" t="str">
        <f>IF($A9="","",INDEX(tblIndicators!AM$2:AM$71,$B9))</f>
        <v>4) SUSTAINABILITY</v>
      </c>
      <c r="F9" s="330" t="str">
        <f t="shared" si="13"/>
        <v>4) sustainability</v>
      </c>
      <c r="H9" s="330" t="str">
        <f>IF($A9="","",INDEX(tblIndicators!AN$2:AN$71,$B9))</f>
        <v>SUSTAINABILITY</v>
      </c>
      <c r="J9" s="330" t="str">
        <f t="shared" si="14"/>
        <v>4) SUSTAINABILITY</v>
      </c>
      <c r="O9" s="48"/>
      <c r="P9" s="17"/>
      <c r="Q9" s="862" t="s">
        <v>815</v>
      </c>
      <c r="R9" s="48"/>
      <c r="S9" s="865" t="s">
        <v>798</v>
      </c>
      <c r="T9" s="866" t="s">
        <v>817</v>
      </c>
      <c r="U9" s="532" t="s">
        <v>525</v>
      </c>
      <c r="V9" s="533"/>
      <c r="W9" s="48"/>
      <c r="X9" s="331"/>
      <c r="Y9" s="331">
        <f t="shared" si="2"/>
        <v>6</v>
      </c>
      <c r="Z9" s="535" t="str">
        <f t="shared" si="0"/>
        <v>CNTY1_1_3</v>
      </c>
      <c r="AA9" s="535">
        <f>IF(Z9="","",MATCH(Z9,tblIndicators!E$2:E$85,0))</f>
        <v>6</v>
      </c>
      <c r="AB9" s="535" t="str">
        <f>IF($AA9="","",REPT(" ",AC9)&amp;(INDEX(tblIndicators!AM$2:AM$85,$AA9)))</f>
        <v xml:space="preserve">   1.1.3) 5G readiness</v>
      </c>
      <c r="AC9" s="535">
        <f>IF($AA9="","",INDEX(tblIndicators!G$2:G$85,$AA9))</f>
        <v>3</v>
      </c>
      <c r="AE9" s="541" t="str">
        <f t="shared" si="3"/>
        <v>CNTY1_1_3</v>
      </c>
      <c r="AF9" s="48"/>
      <c r="AG9" s="48"/>
      <c r="AH9" s="48"/>
      <c r="AI9" s="48"/>
      <c r="AJ9" s="48"/>
      <c r="AK9" s="48"/>
      <c r="AM9" s="967">
        <f t="shared" si="4"/>
        <v>6</v>
      </c>
      <c r="AN9" s="964">
        <f t="shared" si="4"/>
        <v>6</v>
      </c>
      <c r="AO9" s="964"/>
      <c r="AP9" s="964">
        <f t="shared" si="5"/>
        <v>6</v>
      </c>
      <c r="AQ9" s="964" t="str">
        <f t="shared" si="1"/>
        <v>CNTY1_1_3</v>
      </c>
      <c r="AR9" s="964">
        <f>MATCH(AQ9,tblIndicators!$E$2:$E$128,0)</f>
        <v>6</v>
      </c>
      <c r="AS9" s="964" t="str">
        <f>REPT(" ",AT9)&amp;IF($AR9="","",INDEX(tblIndicators!$AL$2:$AL$128,AR9))</f>
        <v xml:space="preserve">   1.1.3) 5G readiness</v>
      </c>
      <c r="AT9" s="964">
        <f>INDEX(tblIndicators!$G$2:$G$128,AR9)</f>
        <v>3</v>
      </c>
      <c r="AU9" s="964" t="str">
        <f>REPT(" ",AT9)&amp;IF($AR9="","",INDEX(tblIndicators!$AL$2:$AL$128,$AR9))</f>
        <v xml:space="preserve">   1.1.3) 5G readiness</v>
      </c>
      <c r="AV9" s="964" t="str">
        <f t="shared" si="6"/>
        <v>1.1.3) 5G readiness</v>
      </c>
      <c r="AW9" s="964" t="str">
        <f t="shared" si="7"/>
        <v>1.1</v>
      </c>
      <c r="AX9" s="964" t="str">
        <f>IF($AR9="","",INDEX(tblIndicators!$AL$2:$AL$128,AR9))</f>
        <v>1.1.3) 5G readiness</v>
      </c>
      <c r="AY9" s="964"/>
      <c r="AZ9" s="969" t="str">
        <f t="shared" si="9"/>
        <v>SERV</v>
      </c>
      <c r="BA9" s="968" t="s">
        <v>815</v>
      </c>
      <c r="BB9" s="969" t="str">
        <f t="shared" si="10"/>
        <v>SERV</v>
      </c>
      <c r="BC9" s="964"/>
      <c r="BD9" s="964"/>
      <c r="BE9" s="964"/>
      <c r="BF9" s="964"/>
    </row>
    <row r="10" spans="1:58" s="330" customFormat="1" ht="20.25" customHeight="1">
      <c r="A10" s="534">
        <f>COUNT(B12:B81)</f>
        <v>70</v>
      </c>
      <c r="B10" s="535"/>
      <c r="C10" s="535"/>
      <c r="D10" s="535"/>
      <c r="E10" s="535"/>
      <c r="F10" s="535"/>
      <c r="G10" s="535"/>
      <c r="H10" s="535"/>
      <c r="I10" s="535"/>
      <c r="J10" s="535"/>
      <c r="K10" s="535"/>
      <c r="L10" s="535"/>
      <c r="M10" s="535"/>
      <c r="N10" s="535"/>
      <c r="O10" s="48"/>
      <c r="P10" s="17"/>
      <c r="Q10" s="862" t="s">
        <v>816</v>
      </c>
      <c r="R10" s="48"/>
      <c r="S10" s="866" t="s">
        <v>824</v>
      </c>
      <c r="T10" s="862" t="s">
        <v>818</v>
      </c>
      <c r="U10" s="533" t="s">
        <v>526</v>
      </c>
      <c r="V10" s="533"/>
      <c r="W10" s="48"/>
      <c r="X10" s="331"/>
      <c r="Y10" s="331">
        <f t="shared" si="2"/>
        <v>7</v>
      </c>
      <c r="Z10" s="535" t="str">
        <f t="shared" si="0"/>
        <v>CNTY1_1_4</v>
      </c>
      <c r="AA10" s="535">
        <f>IF(Z10="","",MATCH(Z10,tblIndicators!E$2:E$85,0))</f>
        <v>7</v>
      </c>
      <c r="AB10" s="535" t="str">
        <f>IF($AA10="","",REPT(" ",AC10)&amp;(INDEX(tblIndicators!AM$2:AM$85,$AA10)))</f>
        <v xml:space="preserve">   1.1.4) 5G deployment</v>
      </c>
      <c r="AC10" s="535">
        <f>IF($AA10="","",INDEX(tblIndicators!G$2:G$85,$AA10))</f>
        <v>3</v>
      </c>
      <c r="AE10" s="541" t="str">
        <f t="shared" si="3"/>
        <v>CNTY1_1_4</v>
      </c>
      <c r="AF10" s="48"/>
      <c r="AG10" s="48"/>
      <c r="AH10" s="48"/>
      <c r="AI10" s="48"/>
      <c r="AJ10" s="48"/>
      <c r="AK10" s="48"/>
      <c r="AM10" s="967">
        <f t="shared" si="4"/>
        <v>7</v>
      </c>
      <c r="AN10" s="964">
        <f t="shared" si="4"/>
        <v>7</v>
      </c>
      <c r="AO10" s="964"/>
      <c r="AP10" s="964">
        <f t="shared" si="5"/>
        <v>7</v>
      </c>
      <c r="AQ10" s="964" t="str">
        <f t="shared" si="1"/>
        <v>CNTY1_1_4</v>
      </c>
      <c r="AR10" s="964">
        <f>MATCH(AQ10,tblIndicators!$E$2:$E$128,0)</f>
        <v>7</v>
      </c>
      <c r="AS10" s="964" t="str">
        <f>REPT(" ",AT10)&amp;IF($AR10="","",INDEX(tblIndicators!$AL$2:$AL$128,AR10))</f>
        <v xml:space="preserve">   1.1.4) 5G deployment</v>
      </c>
      <c r="AT10" s="964">
        <f>INDEX(tblIndicators!$G$2:$G$128,AR10)</f>
        <v>3</v>
      </c>
      <c r="AU10" s="964" t="str">
        <f>REPT(" ",AT10)&amp;IF($AR10="","",INDEX(tblIndicators!$AL$2:$AL$128,$AR10))</f>
        <v xml:space="preserve">   1.1.4) 5G deployment</v>
      </c>
      <c r="AV10" s="964" t="str">
        <f t="shared" si="6"/>
        <v>1.1.4) 5G deployment</v>
      </c>
      <c r="AW10" s="964" t="str">
        <f t="shared" si="7"/>
        <v>1.1</v>
      </c>
      <c r="AX10" s="964" t="str">
        <f>IF($AR10="","",INDEX(tblIndicators!$AL$2:$AL$128,AR10))</f>
        <v>1.1.4) 5G deployment</v>
      </c>
      <c r="AY10" s="964"/>
      <c r="AZ10" s="969" t="str">
        <f t="shared" si="9"/>
        <v>SERV2_1</v>
      </c>
      <c r="BA10" s="968" t="s">
        <v>816</v>
      </c>
      <c r="BB10" s="969" t="str">
        <f t="shared" si="10"/>
        <v>SERV2_1</v>
      </c>
      <c r="BC10" s="964"/>
      <c r="BD10" s="964"/>
      <c r="BE10" s="964"/>
      <c r="BF10" s="964"/>
    </row>
    <row r="11" spans="1:58" ht="20.25" customHeight="1">
      <c r="A11" s="543" t="s">
        <v>393</v>
      </c>
      <c r="C11" s="536" t="s">
        <v>147</v>
      </c>
      <c r="E11" s="536" t="s">
        <v>167</v>
      </c>
      <c r="O11" s="48"/>
      <c r="P11" s="17"/>
      <c r="Q11" s="866" t="s">
        <v>817</v>
      </c>
      <c r="S11" s="866" t="s">
        <v>828</v>
      </c>
      <c r="T11" s="862" t="s">
        <v>819</v>
      </c>
      <c r="U11" s="533" t="s">
        <v>527</v>
      </c>
      <c r="V11" s="545"/>
      <c r="X11" s="331"/>
      <c r="Y11" s="331">
        <f t="shared" si="2"/>
        <v>8</v>
      </c>
      <c r="Z11" s="535" t="str">
        <f t="shared" si="0"/>
        <v>CNTY1_2</v>
      </c>
      <c r="AA11" s="535">
        <f>IF(Z11="","",MATCH(Z11,tblIndicators!E$2:E$85,0))</f>
        <v>8</v>
      </c>
      <c r="AB11" s="535" t="str">
        <f>IF($AA11="","",REPT(" ",AC11)&amp;(INDEX(tblIndicators!AM$2:AM$85,$AA11)))</f>
        <v xml:space="preserve">  1.2) Quality</v>
      </c>
      <c r="AC11" s="535">
        <f>IF($AA11="","",INDEX(tblIndicators!G$2:G$85,$AA11))</f>
        <v>2</v>
      </c>
      <c r="AD11" s="330"/>
      <c r="AE11" s="541" t="str">
        <f t="shared" si="3"/>
        <v>CNTY1_2</v>
      </c>
      <c r="AF11" s="48"/>
      <c r="AG11" s="48"/>
      <c r="AH11" s="48"/>
      <c r="AI11" s="48"/>
      <c r="AJ11" s="48"/>
      <c r="AK11" s="48"/>
      <c r="AM11" s="967">
        <f t="shared" si="4"/>
        <v>8</v>
      </c>
      <c r="AN11" s="964">
        <f t="shared" si="4"/>
        <v>8</v>
      </c>
      <c r="AP11" s="964">
        <f t="shared" si="5"/>
        <v>8</v>
      </c>
      <c r="AQ11" s="964" t="str">
        <f t="shared" si="1"/>
        <v>CNTY1_2</v>
      </c>
      <c r="AR11" s="964">
        <f>MATCH(AQ11,tblIndicators!$E$2:$E$128,0)</f>
        <v>8</v>
      </c>
      <c r="AS11" s="964" t="str">
        <f>REPT(" ",AT11)&amp;IF($AR11="","",INDEX(tblIndicators!$AL$2:$AL$128,AR11))</f>
        <v xml:space="preserve">  1.2) Quality</v>
      </c>
      <c r="AT11" s="964">
        <f>INDEX(tblIndicators!$G$2:$G$128,AR11)</f>
        <v>2</v>
      </c>
      <c r="AU11" s="964" t="str">
        <f>REPT(" ",AT11)&amp;IF($AR11="","",INDEX(tblIndicators!$AL$2:$AL$128,$AR11))</f>
        <v xml:space="preserve">  1.2) Quality</v>
      </c>
      <c r="AV11" s="964" t="str">
        <f t="shared" si="6"/>
        <v>1.2) Quality</v>
      </c>
      <c r="AW11" s="964" t="str">
        <f t="shared" si="7"/>
        <v>1.2</v>
      </c>
      <c r="AX11" s="964" t="str">
        <f>IF($AR11="","",INDEX(tblIndicators!$AL$2:$AL$128,AR11))</f>
        <v>1.2) Quality</v>
      </c>
      <c r="AZ11" s="969" t="str">
        <f t="shared" si="9"/>
        <v>SERV2_2</v>
      </c>
      <c r="BA11" s="968" t="s">
        <v>817</v>
      </c>
      <c r="BB11" s="969" t="str">
        <f t="shared" si="10"/>
        <v>SERV2_2</v>
      </c>
    </row>
    <row r="12" spans="1:58" ht="20.25" customHeight="1">
      <c r="A12" s="61" t="str">
        <f>Q4</f>
        <v>OVERALL</v>
      </c>
      <c r="B12" s="535">
        <f>IF(A12="","",MATCH(A12,tblIndicators!$E$2:$E$71,0))</f>
        <v>1</v>
      </c>
      <c r="C12" s="535" t="str">
        <f>REPT(" ",D12)&amp;IF($A12="","",INDEX(tblIndicators!$AL$2:$AL$71,$B12))</f>
        <v>OVERALL SCORE</v>
      </c>
      <c r="D12" s="535">
        <f>INDEX(tblIndicators!$G$2:$G$71,B12)</f>
        <v>0</v>
      </c>
      <c r="E12" s="535" t="str">
        <f>REPT(" ",D12)&amp;IF($A12="","",INDEX(tblIndicators!$AM$2:$AM$71,$B12))</f>
        <v>OVERALL SCORE</v>
      </c>
      <c r="F12" s="535" t="str">
        <f t="shared" ref="F12" si="15">TRIM(E12)</f>
        <v>OVERALL SCORE</v>
      </c>
      <c r="H12" s="535" t="str" cm="1">
        <f t="array" ref="H12">INDEX(tblIndicators!$K$2:$K$71,$B12)</f>
        <v>OVERALL SCORE</v>
      </c>
      <c r="O12" s="48"/>
      <c r="P12" s="17"/>
      <c r="Q12" s="862" t="s">
        <v>818</v>
      </c>
      <c r="S12" s="866" t="s">
        <v>832</v>
      </c>
      <c r="T12" s="862" t="s">
        <v>820</v>
      </c>
      <c r="U12" s="533" t="s">
        <v>528</v>
      </c>
      <c r="V12" s="533"/>
      <c r="X12" s="331"/>
      <c r="Y12" s="331">
        <f t="shared" si="2"/>
        <v>9</v>
      </c>
      <c r="Z12" s="535" t="str">
        <f t="shared" si="0"/>
        <v>CNTY1_2_1</v>
      </c>
      <c r="AA12" s="535">
        <f>IF(Z12="","",MATCH(Z12,tblIndicators!E$2:E$85,0))</f>
        <v>9</v>
      </c>
      <c r="AB12" s="535" t="str">
        <f>IF($AA12="","",REPT(" ",AC12)&amp;(INDEX(tblIndicators!AM$2:AM$85,$AA12)))</f>
        <v xml:space="preserve">   1.2.1) Internet upload speed</v>
      </c>
      <c r="AC12" s="535">
        <f>IF($AA12="","",INDEX(tblIndicators!G$2:G$85,$AA12))</f>
        <v>3</v>
      </c>
      <c r="AD12" s="330"/>
      <c r="AE12" s="541" t="str">
        <f t="shared" si="3"/>
        <v>CNTY1_2_1</v>
      </c>
      <c r="AF12" s="48"/>
      <c r="AG12" s="48"/>
      <c r="AH12" s="48"/>
      <c r="AI12" s="48"/>
      <c r="AJ12" s="48"/>
      <c r="AK12" s="48"/>
      <c r="AM12" s="967">
        <f t="shared" si="4"/>
        <v>9</v>
      </c>
      <c r="AN12" s="964">
        <f t="shared" si="4"/>
        <v>9</v>
      </c>
      <c r="AP12" s="964">
        <f t="shared" si="5"/>
        <v>9</v>
      </c>
      <c r="AQ12" s="964" t="str">
        <f t="shared" si="1"/>
        <v>CNTY1_2_1</v>
      </c>
      <c r="AR12" s="964">
        <f>MATCH(AQ12,tblIndicators!$E$2:$E$128,0)</f>
        <v>9</v>
      </c>
      <c r="AS12" s="964" t="str">
        <f>REPT(" ",AT12)&amp;IF($AR12="","",INDEX(tblIndicators!$AL$2:$AL$128,AR12))</f>
        <v xml:space="preserve">   1.2.1) Internet upload speed</v>
      </c>
      <c r="AT12" s="964">
        <f>INDEX(tblIndicators!$G$2:$G$128,AR12)</f>
        <v>3</v>
      </c>
      <c r="AU12" s="964" t="str">
        <f>REPT(" ",AT12)&amp;IF($AR12="","",INDEX(tblIndicators!$AL$2:$AL$128,$AR12))</f>
        <v xml:space="preserve">   1.2.1) Internet upload speed</v>
      </c>
      <c r="AV12" s="964" t="str">
        <f t="shared" si="6"/>
        <v>1.2.1) Internet upload speed</v>
      </c>
      <c r="AW12" s="964" t="str">
        <f t="shared" si="7"/>
        <v>1.2</v>
      </c>
      <c r="AX12" s="964" t="str">
        <f>IF($AR12="","",INDEX(tblIndicators!$AL$2:$AL$128,AR12))</f>
        <v>1.2.1) Internet upload speed</v>
      </c>
      <c r="AZ12" s="969" t="str">
        <f t="shared" si="9"/>
        <v>SERV2_3</v>
      </c>
      <c r="BA12" s="968" t="s">
        <v>818</v>
      </c>
      <c r="BB12" s="969" t="str">
        <f t="shared" si="10"/>
        <v>SERV2_3</v>
      </c>
    </row>
    <row r="13" spans="1:58" ht="20.25" customHeight="1">
      <c r="A13" s="61" t="str">
        <f t="shared" ref="A13:A22" si="16">Q5</f>
        <v>CNTY</v>
      </c>
      <c r="B13" s="535">
        <f>IF(A13="","",MATCH(A13,tblIndicators!$E$2:$E$71,0))</f>
        <v>2</v>
      </c>
      <c r="C13" s="535" t="str">
        <f>REPT(" ",D13)&amp;IF($A13="","",INDEX(tblIndicators!$AL$2:$AL$71,$B13))</f>
        <v xml:space="preserve"> 1) CONNECTIVITY</v>
      </c>
      <c r="D13" s="535">
        <f>INDEX(tblIndicators!$G$2:$G$71,B13)</f>
        <v>1</v>
      </c>
      <c r="E13" s="535" t="str">
        <f>REPT(" ",D13)&amp;IF($A13="","",INDEX(tblIndicators!$AM$2:$AM$71,$B13))</f>
        <v xml:space="preserve"> 1) CONNECTIVITY</v>
      </c>
      <c r="F13" s="535" t="str">
        <f t="shared" ref="F13:F50" si="17">TRIM(E13)</f>
        <v>1) CONNECTIVITY</v>
      </c>
      <c r="H13" s="535" t="str" cm="1">
        <f t="array" ref="H13">INDEX(tblIndicators!$K$2:$K$71,$B13)</f>
        <v>Connectivity</v>
      </c>
      <c r="O13" s="48"/>
      <c r="P13" s="17"/>
      <c r="Q13" s="862" t="s">
        <v>819</v>
      </c>
      <c r="S13" s="866" t="s">
        <v>835</v>
      </c>
      <c r="T13" s="862" t="s">
        <v>981</v>
      </c>
      <c r="U13" s="533" t="s">
        <v>982</v>
      </c>
      <c r="V13" s="533"/>
      <c r="X13" s="331"/>
      <c r="Y13" s="331">
        <f t="shared" si="2"/>
        <v>10</v>
      </c>
      <c r="Z13" s="535" t="str">
        <f t="shared" si="0"/>
        <v>CNTY1_2_2</v>
      </c>
      <c r="AA13" s="535">
        <f>IF(Z13="","",MATCH(Z13,tblIndicators!E$2:E$85,0))</f>
        <v>10</v>
      </c>
      <c r="AB13" s="535" t="str">
        <f>IF($AA13="","",REPT(" ",AC13)&amp;(INDEX(tblIndicators!AM$2:AM$85,$AA13)))</f>
        <v xml:space="preserve">   1.2.2) Internet download speed</v>
      </c>
      <c r="AC13" s="535">
        <f>IF($AA13="","",INDEX(tblIndicators!G$2:G$85,$AA13))</f>
        <v>3</v>
      </c>
      <c r="AD13" s="330"/>
      <c r="AE13" s="541" t="str">
        <f t="shared" si="3"/>
        <v>CNTY1_2_2</v>
      </c>
      <c r="AF13" s="48"/>
      <c r="AG13" s="48"/>
      <c r="AH13" s="48"/>
      <c r="AI13" s="48"/>
      <c r="AJ13" s="48"/>
      <c r="AK13" s="48"/>
      <c r="AM13" s="967">
        <f t="shared" si="4"/>
        <v>10</v>
      </c>
      <c r="AN13" s="964">
        <f t="shared" si="4"/>
        <v>10</v>
      </c>
      <c r="AP13" s="964">
        <f t="shared" si="5"/>
        <v>10</v>
      </c>
      <c r="AQ13" s="964" t="str">
        <f t="shared" si="1"/>
        <v>CNTY1_2_2</v>
      </c>
      <c r="AR13" s="964">
        <f>MATCH(AQ13,tblIndicators!$E$2:$E$128,0)</f>
        <v>10</v>
      </c>
      <c r="AS13" s="964" t="str">
        <f>REPT(" ",AT13)&amp;IF($AR13="","",INDEX(tblIndicators!$AL$2:$AL$128,AR13))</f>
        <v xml:space="preserve">   1.2.2) Internet download speed</v>
      </c>
      <c r="AT13" s="964">
        <f>INDEX(tblIndicators!$G$2:$G$128,AR13)</f>
        <v>3</v>
      </c>
      <c r="AU13" s="964" t="str">
        <f>REPT(" ",AT13)&amp;IF($AR13="","",INDEX(tblIndicators!$AL$2:$AL$128,$AR13))</f>
        <v xml:space="preserve">   1.2.2) Internet download speed</v>
      </c>
      <c r="AV13" s="964" t="str">
        <f t="shared" si="6"/>
        <v>1.2.2) Internet download speed</v>
      </c>
      <c r="AW13" s="964" t="str">
        <f t="shared" si="7"/>
        <v>1.2</v>
      </c>
      <c r="AX13" s="964" t="str">
        <f>IF($AR13="","",INDEX(tblIndicators!$AL$2:$AL$128,AR13))</f>
        <v>1.2.2) Internet download speed</v>
      </c>
      <c r="AZ13" s="969" t="str">
        <f t="shared" si="9"/>
        <v>SERV2_4</v>
      </c>
      <c r="BA13" s="968" t="s">
        <v>819</v>
      </c>
      <c r="BB13" s="969" t="str">
        <f t="shared" si="10"/>
        <v>SERV2_4</v>
      </c>
    </row>
    <row r="14" spans="1:58" ht="20.25" customHeight="1">
      <c r="A14" s="61" t="str">
        <f t="shared" si="16"/>
        <v>CNTY1_1</v>
      </c>
      <c r="B14" s="535">
        <f>IF(A14="","",MATCH(A14,tblIndicators!$E$2:$E$71,0))</f>
        <v>3</v>
      </c>
      <c r="C14" s="535" t="str">
        <f>REPT(" ",D14)&amp;IF($A14="","",INDEX(tblIndicators!$AL$2:$AL$71,$B14))</f>
        <v xml:space="preserve">  1.1) Digital infrastructure</v>
      </c>
      <c r="D14" s="535">
        <f>INDEX(tblIndicators!$G$2:$G$71,B14)</f>
        <v>2</v>
      </c>
      <c r="E14" s="535" t="str">
        <f>REPT(" ",D14)&amp;IF($A14="","",INDEX(tblIndicators!$AM$2:$AM$71,$B14))</f>
        <v xml:space="preserve">  1.1) Digital infrastructure</v>
      </c>
      <c r="F14" s="535" t="str">
        <f t="shared" si="17"/>
        <v>1.1) Digital infrastructure</v>
      </c>
      <c r="H14" s="535" t="str" cm="1">
        <f t="array" ref="H14">INDEX(tblIndicators!$K$2:$K$71,$B14)</f>
        <v>Digital infrastructure</v>
      </c>
      <c r="O14" s="48"/>
      <c r="P14" s="17"/>
      <c r="Q14" s="862" t="s">
        <v>820</v>
      </c>
      <c r="S14" s="866" t="s">
        <v>839</v>
      </c>
      <c r="T14" s="866" t="s">
        <v>821</v>
      </c>
      <c r="U14" s="532" t="s">
        <v>529</v>
      </c>
      <c r="V14" s="533"/>
      <c r="X14" s="331"/>
      <c r="Y14" s="331">
        <f t="shared" si="2"/>
        <v>11</v>
      </c>
      <c r="Z14" s="535" t="str">
        <f t="shared" si="0"/>
        <v>CNTY1_2_3</v>
      </c>
      <c r="AA14" s="535">
        <f>IF(Z14="","",MATCH(Z14,tblIndicators!E$2:E$85,0))</f>
        <v>11</v>
      </c>
      <c r="AB14" s="535" t="str">
        <f>IF($AA14="","",REPT(" ",AC14)&amp;(INDEX(tblIndicators!AM$2:AM$85,$AA14)))</f>
        <v xml:space="preserve">   1.2.3) Mobile broadband latency</v>
      </c>
      <c r="AC14" s="535">
        <f>IF($AA14="","",INDEX(tblIndicators!G$2:G$85,$AA14))</f>
        <v>3</v>
      </c>
      <c r="AD14" s="330"/>
      <c r="AE14" s="541" t="str">
        <f t="shared" si="3"/>
        <v>CNTY1_2_3</v>
      </c>
      <c r="AF14" s="48"/>
      <c r="AG14" s="48"/>
      <c r="AH14" s="48"/>
      <c r="AI14" s="48"/>
      <c r="AJ14" s="48"/>
      <c r="AK14" s="48"/>
      <c r="AM14" s="967">
        <f t="shared" si="4"/>
        <v>11</v>
      </c>
      <c r="AN14" s="964">
        <f t="shared" si="4"/>
        <v>11</v>
      </c>
      <c r="AP14" s="964">
        <f t="shared" si="5"/>
        <v>11</v>
      </c>
      <c r="AQ14" s="964" t="str">
        <f t="shared" si="1"/>
        <v>CNTY1_2_3</v>
      </c>
      <c r="AR14" s="964">
        <f>MATCH(AQ14,tblIndicators!$E$2:$E$128,0)</f>
        <v>11</v>
      </c>
      <c r="AS14" s="964" t="str">
        <f>REPT(" ",AT14)&amp;IF($AR14="","",INDEX(tblIndicators!$AL$2:$AL$128,AR14))</f>
        <v xml:space="preserve">   1.2.3) Mobile broadband latency</v>
      </c>
      <c r="AT14" s="964">
        <f>INDEX(tblIndicators!$G$2:$G$128,AR14)</f>
        <v>3</v>
      </c>
      <c r="AU14" s="964" t="str">
        <f>REPT(" ",AT14)&amp;IF($AR14="","",INDEX(tblIndicators!$AL$2:$AL$128,$AR14))</f>
        <v xml:space="preserve">   1.2.3) Mobile broadband latency</v>
      </c>
      <c r="AV14" s="964" t="str">
        <f t="shared" si="6"/>
        <v>1.2.3) Mobile broadband latency</v>
      </c>
      <c r="AW14" s="964" t="str">
        <f t="shared" si="7"/>
        <v>1.2</v>
      </c>
      <c r="AX14" s="964" t="str">
        <f>IF($AR14="","",INDEX(tblIndicators!$AL$2:$AL$128,AR14))</f>
        <v>1.2.3) Mobile broadband latency</v>
      </c>
      <c r="AZ14" s="969" t="str">
        <f t="shared" si="9"/>
        <v>SERV2_5</v>
      </c>
      <c r="BA14" s="968" t="s">
        <v>820</v>
      </c>
      <c r="BB14" s="969" t="str">
        <f t="shared" si="10"/>
        <v>SERV2_5</v>
      </c>
    </row>
    <row r="15" spans="1:58" ht="20.25" customHeight="1">
      <c r="A15" s="61" t="str">
        <f t="shared" si="16"/>
        <v>CNTY1_1_1</v>
      </c>
      <c r="B15" s="535">
        <f>IF(A15="","",MATCH(A15,tblIndicators!$E$2:$E$71,0))</f>
        <v>4</v>
      </c>
      <c r="C15" s="535" t="str">
        <f>REPT(" ",D15)&amp;IF($A15="","",INDEX(tblIndicators!$AL$2:$AL$71,$B15))</f>
        <v xml:space="preserve">   1.1.1) Mobile broadband subscriptions</v>
      </c>
      <c r="D15" s="535">
        <f>INDEX(tblIndicators!$G$2:$G$71,B15)</f>
        <v>3</v>
      </c>
      <c r="E15" s="535" t="str">
        <f>REPT(" ",D15)&amp;IF($A15="","",INDEX(tblIndicators!$AM$2:$AM$71,$B15))</f>
        <v xml:space="preserve">   1.1.1) Mobile broadband subscriptions</v>
      </c>
      <c r="F15" s="535" t="str">
        <f t="shared" si="17"/>
        <v>1.1.1) Mobile broadband subscriptions</v>
      </c>
      <c r="H15" s="535" t="str" cm="1">
        <f t="array" ref="H15">INDEX(tblIndicators!$K$2:$K$71,$B15)</f>
        <v>1.1.1</v>
      </c>
      <c r="O15" s="48"/>
      <c r="P15" s="17"/>
      <c r="Q15" s="862" t="s">
        <v>981</v>
      </c>
      <c r="S15" s="866" t="s">
        <v>841</v>
      </c>
      <c r="T15" s="862" t="s">
        <v>822</v>
      </c>
      <c r="U15" s="533" t="s">
        <v>530</v>
      </c>
      <c r="V15" s="545"/>
      <c r="X15" s="331"/>
      <c r="Y15" s="331">
        <f t="shared" si="2"/>
        <v>12</v>
      </c>
      <c r="Z15" s="535" t="str">
        <f t="shared" si="0"/>
        <v>CNTY1_2_4</v>
      </c>
      <c r="AA15" s="535">
        <f>IF(Z15="","",MATCH(Z15,tblIndicators!E$2:E$85,0))</f>
        <v>12</v>
      </c>
      <c r="AB15" s="535" t="str">
        <f>IF($AA15="","",REPT(" ",AC15)&amp;(INDEX(tblIndicators!AM$2:AM$85,$AA15)))</f>
        <v xml:space="preserve">   1.2.4) Fixed broadband latency</v>
      </c>
      <c r="AC15" s="535">
        <f>IF($AA15="","",INDEX(tblIndicators!G$2:G$85,$AA15))</f>
        <v>3</v>
      </c>
      <c r="AD15" s="330"/>
      <c r="AE15" s="541" t="str">
        <f t="shared" si="3"/>
        <v>CNTY1_2_4</v>
      </c>
      <c r="AF15" s="48"/>
      <c r="AG15" s="48"/>
      <c r="AH15" s="48"/>
      <c r="AI15" s="48"/>
      <c r="AJ15" s="48"/>
      <c r="AK15" s="48"/>
      <c r="AM15" s="967">
        <f t="shared" si="4"/>
        <v>12</v>
      </c>
      <c r="AN15" s="964">
        <f t="shared" si="4"/>
        <v>12</v>
      </c>
      <c r="AP15" s="964">
        <f t="shared" si="5"/>
        <v>12</v>
      </c>
      <c r="AQ15" s="964" t="str">
        <f t="shared" si="1"/>
        <v>CNTY1_2_4</v>
      </c>
      <c r="AR15" s="964">
        <f>MATCH(AQ15,tblIndicators!$E$2:$E$128,0)</f>
        <v>12</v>
      </c>
      <c r="AS15" s="964" t="str">
        <f>REPT(" ",AT15)&amp;IF($AR15="","",INDEX(tblIndicators!$AL$2:$AL$128,AR15))</f>
        <v xml:space="preserve">   1.2.4) Fixed broadband latency</v>
      </c>
      <c r="AT15" s="964">
        <f>INDEX(tblIndicators!$G$2:$G$128,AR15)</f>
        <v>3</v>
      </c>
      <c r="AU15" s="964" t="str">
        <f>REPT(" ",AT15)&amp;IF($AR15="","",INDEX(tblIndicators!$AL$2:$AL$128,$AR15))</f>
        <v xml:space="preserve">   1.2.4) Fixed broadband latency</v>
      </c>
      <c r="AV15" s="964" t="str">
        <f t="shared" si="6"/>
        <v>1.2.4) Fixed broadband latency</v>
      </c>
      <c r="AW15" s="964" t="str">
        <f t="shared" si="7"/>
        <v>1.2</v>
      </c>
      <c r="AX15" s="964" t="str">
        <f>IF($AR15="","",INDEX(tblIndicators!$AL$2:$AL$128,AR15))</f>
        <v>1.2.4) Fixed broadband latency</v>
      </c>
      <c r="AZ15" s="969" t="str">
        <f t="shared" si="9"/>
        <v>SERV2_6</v>
      </c>
      <c r="BA15" s="968" t="s">
        <v>981</v>
      </c>
      <c r="BB15" s="969" t="str">
        <f t="shared" si="10"/>
        <v>SERV2_6</v>
      </c>
    </row>
    <row r="16" spans="1:58" ht="20.25" customHeight="1">
      <c r="A16" s="61" t="str">
        <f t="shared" si="16"/>
        <v>CNTY1_1_2</v>
      </c>
      <c r="B16" s="535">
        <f>IF(A16="","",MATCH(A16,tblIndicators!$E$2:$E$71,0))</f>
        <v>5</v>
      </c>
      <c r="C16" s="535" t="str">
        <f>REPT(" ",D16)&amp;IF($A16="","",INDEX(tblIndicators!$AL$2:$AL$71,$B16))</f>
        <v xml:space="preserve">   1.1.2) Fixed broadband susbcriptions</v>
      </c>
      <c r="D16" s="535">
        <f>INDEX(tblIndicators!$G$2:$G$71,B16)</f>
        <v>3</v>
      </c>
      <c r="E16" s="535" t="str">
        <f>REPT(" ",D16)&amp;IF($A16="","",INDEX(tblIndicators!$AM$2:$AM$71,$B16))</f>
        <v xml:space="preserve">   1.1.2) Fixed broadband susbcriptions</v>
      </c>
      <c r="F16" s="535" t="str">
        <f t="shared" si="17"/>
        <v>1.1.2) Fixed broadband susbcriptions</v>
      </c>
      <c r="H16" s="535" t="str" cm="1">
        <f t="array" ref="H16">INDEX(tblIndicators!$K$2:$K$71,$B16)</f>
        <v>1.1.2</v>
      </c>
      <c r="O16" s="48"/>
      <c r="P16" s="17"/>
      <c r="Q16" s="866" t="s">
        <v>821</v>
      </c>
      <c r="S16" s="865" t="s">
        <v>799</v>
      </c>
      <c r="T16" s="862" t="s">
        <v>823</v>
      </c>
      <c r="U16" s="544" t="s">
        <v>531</v>
      </c>
      <c r="V16" s="546"/>
      <c r="X16" s="331"/>
      <c r="Y16" s="331">
        <f t="shared" si="2"/>
        <v>13</v>
      </c>
      <c r="Z16" s="535" t="str">
        <f t="shared" si="0"/>
        <v>CNTY1_3</v>
      </c>
      <c r="AA16" s="535">
        <f>IF(Z16="","",MATCH(Z16,tblIndicators!E$2:E$85,0))</f>
        <v>13</v>
      </c>
      <c r="AB16" s="535" t="str">
        <f>IF($AA16="","",REPT(" ",AC16)&amp;(INDEX(tblIndicators!AM$2:AM$85,$AA16)))</f>
        <v xml:space="preserve">  1.3) Affordability</v>
      </c>
      <c r="AC16" s="535">
        <f>IF($AA16="","",INDEX(tblIndicators!G$2:G$85,$AA16))</f>
        <v>2</v>
      </c>
      <c r="AD16" s="330"/>
      <c r="AE16" s="541" t="str">
        <f t="shared" si="3"/>
        <v>CNTY1_3</v>
      </c>
      <c r="AF16" s="48"/>
      <c r="AG16" s="48"/>
      <c r="AH16" s="48"/>
      <c r="AI16" s="48"/>
      <c r="AJ16" s="48"/>
      <c r="AK16" s="48"/>
      <c r="AM16" s="967">
        <f t="shared" si="4"/>
        <v>13</v>
      </c>
      <c r="AN16" s="964">
        <f t="shared" si="4"/>
        <v>13</v>
      </c>
      <c r="AP16" s="964">
        <f t="shared" si="5"/>
        <v>13</v>
      </c>
      <c r="AQ16" s="964" t="str">
        <f t="shared" si="1"/>
        <v>CNTY1_3</v>
      </c>
      <c r="AR16" s="964">
        <f>MATCH(AQ16,tblIndicators!$E$2:$E$128,0)</f>
        <v>13</v>
      </c>
      <c r="AS16" s="964" t="str">
        <f>REPT(" ",AT16)&amp;IF($AR16="","",INDEX(tblIndicators!$AL$2:$AL$128,AR16))</f>
        <v xml:space="preserve">  1.3) Affordability</v>
      </c>
      <c r="AT16" s="964">
        <f>INDEX(tblIndicators!$G$2:$G$128,AR16)</f>
        <v>2</v>
      </c>
      <c r="AU16" s="964" t="str">
        <f>REPT(" ",AT16)&amp;IF($AR16="","",INDEX(tblIndicators!$AL$2:$AL$128,$AR16))</f>
        <v xml:space="preserve">  1.3) Affordability</v>
      </c>
      <c r="AV16" s="964" t="str">
        <f t="shared" si="6"/>
        <v>1.3) Affordability</v>
      </c>
      <c r="AW16" s="964" t="str">
        <f t="shared" si="7"/>
        <v>1.3</v>
      </c>
      <c r="AX16" s="964" t="str">
        <f>IF($AR16="","",INDEX(tblIndicators!$AL$2:$AL$128,AR16))</f>
        <v>1.3) Affordability</v>
      </c>
      <c r="AZ16" s="969" t="str">
        <f t="shared" si="9"/>
        <v>CULT</v>
      </c>
      <c r="BA16" s="968" t="s">
        <v>821</v>
      </c>
      <c r="BB16" s="969" t="str">
        <f t="shared" si="10"/>
        <v>CULT</v>
      </c>
    </row>
    <row r="17" spans="1:54" ht="20.25" customHeight="1">
      <c r="A17" s="61" t="str">
        <f t="shared" si="16"/>
        <v>CNTY1_1_3</v>
      </c>
      <c r="B17" s="535">
        <f>IF(A17="","",MATCH(A17,tblIndicators!$E$2:$E$71,0))</f>
        <v>6</v>
      </c>
      <c r="C17" s="535" t="str">
        <f>REPT(" ",D17)&amp;IF($A17="","",INDEX(tblIndicators!$AL$2:$AL$71,$B17))</f>
        <v xml:space="preserve">   1.1.3) 5G readiness</v>
      </c>
      <c r="D17" s="535">
        <f>INDEX(tblIndicators!$G$2:$G$71,B17)</f>
        <v>3</v>
      </c>
      <c r="E17" s="535" t="str">
        <f>REPT(" ",D17)&amp;IF($A17="","",INDEX(tblIndicators!$AM$2:$AM$71,$B17))</f>
        <v xml:space="preserve">   1.1.3) 5G readiness</v>
      </c>
      <c r="F17" s="535" t="str">
        <f t="shared" si="17"/>
        <v>1.1.3) 5G readiness</v>
      </c>
      <c r="H17" s="535" t="str" cm="1">
        <f t="array" ref="H17">INDEX(tblIndicators!$K$2:$K$71,$B17)</f>
        <v>1.1.3</v>
      </c>
      <c r="O17" s="48"/>
      <c r="P17" s="17"/>
      <c r="Q17" s="862" t="s">
        <v>822</v>
      </c>
      <c r="S17" s="866" t="s">
        <v>844</v>
      </c>
      <c r="T17" s="866" t="s">
        <v>824</v>
      </c>
      <c r="U17" s="533" t="s">
        <v>532</v>
      </c>
      <c r="V17" s="546"/>
      <c r="X17" s="331"/>
      <c r="Y17" s="331">
        <f t="shared" si="2"/>
        <v>14</v>
      </c>
      <c r="Z17" s="535" t="str">
        <f t="shared" si="0"/>
        <v>CNTY1_3_1</v>
      </c>
      <c r="AA17" s="535">
        <f>IF(Z17="","",MATCH(Z17,tblIndicators!E$2:E$85,0))</f>
        <v>14</v>
      </c>
      <c r="AB17" s="535" t="str">
        <f>IF($AA17="","",REPT(" ",AC17)&amp;(INDEX(tblIndicators!AM$2:AM$85,$AA17)))</f>
        <v xml:space="preserve">   1.3.1) Mobile data affordability</v>
      </c>
      <c r="AC17" s="535">
        <f>IF($AA17="","",INDEX(tblIndicators!G$2:G$85,$AA17))</f>
        <v>3</v>
      </c>
      <c r="AD17" s="330"/>
      <c r="AE17" s="541" t="str">
        <f t="shared" si="3"/>
        <v>CNTY1_3_1</v>
      </c>
      <c r="AF17" s="48"/>
      <c r="AG17" s="48"/>
      <c r="AH17" s="48"/>
      <c r="AI17" s="48"/>
      <c r="AJ17" s="48"/>
      <c r="AK17" s="48"/>
      <c r="AM17" s="967">
        <f t="shared" si="4"/>
        <v>14</v>
      </c>
      <c r="AN17" s="964">
        <f t="shared" si="4"/>
        <v>14</v>
      </c>
      <c r="AP17" s="964">
        <f t="shared" si="5"/>
        <v>14</v>
      </c>
      <c r="AQ17" s="964" t="str">
        <f t="shared" si="1"/>
        <v>CNTY1_3_1</v>
      </c>
      <c r="AR17" s="964">
        <f>MATCH(AQ17,tblIndicators!$E$2:$E$128,0)</f>
        <v>14</v>
      </c>
      <c r="AS17" s="964" t="str">
        <f>REPT(" ",AT17)&amp;IF($AR17="","",INDEX(tblIndicators!$AL$2:$AL$128,AR17))</f>
        <v xml:space="preserve">   1.3.1) Mobile data affordability</v>
      </c>
      <c r="AT17" s="964">
        <f>INDEX(tblIndicators!$G$2:$G$128,AR17)</f>
        <v>3</v>
      </c>
      <c r="AU17" s="964" t="str">
        <f>REPT(" ",AT17)&amp;IF($AR17="","",INDEX(tblIndicators!$AL$2:$AL$128,$AR17))</f>
        <v xml:space="preserve">   1.3.1) Mobile data affordability</v>
      </c>
      <c r="AV17" s="964" t="str">
        <f t="shared" si="6"/>
        <v>1.3.1) Mobile data affordability</v>
      </c>
      <c r="AW17" s="964" t="str">
        <f t="shared" si="7"/>
        <v>1.3</v>
      </c>
      <c r="AX17" s="964" t="str">
        <f>IF($AR17="","",INDEX(tblIndicators!$AL$2:$AL$128,AR17))</f>
        <v>1.3.1) Mobile data affordability</v>
      </c>
      <c r="AZ17" s="969" t="str">
        <f t="shared" si="9"/>
        <v>CULT3_1</v>
      </c>
      <c r="BA17" s="968" t="s">
        <v>822</v>
      </c>
      <c r="BB17" s="969" t="str">
        <f t="shared" si="10"/>
        <v>CULT3_1</v>
      </c>
    </row>
    <row r="18" spans="1:54" ht="20.25" customHeight="1">
      <c r="A18" s="61" t="str">
        <f t="shared" si="16"/>
        <v>CNTY1_1_4</v>
      </c>
      <c r="B18" s="535">
        <f>IF(A18="","",MATCH(A18,tblIndicators!$E$2:$E$71,0))</f>
        <v>7</v>
      </c>
      <c r="C18" s="535" t="str">
        <f>REPT(" ",D18)&amp;IF($A18="","",INDEX(tblIndicators!$AL$2:$AL$71,$B18))</f>
        <v xml:space="preserve">   1.1.4) 5G deployment</v>
      </c>
      <c r="D18" s="535">
        <f>INDEX(tblIndicators!$G$2:$G$71,B18)</f>
        <v>3</v>
      </c>
      <c r="E18" s="535" t="str">
        <f>REPT(" ",D18)&amp;IF($A18="","",INDEX(tblIndicators!$AM$2:$AM$71,$B18))</f>
        <v xml:space="preserve">   1.1.4) 5G deployment</v>
      </c>
      <c r="F18" s="535" t="str">
        <f t="shared" si="17"/>
        <v>1.1.4) 5G deployment</v>
      </c>
      <c r="H18" s="535" t="str" cm="1">
        <f t="array" ref="H18">INDEX(tblIndicators!$K$2:$K$71,$B18)</f>
        <v>1.1.4</v>
      </c>
      <c r="O18" s="48"/>
      <c r="P18" s="17"/>
      <c r="Q18" s="862" t="s">
        <v>823</v>
      </c>
      <c r="S18" s="866" t="s">
        <v>848</v>
      </c>
      <c r="T18" s="862" t="s">
        <v>825</v>
      </c>
      <c r="U18" s="533" t="s">
        <v>533</v>
      </c>
      <c r="V18" s="545"/>
      <c r="X18" s="331"/>
      <c r="Y18" s="331">
        <f t="shared" si="2"/>
        <v>15</v>
      </c>
      <c r="Z18" s="535" t="str">
        <f t="shared" si="0"/>
        <v>CNTY1_3_2</v>
      </c>
      <c r="AA18" s="535">
        <f>IF(Z18="","",MATCH(Z18,tblIndicators!E$2:E$85,0))</f>
        <v>15</v>
      </c>
      <c r="AB18" s="535" t="str">
        <f>IF($AA18="","",REPT(" ",AC18)&amp;(INDEX(tblIndicators!AM$2:AM$85,$AA18)))</f>
        <v xml:space="preserve">   1.3.2) Fixed broadband affordability</v>
      </c>
      <c r="AC18" s="535">
        <f>IF($AA18="","",INDEX(tblIndicators!G$2:G$85,$AA18))</f>
        <v>3</v>
      </c>
      <c r="AD18" s="330"/>
      <c r="AE18" s="541" t="str">
        <f t="shared" si="3"/>
        <v>CNTY1_3_2</v>
      </c>
      <c r="AF18" s="48"/>
      <c r="AG18" s="48"/>
      <c r="AH18" s="48"/>
      <c r="AI18" s="48"/>
      <c r="AJ18" s="48"/>
      <c r="AK18" s="48"/>
      <c r="AM18" s="967">
        <f t="shared" si="4"/>
        <v>15</v>
      </c>
      <c r="AN18" s="964">
        <f t="shared" si="4"/>
        <v>15</v>
      </c>
      <c r="AP18" s="964">
        <f t="shared" si="5"/>
        <v>15</v>
      </c>
      <c r="AQ18" s="964" t="str">
        <f t="shared" si="1"/>
        <v>CNTY1_3_2</v>
      </c>
      <c r="AR18" s="964">
        <f>MATCH(AQ18,tblIndicators!$E$2:$E$128,0)</f>
        <v>15</v>
      </c>
      <c r="AS18" s="964" t="str">
        <f>REPT(" ",AT18)&amp;IF($AR18="","",INDEX(tblIndicators!$AL$2:$AL$128,AR18))</f>
        <v xml:space="preserve">   1.3.2) Fixed broadband affordability</v>
      </c>
      <c r="AT18" s="964">
        <f>INDEX(tblIndicators!$G$2:$G$128,AR18)</f>
        <v>3</v>
      </c>
      <c r="AU18" s="964" t="str">
        <f>REPT(" ",AT18)&amp;IF($AR18="","",INDEX(tblIndicators!$AL$2:$AL$128,$AR18))</f>
        <v xml:space="preserve">   1.3.2) Fixed broadband affordability</v>
      </c>
      <c r="AV18" s="964" t="str">
        <f t="shared" si="6"/>
        <v>1.3.2) Fixed broadband affordability</v>
      </c>
      <c r="AW18" s="964" t="str">
        <f t="shared" si="7"/>
        <v>1.3</v>
      </c>
      <c r="AX18" s="964" t="str">
        <f>IF($AR18="","",INDEX(tblIndicators!$AL$2:$AL$128,AR18))</f>
        <v>1.3.2) Fixed broadband affordability</v>
      </c>
      <c r="AZ18" s="969" t="str">
        <f t="shared" si="9"/>
        <v>CULT3_2</v>
      </c>
      <c r="BA18" s="968" t="s">
        <v>823</v>
      </c>
      <c r="BB18" s="969" t="str">
        <f t="shared" si="10"/>
        <v>CULT3_2</v>
      </c>
    </row>
    <row r="19" spans="1:54" ht="20.25" customHeight="1">
      <c r="A19" s="61" t="str">
        <f t="shared" si="16"/>
        <v>CNTY1_2</v>
      </c>
      <c r="B19" s="535">
        <f>IF(A19="","",MATCH(A19,tblIndicators!$E$2:$E$71,0))</f>
        <v>8</v>
      </c>
      <c r="C19" s="535" t="str">
        <f>REPT(" ",D19)&amp;IF($A19="","",INDEX(tblIndicators!$AL$2:$AL$71,$B19))</f>
        <v xml:space="preserve">  1.2) Quality</v>
      </c>
      <c r="D19" s="535">
        <f>INDEX(tblIndicators!$G$2:$G$71,B19)</f>
        <v>2</v>
      </c>
      <c r="E19" s="535" t="str">
        <f>REPT(" ",D19)&amp;IF($A19="","",INDEX(tblIndicators!$AM$2:$AM$71,$B19))</f>
        <v xml:space="preserve">  1.2) Quality</v>
      </c>
      <c r="F19" s="535" t="str">
        <f t="shared" si="17"/>
        <v>1.2) Quality</v>
      </c>
      <c r="H19" s="535" t="str" cm="1">
        <f t="array" ref="H19">INDEX(tblIndicators!$K$2:$K$71,$B19)</f>
        <v>Quality</v>
      </c>
      <c r="O19" s="48"/>
      <c r="P19" s="17"/>
      <c r="Q19" s="865" t="s">
        <v>798</v>
      </c>
      <c r="S19" s="866" t="s">
        <v>853</v>
      </c>
      <c r="T19" s="862" t="s">
        <v>826</v>
      </c>
      <c r="U19" s="532" t="s">
        <v>534</v>
      </c>
      <c r="V19" s="546"/>
      <c r="X19" s="331"/>
      <c r="Y19" s="331">
        <f t="shared" si="2"/>
        <v>16</v>
      </c>
      <c r="Z19" s="535" t="str">
        <f t="shared" si="0"/>
        <v>SERV</v>
      </c>
      <c r="AA19" s="535">
        <f>IF(Z19="","",MATCH(Z19,tblIndicators!E$2:E$85,0))</f>
        <v>16</v>
      </c>
      <c r="AB19" s="535" t="str">
        <f>IF($AA19="","",REPT(" ",AC19)&amp;(INDEX(tblIndicators!AM$2:AM$85,$AA19)))</f>
        <v xml:space="preserve"> 2) SERVICES</v>
      </c>
      <c r="AC19" s="535">
        <f>IF($AA19="","",INDEX(tblIndicators!G$2:G$85,$AA19))</f>
        <v>1</v>
      </c>
      <c r="AD19" s="330"/>
      <c r="AE19" s="541" t="str">
        <f t="shared" si="3"/>
        <v>SERV</v>
      </c>
      <c r="AF19" s="48"/>
      <c r="AG19" s="48"/>
      <c r="AH19" s="48"/>
      <c r="AI19" s="48"/>
      <c r="AJ19" s="48"/>
      <c r="AK19" s="48"/>
      <c r="AM19" s="967">
        <f t="shared" si="4"/>
        <v>16</v>
      </c>
      <c r="AN19" s="964">
        <f t="shared" si="4"/>
        <v>16</v>
      </c>
      <c r="AP19" s="964">
        <f t="shared" si="5"/>
        <v>16</v>
      </c>
      <c r="AQ19" s="964" t="str">
        <f t="shared" si="1"/>
        <v>SERV</v>
      </c>
      <c r="AR19" s="964">
        <f>MATCH(AQ19,tblIndicators!$E$2:$E$128,0)</f>
        <v>16</v>
      </c>
      <c r="AS19" s="964" t="str">
        <f>REPT(" ",AT19)&amp;IF($AR19="","",INDEX(tblIndicators!$AL$2:$AL$128,AR19))</f>
        <v xml:space="preserve"> 2) SERVICES</v>
      </c>
      <c r="AT19" s="964">
        <f>INDEX(tblIndicators!$G$2:$G$128,AR19)</f>
        <v>1</v>
      </c>
      <c r="AU19" s="964" t="str">
        <f>REPT(" ",AT19)&amp;IF($AR19="","",INDEX(tblIndicators!$AL$2:$AL$128,$AR19))</f>
        <v xml:space="preserve"> 2) SERVICES</v>
      </c>
      <c r="AV19" s="964" t="str">
        <f t="shared" si="6"/>
        <v>2) SERVICES</v>
      </c>
      <c r="AW19" s="964" t="str">
        <f t="shared" si="7"/>
        <v xml:space="preserve">2) </v>
      </c>
      <c r="AX19" s="964" t="str">
        <f>IF($AR19="","",INDEX(tblIndicators!$AL$2:$AL$128,AR19))</f>
        <v>2) SERVICES</v>
      </c>
      <c r="AZ19" s="969" t="str">
        <f t="shared" si="9"/>
        <v>CULT3_3</v>
      </c>
      <c r="BA19" s="968" t="s">
        <v>798</v>
      </c>
      <c r="BB19" s="969" t="str">
        <f t="shared" si="10"/>
        <v>CULT3_3</v>
      </c>
    </row>
    <row r="20" spans="1:54" ht="20.25" customHeight="1">
      <c r="A20" s="61" t="str">
        <f t="shared" si="16"/>
        <v>CNTY1_2_1</v>
      </c>
      <c r="B20" s="535">
        <f>IF(A20="","",MATCH(A20,tblIndicators!$E$2:$E$71,0))</f>
        <v>9</v>
      </c>
      <c r="C20" s="535" t="str">
        <f>REPT(" ",D20)&amp;IF($A20="","",INDEX(tblIndicators!$AL$2:$AL$71,$B20))</f>
        <v xml:space="preserve">   1.2.1) Internet upload speed</v>
      </c>
      <c r="D20" s="535">
        <f>INDEX(tblIndicators!$G$2:$G$71,B20)</f>
        <v>3</v>
      </c>
      <c r="E20" s="535" t="str">
        <f>REPT(" ",D20)&amp;IF($A20="","",INDEX(tblIndicators!$AM$2:$AM$71,$B20))</f>
        <v xml:space="preserve">   1.2.1) Internet upload speed</v>
      </c>
      <c r="F20" s="535" t="str">
        <f t="shared" si="17"/>
        <v>1.2.1) Internet upload speed</v>
      </c>
      <c r="H20" s="535" t="str" cm="1">
        <f t="array" ref="H20">INDEX(tblIndicators!$K$2:$K$71,$B20)</f>
        <v>1.2.1</v>
      </c>
      <c r="O20" s="48"/>
      <c r="P20" s="17"/>
      <c r="Q20" s="866" t="s">
        <v>824</v>
      </c>
      <c r="S20" s="866" t="s">
        <v>858</v>
      </c>
      <c r="T20" s="861" t="s">
        <v>827</v>
      </c>
      <c r="U20" s="533" t="s">
        <v>535</v>
      </c>
      <c r="V20" s="546"/>
      <c r="X20" s="331"/>
      <c r="Y20" s="331">
        <f t="shared" si="2"/>
        <v>17</v>
      </c>
      <c r="Z20" s="535" t="str">
        <f t="shared" si="0"/>
        <v>SERV2_1</v>
      </c>
      <c r="AA20" s="535">
        <f>IF(Z20="","",MATCH(Z20,tblIndicators!E$2:E$85,0))</f>
        <v>17</v>
      </c>
      <c r="AB20" s="535" t="str">
        <f>IF($AA20="","",REPT(" ",AC20)&amp;(INDEX(tblIndicators!AM$2:AM$85,$AA20)))</f>
        <v xml:space="preserve">  2.1) E-gov services for residents &amp; businesses</v>
      </c>
      <c r="AC20" s="535">
        <f>IF($AA20="","",INDEX(tblIndicators!G$2:G$85,$AA20))</f>
        <v>2</v>
      </c>
      <c r="AD20" s="330"/>
      <c r="AE20" s="541" t="str">
        <f t="shared" si="3"/>
        <v>SERV2_1</v>
      </c>
      <c r="AF20" s="48"/>
      <c r="AG20" s="48"/>
      <c r="AH20" s="48"/>
      <c r="AI20" s="48"/>
      <c r="AJ20" s="48"/>
      <c r="AK20" s="48"/>
      <c r="AM20" s="967">
        <f t="shared" si="4"/>
        <v>17</v>
      </c>
      <c r="AN20" s="964">
        <f t="shared" si="4"/>
        <v>17</v>
      </c>
      <c r="AP20" s="964">
        <f t="shared" si="5"/>
        <v>17</v>
      </c>
      <c r="AQ20" s="964" t="str">
        <f t="shared" si="1"/>
        <v>SERV2_1</v>
      </c>
      <c r="AR20" s="964">
        <f>MATCH(AQ20,tblIndicators!$E$2:$E$128,0)</f>
        <v>17</v>
      </c>
      <c r="AS20" s="964" t="str">
        <f>REPT(" ",AT20)&amp;IF($AR20="","",INDEX(tblIndicators!$AL$2:$AL$128,AR20))</f>
        <v xml:space="preserve">  2.1) E-gov services for residents &amp; businesses</v>
      </c>
      <c r="AT20" s="964">
        <f>INDEX(tblIndicators!$G$2:$G$128,AR20)</f>
        <v>2</v>
      </c>
      <c r="AU20" s="964" t="str">
        <f>REPT(" ",AT20)&amp;IF($AR20="","",INDEX(tblIndicators!$AL$2:$AL$128,$AR20))</f>
        <v xml:space="preserve">  2.1) E-gov services for residents &amp; businesses</v>
      </c>
      <c r="AV20" s="964" t="str">
        <f t="shared" si="6"/>
        <v>2.1) E-gov services for residents &amp; businesses</v>
      </c>
      <c r="AW20" s="964" t="str">
        <f t="shared" si="7"/>
        <v>2.1</v>
      </c>
      <c r="AX20" s="964" t="str">
        <f>IF($AR20="","",INDEX(tblIndicators!$AL$2:$AL$128,AR20))</f>
        <v>2.1) E-gov services for residents &amp; businesses</v>
      </c>
      <c r="AZ20" s="969" t="str">
        <f t="shared" si="9"/>
        <v>CULT3_4</v>
      </c>
      <c r="BA20" s="968" t="s">
        <v>824</v>
      </c>
      <c r="BB20" s="969" t="str">
        <f t="shared" si="10"/>
        <v>CULT3_4</v>
      </c>
    </row>
    <row r="21" spans="1:54" ht="20.25" customHeight="1">
      <c r="A21" s="61" t="str">
        <f t="shared" si="16"/>
        <v>CNTY1_2_2</v>
      </c>
      <c r="B21" s="535">
        <f>IF(A21="","",MATCH(A21,tblIndicators!$E$2:$E$71,0))</f>
        <v>10</v>
      </c>
      <c r="C21" s="535" t="str">
        <f>REPT(" ",D21)&amp;IF($A21="","",INDEX(tblIndicators!$AL$2:$AL$71,$B21))</f>
        <v xml:space="preserve">   1.2.2) Internet download speed</v>
      </c>
      <c r="D21" s="535">
        <f>INDEX(tblIndicators!$G$2:$G$71,B21)</f>
        <v>3</v>
      </c>
      <c r="E21" s="535" t="str">
        <f>REPT(" ",D21)&amp;IF($A21="","",INDEX(tblIndicators!$AM$2:$AM$71,$B21))</f>
        <v xml:space="preserve">   1.2.2) Internet download speed</v>
      </c>
      <c r="F21" s="535" t="str">
        <f t="shared" si="17"/>
        <v>1.2.2) Internet download speed</v>
      </c>
      <c r="H21" s="535" t="str" cm="1">
        <f t="array" ref="H21">INDEX(tblIndicators!$K$2:$K$71,$B21)</f>
        <v>1.2.2</v>
      </c>
      <c r="O21" s="48"/>
      <c r="P21" s="17"/>
      <c r="Q21" s="862" t="s">
        <v>825</v>
      </c>
      <c r="S21" s="865" t="s">
        <v>518</v>
      </c>
      <c r="T21" s="866" t="s">
        <v>828</v>
      </c>
      <c r="U21" s="533" t="s">
        <v>536</v>
      </c>
      <c r="X21" s="331"/>
      <c r="Y21" s="331">
        <f t="shared" si="2"/>
        <v>18</v>
      </c>
      <c r="Z21" s="535" t="str">
        <f t="shared" si="0"/>
        <v>SERV2_1_1</v>
      </c>
      <c r="AA21" s="535">
        <f>IF(Z21="","",MATCH(Z21,tblIndicators!E$2:E$85,0))</f>
        <v>18</v>
      </c>
      <c r="AB21" s="535" t="str">
        <f>IF($AA21="","",REPT(" ",AC21)&amp;(INDEX(tblIndicators!AM$2:AM$85,$AA21)))</f>
        <v xml:space="preserve">   2.1.1) Mobile digital national ID</v>
      </c>
      <c r="AC21" s="535">
        <f>IF($AA21="","",INDEX(tblIndicators!G$2:G$85,$AA21))</f>
        <v>3</v>
      </c>
      <c r="AD21" s="330"/>
      <c r="AE21" s="541" t="str">
        <f t="shared" si="3"/>
        <v>SERV2_1_1</v>
      </c>
      <c r="AF21" s="48"/>
      <c r="AG21" s="48"/>
      <c r="AH21" s="48"/>
      <c r="AI21" s="48"/>
      <c r="AJ21" s="48"/>
      <c r="AK21" s="48"/>
      <c r="AM21" s="967">
        <f t="shared" ref="AM21:AN36" si="18">AM20+1</f>
        <v>18</v>
      </c>
      <c r="AN21" s="964">
        <f t="shared" si="18"/>
        <v>18</v>
      </c>
      <c r="AP21" s="964">
        <f t="shared" si="5"/>
        <v>18</v>
      </c>
      <c r="AQ21" s="964" t="str">
        <f t="shared" si="1"/>
        <v>SERV2_1_1</v>
      </c>
      <c r="AR21" s="964">
        <f>MATCH(AQ21,tblIndicators!$E$2:$E$128,0)</f>
        <v>18</v>
      </c>
      <c r="AS21" s="964" t="str">
        <f>REPT(" ",AT21)&amp;IF($AR21="","",INDEX(tblIndicators!$AL$2:$AL$128,AR21))</f>
        <v xml:space="preserve">   2.1.1) Mobile digital national ID</v>
      </c>
      <c r="AT21" s="964">
        <f>INDEX(tblIndicators!$G$2:$G$128,AR21)</f>
        <v>3</v>
      </c>
      <c r="AU21" s="964" t="str">
        <f>REPT(" ",AT21)&amp;IF($AR21="","",INDEX(tblIndicators!$AL$2:$AL$128,$AR21))</f>
        <v xml:space="preserve">   2.1.1) Mobile digital national ID</v>
      </c>
      <c r="AV21" s="964" t="str">
        <f t="shared" si="6"/>
        <v>2.1.1) Mobile digital national ID</v>
      </c>
      <c r="AW21" s="964" t="str">
        <f t="shared" si="7"/>
        <v>2.1</v>
      </c>
      <c r="AX21" s="964" t="str">
        <f>IF($AR21="","",INDEX(tblIndicators!$AL$2:$AL$128,AR21))</f>
        <v>2.1.1) Mobile digital national ID</v>
      </c>
      <c r="AZ21" s="969" t="str">
        <f t="shared" si="9"/>
        <v>SUST</v>
      </c>
      <c r="BA21" s="968" t="s">
        <v>825</v>
      </c>
      <c r="BB21" s="969" t="str">
        <f t="shared" si="10"/>
        <v>SUST</v>
      </c>
    </row>
    <row r="22" spans="1:54" ht="20.25" customHeight="1">
      <c r="A22" s="61" t="str">
        <f t="shared" si="16"/>
        <v>CNTY1_2_3</v>
      </c>
      <c r="B22" s="535">
        <f>IF(A22="","",MATCH(A22,tblIndicators!$E$2:$E$71,0))</f>
        <v>11</v>
      </c>
      <c r="C22" s="535" t="str">
        <f>REPT(" ",D22)&amp;IF($A22="","",INDEX(tblIndicators!$AL$2:$AL$71,$B22))</f>
        <v xml:space="preserve">   1.2.3) Mobile broadband latency</v>
      </c>
      <c r="D22" s="535">
        <f>INDEX(tblIndicators!$G$2:$G$71,B22)</f>
        <v>3</v>
      </c>
      <c r="E22" s="535" t="str">
        <f>REPT(" ",D22)&amp;IF($A22="","",INDEX(tblIndicators!$AM$2:$AM$71,$B22))</f>
        <v xml:space="preserve">   1.2.3) Mobile broadband latency</v>
      </c>
      <c r="F22" s="535" t="str">
        <f t="shared" si="17"/>
        <v>1.2.3) Mobile broadband latency</v>
      </c>
      <c r="H22" s="535" t="str" cm="1">
        <f t="array" ref="H22">INDEX(tblIndicators!$K$2:$K$71,$B22)</f>
        <v>1.2.3</v>
      </c>
      <c r="O22" s="48"/>
      <c r="Q22" s="862" t="s">
        <v>826</v>
      </c>
      <c r="S22" s="866" t="s">
        <v>861</v>
      </c>
      <c r="T22" s="862" t="s">
        <v>829</v>
      </c>
      <c r="U22" s="532" t="s">
        <v>537</v>
      </c>
      <c r="X22" s="331"/>
      <c r="Y22" s="331">
        <f t="shared" si="2"/>
        <v>19</v>
      </c>
      <c r="Z22" s="535" t="str">
        <f t="shared" si="0"/>
        <v>SERV2_1_2</v>
      </c>
      <c r="AA22" s="535">
        <f>IF(Z22="","",MATCH(Z22,tblIndicators!E$2:E$85,0))</f>
        <v>19</v>
      </c>
      <c r="AB22" s="535" t="str">
        <f>IF($AA22="","",REPT(" ",AC22)&amp;(INDEX(tblIndicators!AM$2:AM$85,$AA22)))</f>
        <v xml:space="preserve">   2.1.2) E-gov service portal for residents</v>
      </c>
      <c r="AC22" s="535">
        <f>IF($AA22="","",INDEX(tblIndicators!G$2:G$85,$AA22))</f>
        <v>3</v>
      </c>
      <c r="AD22" s="330"/>
      <c r="AE22" s="541" t="str">
        <f t="shared" si="3"/>
        <v>SERV2_1_2</v>
      </c>
      <c r="AF22" s="48"/>
      <c r="AG22" s="48"/>
      <c r="AH22" s="48"/>
      <c r="AI22" s="48"/>
      <c r="AJ22" s="48"/>
      <c r="AK22" s="48"/>
      <c r="AM22" s="967">
        <f t="shared" si="18"/>
        <v>19</v>
      </c>
      <c r="AN22" s="964">
        <f t="shared" si="18"/>
        <v>19</v>
      </c>
      <c r="AP22" s="964">
        <f t="shared" si="5"/>
        <v>19</v>
      </c>
      <c r="AQ22" s="964" t="str">
        <f t="shared" si="1"/>
        <v>SERV2_1_2</v>
      </c>
      <c r="AR22" s="964">
        <f>MATCH(AQ22,tblIndicators!$E$2:$E$128,0)</f>
        <v>19</v>
      </c>
      <c r="AS22" s="964" t="str">
        <f>REPT(" ",AT22)&amp;IF($AR22="","",INDEX(tblIndicators!$AL$2:$AL$128,AR22))</f>
        <v xml:space="preserve">   2.1.2) E-gov service portal for residents</v>
      </c>
      <c r="AT22" s="964">
        <f>INDEX(tblIndicators!$G$2:$G$128,AR22)</f>
        <v>3</v>
      </c>
      <c r="AU22" s="964" t="str">
        <f>REPT(" ",AT22)&amp;IF($AR22="","",INDEX(tblIndicators!$AL$2:$AL$128,$AR22))</f>
        <v xml:space="preserve">   2.1.2) E-gov service portal for residents</v>
      </c>
      <c r="AV22" s="964" t="str">
        <f t="shared" si="6"/>
        <v>2.1.2) E-gov service portal for residents</v>
      </c>
      <c r="AW22" s="964" t="str">
        <f t="shared" si="7"/>
        <v>2.1</v>
      </c>
      <c r="AX22" s="964" t="str">
        <f>IF($AR22="","",INDEX(tblIndicators!$AL$2:$AL$128,AR22))</f>
        <v>2.1.2) E-gov service portal for residents</v>
      </c>
      <c r="AZ22" s="969" t="str">
        <f t="shared" si="9"/>
        <v>SUST4_1</v>
      </c>
      <c r="BA22" s="968" t="s">
        <v>826</v>
      </c>
      <c r="BB22" s="969" t="str">
        <f t="shared" si="10"/>
        <v>SUST4_1</v>
      </c>
    </row>
    <row r="23" spans="1:54" ht="20.25" customHeight="1">
      <c r="A23" s="61" t="str">
        <f t="shared" ref="A23:A24" si="19">Q15</f>
        <v>CNTY1_2_4</v>
      </c>
      <c r="B23" s="535">
        <f>IF(A23="","",MATCH(A23,tblIndicators!$E$2:$E$71,0))</f>
        <v>12</v>
      </c>
      <c r="C23" s="535" t="str">
        <f>REPT(" ",D23)&amp;IF($A23="","",INDEX(tblIndicators!$AL$2:$AL$71,$B23))</f>
        <v xml:space="preserve">   1.2.4) Fixed broadband latency</v>
      </c>
      <c r="D23" s="535">
        <f>INDEX(tblIndicators!$G$2:$G$71,B23)</f>
        <v>3</v>
      </c>
      <c r="E23" s="535" t="str">
        <f>REPT(" ",D23)&amp;IF($A23="","",INDEX(tblIndicators!$AM$2:$AM$71,$B23))</f>
        <v xml:space="preserve">   1.2.4) Fixed broadband latency</v>
      </c>
      <c r="F23" s="535" t="str">
        <f t="shared" ref="F23:F24" si="20">TRIM(E23)</f>
        <v>1.2.4) Fixed broadband latency</v>
      </c>
      <c r="H23" s="535" t="str" cm="1">
        <f t="array" ref="H23">INDEX(tblIndicators!$K$2:$K$71,$B23)</f>
        <v>1.2.4</v>
      </c>
      <c r="O23" s="48"/>
      <c r="Q23" s="861" t="s">
        <v>827</v>
      </c>
      <c r="S23" s="866" t="s">
        <v>865</v>
      </c>
      <c r="T23" s="862" t="s">
        <v>830</v>
      </c>
      <c r="U23" s="533" t="s">
        <v>538</v>
      </c>
      <c r="X23" s="331"/>
      <c r="Y23" s="331">
        <f t="shared" si="2"/>
        <v>20</v>
      </c>
      <c r="Z23" s="535" t="str">
        <f t="shared" si="0"/>
        <v>SERV2_1_3</v>
      </c>
      <c r="AA23" s="535">
        <f>IF(Z23="","",MATCH(Z23,tblIndicators!E$2:E$85,0))</f>
        <v>20</v>
      </c>
      <c r="AB23" s="535" t="str">
        <f>IF($AA23="","",REPT(" ",AC23)&amp;(INDEX(tblIndicators!AM$2:AM$85,$AA23)))</f>
        <v xml:space="preserve">   2.1.3) E-gov service portal for businesses</v>
      </c>
      <c r="AC23" s="535">
        <f>IF($AA23="","",INDEX(tblIndicators!G$2:G$85,$AA23))</f>
        <v>3</v>
      </c>
      <c r="AD23" s="330"/>
      <c r="AE23" s="541" t="str">
        <f t="shared" si="3"/>
        <v>SERV2_1_3</v>
      </c>
      <c r="AF23" s="48"/>
      <c r="AG23" s="48"/>
      <c r="AH23" s="48"/>
      <c r="AI23" s="48"/>
      <c r="AJ23" s="48"/>
      <c r="AK23" s="48"/>
      <c r="AM23" s="967">
        <f t="shared" si="18"/>
        <v>20</v>
      </c>
      <c r="AN23" s="964">
        <f t="shared" si="18"/>
        <v>20</v>
      </c>
      <c r="AP23" s="964">
        <f t="shared" si="5"/>
        <v>20</v>
      </c>
      <c r="AQ23" s="964" t="str">
        <f t="shared" si="1"/>
        <v>SERV2_1_3</v>
      </c>
      <c r="AR23" s="964">
        <f>MATCH(AQ23,tblIndicators!$E$2:$E$128,0)</f>
        <v>20</v>
      </c>
      <c r="AS23" s="964" t="str">
        <f>REPT(" ",AT23)&amp;IF($AR23="","",INDEX(tblIndicators!$AL$2:$AL$128,AR23))</f>
        <v xml:space="preserve">   2.1.3) E-gov service portal for businesses</v>
      </c>
      <c r="AT23" s="964">
        <f>INDEX(tblIndicators!$G$2:$G$128,AR23)</f>
        <v>3</v>
      </c>
      <c r="AU23" s="964" t="str">
        <f>REPT(" ",AT23)&amp;IF($AR23="","",INDEX(tblIndicators!$AL$2:$AL$128,$AR23))</f>
        <v xml:space="preserve">   2.1.3) E-gov service portal for businesses</v>
      </c>
      <c r="AV23" s="964" t="str">
        <f t="shared" si="6"/>
        <v>2.1.3) E-gov service portal for businesses</v>
      </c>
      <c r="AW23" s="964" t="str">
        <f t="shared" si="7"/>
        <v>2.1</v>
      </c>
      <c r="AX23" s="964" t="str">
        <f>IF($AR23="","",INDEX(tblIndicators!$AL$2:$AL$128,AR23))</f>
        <v>2.1.3) E-gov service portal for businesses</v>
      </c>
      <c r="AZ23" s="969" t="str">
        <f t="shared" si="9"/>
        <v>SUST4_2</v>
      </c>
      <c r="BA23" s="968" t="s">
        <v>827</v>
      </c>
      <c r="BB23" s="969" t="str">
        <f t="shared" si="10"/>
        <v>SUST4_2</v>
      </c>
    </row>
    <row r="24" spans="1:54" ht="20.25" customHeight="1">
      <c r="A24" s="61" t="str">
        <f t="shared" si="19"/>
        <v>CNTY1_3</v>
      </c>
      <c r="B24" s="535">
        <f>IF(A24="","",MATCH(A24,tblIndicators!$E$2:$E$71,0))</f>
        <v>13</v>
      </c>
      <c r="C24" s="535" t="str">
        <f>REPT(" ",D24)&amp;IF($A24="","",INDEX(tblIndicators!$AL$2:$AL$71,$B24))</f>
        <v xml:space="preserve">  1.3) Affordability</v>
      </c>
      <c r="D24" s="535">
        <f>INDEX(tblIndicators!$G$2:$G$71,B24)</f>
        <v>2</v>
      </c>
      <c r="E24" s="535" t="str">
        <f>REPT(" ",D24)&amp;IF($A24="","",INDEX(tblIndicators!$AM$2:$AM$71,$B24))</f>
        <v xml:space="preserve">  1.3) Affordability</v>
      </c>
      <c r="F24" s="535" t="str">
        <f t="shared" si="20"/>
        <v>1.3) Affordability</v>
      </c>
      <c r="H24" s="535" t="str" cm="1">
        <f t="array" ref="H24">INDEX(tblIndicators!$K$2:$K$71,$B24)</f>
        <v>Affordability</v>
      </c>
      <c r="O24" s="48"/>
      <c r="Q24" s="866" t="s">
        <v>828</v>
      </c>
      <c r="S24" s="866" t="s">
        <v>869</v>
      </c>
      <c r="T24" s="861" t="s">
        <v>831</v>
      </c>
      <c r="U24" s="533" t="s">
        <v>539</v>
      </c>
      <c r="X24" s="331"/>
      <c r="Y24" s="331">
        <f t="shared" si="2"/>
        <v>21</v>
      </c>
      <c r="Z24" s="535" t="str">
        <f t="shared" si="0"/>
        <v>SERV2_2</v>
      </c>
      <c r="AA24" s="535">
        <f>IF(Z24="","",MATCH(Z24,tblIndicators!E$2:E$85,0))</f>
        <v>21</v>
      </c>
      <c r="AB24" s="535" t="str">
        <f>IF($AA24="","",REPT(" ",AC24)&amp;(INDEX(tblIndicators!AM$2:AM$85,$AA24)))</f>
        <v xml:space="preserve">  2.2) Digital finance</v>
      </c>
      <c r="AC24" s="535">
        <f>IF($AA24="","",INDEX(tblIndicators!G$2:G$85,$AA24))</f>
        <v>2</v>
      </c>
      <c r="AD24" s="330"/>
      <c r="AE24" s="541" t="str">
        <f t="shared" si="3"/>
        <v>SERV2_2</v>
      </c>
      <c r="AF24" s="48"/>
      <c r="AG24" s="48"/>
      <c r="AH24" s="48"/>
      <c r="AI24" s="48"/>
      <c r="AJ24" s="48"/>
      <c r="AK24" s="48"/>
      <c r="AM24" s="967">
        <f t="shared" si="18"/>
        <v>21</v>
      </c>
      <c r="AN24" s="964">
        <f t="shared" si="18"/>
        <v>21</v>
      </c>
      <c r="AP24" s="964">
        <f t="shared" si="5"/>
        <v>21</v>
      </c>
      <c r="AQ24" s="964" t="str">
        <f t="shared" si="1"/>
        <v>SERV2_2</v>
      </c>
      <c r="AR24" s="964">
        <f>MATCH(AQ24,tblIndicators!$E$2:$E$128,0)</f>
        <v>21</v>
      </c>
      <c r="AS24" s="964" t="str">
        <f>REPT(" ",AT24)&amp;IF($AR24="","",INDEX(tblIndicators!$AL$2:$AL$128,AR24))</f>
        <v xml:space="preserve">  2.2) Digital finance</v>
      </c>
      <c r="AT24" s="964">
        <f>INDEX(tblIndicators!$G$2:$G$128,AR24)</f>
        <v>2</v>
      </c>
      <c r="AU24" s="964" t="str">
        <f>REPT(" ",AT24)&amp;IF($AR24="","",INDEX(tblIndicators!$AL$2:$AL$128,$AR24))</f>
        <v xml:space="preserve">  2.2) Digital finance</v>
      </c>
      <c r="AV24" s="964" t="str">
        <f t="shared" si="6"/>
        <v>2.2) Digital finance</v>
      </c>
      <c r="AW24" s="964" t="str">
        <f t="shared" si="7"/>
        <v>2.2</v>
      </c>
      <c r="AX24" s="964" t="str">
        <f>IF($AR24="","",INDEX(tblIndicators!$AL$2:$AL$128,AR24))</f>
        <v>2.2) Digital finance</v>
      </c>
      <c r="AZ24" s="969" t="str">
        <f t="shared" si="9"/>
        <v>SUST4_3</v>
      </c>
      <c r="BA24" s="968" t="s">
        <v>828</v>
      </c>
      <c r="BB24" s="969" t="str">
        <f t="shared" si="10"/>
        <v>SUST4_3</v>
      </c>
    </row>
    <row r="25" spans="1:54" ht="20.25" customHeight="1">
      <c r="A25" s="61" t="str">
        <f t="shared" ref="A25:A50" si="21">Q17</f>
        <v>CNTY1_3_1</v>
      </c>
      <c r="B25" s="535">
        <f>IF(A25="","",MATCH(A25,tblIndicators!$E$2:$E$71,0))</f>
        <v>14</v>
      </c>
      <c r="C25" s="535" t="str">
        <f>REPT(" ",D25)&amp;IF($A25="","",INDEX(tblIndicators!$AL$2:$AL$71,$B25))</f>
        <v xml:space="preserve">   1.3.1) Mobile data affordability</v>
      </c>
      <c r="D25" s="535">
        <f>INDEX(tblIndicators!$G$2:$G$71,B25)</f>
        <v>3</v>
      </c>
      <c r="E25" s="535" t="str">
        <f>REPT(" ",D25)&amp;IF($A25="","",INDEX(tblIndicators!$AM$2:$AM$71,$B25))</f>
        <v xml:space="preserve">   1.3.1) Mobile data affordability</v>
      </c>
      <c r="F25" s="535" t="str">
        <f t="shared" si="17"/>
        <v>1.3.1) Mobile data affordability</v>
      </c>
      <c r="H25" s="535" t="str" cm="1">
        <f t="array" ref="H25">INDEX(tblIndicators!$K$2:$K$71,$B25)</f>
        <v>1.3.1</v>
      </c>
      <c r="O25" s="48"/>
      <c r="P25" s="330"/>
      <c r="Q25" s="862" t="s">
        <v>829</v>
      </c>
      <c r="S25" s="866" t="s">
        <v>871</v>
      </c>
      <c r="T25" s="866" t="s">
        <v>832</v>
      </c>
      <c r="U25" s="532" t="s">
        <v>540</v>
      </c>
      <c r="X25" s="331"/>
      <c r="Y25" s="331">
        <f t="shared" si="2"/>
        <v>22</v>
      </c>
      <c r="Z25" s="535" t="str">
        <f t="shared" si="0"/>
        <v>SERV2_2_1</v>
      </c>
      <c r="AA25" s="535">
        <f>IF(Z25="","",MATCH(Z25,tblIndicators!E$2:E$85,0))</f>
        <v>22</v>
      </c>
      <c r="AB25" s="535" t="str">
        <f>IF($AA25="","",REPT(" ",AC25)&amp;(INDEX(tblIndicators!AM$2:AM$85,$AA25)))</f>
        <v xml:space="preserve">   2.2.1) Digital platforms for banking and personal finance</v>
      </c>
      <c r="AC25" s="535">
        <f>IF($AA25="","",INDEX(tblIndicators!G$2:G$85,$AA25))</f>
        <v>3</v>
      </c>
      <c r="AD25" s="330"/>
      <c r="AE25" s="541" t="str">
        <f t="shared" si="3"/>
        <v>SERV2_2_1</v>
      </c>
      <c r="AF25" s="48"/>
      <c r="AG25" s="48"/>
      <c r="AH25" s="48"/>
      <c r="AI25" s="48"/>
      <c r="AJ25" s="48"/>
      <c r="AK25" s="48"/>
      <c r="AM25" s="967">
        <f t="shared" si="18"/>
        <v>22</v>
      </c>
      <c r="AN25" s="964">
        <f t="shared" si="18"/>
        <v>22</v>
      </c>
      <c r="AP25" s="964">
        <f t="shared" si="5"/>
        <v>22</v>
      </c>
      <c r="AQ25" s="964" t="str">
        <f t="shared" si="1"/>
        <v>SERV2_2_1</v>
      </c>
      <c r="AR25" s="964">
        <f>MATCH(AQ25,tblIndicators!$E$2:$E$128,0)</f>
        <v>22</v>
      </c>
      <c r="AS25" s="964" t="str">
        <f>REPT(" ",AT25)&amp;IF($AR25="","",INDEX(tblIndicators!$AL$2:$AL$128,AR25))</f>
        <v xml:space="preserve">   2.2.1) Digital platforms for banking and personal finance</v>
      </c>
      <c r="AT25" s="964">
        <f>INDEX(tblIndicators!$G$2:$G$128,AR25)</f>
        <v>3</v>
      </c>
      <c r="AU25" s="964" t="str">
        <f>REPT(" ",AT25)&amp;IF($AR25="","",INDEX(tblIndicators!$AL$2:$AL$128,$AR25))</f>
        <v xml:space="preserve">   2.2.1) Digital platforms for banking and personal finance</v>
      </c>
      <c r="AV25" s="964" t="str">
        <f t="shared" si="6"/>
        <v>2.2.1) Digital platforms for banking and personal finance</v>
      </c>
      <c r="AW25" s="964" t="str">
        <f t="shared" si="7"/>
        <v>2.2</v>
      </c>
      <c r="AX25" s="964" t="str">
        <f>IF($AR25="","",INDEX(tblIndicators!$AL$2:$AL$128,AR25))</f>
        <v>2.2.1) Digital platforms for banking and personal finance</v>
      </c>
      <c r="AZ25" s="969" t="str">
        <f t="shared" si="9"/>
        <v>SUST4_4</v>
      </c>
      <c r="BA25" s="968" t="s">
        <v>829</v>
      </c>
      <c r="BB25" s="969" t="str">
        <f t="shared" si="10"/>
        <v>SUST4_4</v>
      </c>
    </row>
    <row r="26" spans="1:54" ht="20.25" customHeight="1">
      <c r="A26" s="61" t="str">
        <f t="shared" si="21"/>
        <v>CNTY1_3_2</v>
      </c>
      <c r="B26" s="535">
        <f>IF(A26="","",MATCH(A26,tblIndicators!$E$2:$E$71,0))</f>
        <v>15</v>
      </c>
      <c r="C26" s="535" t="str">
        <f>REPT(" ",D26)&amp;IF($A26="","",INDEX(tblIndicators!$AL$2:$AL$71,$B26))</f>
        <v xml:space="preserve">   1.3.2) Fixed broadband affordability</v>
      </c>
      <c r="D26" s="535">
        <f>INDEX(tblIndicators!$G$2:$G$71,B26)</f>
        <v>3</v>
      </c>
      <c r="E26" s="535" t="str">
        <f>REPT(" ",D26)&amp;IF($A26="","",INDEX(tblIndicators!$AM$2:$AM$71,$B26))</f>
        <v xml:space="preserve">   1.3.2) Fixed broadband affordability</v>
      </c>
      <c r="F26" s="535" t="str">
        <f t="shared" si="17"/>
        <v>1.3.2) Fixed broadband affordability</v>
      </c>
      <c r="H26" s="535" t="str" cm="1">
        <f t="array" ref="H26">INDEX(tblIndicators!$K$2:$K$71,$B26)</f>
        <v>1.3.2</v>
      </c>
      <c r="O26" s="48"/>
      <c r="P26" s="330"/>
      <c r="Q26" s="862" t="s">
        <v>830</v>
      </c>
      <c r="S26" s="48" t="str">
        <f>P4</f>
        <v>BG.11_1</v>
      </c>
      <c r="T26" s="862" t="s">
        <v>833</v>
      </c>
      <c r="U26" s="533" t="s">
        <v>541</v>
      </c>
      <c r="X26" s="331"/>
      <c r="Y26" s="331">
        <f t="shared" si="2"/>
        <v>23</v>
      </c>
      <c r="Z26" s="535" t="str">
        <f t="shared" si="0"/>
        <v>SERV2_2_2</v>
      </c>
      <c r="AA26" s="535">
        <f>IF(Z26="","",MATCH(Z26,tblIndicators!E$2:E$85,0))</f>
        <v>23</v>
      </c>
      <c r="AB26" s="535" t="str">
        <f>IF($AA26="","",REPT(" ",AC26)&amp;(INDEX(tblIndicators!AM$2:AM$85,$AA26)))</f>
        <v xml:space="preserve">   2.2.2) Digital investment management tools</v>
      </c>
      <c r="AC26" s="535">
        <f>IF($AA26="","",INDEX(tblIndicators!G$2:G$85,$AA26))</f>
        <v>3</v>
      </c>
      <c r="AD26" s="330"/>
      <c r="AE26" s="541" t="str">
        <f t="shared" si="3"/>
        <v>SERV2_2_2</v>
      </c>
      <c r="AF26" s="48"/>
      <c r="AG26" s="48"/>
      <c r="AH26" s="48"/>
      <c r="AI26" s="48"/>
      <c r="AJ26" s="48"/>
      <c r="AK26" s="48"/>
      <c r="AM26" s="967">
        <f t="shared" si="18"/>
        <v>23</v>
      </c>
      <c r="AN26" s="964">
        <f t="shared" si="18"/>
        <v>23</v>
      </c>
      <c r="AP26" s="964">
        <f t="shared" si="5"/>
        <v>23</v>
      </c>
      <c r="AQ26" s="964" t="str">
        <f t="shared" si="1"/>
        <v>SERV2_2_2</v>
      </c>
      <c r="AR26" s="964">
        <f>MATCH(AQ26,tblIndicators!$E$2:$E$128,0)</f>
        <v>23</v>
      </c>
      <c r="AS26" s="964" t="str">
        <f>REPT(" ",AT26)&amp;IF($AR26="","",INDEX(tblIndicators!$AL$2:$AL$128,AR26))</f>
        <v xml:space="preserve">   2.2.2) Digital investment management tools</v>
      </c>
      <c r="AT26" s="964">
        <f>INDEX(tblIndicators!$G$2:$G$128,AR26)</f>
        <v>3</v>
      </c>
      <c r="AU26" s="964" t="str">
        <f>REPT(" ",AT26)&amp;IF($AR26="","",INDEX(tblIndicators!$AL$2:$AL$128,$AR26))</f>
        <v xml:space="preserve">   2.2.2) Digital investment management tools</v>
      </c>
      <c r="AV26" s="964" t="str">
        <f t="shared" si="6"/>
        <v>2.2.2) Digital investment management tools</v>
      </c>
      <c r="AW26" s="964" t="str">
        <f t="shared" si="7"/>
        <v>2.2</v>
      </c>
      <c r="AX26" s="964" t="str">
        <f>IF($AR26="","",INDEX(tblIndicators!$AL$2:$AL$128,AR26))</f>
        <v>2.2.2) Digital investment management tools</v>
      </c>
      <c r="AZ26" s="969"/>
      <c r="BA26" s="968" t="s">
        <v>830</v>
      </c>
      <c r="BB26" s="967"/>
    </row>
    <row r="27" spans="1:54" ht="20.25" customHeight="1">
      <c r="A27" s="61" t="str">
        <f t="shared" si="21"/>
        <v>SERV</v>
      </c>
      <c r="B27" s="535">
        <f>IF(A27="","",MATCH(A27,tblIndicators!$E$2:$E$71,0))</f>
        <v>16</v>
      </c>
      <c r="C27" s="535" t="str">
        <f>REPT(" ",D27)&amp;IF($A27="","",INDEX(tblIndicators!$AL$2:$AL$71,$B27))</f>
        <v xml:space="preserve"> 2) SERVICES</v>
      </c>
      <c r="D27" s="535">
        <f>INDEX(tblIndicators!$G$2:$G$71,B27)</f>
        <v>1</v>
      </c>
      <c r="E27" s="535" t="str">
        <f>REPT(" ",D27)&amp;IF($A27="","",INDEX(tblIndicators!$AM$2:$AM$71,$B27))</f>
        <v xml:space="preserve"> 2) SERVICES</v>
      </c>
      <c r="F27" s="535" t="str">
        <f t="shared" si="17"/>
        <v>2) SERVICES</v>
      </c>
      <c r="H27" s="535" t="str" cm="1">
        <f t="array" ref="H27">INDEX(tblIndicators!$K$2:$K$71,$B27)</f>
        <v>Services</v>
      </c>
      <c r="O27" s="48"/>
      <c r="P27" s="330"/>
      <c r="Q27" s="861" t="s">
        <v>831</v>
      </c>
      <c r="S27" s="48" t="str">
        <f t="shared" ref="S27:S30" si="22">P5</f>
        <v>BG.11_2</v>
      </c>
      <c r="T27" s="861" t="s">
        <v>834</v>
      </c>
      <c r="U27" s="533" t="s">
        <v>542</v>
      </c>
      <c r="X27" s="331"/>
      <c r="Y27" s="331">
        <f t="shared" si="2"/>
        <v>24</v>
      </c>
      <c r="Z27" s="535" t="str">
        <f t="shared" si="0"/>
        <v>SERV2_2_3</v>
      </c>
      <c r="AA27" s="535">
        <f>IF(Z27="","",MATCH(Z27,tblIndicators!E$2:E$85,0))</f>
        <v>24</v>
      </c>
      <c r="AB27" s="535" t="str">
        <f>IF($AA27="","",REPT(" ",AC27)&amp;(INDEX(tblIndicators!AM$2:AM$85,$AA27)))</f>
        <v xml:space="preserve">   2.2.3) E-payments</v>
      </c>
      <c r="AC27" s="535">
        <f>IF($AA27="","",INDEX(tblIndicators!G$2:G$85,$AA27))</f>
        <v>3</v>
      </c>
      <c r="AD27" s="330"/>
      <c r="AE27" s="541" t="str">
        <f t="shared" si="3"/>
        <v>SERV2_2_3</v>
      </c>
      <c r="AF27" s="48"/>
      <c r="AI27" s="48"/>
      <c r="AJ27" s="48"/>
      <c r="AK27" s="48"/>
      <c r="AM27" s="967">
        <f t="shared" si="18"/>
        <v>24</v>
      </c>
      <c r="AN27" s="964">
        <f t="shared" si="18"/>
        <v>24</v>
      </c>
      <c r="AP27" s="964">
        <f t="shared" si="5"/>
        <v>24</v>
      </c>
      <c r="AQ27" s="964" t="str">
        <f t="shared" si="1"/>
        <v>SERV2_2_3</v>
      </c>
      <c r="AR27" s="964">
        <f>MATCH(AQ27,tblIndicators!$E$2:$E$128,0)</f>
        <v>24</v>
      </c>
      <c r="AS27" s="964" t="str">
        <f>REPT(" ",AT27)&amp;IF($AR27="","",INDEX(tblIndicators!$AL$2:$AL$128,AR27))</f>
        <v xml:space="preserve">   2.2.3) E-payments</v>
      </c>
      <c r="AT27" s="964">
        <f>INDEX(tblIndicators!$G$2:$G$128,AR27)</f>
        <v>3</v>
      </c>
      <c r="AU27" s="964" t="str">
        <f>REPT(" ",AT27)&amp;IF($AR27="","",INDEX(tblIndicators!$AL$2:$AL$128,$AR27))</f>
        <v xml:space="preserve">   2.2.3) E-payments</v>
      </c>
      <c r="AV27" s="964" t="str">
        <f t="shared" si="6"/>
        <v>2.2.3) E-payments</v>
      </c>
      <c r="AW27" s="964" t="str">
        <f t="shared" si="7"/>
        <v>2.2</v>
      </c>
      <c r="AX27" s="964" t="str">
        <f>IF($AR27="","",INDEX(tblIndicators!$AL$2:$AL$128,AR27))</f>
        <v>2.2.3) E-payments</v>
      </c>
      <c r="AZ27" s="969"/>
      <c r="BA27" s="968" t="s">
        <v>831</v>
      </c>
      <c r="BB27" s="967"/>
    </row>
    <row r="28" spans="1:54" ht="20.25" customHeight="1">
      <c r="A28" s="61" t="str">
        <f t="shared" si="21"/>
        <v>SERV2_1</v>
      </c>
      <c r="B28" s="535">
        <f>IF(A28="","",MATCH(A28,tblIndicators!$E$2:$E$71,0))</f>
        <v>17</v>
      </c>
      <c r="C28" s="535" t="str">
        <f>REPT(" ",D28)&amp;IF($A28="","",INDEX(tblIndicators!$AL$2:$AL$71,$B28))</f>
        <v xml:space="preserve">  2.1) E-gov services for residents &amp; businesses</v>
      </c>
      <c r="D28" s="535">
        <f>INDEX(tblIndicators!$G$2:$G$71,B28)</f>
        <v>2</v>
      </c>
      <c r="E28" s="535" t="str">
        <f>REPT(" ",D28)&amp;IF($A28="","",INDEX(tblIndicators!$AM$2:$AM$71,$B28))</f>
        <v xml:space="preserve">  2.1) E-gov services for residents &amp; businesses</v>
      </c>
      <c r="F28" s="535" t="str">
        <f t="shared" si="17"/>
        <v>2.1) E-gov services for residents &amp; businesses</v>
      </c>
      <c r="H28" s="535" t="str" cm="1">
        <f t="array" ref="H28">INDEX(tblIndicators!$K$2:$K$71,$B28)</f>
        <v>E-gov services for residents &amp; businesses</v>
      </c>
      <c r="O28" s="48"/>
      <c r="P28" s="330"/>
      <c r="Q28" s="866" t="s">
        <v>832</v>
      </c>
      <c r="S28" s="48" t="str">
        <f t="shared" si="22"/>
        <v>BG.11_3</v>
      </c>
      <c r="T28" s="866" t="s">
        <v>835</v>
      </c>
      <c r="U28" s="532" t="s">
        <v>543</v>
      </c>
      <c r="V28" s="380"/>
      <c r="X28" s="331"/>
      <c r="Y28" s="331">
        <f t="shared" si="2"/>
        <v>25</v>
      </c>
      <c r="Z28" s="535" t="str">
        <f t="shared" si="0"/>
        <v>SERV2_3</v>
      </c>
      <c r="AA28" s="535">
        <f>IF(Z28="","",MATCH(Z28,tblIndicators!E$2:E$85,0))</f>
        <v>25</v>
      </c>
      <c r="AB28" s="535" t="str">
        <f>IF($AA28="","",REPT(" ",AC28)&amp;(INDEX(tblIndicators!AM$2:AM$85,$AA28)))</f>
        <v xml:space="preserve">  2.3) Transportation</v>
      </c>
      <c r="AC28" s="535">
        <f>IF($AA28="","",INDEX(tblIndicators!G$2:G$85,$AA28))</f>
        <v>2</v>
      </c>
      <c r="AD28" s="330"/>
      <c r="AE28" s="541" t="str">
        <f t="shared" si="3"/>
        <v>SERV2_3</v>
      </c>
      <c r="AF28" s="48"/>
      <c r="AI28" s="48"/>
      <c r="AJ28" s="48"/>
      <c r="AK28" s="48"/>
      <c r="AM28" s="967">
        <f t="shared" si="18"/>
        <v>25</v>
      </c>
      <c r="AN28" s="964">
        <f t="shared" si="18"/>
        <v>25</v>
      </c>
      <c r="AP28" s="964">
        <f t="shared" si="5"/>
        <v>25</v>
      </c>
      <c r="AQ28" s="964" t="str">
        <f t="shared" si="1"/>
        <v>SERV2_3</v>
      </c>
      <c r="AR28" s="964">
        <f>MATCH(AQ28,tblIndicators!$E$2:$E$128,0)</f>
        <v>25</v>
      </c>
      <c r="AS28" s="964" t="str">
        <f>REPT(" ",AT28)&amp;IF($AR28="","",INDEX(tblIndicators!$AL$2:$AL$128,AR28))</f>
        <v xml:space="preserve">  2.3) Transportation</v>
      </c>
      <c r="AT28" s="964">
        <f>INDEX(tblIndicators!$G$2:$G$128,AR28)</f>
        <v>2</v>
      </c>
      <c r="AU28" s="964" t="str">
        <f>REPT(" ",AT28)&amp;IF($AR28="","",INDEX(tblIndicators!$AL$2:$AL$128,$AR28))</f>
        <v xml:space="preserve">  2.3) Transportation</v>
      </c>
      <c r="AV28" s="964" t="str">
        <f t="shared" si="6"/>
        <v>2.3) Transportation</v>
      </c>
      <c r="AW28" s="964" t="str">
        <f t="shared" si="7"/>
        <v>2.3</v>
      </c>
      <c r="AX28" s="964" t="str">
        <f>IF($AR28="","",INDEX(tblIndicators!$AL$2:$AL$128,AR28))</f>
        <v>2.3) Transportation</v>
      </c>
      <c r="AZ28" s="969"/>
      <c r="BA28" s="968" t="s">
        <v>832</v>
      </c>
      <c r="BB28" s="967"/>
    </row>
    <row r="29" spans="1:54" ht="20.25" customHeight="1">
      <c r="A29" s="61" t="str">
        <f t="shared" si="21"/>
        <v>SERV2_1_1</v>
      </c>
      <c r="B29" s="535">
        <f>IF(A29="","",MATCH(A29,tblIndicators!$E$2:$E$71,0))</f>
        <v>18</v>
      </c>
      <c r="C29" s="535" t="str">
        <f>REPT(" ",D29)&amp;IF($A29="","",INDEX(tblIndicators!$AL$2:$AL$71,$B29))</f>
        <v xml:space="preserve">   2.1.1) Mobile digital national ID</v>
      </c>
      <c r="D29" s="535">
        <f>INDEX(tblIndicators!$G$2:$G$71,B29)</f>
        <v>3</v>
      </c>
      <c r="E29" s="535" t="str">
        <f>REPT(" ",D29)&amp;IF($A29="","",INDEX(tblIndicators!$AM$2:$AM$71,$B29))</f>
        <v xml:space="preserve">   2.1.1) Mobile digital national ID</v>
      </c>
      <c r="F29" s="535" t="str">
        <f t="shared" si="17"/>
        <v>2.1.1) Mobile digital national ID</v>
      </c>
      <c r="H29" s="535" t="str" cm="1">
        <f t="array" ref="H29">INDEX(tblIndicators!$K$2:$K$71,$B29)</f>
        <v>2.1.1</v>
      </c>
      <c r="O29" s="48"/>
      <c r="P29" s="330"/>
      <c r="Q29" s="862" t="s">
        <v>833</v>
      </c>
      <c r="S29" s="48" t="str">
        <f t="shared" si="22"/>
        <v>BG.11_4</v>
      </c>
      <c r="T29" s="862" t="s">
        <v>836</v>
      </c>
      <c r="U29" s="533" t="s">
        <v>544</v>
      </c>
      <c r="V29" s="380"/>
      <c r="X29" s="331"/>
      <c r="Y29" s="331">
        <f t="shared" si="2"/>
        <v>26</v>
      </c>
      <c r="Z29" s="535" t="str">
        <f t="shared" si="0"/>
        <v>SERV2_3_1</v>
      </c>
      <c r="AA29" s="535">
        <f>IF(Z29="","",MATCH(Z29,tblIndicators!E$2:E$85,0))</f>
        <v>26</v>
      </c>
      <c r="AB29" s="535" t="str">
        <f>IF($AA29="","",REPT(" ",AC29)&amp;(INDEX(tblIndicators!AM$2:AM$85,$AA29)))</f>
        <v xml:space="preserve">   2.3.1) Integrated public transport apps</v>
      </c>
      <c r="AC29" s="535">
        <f>IF($AA29="","",INDEX(tblIndicators!G$2:G$85,$AA29))</f>
        <v>3</v>
      </c>
      <c r="AD29" s="330"/>
      <c r="AE29" s="541" t="str">
        <f t="shared" si="3"/>
        <v>SERV2_3_1</v>
      </c>
      <c r="AF29" s="48"/>
      <c r="AI29" s="48"/>
      <c r="AJ29" s="48"/>
      <c r="AK29" s="48"/>
      <c r="AM29" s="967">
        <f t="shared" si="18"/>
        <v>26</v>
      </c>
      <c r="AN29" s="964">
        <f t="shared" si="18"/>
        <v>26</v>
      </c>
      <c r="AP29" s="964">
        <f t="shared" si="5"/>
        <v>26</v>
      </c>
      <c r="AQ29" s="964" t="str">
        <f t="shared" si="1"/>
        <v>SERV2_3_1</v>
      </c>
      <c r="AR29" s="964">
        <f>MATCH(AQ29,tblIndicators!$E$2:$E$128,0)</f>
        <v>26</v>
      </c>
      <c r="AS29" s="964" t="str">
        <f>REPT(" ",AT29)&amp;IF($AR29="","",INDEX(tblIndicators!$AL$2:$AL$128,AR29))</f>
        <v xml:space="preserve">   2.3.1) Integrated public transport apps</v>
      </c>
      <c r="AT29" s="964">
        <f>INDEX(tblIndicators!$G$2:$G$128,AR29)</f>
        <v>3</v>
      </c>
      <c r="AU29" s="964" t="str">
        <f>REPT(" ",AT29)&amp;IF($AR29="","",INDEX(tblIndicators!$AL$2:$AL$128,$AR29))</f>
        <v xml:space="preserve">   2.3.1) Integrated public transport apps</v>
      </c>
      <c r="AV29" s="964" t="str">
        <f t="shared" si="6"/>
        <v>2.3.1) Integrated public transport apps</v>
      </c>
      <c r="AW29" s="964" t="str">
        <f t="shared" si="7"/>
        <v>2.3</v>
      </c>
      <c r="AX29" s="964" t="str">
        <f>IF($AR29="","",INDEX(tblIndicators!$AL$2:$AL$128,AR29))</f>
        <v>2.3.1) Integrated public transport apps</v>
      </c>
      <c r="AZ29" s="970"/>
      <c r="BA29" s="968" t="s">
        <v>833</v>
      </c>
      <c r="BB29" s="967"/>
    </row>
    <row r="30" spans="1:54" ht="20.25" customHeight="1">
      <c r="A30" s="61" t="str">
        <f t="shared" si="21"/>
        <v>SERV2_1_2</v>
      </c>
      <c r="B30" s="535">
        <f>IF(A30="","",MATCH(A30,tblIndicators!$E$2:$E$71,0))</f>
        <v>19</v>
      </c>
      <c r="C30" s="535" t="str">
        <f>REPT(" ",D30)&amp;IF($A30="","",INDEX(tblIndicators!$AL$2:$AL$71,$B30))</f>
        <v xml:space="preserve">   2.1.2) E-gov service portal for residents</v>
      </c>
      <c r="D30" s="535">
        <f>INDEX(tblIndicators!$G$2:$G$71,B30)</f>
        <v>3</v>
      </c>
      <c r="E30" s="535" t="str">
        <f>REPT(" ",D30)&amp;IF($A30="","",INDEX(tblIndicators!$AM$2:$AM$71,$B30))</f>
        <v xml:space="preserve">   2.1.2) E-gov service portal for residents</v>
      </c>
      <c r="F30" s="535" t="str">
        <f t="shared" si="17"/>
        <v>2.1.2) E-gov service portal for residents</v>
      </c>
      <c r="H30" s="535" t="str" cm="1">
        <f t="array" ref="H30">INDEX(tblIndicators!$K$2:$K$71,$B30)</f>
        <v>2.1.2</v>
      </c>
      <c r="O30" s="48"/>
      <c r="Q30" s="861" t="s">
        <v>834</v>
      </c>
      <c r="S30" s="48" t="str">
        <f t="shared" si="22"/>
        <v>BG.11_5</v>
      </c>
      <c r="T30" s="861" t="s">
        <v>837</v>
      </c>
      <c r="U30" s="533" t="s">
        <v>545</v>
      </c>
      <c r="X30" s="331"/>
      <c r="Y30" s="331">
        <f t="shared" si="2"/>
        <v>27</v>
      </c>
      <c r="Z30" s="535" t="str">
        <f t="shared" si="0"/>
        <v>SERV2_3_2</v>
      </c>
      <c r="AA30" s="535">
        <f>IF(Z30="","",MATCH(Z30,tblIndicators!E$2:E$85,0))</f>
        <v>27</v>
      </c>
      <c r="AB30" s="535" t="str">
        <f>IF($AA30="","",REPT(" ",AC30)&amp;(INDEX(tblIndicators!AM$2:AM$85,$AA30)))</f>
        <v xml:space="preserve">   2.3.2) Digital identification at airports</v>
      </c>
      <c r="AC30" s="535">
        <f>IF($AA30="","",INDEX(tblIndicators!G$2:G$85,$AA30))</f>
        <v>3</v>
      </c>
      <c r="AD30" s="330"/>
      <c r="AE30" s="541" t="str">
        <f t="shared" si="3"/>
        <v>SERV2_3_2</v>
      </c>
      <c r="AF30" s="48"/>
      <c r="AI30" s="48"/>
      <c r="AJ30" s="48"/>
      <c r="AK30" s="48"/>
      <c r="AM30" s="967">
        <f t="shared" si="18"/>
        <v>27</v>
      </c>
      <c r="AN30" s="964">
        <f t="shared" si="18"/>
        <v>27</v>
      </c>
      <c r="AP30" s="964">
        <f t="shared" si="5"/>
        <v>27</v>
      </c>
      <c r="AQ30" s="964" t="str">
        <f t="shared" si="1"/>
        <v>SERV2_3_2</v>
      </c>
      <c r="AR30" s="964">
        <f>MATCH(AQ30,tblIndicators!$E$2:$E$128,0)</f>
        <v>27</v>
      </c>
      <c r="AS30" s="964" t="str">
        <f>REPT(" ",AT30)&amp;IF($AR30="","",INDEX(tblIndicators!$AL$2:$AL$128,AR30))</f>
        <v xml:space="preserve">   2.3.2) Digital identification at airports</v>
      </c>
      <c r="AT30" s="964">
        <f>INDEX(tblIndicators!$G$2:$G$128,AR30)</f>
        <v>3</v>
      </c>
      <c r="AU30" s="964" t="str">
        <f>REPT(" ",AT30)&amp;IF($AR30="","",INDEX(tblIndicators!$AL$2:$AL$128,$AR30))</f>
        <v xml:space="preserve">   2.3.2) Digital identification at airports</v>
      </c>
      <c r="AV30" s="964" t="str">
        <f t="shared" si="6"/>
        <v>2.3.2) Digital identification at airports</v>
      </c>
      <c r="AW30" s="964" t="str">
        <f t="shared" si="7"/>
        <v>2.3</v>
      </c>
      <c r="AX30" s="964" t="str">
        <f>IF($AR30="","",INDEX(tblIndicators!$AL$2:$AL$128,AR30))</f>
        <v>2.3.2) Digital identification at airports</v>
      </c>
      <c r="AZ30" s="970"/>
      <c r="BA30" s="968" t="s">
        <v>834</v>
      </c>
      <c r="BB30" s="967"/>
    </row>
    <row r="31" spans="1:54" ht="20.25" customHeight="1">
      <c r="A31" s="61" t="str">
        <f t="shared" si="21"/>
        <v>SERV2_1_3</v>
      </c>
      <c r="B31" s="535">
        <f>IF(A31="","",MATCH(A31,tblIndicators!$E$2:$E$71,0))</f>
        <v>20</v>
      </c>
      <c r="C31" s="535" t="str">
        <f>REPT(" ",D31)&amp;IF($A31="","",INDEX(tblIndicators!$AL$2:$AL$71,$B31))</f>
        <v xml:space="preserve">   2.1.3) E-gov service portal for businesses</v>
      </c>
      <c r="D31" s="535">
        <f>INDEX(tblIndicators!$G$2:$G$71,B31)</f>
        <v>3</v>
      </c>
      <c r="E31" s="535" t="str">
        <f>REPT(" ",D31)&amp;IF($A31="","",INDEX(tblIndicators!$AM$2:$AM$71,$B31))</f>
        <v xml:space="preserve">   2.1.3) E-gov service portal for businesses</v>
      </c>
      <c r="F31" s="535" t="str">
        <f t="shared" si="17"/>
        <v>2.1.3) E-gov service portal for businesses</v>
      </c>
      <c r="H31" s="535" t="str" cm="1">
        <f t="array" ref="H31">INDEX(tblIndicators!$K$2:$K$71,$B31)</f>
        <v>2.1.3</v>
      </c>
      <c r="O31" s="48"/>
      <c r="P31" s="330"/>
      <c r="Q31" s="866" t="s">
        <v>835</v>
      </c>
      <c r="T31" s="862" t="s">
        <v>838</v>
      </c>
      <c r="U31" s="533" t="s">
        <v>546</v>
      </c>
      <c r="X31" s="331"/>
      <c r="Y31" s="331">
        <f t="shared" si="2"/>
        <v>28</v>
      </c>
      <c r="Z31" s="535" t="str">
        <f t="shared" si="0"/>
        <v>SERV2_4</v>
      </c>
      <c r="AA31" s="535">
        <f>IF(Z31="","",MATCH(Z31,tblIndicators!E$2:E$85,0))</f>
        <v>28</v>
      </c>
      <c r="AB31" s="535" t="str">
        <f>IF($AA31="","",REPT(" ",AC31)&amp;(INDEX(tblIndicators!AM$2:AM$85,$AA31)))</f>
        <v xml:space="preserve">  2.4) Healthcare</v>
      </c>
      <c r="AC31" s="535">
        <f>IF($AA31="","",INDEX(tblIndicators!G$2:G$85,$AA31))</f>
        <v>2</v>
      </c>
      <c r="AD31" s="330"/>
      <c r="AE31" s="541" t="str">
        <f t="shared" si="3"/>
        <v>SERV2_4</v>
      </c>
      <c r="AF31" s="48"/>
      <c r="AH31" s="48"/>
      <c r="AI31" s="48"/>
      <c r="AJ31" s="48"/>
      <c r="AK31" s="48"/>
      <c r="AM31" s="967">
        <f t="shared" si="18"/>
        <v>28</v>
      </c>
      <c r="AN31" s="964">
        <f t="shared" si="18"/>
        <v>28</v>
      </c>
      <c r="AP31" s="964">
        <f t="shared" si="5"/>
        <v>28</v>
      </c>
      <c r="AQ31" s="964" t="str">
        <f t="shared" si="1"/>
        <v>SERV2_4</v>
      </c>
      <c r="AR31" s="964">
        <f>MATCH(AQ31,tblIndicators!$E$2:$E$128,0)</f>
        <v>28</v>
      </c>
      <c r="AS31" s="964" t="str">
        <f>REPT(" ",AT31)&amp;IF($AR31="","",INDEX(tblIndicators!$AL$2:$AL$128,AR31))</f>
        <v xml:space="preserve">  2.4) Healthcare</v>
      </c>
      <c r="AT31" s="964">
        <f>INDEX(tblIndicators!$G$2:$G$128,AR31)</f>
        <v>2</v>
      </c>
      <c r="AU31" s="964" t="str">
        <f>REPT(" ",AT31)&amp;IF($AR31="","",INDEX(tblIndicators!$AL$2:$AL$128,$AR31))</f>
        <v xml:space="preserve">  2.4) Healthcare</v>
      </c>
      <c r="AV31" s="964" t="str">
        <f t="shared" si="6"/>
        <v>2.4) Healthcare</v>
      </c>
      <c r="AW31" s="964" t="str">
        <f t="shared" si="7"/>
        <v>2.4</v>
      </c>
      <c r="AX31" s="964" t="str">
        <f>IF($AR31="","",INDEX(tblIndicators!$AL$2:$AL$128,AR31))</f>
        <v>2.4) Healthcare</v>
      </c>
      <c r="AZ31" s="970"/>
      <c r="BA31" s="968" t="s">
        <v>835</v>
      </c>
      <c r="BB31" s="967"/>
    </row>
    <row r="32" spans="1:54" ht="20.25" customHeight="1">
      <c r="A32" s="61" t="str">
        <f t="shared" si="21"/>
        <v>SERV2_2</v>
      </c>
      <c r="B32" s="535">
        <f>IF(A32="","",MATCH(A32,tblIndicators!$E$2:$E$71,0))</f>
        <v>21</v>
      </c>
      <c r="C32" s="535" t="str">
        <f>REPT(" ",D32)&amp;IF($A32="","",INDEX(tblIndicators!$AL$2:$AL$71,$B32))</f>
        <v xml:space="preserve">  2.2) Digital finance</v>
      </c>
      <c r="D32" s="535">
        <f>INDEX(tblIndicators!$G$2:$G$71,B32)</f>
        <v>2</v>
      </c>
      <c r="E32" s="535" t="str">
        <f>REPT(" ",D32)&amp;IF($A32="","",INDEX(tblIndicators!$AM$2:$AM$71,$B32))</f>
        <v xml:space="preserve">  2.2) Digital finance</v>
      </c>
      <c r="F32" s="535" t="str">
        <f t="shared" si="17"/>
        <v>2.2) Digital finance</v>
      </c>
      <c r="H32" s="535" t="str" cm="1">
        <f t="array" ref="H32">INDEX(tblIndicators!$K$2:$K$71,$B32)</f>
        <v>Digital finance - fintech</v>
      </c>
      <c r="O32" s="48"/>
      <c r="P32" s="330"/>
      <c r="Q32" s="862" t="s">
        <v>836</v>
      </c>
      <c r="T32" s="866" t="s">
        <v>839</v>
      </c>
      <c r="U32" s="533" t="s">
        <v>547</v>
      </c>
      <c r="X32" s="331"/>
      <c r="Y32" s="331">
        <f t="shared" si="2"/>
        <v>29</v>
      </c>
      <c r="Z32" s="535" t="str">
        <f t="shared" si="0"/>
        <v>SERV2_4_1</v>
      </c>
      <c r="AA32" s="535">
        <f>IF(Z32="","",MATCH(Z32,tblIndicators!E$2:E$85,0))</f>
        <v>29</v>
      </c>
      <c r="AB32" s="535" t="str">
        <f>IF($AA32="","",REPT(" ",AC32)&amp;(INDEX(tblIndicators!AM$2:AM$85,$AA32)))</f>
        <v xml:space="preserve">   2.4.1) Telehealth &amp; telemedicine</v>
      </c>
      <c r="AC32" s="535">
        <f>IF($AA32="","",INDEX(tblIndicators!G$2:G$85,$AA32))</f>
        <v>3</v>
      </c>
      <c r="AD32" s="330"/>
      <c r="AE32" s="541" t="str">
        <f t="shared" si="3"/>
        <v>SERV2_4_1</v>
      </c>
      <c r="AF32" s="48"/>
      <c r="AH32" s="48"/>
      <c r="AI32" s="48"/>
      <c r="AJ32" s="48"/>
      <c r="AK32" s="48"/>
      <c r="AM32" s="967">
        <f t="shared" si="18"/>
        <v>29</v>
      </c>
      <c r="AN32" s="964">
        <f t="shared" si="18"/>
        <v>29</v>
      </c>
      <c r="AP32" s="964">
        <f t="shared" si="5"/>
        <v>29</v>
      </c>
      <c r="AQ32" s="964" t="str">
        <f t="shared" si="1"/>
        <v>SERV2_4_1</v>
      </c>
      <c r="AR32" s="964">
        <f>MATCH(AQ32,tblIndicators!$E$2:$E$128,0)</f>
        <v>29</v>
      </c>
      <c r="AS32" s="964" t="str">
        <f>REPT(" ",AT32)&amp;IF($AR32="","",INDEX(tblIndicators!$AL$2:$AL$128,AR32))</f>
        <v xml:space="preserve">   2.4.1) Telehealth &amp; telemedicine</v>
      </c>
      <c r="AT32" s="964">
        <f>INDEX(tblIndicators!$G$2:$G$128,AR32)</f>
        <v>3</v>
      </c>
      <c r="AU32" s="964" t="str">
        <f>REPT(" ",AT32)&amp;IF($AR32="","",INDEX(tblIndicators!$AL$2:$AL$128,$AR32))</f>
        <v xml:space="preserve">   2.4.1) Telehealth &amp; telemedicine</v>
      </c>
      <c r="AV32" s="964" t="str">
        <f t="shared" si="6"/>
        <v>2.4.1) Telehealth &amp; telemedicine</v>
      </c>
      <c r="AW32" s="964" t="str">
        <f t="shared" si="7"/>
        <v>2.4</v>
      </c>
      <c r="AX32" s="964" t="str">
        <f>IF($AR32="","",INDEX(tblIndicators!$AL$2:$AL$128,AR32))</f>
        <v>2.4.1) Telehealth &amp; telemedicine</v>
      </c>
      <c r="AZ32" s="970"/>
      <c r="BA32" s="968" t="s">
        <v>836</v>
      </c>
      <c r="BB32" s="967"/>
    </row>
    <row r="33" spans="1:54" ht="20.25" customHeight="1">
      <c r="A33" s="61" t="str">
        <f t="shared" si="21"/>
        <v>SERV2_2_1</v>
      </c>
      <c r="B33" s="535">
        <f>IF(A33="","",MATCH(A33,tblIndicators!$E$2:$E$71,0))</f>
        <v>22</v>
      </c>
      <c r="C33" s="535" t="str">
        <f>REPT(" ",D33)&amp;IF($A33="","",INDEX(tblIndicators!$AL$2:$AL$71,$B33))</f>
        <v xml:space="preserve">   2.2.1) Digital platforms for banking and personal finance</v>
      </c>
      <c r="D33" s="535">
        <f>INDEX(tblIndicators!$G$2:$G$71,B33)</f>
        <v>3</v>
      </c>
      <c r="E33" s="535" t="str">
        <f>REPT(" ",D33)&amp;IF($A33="","",INDEX(tblIndicators!$AM$2:$AM$71,$B33))</f>
        <v xml:space="preserve">   2.2.1) Digital platforms for banking and personal finance</v>
      </c>
      <c r="F33" s="535" t="str">
        <f t="shared" si="17"/>
        <v>2.2.1) Digital platforms for banking and personal finance</v>
      </c>
      <c r="H33" s="535" t="str" cm="1">
        <f t="array" ref="H33">INDEX(tblIndicators!$K$2:$K$71,$B33)</f>
        <v>2.2.1</v>
      </c>
      <c r="O33" s="48"/>
      <c r="P33" s="330"/>
      <c r="Q33" s="861" t="s">
        <v>837</v>
      </c>
      <c r="T33" s="862" t="s">
        <v>840</v>
      </c>
      <c r="U33" s="532" t="s">
        <v>548</v>
      </c>
      <c r="X33" s="331"/>
      <c r="Y33" s="331">
        <f t="shared" si="2"/>
        <v>30</v>
      </c>
      <c r="Z33" s="535" t="str">
        <f t="shared" si="0"/>
        <v>SERV2_4_2</v>
      </c>
      <c r="AA33" s="535">
        <f>IF(Z33="","",MATCH(Z33,tblIndicators!E$2:E$85,0))</f>
        <v>30</v>
      </c>
      <c r="AB33" s="535" t="str">
        <f>IF($AA33="","",REPT(" ",AC33)&amp;(INDEX(tblIndicators!AM$2:AM$85,$AA33)))</f>
        <v xml:space="preserve">   2.4.2) Electronic health records</v>
      </c>
      <c r="AC33" s="535">
        <f>IF($AA33="","",INDEX(tblIndicators!G$2:G$85,$AA33))</f>
        <v>3</v>
      </c>
      <c r="AD33" s="330"/>
      <c r="AE33" s="541" t="str">
        <f t="shared" si="3"/>
        <v>SERV2_4_2</v>
      </c>
      <c r="AF33" s="48"/>
      <c r="AH33" s="48"/>
      <c r="AI33" s="48"/>
      <c r="AJ33" s="48"/>
      <c r="AK33" s="48"/>
      <c r="AM33" s="967">
        <f t="shared" si="18"/>
        <v>30</v>
      </c>
      <c r="AN33" s="964">
        <f t="shared" si="18"/>
        <v>30</v>
      </c>
      <c r="AP33" s="964">
        <f t="shared" si="5"/>
        <v>30</v>
      </c>
      <c r="AQ33" s="964" t="str">
        <f t="shared" si="1"/>
        <v>SERV2_4_2</v>
      </c>
      <c r="AR33" s="964">
        <f>MATCH(AQ33,tblIndicators!$E$2:$E$128,0)</f>
        <v>30</v>
      </c>
      <c r="AS33" s="964" t="str">
        <f>REPT(" ",AT33)&amp;IF($AR33="","",INDEX(tblIndicators!$AL$2:$AL$128,AR33))</f>
        <v xml:space="preserve">   2.4.2) Electronic health records</v>
      </c>
      <c r="AT33" s="964">
        <f>INDEX(tblIndicators!$G$2:$G$128,AR33)</f>
        <v>3</v>
      </c>
      <c r="AU33" s="964" t="str">
        <f>REPT(" ",AT33)&amp;IF($AR33="","",INDEX(tblIndicators!$AL$2:$AL$128,$AR33))</f>
        <v xml:space="preserve">   2.4.2) Electronic health records</v>
      </c>
      <c r="AV33" s="964" t="str">
        <f t="shared" si="6"/>
        <v>2.4.2) Electronic health records</v>
      </c>
      <c r="AW33" s="964" t="str">
        <f t="shared" si="7"/>
        <v>2.4</v>
      </c>
      <c r="AX33" s="964" t="str">
        <f>IF($AR33="","",INDEX(tblIndicators!$AL$2:$AL$128,AR33))</f>
        <v>2.4.2) Electronic health records</v>
      </c>
      <c r="AZ33" s="970"/>
      <c r="BA33" s="968" t="s">
        <v>837</v>
      </c>
      <c r="BB33" s="967"/>
    </row>
    <row r="34" spans="1:54" ht="20.25" customHeight="1">
      <c r="A34" s="61" t="str">
        <f t="shared" si="21"/>
        <v>SERV2_2_2</v>
      </c>
      <c r="B34" s="535">
        <f>IF(A34="","",MATCH(A34,tblIndicators!$E$2:$E$71,0))</f>
        <v>23</v>
      </c>
      <c r="C34" s="535" t="str">
        <f>REPT(" ",D34)&amp;IF($A34="","",INDEX(tblIndicators!$AL$2:$AL$71,$B34))</f>
        <v xml:space="preserve">   2.2.2) Digital investment management tools</v>
      </c>
      <c r="D34" s="535">
        <f>INDEX(tblIndicators!$G$2:$G$71,B34)</f>
        <v>3</v>
      </c>
      <c r="E34" s="535" t="str">
        <f>REPT(" ",D34)&amp;IF($A34="","",INDEX(tblIndicators!$AM$2:$AM$71,$B34))</f>
        <v xml:space="preserve">   2.2.2) Digital investment management tools</v>
      </c>
      <c r="F34" s="535" t="str">
        <f t="shared" si="17"/>
        <v>2.2.2) Digital investment management tools</v>
      </c>
      <c r="H34" s="535" t="str" cm="1">
        <f t="array" ref="H34">INDEX(tblIndicators!$K$2:$K$71,$B34)</f>
        <v>2.2.2</v>
      </c>
      <c r="O34" s="48"/>
      <c r="P34" s="330"/>
      <c r="Q34" s="862" t="s">
        <v>838</v>
      </c>
      <c r="T34" s="866" t="s">
        <v>841</v>
      </c>
      <c r="U34" s="533" t="s">
        <v>549</v>
      </c>
      <c r="X34" s="331"/>
      <c r="Y34" s="331">
        <f t="shared" si="2"/>
        <v>31</v>
      </c>
      <c r="Z34" s="535" t="str">
        <f t="shared" si="0"/>
        <v>SERV2_4_3</v>
      </c>
      <c r="AA34" s="535">
        <f>IF(Z34="","",MATCH(Z34,tblIndicators!E$2:E$85,0))</f>
        <v>31</v>
      </c>
      <c r="AB34" s="535" t="str">
        <f>IF($AA34="","",REPT(" ",AC34)&amp;(INDEX(tblIndicators!AM$2:AM$85,$AA34)))</f>
        <v xml:space="preserve">   2.4.3) Pandemic-related applications</v>
      </c>
      <c r="AC34" s="535">
        <f>IF($AA34="","",INDEX(tblIndicators!G$2:G$85,$AA34))</f>
        <v>3</v>
      </c>
      <c r="AD34" s="330"/>
      <c r="AE34" s="541" t="str">
        <f t="shared" si="3"/>
        <v>SERV2_4_3</v>
      </c>
      <c r="AF34" s="48"/>
      <c r="AH34" s="48"/>
      <c r="AI34" s="48"/>
      <c r="AJ34" s="48"/>
      <c r="AK34" s="48"/>
      <c r="AM34" s="967">
        <f t="shared" si="18"/>
        <v>31</v>
      </c>
      <c r="AN34" s="964">
        <f t="shared" si="18"/>
        <v>31</v>
      </c>
      <c r="AP34" s="964">
        <f t="shared" si="5"/>
        <v>31</v>
      </c>
      <c r="AQ34" s="964" t="str">
        <f t="shared" si="1"/>
        <v>SERV2_4_3</v>
      </c>
      <c r="AR34" s="964">
        <f>MATCH(AQ34,tblIndicators!$E$2:$E$128,0)</f>
        <v>31</v>
      </c>
      <c r="AS34" s="964" t="str">
        <f>REPT(" ",AT34)&amp;IF($AR34="","",INDEX(tblIndicators!$AL$2:$AL$128,AR34))</f>
        <v xml:space="preserve">   2.4.3) Pandemic-related applications</v>
      </c>
      <c r="AT34" s="964">
        <f>INDEX(tblIndicators!$G$2:$G$128,AR34)</f>
        <v>3</v>
      </c>
      <c r="AU34" s="964" t="str">
        <f>REPT(" ",AT34)&amp;IF($AR34="","",INDEX(tblIndicators!$AL$2:$AL$128,$AR34))</f>
        <v xml:space="preserve">   2.4.3) Pandemic-related applications</v>
      </c>
      <c r="AV34" s="964" t="str">
        <f t="shared" si="6"/>
        <v>2.4.3) Pandemic-related applications</v>
      </c>
      <c r="AW34" s="964" t="str">
        <f t="shared" si="7"/>
        <v>2.4</v>
      </c>
      <c r="AX34" s="964" t="str">
        <f>IF($AR34="","",INDEX(tblIndicators!$AL$2:$AL$128,AR34))</f>
        <v>2.4.3) Pandemic-related applications</v>
      </c>
      <c r="AZ34" s="970"/>
      <c r="BA34" s="968" t="s">
        <v>838</v>
      </c>
      <c r="BB34" s="967"/>
    </row>
    <row r="35" spans="1:54" ht="20.25" customHeight="1">
      <c r="A35" s="61" t="str">
        <f t="shared" si="21"/>
        <v>SERV2_2_3</v>
      </c>
      <c r="B35" s="535">
        <f>IF(A35="","",MATCH(A35,tblIndicators!$E$2:$E$71,0))</f>
        <v>24</v>
      </c>
      <c r="C35" s="535" t="str">
        <f>REPT(" ",D35)&amp;IF($A35="","",INDEX(tblIndicators!$AL$2:$AL$71,$B35))</f>
        <v xml:space="preserve">   2.2.3) E-payments</v>
      </c>
      <c r="D35" s="535">
        <f>INDEX(tblIndicators!$G$2:$G$71,B35)</f>
        <v>3</v>
      </c>
      <c r="E35" s="535" t="str">
        <f>REPT(" ",D35)&amp;IF($A35="","",INDEX(tblIndicators!$AM$2:$AM$71,$B35))</f>
        <v xml:space="preserve">   2.2.3) E-payments</v>
      </c>
      <c r="F35" s="535" t="str">
        <f t="shared" si="17"/>
        <v>2.2.3) E-payments</v>
      </c>
      <c r="H35" s="535" t="str" cm="1">
        <f t="array" ref="H35">INDEX(tblIndicators!$K$2:$K$71,$B35)</f>
        <v>2.2.3</v>
      </c>
      <c r="O35" s="48"/>
      <c r="P35" s="330"/>
      <c r="Q35" s="866" t="s">
        <v>839</v>
      </c>
      <c r="T35" s="861" t="s">
        <v>842</v>
      </c>
      <c r="U35" s="533" t="s">
        <v>550</v>
      </c>
      <c r="X35" s="331"/>
      <c r="Y35" s="331">
        <f t="shared" si="2"/>
        <v>32</v>
      </c>
      <c r="Z35" s="535" t="str">
        <f t="shared" si="0"/>
        <v>SERV2_5</v>
      </c>
      <c r="AA35" s="535">
        <f>IF(Z35="","",MATCH(Z35,tblIndicators!E$2:E$85,0))</f>
        <v>32</v>
      </c>
      <c r="AB35" s="535" t="str">
        <f>IF($AA35="","",REPT(" ",AC35)&amp;(INDEX(tblIndicators!AM$2:AM$85,$AA35)))</f>
        <v xml:space="preserve">  2.5) Education</v>
      </c>
      <c r="AC35" s="535">
        <f>IF($AA35="","",INDEX(tblIndicators!G$2:G$85,$AA35))</f>
        <v>2</v>
      </c>
      <c r="AD35" s="330"/>
      <c r="AE35" s="541" t="str">
        <f t="shared" si="3"/>
        <v>SERV2_5</v>
      </c>
      <c r="AF35" s="48"/>
      <c r="AH35" s="48"/>
      <c r="AI35" s="48"/>
      <c r="AJ35" s="48"/>
      <c r="AK35" s="48"/>
      <c r="AM35" s="967">
        <f t="shared" si="18"/>
        <v>32</v>
      </c>
      <c r="AN35" s="964">
        <f t="shared" si="18"/>
        <v>32</v>
      </c>
      <c r="AP35" s="964">
        <f t="shared" si="5"/>
        <v>32</v>
      </c>
      <c r="AQ35" s="964" t="str">
        <f t="shared" si="1"/>
        <v>SERV2_5</v>
      </c>
      <c r="AR35" s="964">
        <f>MATCH(AQ35,tblIndicators!$E$2:$E$128,0)</f>
        <v>32</v>
      </c>
      <c r="AS35" s="964" t="str">
        <f>REPT(" ",AT35)&amp;IF($AR35="","",INDEX(tblIndicators!$AL$2:$AL$128,AR35))</f>
        <v xml:space="preserve">  2.5) Education</v>
      </c>
      <c r="AT35" s="964">
        <f>INDEX(tblIndicators!$G$2:$G$128,AR35)</f>
        <v>2</v>
      </c>
      <c r="AU35" s="964" t="str">
        <f>REPT(" ",AT35)&amp;IF($AR35="","",INDEX(tblIndicators!$AL$2:$AL$128,$AR35))</f>
        <v xml:space="preserve">  2.5) Education</v>
      </c>
      <c r="AV35" s="964" t="str">
        <f t="shared" si="6"/>
        <v>2.5) Education</v>
      </c>
      <c r="AW35" s="964" t="str">
        <f t="shared" si="7"/>
        <v>2.5</v>
      </c>
      <c r="AX35" s="964" t="str">
        <f>IF($AR35="","",INDEX(tblIndicators!$AL$2:$AL$128,AR35))</f>
        <v>2.5) Education</v>
      </c>
      <c r="AZ35" s="970"/>
      <c r="BA35" s="968" t="s">
        <v>839</v>
      </c>
      <c r="BB35" s="967"/>
    </row>
    <row r="36" spans="1:54" ht="20.25" customHeight="1">
      <c r="A36" s="61" t="str">
        <f t="shared" si="21"/>
        <v>SERV2_3</v>
      </c>
      <c r="B36" s="535">
        <f>IF(A36="","",MATCH(A36,tblIndicators!$E$2:$E$71,0))</f>
        <v>25</v>
      </c>
      <c r="C36" s="535" t="str">
        <f>REPT(" ",D36)&amp;IF($A36="","",INDEX(tblIndicators!$AL$2:$AL$71,$B36))</f>
        <v xml:space="preserve">  2.3) Transportation</v>
      </c>
      <c r="D36" s="535">
        <f>INDEX(tblIndicators!$G$2:$G$71,B36)</f>
        <v>2</v>
      </c>
      <c r="E36" s="535" t="str">
        <f>REPT(" ",D36)&amp;IF($A36="","",INDEX(tblIndicators!$AM$2:$AM$71,$B36))</f>
        <v xml:space="preserve">  2.3) Transportation</v>
      </c>
      <c r="F36" s="535" t="str">
        <f t="shared" si="17"/>
        <v>2.3) Transportation</v>
      </c>
      <c r="H36" s="535" t="str" cm="1">
        <f t="array" ref="H36">INDEX(tblIndicators!$K$2:$K$71,$B36)</f>
        <v xml:space="preserve">Transport </v>
      </c>
      <c r="O36" s="48"/>
      <c r="P36" s="330"/>
      <c r="Q36" s="862" t="s">
        <v>840</v>
      </c>
      <c r="T36" s="862" t="s">
        <v>843</v>
      </c>
      <c r="U36" s="533" t="s">
        <v>551</v>
      </c>
      <c r="X36" s="331"/>
      <c r="Y36" s="331">
        <f t="shared" si="2"/>
        <v>33</v>
      </c>
      <c r="Z36" s="535" t="str">
        <f t="shared" ref="Z36:Z67" si="23">IF(INDEX($AE$4:$AL$175,Y36,$Z$2)="","",INDEX($AE$4:$AL$175,Y36,$Z$2))</f>
        <v>SERV2_5_1</v>
      </c>
      <c r="AA36" s="535">
        <f>IF(Z36="","",MATCH(Z36,tblIndicators!E$2:E$85,0))</f>
        <v>33</v>
      </c>
      <c r="AB36" s="535" t="str">
        <f>IF($AA36="","",REPT(" ",AC36)&amp;(INDEX(tblIndicators!AM$2:AM$85,$AA36)))</f>
        <v xml:space="preserve">   2.5.1) Digital education</v>
      </c>
      <c r="AC36" s="535">
        <f>IF($AA36="","",INDEX(tblIndicators!G$2:G$85,$AA36))</f>
        <v>3</v>
      </c>
      <c r="AD36" s="330"/>
      <c r="AE36" s="541" t="str">
        <f t="shared" si="3"/>
        <v>SERV2_5_1</v>
      </c>
      <c r="AF36" s="48"/>
      <c r="AH36" s="48"/>
      <c r="AI36" s="48"/>
      <c r="AJ36" s="48"/>
      <c r="AK36" s="48"/>
      <c r="AM36" s="967">
        <f t="shared" si="18"/>
        <v>33</v>
      </c>
      <c r="AN36" s="964">
        <f t="shared" si="18"/>
        <v>33</v>
      </c>
      <c r="AP36" s="964">
        <f t="shared" si="5"/>
        <v>33</v>
      </c>
      <c r="AQ36" s="964" t="str">
        <f t="shared" ref="AQ36:AQ67" si="24">IF(OR(INDEX($AZ$4:$BB$106,$AP36,$AT$2)=0,INDEX($AZ$4:$BB$106,$AP36,$AT$2)=""),"",INDEX($AZ$4:$BB$106,$AP36,$AT$2))</f>
        <v>SERV2_5_1</v>
      </c>
      <c r="AR36" s="964">
        <f>MATCH(AQ36,tblIndicators!$E$2:$E$128,0)</f>
        <v>33</v>
      </c>
      <c r="AS36" s="964" t="str">
        <f>REPT(" ",AT36)&amp;IF($AR36="","",INDEX(tblIndicators!$AL$2:$AL$128,AR36))</f>
        <v xml:space="preserve">   2.5.1) Digital education</v>
      </c>
      <c r="AT36" s="964">
        <f>INDEX(tblIndicators!$G$2:$G$128,AR36)</f>
        <v>3</v>
      </c>
      <c r="AU36" s="964" t="str">
        <f>REPT(" ",AT36)&amp;IF($AR36="","",INDEX(tblIndicators!$AL$2:$AL$128,$AR36))</f>
        <v xml:space="preserve">   2.5.1) Digital education</v>
      </c>
      <c r="AV36" s="964" t="str">
        <f t="shared" si="6"/>
        <v>2.5.1) Digital education</v>
      </c>
      <c r="AW36" s="964" t="str">
        <f t="shared" si="7"/>
        <v>2.5</v>
      </c>
      <c r="AX36" s="964" t="str">
        <f>IF($AR36="","",INDEX(tblIndicators!$AL$2:$AL$128,AR36))</f>
        <v>2.5.1) Digital education</v>
      </c>
      <c r="AZ36" s="970"/>
      <c r="BA36" s="968" t="s">
        <v>840</v>
      </c>
      <c r="BB36" s="967"/>
    </row>
    <row r="37" spans="1:54" ht="20.25" customHeight="1">
      <c r="A37" s="61" t="str">
        <f t="shared" si="21"/>
        <v>SERV2_3_1</v>
      </c>
      <c r="B37" s="535">
        <f>IF(A37="","",MATCH(A37,tblIndicators!$E$2:$E$71,0))</f>
        <v>26</v>
      </c>
      <c r="C37" s="535" t="str">
        <f>REPT(" ",D37)&amp;IF($A37="","",INDEX(tblIndicators!$AL$2:$AL$71,$B37))</f>
        <v xml:space="preserve">   2.3.1) Integrated public transport apps</v>
      </c>
      <c r="D37" s="535">
        <f>INDEX(tblIndicators!$G$2:$G$71,B37)</f>
        <v>3</v>
      </c>
      <c r="E37" s="535" t="str">
        <f>REPT(" ",D37)&amp;IF($A37="","",INDEX(tblIndicators!$AM$2:$AM$71,$B37))</f>
        <v xml:space="preserve">   2.3.1) Integrated public transport apps</v>
      </c>
      <c r="F37" s="535" t="str">
        <f t="shared" si="17"/>
        <v>2.3.1) Integrated public transport apps</v>
      </c>
      <c r="H37" s="535" t="str" cm="1">
        <f t="array" ref="H37">INDEX(tblIndicators!$K$2:$K$71,$B37)</f>
        <v>2.3.1</v>
      </c>
      <c r="O37" s="48"/>
      <c r="P37" s="330"/>
      <c r="Q37" s="866" t="s">
        <v>841</v>
      </c>
      <c r="T37" s="866" t="s">
        <v>844</v>
      </c>
      <c r="U37" s="532" t="s">
        <v>552</v>
      </c>
      <c r="X37" s="331"/>
      <c r="Y37" s="331">
        <f t="shared" si="2"/>
        <v>34</v>
      </c>
      <c r="Z37" s="535" t="str">
        <f t="shared" si="23"/>
        <v>SERV2_6</v>
      </c>
      <c r="AA37" s="535">
        <f>IF(Z37="","",MATCH(Z37,tblIndicators!E$2:E$85,0))</f>
        <v>34</v>
      </c>
      <c r="AB37" s="535" t="str">
        <f>IF($AA37="","",REPT(" ",AC37)&amp;(INDEX(tblIndicators!AM$2:AM$85,$AA37)))</f>
        <v xml:space="preserve">  2.6) Retail and hospitality</v>
      </c>
      <c r="AC37" s="535">
        <f>IF($AA37="","",INDEX(tblIndicators!G$2:G$85,$AA37))</f>
        <v>2</v>
      </c>
      <c r="AD37" s="330"/>
      <c r="AE37" s="541" t="str">
        <f t="shared" si="3"/>
        <v>SERV2_6</v>
      </c>
      <c r="AF37" s="48"/>
      <c r="AH37" s="48"/>
      <c r="AI37" s="48"/>
      <c r="AJ37" s="48"/>
      <c r="AK37" s="48"/>
      <c r="AM37" s="967">
        <f t="shared" ref="AM37:AN52" si="25">AM36+1</f>
        <v>34</v>
      </c>
      <c r="AN37" s="964">
        <f t="shared" si="25"/>
        <v>34</v>
      </c>
      <c r="AP37" s="964">
        <f t="shared" si="5"/>
        <v>34</v>
      </c>
      <c r="AQ37" s="964" t="str">
        <f t="shared" si="24"/>
        <v>SERV2_6</v>
      </c>
      <c r="AR37" s="964">
        <f>MATCH(AQ37,tblIndicators!$E$2:$E$128,0)</f>
        <v>34</v>
      </c>
      <c r="AS37" s="964" t="str">
        <f>REPT(" ",AT37)&amp;IF($AR37="","",INDEX(tblIndicators!$AL$2:$AL$128,AR37))</f>
        <v xml:space="preserve">  2.6) Retail and hospitality</v>
      </c>
      <c r="AT37" s="964">
        <f>INDEX(tblIndicators!$G$2:$G$128,AR37)</f>
        <v>2</v>
      </c>
      <c r="AU37" s="964" t="str">
        <f>REPT(" ",AT37)&amp;IF($AR37="","",INDEX(tblIndicators!$AL$2:$AL$128,$AR37))</f>
        <v xml:space="preserve">  2.6) Retail and hospitality</v>
      </c>
      <c r="AV37" s="964" t="str">
        <f t="shared" si="6"/>
        <v>2.6) Retail and hospitality</v>
      </c>
      <c r="AW37" s="964" t="str">
        <f t="shared" si="7"/>
        <v>2.6</v>
      </c>
      <c r="AX37" s="964" t="str">
        <f>IF($AR37="","",INDEX(tblIndicators!$AL$2:$AL$128,AR37))</f>
        <v>2.6) Retail and hospitality</v>
      </c>
      <c r="AZ37" s="970"/>
      <c r="BA37" s="968" t="s">
        <v>841</v>
      </c>
      <c r="BB37" s="967"/>
    </row>
    <row r="38" spans="1:54" ht="20.25" customHeight="1">
      <c r="A38" s="61" t="str">
        <f t="shared" si="21"/>
        <v>SERV2_3_2</v>
      </c>
      <c r="B38" s="535">
        <f>IF(A38="","",MATCH(A38,tblIndicators!$E$2:$E$71,0))</f>
        <v>27</v>
      </c>
      <c r="C38" s="535" t="str">
        <f>REPT(" ",D38)&amp;IF($A38="","",INDEX(tblIndicators!$AL$2:$AL$71,$B38))</f>
        <v xml:space="preserve">   2.3.2) Digital identification at airports</v>
      </c>
      <c r="D38" s="535">
        <f>INDEX(tblIndicators!$G$2:$G$71,B38)</f>
        <v>3</v>
      </c>
      <c r="E38" s="535" t="str">
        <f>REPT(" ",D38)&amp;IF($A38="","",INDEX(tblIndicators!$AM$2:$AM$71,$B38))</f>
        <v xml:space="preserve">   2.3.2) Digital identification at airports</v>
      </c>
      <c r="F38" s="535" t="str">
        <f t="shared" si="17"/>
        <v>2.3.2) Digital identification at airports</v>
      </c>
      <c r="H38" s="535" t="str" cm="1">
        <f t="array" ref="H38">INDEX(tblIndicators!$K$2:$K$71,$B38)</f>
        <v>2.3.2</v>
      </c>
      <c r="O38" s="48"/>
      <c r="P38" s="330"/>
      <c r="Q38" s="861" t="s">
        <v>842</v>
      </c>
      <c r="T38" s="861" t="s">
        <v>845</v>
      </c>
      <c r="U38" s="545" t="s">
        <v>553</v>
      </c>
      <c r="X38" s="331"/>
      <c r="Y38" s="331">
        <f t="shared" si="2"/>
        <v>35</v>
      </c>
      <c r="Z38" s="535" t="str">
        <f t="shared" si="23"/>
        <v>SERV2_6_1</v>
      </c>
      <c r="AA38" s="535">
        <f>IF(Z38="","",MATCH(Z38,tblIndicators!E$2:E$85,0))</f>
        <v>35</v>
      </c>
      <c r="AB38" s="535" t="str">
        <f>IF($AA38="","",REPT(" ",AC38)&amp;(INDEX(tblIndicators!AM$2:AM$85,$AA38)))</f>
        <v xml:space="preserve">   2.6.1) E-commerce penetration</v>
      </c>
      <c r="AC38" s="535">
        <f>IF($AA38="","",INDEX(tblIndicators!G$2:G$85,$AA38))</f>
        <v>3</v>
      </c>
      <c r="AD38" s="330"/>
      <c r="AE38" s="541" t="str">
        <f t="shared" si="3"/>
        <v>SERV2_6_1</v>
      </c>
      <c r="AF38" s="48"/>
      <c r="AH38" s="48"/>
      <c r="AI38" s="48"/>
      <c r="AJ38" s="48"/>
      <c r="AK38" s="48"/>
      <c r="AM38" s="967">
        <f t="shared" si="25"/>
        <v>35</v>
      </c>
      <c r="AN38" s="964">
        <f t="shared" si="25"/>
        <v>35</v>
      </c>
      <c r="AP38" s="964">
        <f t="shared" si="5"/>
        <v>35</v>
      </c>
      <c r="AQ38" s="964" t="str">
        <f t="shared" si="24"/>
        <v>SERV2_6_1</v>
      </c>
      <c r="AR38" s="964">
        <f>MATCH(AQ38,tblIndicators!$E$2:$E$128,0)</f>
        <v>35</v>
      </c>
      <c r="AS38" s="964" t="str">
        <f>REPT(" ",AT38)&amp;IF($AR38="","",INDEX(tblIndicators!$AL$2:$AL$128,AR38))</f>
        <v xml:space="preserve">   2.6.1) E-commerce penetration</v>
      </c>
      <c r="AT38" s="964">
        <f>INDEX(tblIndicators!$G$2:$G$128,AR38)</f>
        <v>3</v>
      </c>
      <c r="AU38" s="964" t="str">
        <f>REPT(" ",AT38)&amp;IF($AR38="","",INDEX(tblIndicators!$AL$2:$AL$128,$AR38))</f>
        <v xml:space="preserve">   2.6.1) E-commerce penetration</v>
      </c>
      <c r="AV38" s="964" t="str">
        <f t="shared" si="6"/>
        <v>2.6.1) E-commerce penetration</v>
      </c>
      <c r="AW38" s="964" t="str">
        <f t="shared" si="7"/>
        <v>2.6</v>
      </c>
      <c r="AX38" s="964" t="str">
        <f>IF($AR38="","",INDEX(tblIndicators!$AL$2:$AL$128,AR38))</f>
        <v>2.6.1) E-commerce penetration</v>
      </c>
      <c r="AZ38" s="970"/>
      <c r="BA38" s="968" t="s">
        <v>842</v>
      </c>
      <c r="BB38" s="967"/>
    </row>
    <row r="39" spans="1:54" ht="20.25" customHeight="1">
      <c r="A39" s="61" t="str">
        <f t="shared" si="21"/>
        <v>SERV2_4</v>
      </c>
      <c r="B39" s="535">
        <f>IF(A39="","",MATCH(A39,tblIndicators!$E$2:$E$71,0))</f>
        <v>28</v>
      </c>
      <c r="C39" s="535" t="str">
        <f>REPT(" ",D39)&amp;IF($A39="","",INDEX(tblIndicators!$AL$2:$AL$71,$B39))</f>
        <v xml:space="preserve">  2.4) Healthcare</v>
      </c>
      <c r="D39" s="535">
        <f>INDEX(tblIndicators!$G$2:$G$71,B39)</f>
        <v>2</v>
      </c>
      <c r="E39" s="535" t="str">
        <f>REPT(" ",D39)&amp;IF($A39="","",INDEX(tblIndicators!$AM$2:$AM$71,$B39))</f>
        <v xml:space="preserve">  2.4) Healthcare</v>
      </c>
      <c r="F39" s="535" t="str">
        <f t="shared" si="17"/>
        <v>2.4) Healthcare</v>
      </c>
      <c r="H39" s="535" t="str" cm="1">
        <f t="array" ref="H39">INDEX(tblIndicators!$K$2:$K$71,$B39)</f>
        <v>Healthcare</v>
      </c>
      <c r="O39" s="48"/>
      <c r="P39" s="330"/>
      <c r="Q39" s="862" t="s">
        <v>843</v>
      </c>
      <c r="T39" s="861" t="s">
        <v>846</v>
      </c>
      <c r="U39" s="545" t="s">
        <v>554</v>
      </c>
      <c r="X39" s="331"/>
      <c r="Y39" s="331">
        <f t="shared" si="2"/>
        <v>36</v>
      </c>
      <c r="Z39" s="535" t="str">
        <f t="shared" si="23"/>
        <v>SERV2_6_2</v>
      </c>
      <c r="AA39" s="535">
        <f>IF(Z39="","",MATCH(Z39,tblIndicators!E$2:E$85,0))</f>
        <v>36</v>
      </c>
      <c r="AB39" s="535" t="str">
        <f>IF($AA39="","",REPT(" ",AC39)&amp;(INDEX(tblIndicators!AM$2:AM$85,$AA39)))</f>
        <v xml:space="preserve">   2.6.2) Digital tourist passes</v>
      </c>
      <c r="AC39" s="535">
        <f>IF($AA39="","",INDEX(tblIndicators!G$2:G$85,$AA39))</f>
        <v>3</v>
      </c>
      <c r="AD39" s="330"/>
      <c r="AE39" s="541" t="str">
        <f t="shared" si="3"/>
        <v>SERV2_6_2</v>
      </c>
      <c r="AF39" s="48"/>
      <c r="AH39" s="48"/>
      <c r="AI39" s="48"/>
      <c r="AJ39" s="48"/>
      <c r="AK39" s="48"/>
      <c r="AM39" s="967">
        <f t="shared" si="25"/>
        <v>36</v>
      </c>
      <c r="AN39" s="964">
        <f t="shared" si="25"/>
        <v>36</v>
      </c>
      <c r="AP39" s="964">
        <f t="shared" si="5"/>
        <v>36</v>
      </c>
      <c r="AQ39" s="964" t="str">
        <f t="shared" si="24"/>
        <v>SERV2_6_2</v>
      </c>
      <c r="AR39" s="964">
        <f>MATCH(AQ39,tblIndicators!$E$2:$E$128,0)</f>
        <v>36</v>
      </c>
      <c r="AS39" s="964" t="str">
        <f>REPT(" ",AT39)&amp;IF($AR39="","",INDEX(tblIndicators!$AL$2:$AL$128,AR39))</f>
        <v xml:space="preserve">   2.6.2) Digital tourist passes</v>
      </c>
      <c r="AT39" s="964">
        <f>INDEX(tblIndicators!$G$2:$G$128,AR39)</f>
        <v>3</v>
      </c>
      <c r="AU39" s="964" t="str">
        <f>REPT(" ",AT39)&amp;IF($AR39="","",INDEX(tblIndicators!$AL$2:$AL$128,$AR39))</f>
        <v xml:space="preserve">   2.6.2) Digital tourist passes</v>
      </c>
      <c r="AV39" s="964" t="str">
        <f t="shared" si="6"/>
        <v>2.6.2) Digital tourist passes</v>
      </c>
      <c r="AW39" s="964" t="str">
        <f t="shared" si="7"/>
        <v>2.6</v>
      </c>
      <c r="AX39" s="964" t="str">
        <f>IF($AR39="","",INDEX(tblIndicators!$AL$2:$AL$128,AR39))</f>
        <v>2.6.2) Digital tourist passes</v>
      </c>
      <c r="AZ39" s="970"/>
      <c r="BA39" s="968" t="s">
        <v>843</v>
      </c>
      <c r="BB39" s="967"/>
    </row>
    <row r="40" spans="1:54" ht="20.25" customHeight="1">
      <c r="A40" s="61" t="str">
        <f t="shared" si="21"/>
        <v>SERV2_4_1</v>
      </c>
      <c r="B40" s="535">
        <f>IF(A40="","",MATCH(A40,tblIndicators!$E$2:$E$71,0))</f>
        <v>29</v>
      </c>
      <c r="C40" s="535" t="str">
        <f>REPT(" ",D40)&amp;IF($A40="","",INDEX(tblIndicators!$AL$2:$AL$71,$B40))</f>
        <v xml:space="preserve">   2.4.1) Telehealth &amp; telemedicine</v>
      </c>
      <c r="D40" s="535">
        <f>INDEX(tblIndicators!$G$2:$G$71,B40)</f>
        <v>3</v>
      </c>
      <c r="E40" s="535" t="str">
        <f>REPT(" ",D40)&amp;IF($A40="","",INDEX(tblIndicators!$AM$2:$AM$71,$B40))</f>
        <v xml:space="preserve">   2.4.1) Telehealth &amp; telemedicine</v>
      </c>
      <c r="F40" s="535" t="str">
        <f t="shared" si="17"/>
        <v>2.4.1) Telehealth &amp; telemedicine</v>
      </c>
      <c r="H40" s="535" t="str" cm="1">
        <f t="array" ref="H40">INDEX(tblIndicators!$K$2:$K$71,$B40)</f>
        <v>2.4.1</v>
      </c>
      <c r="O40" s="48"/>
      <c r="P40" s="330"/>
      <c r="Q40" s="865" t="s">
        <v>799</v>
      </c>
      <c r="T40" s="861" t="s">
        <v>847</v>
      </c>
      <c r="U40" s="532" t="s">
        <v>555</v>
      </c>
      <c r="X40" s="331"/>
      <c r="Y40" s="331">
        <f t="shared" si="2"/>
        <v>37</v>
      </c>
      <c r="Z40" s="535" t="str">
        <f t="shared" si="23"/>
        <v>CULT</v>
      </c>
      <c r="AA40" s="535">
        <f>IF(Z40="","",MATCH(Z40,tblIndicators!E$2:E$85,0))</f>
        <v>37</v>
      </c>
      <c r="AB40" s="535" t="str">
        <f>IF($AA40="","",REPT(" ",AC40)&amp;(INDEX(tblIndicators!AM$2:AM$85,$AA40)))</f>
        <v xml:space="preserve"> 3) CULTURE</v>
      </c>
      <c r="AC40" s="535">
        <f>IF($AA40="","",INDEX(tblIndicators!G$2:G$85,$AA40))</f>
        <v>1</v>
      </c>
      <c r="AD40" s="330"/>
      <c r="AE40" s="541" t="str">
        <f t="shared" si="3"/>
        <v>CULT</v>
      </c>
      <c r="AF40" s="48"/>
      <c r="AH40" s="48"/>
      <c r="AI40" s="48"/>
      <c r="AJ40" s="48"/>
      <c r="AK40" s="48"/>
      <c r="AM40" s="967">
        <f t="shared" si="25"/>
        <v>37</v>
      </c>
      <c r="AN40" s="964">
        <f t="shared" si="25"/>
        <v>37</v>
      </c>
      <c r="AP40" s="964">
        <f t="shared" si="5"/>
        <v>37</v>
      </c>
      <c r="AQ40" s="964" t="str">
        <f t="shared" si="24"/>
        <v>CULT</v>
      </c>
      <c r="AR40" s="964">
        <f>MATCH(AQ40,tblIndicators!$E$2:$E$128,0)</f>
        <v>37</v>
      </c>
      <c r="AS40" s="964" t="str">
        <f>REPT(" ",AT40)&amp;IF($AR40="","",INDEX(tblIndicators!$AL$2:$AL$128,AR40))</f>
        <v xml:space="preserve"> 3) CULTURE</v>
      </c>
      <c r="AT40" s="964">
        <f>INDEX(tblIndicators!$G$2:$G$128,AR40)</f>
        <v>1</v>
      </c>
      <c r="AU40" s="964" t="str">
        <f>REPT(" ",AT40)&amp;IF($AR40="","",INDEX(tblIndicators!$AL$2:$AL$128,$AR40))</f>
        <v xml:space="preserve"> 3) CULTURE</v>
      </c>
      <c r="AV40" s="964" t="str">
        <f t="shared" si="6"/>
        <v>3) CULTURE</v>
      </c>
      <c r="AW40" s="964" t="str">
        <f t="shared" si="7"/>
        <v xml:space="preserve">3) </v>
      </c>
      <c r="AX40" s="964" t="str">
        <f>IF($AR40="","",INDEX(tblIndicators!$AL$2:$AL$128,AR40))</f>
        <v>3) CULTURE</v>
      </c>
      <c r="AZ40" s="970"/>
      <c r="BA40" s="968" t="s">
        <v>799</v>
      </c>
      <c r="BB40" s="967"/>
    </row>
    <row r="41" spans="1:54" ht="20.25" customHeight="1">
      <c r="A41" s="61" t="str">
        <f t="shared" si="21"/>
        <v>SERV2_4_2</v>
      </c>
      <c r="B41" s="535">
        <f>IF(A41="","",MATCH(A41,tblIndicators!$E$2:$E$71,0))</f>
        <v>30</v>
      </c>
      <c r="C41" s="535" t="str">
        <f>REPT(" ",D41)&amp;IF($A41="","",INDEX(tblIndicators!$AL$2:$AL$71,$B41))</f>
        <v xml:space="preserve">   2.4.2) Electronic health records</v>
      </c>
      <c r="D41" s="535">
        <f>INDEX(tblIndicators!$G$2:$G$71,B41)</f>
        <v>3</v>
      </c>
      <c r="E41" s="535" t="str">
        <f>REPT(" ",D41)&amp;IF($A41="","",INDEX(tblIndicators!$AM$2:$AM$71,$B41))</f>
        <v xml:space="preserve">   2.4.2) Electronic health records</v>
      </c>
      <c r="F41" s="535" t="str">
        <f t="shared" si="17"/>
        <v>2.4.2) Electronic health records</v>
      </c>
      <c r="H41" s="535" t="str" cm="1">
        <f t="array" ref="H41">INDEX(tblIndicators!$K$2:$K$71,$B41)</f>
        <v>2.4.2</v>
      </c>
      <c r="O41" s="48"/>
      <c r="P41" s="330"/>
      <c r="Q41" s="866" t="s">
        <v>844</v>
      </c>
      <c r="T41" s="866" t="s">
        <v>848</v>
      </c>
      <c r="U41" s="533" t="s">
        <v>556</v>
      </c>
      <c r="X41" s="331"/>
      <c r="Y41" s="331">
        <f t="shared" si="2"/>
        <v>38</v>
      </c>
      <c r="Z41" s="535" t="str">
        <f t="shared" si="23"/>
        <v>CULT3_1</v>
      </c>
      <c r="AA41" s="535">
        <f>IF(Z41="","",MATCH(Z41,tblIndicators!E$2:E$85,0))</f>
        <v>38</v>
      </c>
      <c r="AB41" s="535" t="str">
        <f>IF($AA41="","",REPT(" ",AC41)&amp;(INDEX(tblIndicators!AM$2:AM$85,$AA41)))</f>
        <v xml:space="preserve">  3.1) Digital inclusion</v>
      </c>
      <c r="AC41" s="535">
        <f>IF($AA41="","",INDEX(tblIndicators!G$2:G$85,$AA41))</f>
        <v>2</v>
      </c>
      <c r="AD41" s="330"/>
      <c r="AE41" s="541" t="str">
        <f t="shared" si="3"/>
        <v>CULT3_1</v>
      </c>
      <c r="AF41" s="48"/>
      <c r="AH41" s="48"/>
      <c r="AI41" s="48"/>
      <c r="AJ41" s="48"/>
      <c r="AK41" s="48"/>
      <c r="AM41" s="967">
        <f t="shared" si="25"/>
        <v>38</v>
      </c>
      <c r="AN41" s="964">
        <f t="shared" si="25"/>
        <v>38</v>
      </c>
      <c r="AP41" s="964">
        <f t="shared" si="5"/>
        <v>38</v>
      </c>
      <c r="AQ41" s="964" t="str">
        <f t="shared" si="24"/>
        <v>CULT3_1</v>
      </c>
      <c r="AR41" s="964">
        <f>MATCH(AQ41,tblIndicators!$E$2:$E$128,0)</f>
        <v>38</v>
      </c>
      <c r="AS41" s="964" t="str">
        <f>REPT(" ",AT41)&amp;IF($AR41="","",INDEX(tblIndicators!$AL$2:$AL$128,AR41))</f>
        <v xml:space="preserve">  3.1) Digital inclusion</v>
      </c>
      <c r="AT41" s="964">
        <f>INDEX(tblIndicators!$G$2:$G$128,AR41)</f>
        <v>2</v>
      </c>
      <c r="AU41" s="964" t="str">
        <f>REPT(" ",AT41)&amp;IF($AR41="","",INDEX(tblIndicators!$AL$2:$AL$128,$AR41))</f>
        <v xml:space="preserve">  3.1) Digital inclusion</v>
      </c>
      <c r="AV41" s="964" t="str">
        <f t="shared" si="6"/>
        <v>3.1) Digital inclusion</v>
      </c>
      <c r="AW41" s="964" t="str">
        <f t="shared" si="7"/>
        <v>3.1</v>
      </c>
      <c r="AX41" s="964" t="str">
        <f>IF($AR41="","",INDEX(tblIndicators!$AL$2:$AL$128,AR41))</f>
        <v>3.1) Digital inclusion</v>
      </c>
      <c r="AZ41" s="970"/>
      <c r="BA41" s="968" t="s">
        <v>844</v>
      </c>
      <c r="BB41" s="967"/>
    </row>
    <row r="42" spans="1:54" ht="20.25" customHeight="1">
      <c r="A42" s="61" t="str">
        <f t="shared" si="21"/>
        <v>SERV2_4_3</v>
      </c>
      <c r="B42" s="535">
        <f>IF(A42="","",MATCH(A42,tblIndicators!$E$2:$E$71,0))</f>
        <v>31</v>
      </c>
      <c r="C42" s="535" t="str">
        <f>REPT(" ",D42)&amp;IF($A42="","",INDEX(tblIndicators!$AL$2:$AL$71,$B42))</f>
        <v xml:space="preserve">   2.4.3) Pandemic-related applications</v>
      </c>
      <c r="D42" s="535">
        <f>INDEX(tblIndicators!$G$2:$G$71,B42)</f>
        <v>3</v>
      </c>
      <c r="E42" s="535" t="str">
        <f>REPT(" ",D42)&amp;IF($A42="","",INDEX(tblIndicators!$AM$2:$AM$71,$B42))</f>
        <v xml:space="preserve">   2.4.3) Pandemic-related applications</v>
      </c>
      <c r="F42" s="535" t="str">
        <f t="shared" si="17"/>
        <v>2.4.3) Pandemic-related applications</v>
      </c>
      <c r="H42" s="535" t="str" cm="1">
        <f t="array" ref="H42">INDEX(tblIndicators!$K$2:$K$71,$B42)</f>
        <v>2.4.3</v>
      </c>
      <c r="O42" s="48"/>
      <c r="P42" s="330"/>
      <c r="Q42" s="861" t="s">
        <v>845</v>
      </c>
      <c r="T42" s="862" t="s">
        <v>849</v>
      </c>
      <c r="U42" s="533" t="s">
        <v>557</v>
      </c>
      <c r="X42" s="331"/>
      <c r="Y42" s="331">
        <f t="shared" si="2"/>
        <v>39</v>
      </c>
      <c r="Z42" s="535" t="str">
        <f t="shared" si="23"/>
        <v>CULT3_1_1</v>
      </c>
      <c r="AA42" s="535">
        <f>IF(Z42="","",MATCH(Z42,tblIndicators!E$2:E$85,0))</f>
        <v>39</v>
      </c>
      <c r="AB42" s="535" t="str">
        <f>IF($AA42="","",REPT(" ",AC42)&amp;(INDEX(tblIndicators!AM$2:AM$85,$AA42)))</f>
        <v xml:space="preserve">   3.1.1) Internet usage</v>
      </c>
      <c r="AC42" s="535">
        <f>IF($AA42="","",INDEX(tblIndicators!G$2:G$85,$AA42))</f>
        <v>3</v>
      </c>
      <c r="AD42" s="330"/>
      <c r="AE42" s="541" t="str">
        <f t="shared" si="3"/>
        <v>CULT3_1_1</v>
      </c>
      <c r="AF42" s="48"/>
      <c r="AH42" s="48"/>
      <c r="AI42" s="48"/>
      <c r="AJ42" s="48"/>
      <c r="AK42" s="48"/>
      <c r="AM42" s="967">
        <f t="shared" si="25"/>
        <v>39</v>
      </c>
      <c r="AN42" s="964">
        <f t="shared" si="25"/>
        <v>39</v>
      </c>
      <c r="AP42" s="964">
        <f t="shared" si="5"/>
        <v>39</v>
      </c>
      <c r="AQ42" s="964" t="str">
        <f t="shared" si="24"/>
        <v>CULT3_1_1</v>
      </c>
      <c r="AR42" s="964">
        <f>MATCH(AQ42,tblIndicators!$E$2:$E$128,0)</f>
        <v>39</v>
      </c>
      <c r="AS42" s="964" t="str">
        <f>REPT(" ",AT42)&amp;IF($AR42="","",INDEX(tblIndicators!$AL$2:$AL$128,AR42))</f>
        <v xml:space="preserve">   3.1.1) Internet Usage</v>
      </c>
      <c r="AT42" s="964">
        <f>INDEX(tblIndicators!$G$2:$G$128,AR42)</f>
        <v>3</v>
      </c>
      <c r="AU42" s="964" t="str">
        <f>REPT(" ",AT42)&amp;IF($AR42="","",INDEX(tblIndicators!$AL$2:$AL$128,$AR42))</f>
        <v xml:space="preserve">   3.1.1) Internet Usage</v>
      </c>
      <c r="AV42" s="964" t="str">
        <f t="shared" si="6"/>
        <v>3.1.1) Internet Usage</v>
      </c>
      <c r="AW42" s="964" t="str">
        <f t="shared" si="7"/>
        <v>3.1</v>
      </c>
      <c r="AX42" s="964" t="str">
        <f>IF($AR42="","",INDEX(tblIndicators!$AL$2:$AL$128,AR42))</f>
        <v>3.1.1) Internet Usage</v>
      </c>
      <c r="AZ42" s="970"/>
      <c r="BA42" s="968" t="s">
        <v>845</v>
      </c>
      <c r="BB42" s="967"/>
    </row>
    <row r="43" spans="1:54" ht="20.25" customHeight="1">
      <c r="A43" s="61" t="str">
        <f t="shared" si="21"/>
        <v>SERV2_5</v>
      </c>
      <c r="B43" s="535">
        <f>IF(A43="","",MATCH(A43,tblIndicators!$E$2:$E$71,0))</f>
        <v>32</v>
      </c>
      <c r="C43" s="535" t="str">
        <f>REPT(" ",D43)&amp;IF($A43="","",INDEX(tblIndicators!$AL$2:$AL$71,$B43))</f>
        <v xml:space="preserve">  2.5) Education</v>
      </c>
      <c r="D43" s="535">
        <f>INDEX(tblIndicators!$G$2:$G$71,B43)</f>
        <v>2</v>
      </c>
      <c r="E43" s="535" t="str">
        <f>REPT(" ",D43)&amp;IF($A43="","",INDEX(tblIndicators!$AM$2:$AM$71,$B43))</f>
        <v xml:space="preserve">  2.5) Education</v>
      </c>
      <c r="F43" s="535" t="str">
        <f t="shared" si="17"/>
        <v>2.5) Education</v>
      </c>
      <c r="H43" s="535" t="str" cm="1">
        <f t="array" ref="H43">INDEX(tblIndicators!$K$2:$K$71,$B43)</f>
        <v>Education</v>
      </c>
      <c r="O43" s="48"/>
      <c r="P43" s="330"/>
      <c r="Q43" s="861" t="s">
        <v>846</v>
      </c>
      <c r="T43" s="862" t="s">
        <v>850</v>
      </c>
      <c r="U43" s="532" t="s">
        <v>558</v>
      </c>
      <c r="X43" s="331"/>
      <c r="Y43" s="331">
        <f t="shared" si="2"/>
        <v>40</v>
      </c>
      <c r="Z43" s="535" t="str">
        <f t="shared" si="23"/>
        <v>CULT3_1_2</v>
      </c>
      <c r="AA43" s="535">
        <f>IF(Z43="","",MATCH(Z43,tblIndicators!E$2:E$85,0))</f>
        <v>40</v>
      </c>
      <c r="AB43" s="535" t="str">
        <f>IF($AA43="","",REPT(" ",AC43)&amp;(INDEX(tblIndicators!AM$2:AM$85,$AA43)))</f>
        <v xml:space="preserve">   3.1.2) Gap between female and male access to the internet</v>
      </c>
      <c r="AC43" s="535">
        <f>IF($AA43="","",INDEX(tblIndicators!G$2:G$85,$AA43))</f>
        <v>3</v>
      </c>
      <c r="AD43" s="330"/>
      <c r="AE43" s="541" t="str">
        <f t="shared" si="3"/>
        <v>CULT3_1_2</v>
      </c>
      <c r="AF43" s="48"/>
      <c r="AH43" s="48"/>
      <c r="AI43" s="48"/>
      <c r="AJ43" s="48"/>
      <c r="AK43" s="48"/>
      <c r="AM43" s="967">
        <f t="shared" si="25"/>
        <v>40</v>
      </c>
      <c r="AN43" s="964">
        <f t="shared" si="25"/>
        <v>40</v>
      </c>
      <c r="AP43" s="964">
        <f t="shared" si="5"/>
        <v>40</v>
      </c>
      <c r="AQ43" s="964" t="str">
        <f t="shared" si="24"/>
        <v>CULT3_1_2</v>
      </c>
      <c r="AR43" s="964">
        <f>MATCH(AQ43,tblIndicators!$E$2:$E$128,0)</f>
        <v>40</v>
      </c>
      <c r="AS43" s="964" t="str">
        <f>REPT(" ",AT43)&amp;IF($AR43="","",INDEX(tblIndicators!$AL$2:$AL$128,AR43))</f>
        <v xml:space="preserve">   3.1.2) Gap between female and male access to the internet</v>
      </c>
      <c r="AT43" s="964">
        <f>INDEX(tblIndicators!$G$2:$G$128,AR43)</f>
        <v>3</v>
      </c>
      <c r="AU43" s="964" t="str">
        <f>REPT(" ",AT43)&amp;IF($AR43="","",INDEX(tblIndicators!$AL$2:$AL$128,$AR43))</f>
        <v xml:space="preserve">   3.1.2) Gap between female and male access to the internet</v>
      </c>
      <c r="AV43" s="964" t="str">
        <f t="shared" si="6"/>
        <v>3.1.2) Gap between female and male access to the internet</v>
      </c>
      <c r="AW43" s="964" t="str">
        <f t="shared" si="7"/>
        <v>3.1</v>
      </c>
      <c r="AX43" s="964" t="str">
        <f>IF($AR43="","",INDEX(tblIndicators!$AL$2:$AL$128,AR43))</f>
        <v>3.1.2) Gap between female and male access to the internet</v>
      </c>
      <c r="AZ43" s="970"/>
      <c r="BA43" s="968" t="s">
        <v>846</v>
      </c>
      <c r="BB43" s="967"/>
    </row>
    <row r="44" spans="1:54" ht="20.25" customHeight="1">
      <c r="A44" s="61" t="str">
        <f t="shared" si="21"/>
        <v>SERV2_5_1</v>
      </c>
      <c r="B44" s="535">
        <f>IF(A44="","",MATCH(A44,tblIndicators!$E$2:$E$71,0))</f>
        <v>33</v>
      </c>
      <c r="C44" s="535" t="str">
        <f>REPT(" ",D44)&amp;IF($A44="","",INDEX(tblIndicators!$AL$2:$AL$71,$B44))</f>
        <v xml:space="preserve">   2.5.1) Digital education</v>
      </c>
      <c r="D44" s="535">
        <f>INDEX(tblIndicators!$G$2:$G$71,B44)</f>
        <v>3</v>
      </c>
      <c r="E44" s="535" t="str">
        <f>REPT(" ",D44)&amp;IF($A44="","",INDEX(tblIndicators!$AM$2:$AM$71,$B44))</f>
        <v xml:space="preserve">   2.5.1) Digital education</v>
      </c>
      <c r="F44" s="535" t="str">
        <f t="shared" si="17"/>
        <v>2.5.1) Digital education</v>
      </c>
      <c r="H44" s="535" t="str" cm="1">
        <f t="array" ref="H44">INDEX(tblIndicators!$K$2:$K$71,$B44)</f>
        <v>2.5.1</v>
      </c>
      <c r="O44" s="48"/>
      <c r="P44" s="330"/>
      <c r="Q44" s="861" t="s">
        <v>847</v>
      </c>
      <c r="T44" s="861" t="s">
        <v>851</v>
      </c>
      <c r="U44" s="533" t="s">
        <v>559</v>
      </c>
      <c r="X44" s="331"/>
      <c r="Y44" s="331">
        <f t="shared" si="2"/>
        <v>41</v>
      </c>
      <c r="Z44" s="535" t="str">
        <f t="shared" si="23"/>
        <v>CULT3_1_3</v>
      </c>
      <c r="AA44" s="535">
        <f>IF(Z44="","",MATCH(Z44,tblIndicators!E$2:E$85,0))</f>
        <v>41</v>
      </c>
      <c r="AB44" s="535" t="str">
        <f>IF($AA44="","",REPT(" ",AC44)&amp;(INDEX(tblIndicators!AM$2:AM$85,$AA44)))</f>
        <v xml:space="preserve">   3.1.3) Digital skills</v>
      </c>
      <c r="AC44" s="535">
        <f>IF($AA44="","",INDEX(tblIndicators!G$2:G$85,$AA44))</f>
        <v>3</v>
      </c>
      <c r="AD44" s="330"/>
      <c r="AE44" s="541" t="str">
        <f t="shared" si="3"/>
        <v>CULT3_1_3</v>
      </c>
      <c r="AF44" s="48"/>
      <c r="AH44" s="48"/>
      <c r="AI44" s="48"/>
      <c r="AJ44" s="48"/>
      <c r="AK44" s="48"/>
      <c r="AM44" s="967">
        <f t="shared" si="25"/>
        <v>41</v>
      </c>
      <c r="AN44" s="964">
        <f t="shared" si="25"/>
        <v>41</v>
      </c>
      <c r="AP44" s="964">
        <f t="shared" si="5"/>
        <v>41</v>
      </c>
      <c r="AQ44" s="964" t="str">
        <f t="shared" si="24"/>
        <v>CULT3_1_3</v>
      </c>
      <c r="AR44" s="964">
        <f>MATCH(AQ44,tblIndicators!$E$2:$E$128,0)</f>
        <v>41</v>
      </c>
      <c r="AS44" s="964" t="str">
        <f>REPT(" ",AT44)&amp;IF($AR44="","",INDEX(tblIndicators!$AL$2:$AL$128,AR44))</f>
        <v xml:space="preserve">   3.1.3) Digital skills</v>
      </c>
      <c r="AT44" s="964">
        <f>INDEX(tblIndicators!$G$2:$G$128,AR44)</f>
        <v>3</v>
      </c>
      <c r="AU44" s="964" t="str">
        <f>REPT(" ",AT44)&amp;IF($AR44="","",INDEX(tblIndicators!$AL$2:$AL$128,$AR44))</f>
        <v xml:space="preserve">   3.1.3) Digital skills</v>
      </c>
      <c r="AV44" s="964" t="str">
        <f t="shared" si="6"/>
        <v>3.1.3) Digital skills</v>
      </c>
      <c r="AW44" s="964" t="str">
        <f t="shared" si="7"/>
        <v>3.1</v>
      </c>
      <c r="AX44" s="964" t="str">
        <f>IF($AR44="","",INDEX(tblIndicators!$AL$2:$AL$128,AR44))</f>
        <v>3.1.3) Digital skills</v>
      </c>
      <c r="AZ44" s="970"/>
      <c r="BA44" s="968" t="s">
        <v>847</v>
      </c>
      <c r="BB44" s="967"/>
    </row>
    <row r="45" spans="1:54" ht="20.25" customHeight="1">
      <c r="A45" s="61" t="str">
        <f t="shared" si="21"/>
        <v>SERV2_6</v>
      </c>
      <c r="B45" s="535">
        <f>IF(A45="","",MATCH(A45,tblIndicators!$E$2:$E$71,0))</f>
        <v>34</v>
      </c>
      <c r="C45" s="535" t="str">
        <f>REPT(" ",D45)&amp;IF($A45="","",INDEX(tblIndicators!$AL$2:$AL$71,$B45))</f>
        <v xml:space="preserve">  2.6) Retail and hospitality</v>
      </c>
      <c r="D45" s="535">
        <f>INDEX(tblIndicators!$G$2:$G$71,B45)</f>
        <v>2</v>
      </c>
      <c r="E45" s="535" t="str">
        <f>REPT(" ",D45)&amp;IF($A45="","",INDEX(tblIndicators!$AM$2:$AM$71,$B45))</f>
        <v xml:space="preserve">  2.6) Retail and hospitality</v>
      </c>
      <c r="F45" s="535" t="str">
        <f t="shared" si="17"/>
        <v>2.6) Retail and hospitality</v>
      </c>
      <c r="H45" s="535" t="str" cm="1">
        <f t="array" ref="H45">INDEX(tblIndicators!$K$2:$K$71,$B45)</f>
        <v>Retail and hospitality</v>
      </c>
      <c r="O45" s="48"/>
      <c r="P45" s="330"/>
      <c r="Q45" s="866" t="s">
        <v>848</v>
      </c>
      <c r="T45" s="862" t="s">
        <v>852</v>
      </c>
      <c r="U45" s="533" t="s">
        <v>560</v>
      </c>
      <c r="X45" s="331"/>
      <c r="Y45" s="331">
        <f t="shared" si="2"/>
        <v>42</v>
      </c>
      <c r="Z45" s="535" t="str">
        <f t="shared" si="23"/>
        <v>CULT3_2</v>
      </c>
      <c r="AA45" s="535">
        <f>IF(Z45="","",MATCH(Z45,tblIndicators!E$2:E$85,0))</f>
        <v>42</v>
      </c>
      <c r="AB45" s="535" t="str">
        <f>IF($AA45="","",REPT(" ",AC45)&amp;(INDEX(tblIndicators!AM$2:AM$85,$AA45)))</f>
        <v xml:space="preserve">  3.2) Government support</v>
      </c>
      <c r="AC45" s="535">
        <f>IF($AA45="","",INDEX(tblIndicators!G$2:G$85,$AA45))</f>
        <v>2</v>
      </c>
      <c r="AD45" s="330"/>
      <c r="AE45" s="541" t="str">
        <f t="shared" si="3"/>
        <v>CULT3_2</v>
      </c>
      <c r="AF45" s="48"/>
      <c r="AH45" s="48"/>
      <c r="AI45" s="48"/>
      <c r="AJ45" s="48"/>
      <c r="AK45" s="48"/>
      <c r="AM45" s="967">
        <f t="shared" si="25"/>
        <v>42</v>
      </c>
      <c r="AN45" s="964">
        <f t="shared" si="25"/>
        <v>42</v>
      </c>
      <c r="AP45" s="964">
        <f t="shared" si="5"/>
        <v>42</v>
      </c>
      <c r="AQ45" s="964" t="str">
        <f t="shared" si="24"/>
        <v>CULT3_2</v>
      </c>
      <c r="AR45" s="964">
        <f>MATCH(AQ45,tblIndicators!$E$2:$E$128,0)</f>
        <v>42</v>
      </c>
      <c r="AS45" s="964" t="str">
        <f>REPT(" ",AT45)&amp;IF($AR45="","",INDEX(tblIndicators!$AL$2:$AL$128,AR45))</f>
        <v xml:space="preserve">  3.2) Government support</v>
      </c>
      <c r="AT45" s="964">
        <f>INDEX(tblIndicators!$G$2:$G$128,AR45)</f>
        <v>2</v>
      </c>
      <c r="AU45" s="964" t="str">
        <f>REPT(" ",AT45)&amp;IF($AR45="","",INDEX(tblIndicators!$AL$2:$AL$128,$AR45))</f>
        <v xml:space="preserve">  3.2) Government support</v>
      </c>
      <c r="AV45" s="964" t="str">
        <f t="shared" si="6"/>
        <v>3.2) Government support</v>
      </c>
      <c r="AW45" s="964" t="str">
        <f t="shared" si="7"/>
        <v>3.2</v>
      </c>
      <c r="AX45" s="964" t="str">
        <f>IF($AR45="","",INDEX(tblIndicators!$AL$2:$AL$128,AR45))</f>
        <v>3.2) Government support</v>
      </c>
      <c r="AZ45" s="970"/>
      <c r="BA45" s="968" t="s">
        <v>848</v>
      </c>
      <c r="BB45" s="967"/>
    </row>
    <row r="46" spans="1:54" ht="20.25" customHeight="1">
      <c r="A46" s="61" t="str">
        <f t="shared" si="21"/>
        <v>SERV2_6_1</v>
      </c>
      <c r="B46" s="535">
        <f>IF(A46="","",MATCH(A46,tblIndicators!$E$2:$E$71,0))</f>
        <v>35</v>
      </c>
      <c r="C46" s="535" t="str">
        <f>REPT(" ",D46)&amp;IF($A46="","",INDEX(tblIndicators!$AL$2:$AL$71,$B46))</f>
        <v xml:space="preserve">   2.6.1) E-commerce penetration</v>
      </c>
      <c r="D46" s="535">
        <f>INDEX(tblIndicators!$G$2:$G$71,B46)</f>
        <v>3</v>
      </c>
      <c r="E46" s="535" t="str">
        <f>REPT(" ",D46)&amp;IF($A46="","",INDEX(tblIndicators!$AM$2:$AM$71,$B46))</f>
        <v xml:space="preserve">   2.6.1) E-commerce penetration</v>
      </c>
      <c r="F46" s="535" t="str">
        <f t="shared" si="17"/>
        <v>2.6.1) E-commerce penetration</v>
      </c>
      <c r="H46" s="535" t="str" cm="1">
        <f t="array" ref="H46">INDEX(tblIndicators!$K$2:$K$71,$B46)</f>
        <v>2.6.1</v>
      </c>
      <c r="O46" s="48"/>
      <c r="P46" s="330"/>
      <c r="Q46" s="862" t="s">
        <v>849</v>
      </c>
      <c r="T46" s="862" t="s">
        <v>1187</v>
      </c>
      <c r="U46" s="533" t="s">
        <v>561</v>
      </c>
      <c r="X46" s="331"/>
      <c r="Y46" s="331">
        <f t="shared" si="2"/>
        <v>43</v>
      </c>
      <c r="Z46" s="535" t="str">
        <f t="shared" si="23"/>
        <v>CULT3_2_1</v>
      </c>
      <c r="AA46" s="535">
        <f>IF(Z46="","",MATCH(Z46,tblIndicators!E$2:E$85,0))</f>
        <v>43</v>
      </c>
      <c r="AB46" s="535" t="str">
        <f>IF($AA46="","",REPT(" ",AC46)&amp;(INDEX(tblIndicators!AM$2:AM$85,$AA46)))</f>
        <v xml:space="preserve">   3.2.1) Data protection law</v>
      </c>
      <c r="AC46" s="535">
        <f>IF($AA46="","",INDEX(tblIndicators!G$2:G$85,$AA46))</f>
        <v>3</v>
      </c>
      <c r="AD46" s="330"/>
      <c r="AE46" s="541" t="str">
        <f t="shared" si="3"/>
        <v>CULT3_2_1</v>
      </c>
      <c r="AF46" s="48"/>
      <c r="AH46" s="48"/>
      <c r="AI46" s="48"/>
      <c r="AJ46" s="48"/>
      <c r="AK46" s="48"/>
      <c r="AM46" s="967">
        <f t="shared" si="25"/>
        <v>43</v>
      </c>
      <c r="AN46" s="964">
        <f t="shared" si="25"/>
        <v>43</v>
      </c>
      <c r="AP46" s="964">
        <f t="shared" si="5"/>
        <v>43</v>
      </c>
      <c r="AQ46" s="964" t="str">
        <f t="shared" si="24"/>
        <v>CULT3_2_1</v>
      </c>
      <c r="AR46" s="964">
        <f>MATCH(AQ46,tblIndicators!$E$2:$E$128,0)</f>
        <v>43</v>
      </c>
      <c r="AS46" s="964" t="str">
        <f>REPT(" ",AT46)&amp;IF($AR46="","",INDEX(tblIndicators!$AL$2:$AL$128,AR46))</f>
        <v xml:space="preserve">   3.2.1) Data protection law</v>
      </c>
      <c r="AT46" s="964">
        <f>INDEX(tblIndicators!$G$2:$G$128,AR46)</f>
        <v>3</v>
      </c>
      <c r="AU46" s="964" t="str">
        <f>REPT(" ",AT46)&amp;IF($AR46="","",INDEX(tblIndicators!$AL$2:$AL$128,$AR46))</f>
        <v xml:space="preserve">   3.2.1) Data protection law</v>
      </c>
      <c r="AV46" s="964" t="str">
        <f t="shared" si="6"/>
        <v>3.2.1) Data protection law</v>
      </c>
      <c r="AW46" s="964" t="str">
        <f t="shared" si="7"/>
        <v>3.2</v>
      </c>
      <c r="AX46" s="964" t="str">
        <f>IF($AR46="","",INDEX(tblIndicators!$AL$2:$AL$128,AR46))</f>
        <v>3.2.1) Data protection law</v>
      </c>
      <c r="AZ46" s="970"/>
      <c r="BA46" s="968" t="s">
        <v>849</v>
      </c>
      <c r="BB46" s="967"/>
    </row>
    <row r="47" spans="1:54" ht="20.25" customHeight="1">
      <c r="A47" s="61" t="str">
        <f t="shared" si="21"/>
        <v>SERV2_6_2</v>
      </c>
      <c r="B47" s="535">
        <f>IF(A47="","",MATCH(A47,tblIndicators!$E$2:$E$71,0))</f>
        <v>36</v>
      </c>
      <c r="C47" s="535" t="str">
        <f>REPT(" ",D47)&amp;IF($A47="","",INDEX(tblIndicators!$AL$2:$AL$71,$B47))</f>
        <v xml:space="preserve">   2.6.2) Digital tourist passes</v>
      </c>
      <c r="D47" s="535">
        <f>INDEX(tblIndicators!$G$2:$G$71,B47)</f>
        <v>3</v>
      </c>
      <c r="E47" s="535" t="str">
        <f>REPT(" ",D47)&amp;IF($A47="","",INDEX(tblIndicators!$AM$2:$AM$71,$B47))</f>
        <v xml:space="preserve">   2.6.2) Digital tourist passes</v>
      </c>
      <c r="F47" s="535" t="str">
        <f t="shared" si="17"/>
        <v>2.6.2) Digital tourist passes</v>
      </c>
      <c r="H47" s="535" t="str" cm="1">
        <f t="array" ref="H47">INDEX(tblIndicators!$K$2:$K$71,$B47)</f>
        <v>2.6.2</v>
      </c>
      <c r="O47" s="48"/>
      <c r="P47" s="330"/>
      <c r="Q47" s="862" t="s">
        <v>850</v>
      </c>
      <c r="T47" s="866" t="s">
        <v>853</v>
      </c>
      <c r="U47" s="532" t="s">
        <v>562</v>
      </c>
      <c r="X47" s="331"/>
      <c r="Y47" s="331">
        <f t="shared" si="2"/>
        <v>44</v>
      </c>
      <c r="Z47" s="535" t="str">
        <f t="shared" si="23"/>
        <v>CULT3_2_2</v>
      </c>
      <c r="AA47" s="535">
        <f>IF(Z47="","",MATCH(Z47,tblIndicators!E$2:E$85,0))</f>
        <v>44</v>
      </c>
      <c r="AB47" s="535" t="str">
        <f>IF($AA47="","",REPT(" ",AC47)&amp;(INDEX(tblIndicators!AM$2:AM$85,$AA47)))</f>
        <v xml:space="preserve">   3.2.2) Cyber security preparedness</v>
      </c>
      <c r="AC47" s="535">
        <f>IF($AA47="","",INDEX(tblIndicators!G$2:G$85,$AA47))</f>
        <v>3</v>
      </c>
      <c r="AD47" s="330"/>
      <c r="AE47" s="541" t="str">
        <f t="shared" si="3"/>
        <v>CULT3_2_2</v>
      </c>
      <c r="AF47" s="48"/>
      <c r="AH47" s="48"/>
      <c r="AI47" s="48"/>
      <c r="AJ47" s="48"/>
      <c r="AK47" s="48"/>
      <c r="AM47" s="967">
        <f t="shared" si="25"/>
        <v>44</v>
      </c>
      <c r="AN47" s="964">
        <f t="shared" si="25"/>
        <v>44</v>
      </c>
      <c r="AP47" s="964">
        <f t="shared" si="5"/>
        <v>44</v>
      </c>
      <c r="AQ47" s="964" t="str">
        <f t="shared" si="24"/>
        <v>CULT3_2_2</v>
      </c>
      <c r="AR47" s="964">
        <f>MATCH(AQ47,tblIndicators!$E$2:$E$128,0)</f>
        <v>44</v>
      </c>
      <c r="AS47" s="964" t="str">
        <f>REPT(" ",AT47)&amp;IF($AR47="","",INDEX(tblIndicators!$AL$2:$AL$128,AR47))</f>
        <v xml:space="preserve">   3.2.2) Cyber security preparedness</v>
      </c>
      <c r="AT47" s="964">
        <f>INDEX(tblIndicators!$G$2:$G$128,AR47)</f>
        <v>3</v>
      </c>
      <c r="AU47" s="964" t="str">
        <f>REPT(" ",AT47)&amp;IF($AR47="","",INDEX(tblIndicators!$AL$2:$AL$128,$AR47))</f>
        <v xml:space="preserve">   3.2.2) Cyber security preparedness</v>
      </c>
      <c r="AV47" s="964" t="str">
        <f t="shared" si="6"/>
        <v>3.2.2) Cyber security preparedness</v>
      </c>
      <c r="AW47" s="964" t="str">
        <f t="shared" si="7"/>
        <v>3.2</v>
      </c>
      <c r="AX47" s="964" t="str">
        <f>IF($AR47="","",INDEX(tblIndicators!$AL$2:$AL$128,AR47))</f>
        <v>3.2.2) Cyber security preparedness</v>
      </c>
      <c r="AZ47" s="970"/>
      <c r="BA47" s="968" t="s">
        <v>850</v>
      </c>
      <c r="BB47" s="967"/>
    </row>
    <row r="48" spans="1:54" ht="20.25" customHeight="1">
      <c r="A48" s="61" t="str">
        <f t="shared" si="21"/>
        <v>CULT</v>
      </c>
      <c r="B48" s="535">
        <f>IF(A48="","",MATCH(A48,tblIndicators!$E$2:$E$71,0))</f>
        <v>37</v>
      </c>
      <c r="C48" s="535" t="str">
        <f>REPT(" ",D48)&amp;IF($A48="","",INDEX(tblIndicators!$AL$2:$AL$71,$B48))</f>
        <v xml:space="preserve"> 3) CULTURE</v>
      </c>
      <c r="D48" s="535">
        <f>INDEX(tblIndicators!$G$2:$G$71,B48)</f>
        <v>1</v>
      </c>
      <c r="E48" s="535" t="str">
        <f>REPT(" ",D48)&amp;IF($A48="","",INDEX(tblIndicators!$AM$2:$AM$71,$B48))</f>
        <v xml:space="preserve"> 3) CULTURE</v>
      </c>
      <c r="F48" s="535" t="str">
        <f t="shared" si="17"/>
        <v>3) CULTURE</v>
      </c>
      <c r="H48" s="535" t="str" cm="1">
        <f t="array" ref="H48">INDEX(tblIndicators!$K$2:$K$71,$B48)</f>
        <v>Culture</v>
      </c>
      <c r="O48" s="48"/>
      <c r="P48" s="330"/>
      <c r="Q48" s="861" t="s">
        <v>851</v>
      </c>
      <c r="T48" s="862" t="s">
        <v>854</v>
      </c>
      <c r="U48" s="533" t="s">
        <v>563</v>
      </c>
      <c r="X48" s="331"/>
      <c r="Y48" s="331">
        <f t="shared" si="2"/>
        <v>45</v>
      </c>
      <c r="Z48" s="535" t="str">
        <f t="shared" si="23"/>
        <v>CULT3_2_3</v>
      </c>
      <c r="AA48" s="535">
        <f>IF(Z48="","",MATCH(Z48,tblIndicators!E$2:E$85,0))</f>
        <v>45</v>
      </c>
      <c r="AB48" s="535" t="str">
        <f>IF($AA48="","",REPT(" ",AC48)&amp;(INDEX(tblIndicators!AM$2:AM$85,$AA48)))</f>
        <v xml:space="preserve">   3.2.3) Cyber security risk awareness</v>
      </c>
      <c r="AC48" s="535">
        <f>IF($AA48="","",INDEX(tblIndicators!G$2:G$85,$AA48))</f>
        <v>3</v>
      </c>
      <c r="AD48" s="330"/>
      <c r="AE48" s="541" t="str">
        <f t="shared" si="3"/>
        <v>CULT3_2_3</v>
      </c>
      <c r="AF48" s="48"/>
      <c r="AH48" s="48"/>
      <c r="AI48" s="48"/>
      <c r="AJ48" s="48"/>
      <c r="AK48" s="48"/>
      <c r="AM48" s="967">
        <f t="shared" si="25"/>
        <v>45</v>
      </c>
      <c r="AN48" s="964">
        <f t="shared" si="25"/>
        <v>45</v>
      </c>
      <c r="AP48" s="964">
        <f t="shared" si="5"/>
        <v>45</v>
      </c>
      <c r="AQ48" s="964" t="str">
        <f t="shared" si="24"/>
        <v>CULT3_2_3</v>
      </c>
      <c r="AR48" s="964">
        <f>MATCH(AQ48,tblIndicators!$E$2:$E$128,0)</f>
        <v>45</v>
      </c>
      <c r="AS48" s="964" t="str">
        <f>REPT(" ",AT48)&amp;IF($AR48="","",INDEX(tblIndicators!$AL$2:$AL$128,AR48))</f>
        <v xml:space="preserve">   3.2.3) Cyber security risk awareness</v>
      </c>
      <c r="AT48" s="964">
        <f>INDEX(tblIndicators!$G$2:$G$128,AR48)</f>
        <v>3</v>
      </c>
      <c r="AU48" s="964" t="str">
        <f>REPT(" ",AT48)&amp;IF($AR48="","",INDEX(tblIndicators!$AL$2:$AL$128,$AR48))</f>
        <v xml:space="preserve">   3.2.3) Cyber security risk awareness</v>
      </c>
      <c r="AV48" s="964" t="str">
        <f t="shared" si="6"/>
        <v>3.2.3) Cyber security risk awareness</v>
      </c>
      <c r="AW48" s="964" t="str">
        <f t="shared" si="7"/>
        <v>3.2</v>
      </c>
      <c r="AX48" s="964" t="str">
        <f>IF($AR48="","",INDEX(tblIndicators!$AL$2:$AL$128,AR48))</f>
        <v>3.2.3) Cyber security risk awareness</v>
      </c>
      <c r="AZ48" s="970"/>
      <c r="BA48" s="968" t="s">
        <v>851</v>
      </c>
      <c r="BB48" s="967"/>
    </row>
    <row r="49" spans="1:54" ht="20.25" customHeight="1">
      <c r="A49" s="61" t="str">
        <f t="shared" si="21"/>
        <v>CULT3_1</v>
      </c>
      <c r="B49" s="535">
        <f>IF(A49="","",MATCH(A49,tblIndicators!$E$2:$E$71,0))</f>
        <v>38</v>
      </c>
      <c r="C49" s="535" t="str">
        <f>REPT(" ",D49)&amp;IF($A49="","",INDEX(tblIndicators!$AL$2:$AL$71,$B49))</f>
        <v xml:space="preserve">  3.1) Digital inclusion</v>
      </c>
      <c r="D49" s="535">
        <f>INDEX(tblIndicators!$G$2:$G$71,B49)</f>
        <v>2</v>
      </c>
      <c r="E49" s="535" t="str">
        <f>REPT(" ",D49)&amp;IF($A49="","",INDEX(tblIndicators!$AM$2:$AM$71,$B49))</f>
        <v xml:space="preserve">  3.1) Digital inclusion</v>
      </c>
      <c r="F49" s="535" t="str">
        <f t="shared" si="17"/>
        <v>3.1) Digital inclusion</v>
      </c>
      <c r="H49" s="535" t="str" cm="1">
        <f t="array" ref="H49">INDEX(tblIndicators!$K$2:$K$71,$B49)</f>
        <v>Digital inclusion</v>
      </c>
      <c r="O49" s="48"/>
      <c r="P49" s="330"/>
      <c r="Q49" s="862" t="s">
        <v>852</v>
      </c>
      <c r="T49" s="861" t="s">
        <v>855</v>
      </c>
      <c r="U49" s="533" t="s">
        <v>564</v>
      </c>
      <c r="X49" s="331"/>
      <c r="Y49" s="331">
        <f t="shared" si="2"/>
        <v>46</v>
      </c>
      <c r="Z49" s="535" t="str">
        <f t="shared" si="23"/>
        <v>CULT3_2_4</v>
      </c>
      <c r="AA49" s="535">
        <f>IF(Z49="","",MATCH(Z49,tblIndicators!E$2:E$85,0))</f>
        <v>46</v>
      </c>
      <c r="AB49" s="535" t="str">
        <f>IF($AA49="","",REPT(" ",AC49)&amp;(INDEX(tblIndicators!AM$2:AM$85,$AA49)))</f>
        <v xml:space="preserve">   3.2.4) Open data access and use</v>
      </c>
      <c r="AC49" s="535">
        <f>IF($AA49="","",INDEX(tblIndicators!G$2:G$85,$AA49))</f>
        <v>3</v>
      </c>
      <c r="AD49" s="330"/>
      <c r="AE49" s="541" t="str">
        <f t="shared" si="3"/>
        <v>CULT3_2_4</v>
      </c>
      <c r="AF49" s="48"/>
      <c r="AH49" s="48"/>
      <c r="AI49" s="48"/>
      <c r="AJ49" s="48"/>
      <c r="AK49" s="48"/>
      <c r="AM49" s="967">
        <f t="shared" si="25"/>
        <v>46</v>
      </c>
      <c r="AN49" s="964">
        <f t="shared" si="25"/>
        <v>46</v>
      </c>
      <c r="AP49" s="964">
        <f t="shared" si="5"/>
        <v>46</v>
      </c>
      <c r="AQ49" s="964" t="str">
        <f t="shared" si="24"/>
        <v>CULT3_2_4</v>
      </c>
      <c r="AR49" s="964">
        <f>MATCH(AQ49,tblIndicators!$E$2:$E$128,0)</f>
        <v>46</v>
      </c>
      <c r="AS49" s="964" t="str">
        <f>REPT(" ",AT49)&amp;IF($AR49="","",INDEX(tblIndicators!$AL$2:$AL$128,AR49))</f>
        <v xml:space="preserve">   3.2.4) Open data access and use</v>
      </c>
      <c r="AT49" s="964">
        <f>INDEX(tblIndicators!$G$2:$G$128,AR49)</f>
        <v>3</v>
      </c>
      <c r="AU49" s="964" t="str">
        <f>REPT(" ",AT49)&amp;IF($AR49="","",INDEX(tblIndicators!$AL$2:$AL$128,$AR49))</f>
        <v xml:space="preserve">   3.2.4) Open data access and use</v>
      </c>
      <c r="AV49" s="964" t="str">
        <f t="shared" si="6"/>
        <v>3.2.4) Open data access and use</v>
      </c>
      <c r="AW49" s="964" t="str">
        <f t="shared" si="7"/>
        <v>3.2</v>
      </c>
      <c r="AX49" s="964" t="str">
        <f>IF($AR49="","",INDEX(tblIndicators!$AL$2:$AL$128,AR49))</f>
        <v>3.2.4) Open data access and use</v>
      </c>
      <c r="AZ49" s="970"/>
      <c r="BA49" s="968" t="s">
        <v>852</v>
      </c>
      <c r="BB49" s="967"/>
    </row>
    <row r="50" spans="1:54" ht="20.25" customHeight="1">
      <c r="A50" s="61" t="str">
        <f t="shared" si="21"/>
        <v>CULT3_1_1</v>
      </c>
      <c r="B50" s="535">
        <f>IF(A50="","",MATCH(A50,tblIndicators!$E$2:$E$71,0))</f>
        <v>39</v>
      </c>
      <c r="C50" s="535" t="str">
        <f>REPT(" ",D50)&amp;IF($A50="","",INDEX(tblIndicators!$AL$2:$AL$71,$B50))</f>
        <v xml:space="preserve">   3.1.1) Internet Usage</v>
      </c>
      <c r="D50" s="535">
        <f>INDEX(tblIndicators!$G$2:$G$71,B50)</f>
        <v>3</v>
      </c>
      <c r="E50" s="535" t="str">
        <f>REPT(" ",D50)&amp;IF($A50="","",INDEX(tblIndicators!$AM$2:$AM$71,$B50))</f>
        <v xml:space="preserve">   3.1.1) Internet usage</v>
      </c>
      <c r="F50" s="535" t="str">
        <f t="shared" si="17"/>
        <v>3.1.1) Internet usage</v>
      </c>
      <c r="H50" s="535" t="str" cm="1">
        <f t="array" ref="H50">INDEX(tblIndicators!$K$2:$K$71,$B50)</f>
        <v>3.1.1</v>
      </c>
      <c r="O50" s="48"/>
      <c r="P50" s="330"/>
      <c r="Q50" s="862" t="s">
        <v>1187</v>
      </c>
      <c r="T50" s="862" t="s">
        <v>856</v>
      </c>
      <c r="U50" s="545" t="s">
        <v>565</v>
      </c>
      <c r="X50" s="331"/>
      <c r="Y50" s="331">
        <f t="shared" si="2"/>
        <v>47</v>
      </c>
      <c r="Z50" s="535" t="str">
        <f t="shared" si="23"/>
        <v>CULT3_2_5</v>
      </c>
      <c r="AA50" s="535">
        <f>IF(Z50="","",MATCH(Z50,tblIndicators!E$2:E$85,0))</f>
        <v>47</v>
      </c>
      <c r="AB50" s="535" t="str">
        <f>IF($AA50="","",REPT(" ",AC50)&amp;(INDEX(tblIndicators!AM$2:AM$85,$AA50)))</f>
        <v xml:space="preserve">   3.2.5) Internet freedom</v>
      </c>
      <c r="AC50" s="535">
        <f>IF($AA50="","",INDEX(tblIndicators!G$2:G$85,$AA50))</f>
        <v>3</v>
      </c>
      <c r="AD50" s="330"/>
      <c r="AE50" s="541" t="str">
        <f t="shared" si="3"/>
        <v>CULT3_2_5</v>
      </c>
      <c r="AF50" s="48"/>
      <c r="AH50" s="48"/>
      <c r="AI50" s="48"/>
      <c r="AJ50" s="48"/>
      <c r="AK50" s="48"/>
      <c r="AM50" s="967">
        <f t="shared" si="25"/>
        <v>47</v>
      </c>
      <c r="AN50" s="964">
        <f t="shared" si="25"/>
        <v>47</v>
      </c>
      <c r="AP50" s="964">
        <f t="shared" si="5"/>
        <v>47</v>
      </c>
      <c r="AQ50" s="964" t="str">
        <f t="shared" si="24"/>
        <v>CULT3_2_5</v>
      </c>
      <c r="AR50" s="964">
        <f>MATCH(AQ50,tblIndicators!$E$2:$E$128,0)</f>
        <v>47</v>
      </c>
      <c r="AS50" s="964" t="str">
        <f>REPT(" ",AT50)&amp;IF($AR50="","",INDEX(tblIndicators!$AL$2:$AL$128,AR50))</f>
        <v xml:space="preserve">   3.2.5) Internet freedom</v>
      </c>
      <c r="AT50" s="964">
        <f>INDEX(tblIndicators!$G$2:$G$128,AR50)</f>
        <v>3</v>
      </c>
      <c r="AU50" s="964" t="str">
        <f>REPT(" ",AT50)&amp;IF($AR50="","",INDEX(tblIndicators!$AL$2:$AL$128,$AR50))</f>
        <v xml:space="preserve">   3.2.5) Internet freedom</v>
      </c>
      <c r="AV50" s="964" t="str">
        <f t="shared" si="6"/>
        <v>3.2.5) Internet freedom</v>
      </c>
      <c r="AW50" s="964" t="str">
        <f t="shared" si="7"/>
        <v>3.2</v>
      </c>
      <c r="AX50" s="964" t="str">
        <f>IF($AR50="","",INDEX(tblIndicators!$AL$2:$AL$128,AR50))</f>
        <v>3.2.5) Internet freedom</v>
      </c>
      <c r="AZ50" s="970"/>
      <c r="BA50" s="968" t="s">
        <v>1187</v>
      </c>
      <c r="BB50" s="967"/>
    </row>
    <row r="51" spans="1:54" ht="20.25" customHeight="1">
      <c r="A51" s="61" t="str">
        <f t="shared" ref="A51:A75" si="26">Q43</f>
        <v>CULT3_1_2</v>
      </c>
      <c r="B51" s="535">
        <f>IF(A51="","",MATCH(A51,tblIndicators!$E$2:$E$71,0))</f>
        <v>40</v>
      </c>
      <c r="C51" s="535" t="str">
        <f>REPT(" ",D51)&amp;IF($A51="","",INDEX(tblIndicators!$AL$2:$AL$71,$B51))</f>
        <v xml:space="preserve">   3.1.2) Gap between female and male access to the internet</v>
      </c>
      <c r="D51" s="535">
        <f>INDEX(tblIndicators!$G$2:$G$71,B51)</f>
        <v>3</v>
      </c>
      <c r="E51" s="535" t="str">
        <f>REPT(" ",D51)&amp;IF($A51="","",INDEX(tblIndicators!$AM$2:$AM$71,$B51))</f>
        <v xml:space="preserve">   3.1.2) Gap between female and male access to the internet</v>
      </c>
      <c r="F51" s="535" t="str">
        <f t="shared" ref="F51:F75" si="27">TRIM(E51)</f>
        <v>3.1.2) Gap between female and male access to the internet</v>
      </c>
      <c r="H51" s="535" t="str" cm="1">
        <f t="array" ref="H51">INDEX(tblIndicators!$K$2:$K$71,$B51)</f>
        <v>3.1.2</v>
      </c>
      <c r="O51" s="48"/>
      <c r="P51" s="330"/>
      <c r="Q51" s="866" t="s">
        <v>853</v>
      </c>
      <c r="T51" s="862" t="s">
        <v>857</v>
      </c>
      <c r="U51" s="545" t="s">
        <v>566</v>
      </c>
      <c r="X51" s="331"/>
      <c r="Y51" s="331">
        <f t="shared" si="2"/>
        <v>48</v>
      </c>
      <c r="Z51" s="535" t="str">
        <f t="shared" si="23"/>
        <v>CULT3_3</v>
      </c>
      <c r="AA51" s="535">
        <f>IF(Z51="","",MATCH(Z51,tblIndicators!E$2:E$85,0))</f>
        <v>48</v>
      </c>
      <c r="AB51" s="535" t="str">
        <f>IF($AA51="","",REPT(" ",AC51)&amp;(INDEX(tblIndicators!AM$2:AM$85,$AA51)))</f>
        <v xml:space="preserve">  3.3) Innovation ecosystem</v>
      </c>
      <c r="AC51" s="535">
        <f>IF($AA51="","",INDEX(tblIndicators!G$2:G$85,$AA51))</f>
        <v>2</v>
      </c>
      <c r="AD51" s="330"/>
      <c r="AE51" s="541" t="str">
        <f t="shared" si="3"/>
        <v>CULT3_3</v>
      </c>
      <c r="AF51" s="48"/>
      <c r="AH51" s="48"/>
      <c r="AI51" s="48"/>
      <c r="AJ51" s="48"/>
      <c r="AK51" s="48"/>
      <c r="AM51" s="967">
        <f t="shared" si="25"/>
        <v>48</v>
      </c>
      <c r="AN51" s="964">
        <f t="shared" si="25"/>
        <v>48</v>
      </c>
      <c r="AP51" s="964">
        <f t="shared" si="5"/>
        <v>48</v>
      </c>
      <c r="AQ51" s="964" t="str">
        <f t="shared" si="24"/>
        <v>CULT3_3</v>
      </c>
      <c r="AR51" s="964">
        <f>MATCH(AQ51,tblIndicators!$E$2:$E$128,0)</f>
        <v>48</v>
      </c>
      <c r="AS51" s="964" t="str">
        <f>REPT(" ",AT51)&amp;IF($AR51="","",INDEX(tblIndicators!$AL$2:$AL$128,AR51))</f>
        <v xml:space="preserve">  3.3) Innovation ecosystem</v>
      </c>
      <c r="AT51" s="964">
        <f>INDEX(tblIndicators!$G$2:$G$128,AR51)</f>
        <v>2</v>
      </c>
      <c r="AU51" s="964" t="str">
        <f>REPT(" ",AT51)&amp;IF($AR51="","",INDEX(tblIndicators!$AL$2:$AL$128,$AR51))</f>
        <v xml:space="preserve">  3.3) Innovation ecosystem</v>
      </c>
      <c r="AV51" s="964" t="str">
        <f t="shared" si="6"/>
        <v>3.3) Innovation ecosystem</v>
      </c>
      <c r="AW51" s="964" t="str">
        <f t="shared" si="7"/>
        <v>3.3</v>
      </c>
      <c r="AX51" s="964" t="str">
        <f>IF($AR51="","",INDEX(tblIndicators!$AL$2:$AL$128,AR51))</f>
        <v>3.3) Innovation ecosystem</v>
      </c>
      <c r="AZ51" s="970"/>
      <c r="BA51" s="968" t="s">
        <v>853</v>
      </c>
      <c r="BB51" s="967"/>
    </row>
    <row r="52" spans="1:54" ht="20.25" customHeight="1">
      <c r="A52" s="61" t="str">
        <f t="shared" si="26"/>
        <v>CULT3_1_3</v>
      </c>
      <c r="B52" s="535">
        <f>IF(A52="","",MATCH(A52,tblIndicators!$E$2:$E$71,0))</f>
        <v>41</v>
      </c>
      <c r="C52" s="535" t="str">
        <f>REPT(" ",D52)&amp;IF($A52="","",INDEX(tblIndicators!$AL$2:$AL$71,$B52))</f>
        <v xml:space="preserve">   3.1.3) Digital skills</v>
      </c>
      <c r="D52" s="535">
        <f>INDEX(tblIndicators!$G$2:$G$71,B52)</f>
        <v>3</v>
      </c>
      <c r="E52" s="535" t="str">
        <f>REPT(" ",D52)&amp;IF($A52="","",INDEX(tblIndicators!$AM$2:$AM$71,$B52))</f>
        <v xml:space="preserve">   3.1.3) Digital skills</v>
      </c>
      <c r="F52" s="535" t="str">
        <f t="shared" si="27"/>
        <v>3.1.3) Digital skills</v>
      </c>
      <c r="H52" s="535" t="str" cm="1">
        <f t="array" ref="H52">INDEX(tblIndicators!$K$2:$K$71,$B52)</f>
        <v>3.1.3</v>
      </c>
      <c r="O52" s="48"/>
      <c r="P52" s="330"/>
      <c r="Q52" s="862" t="s">
        <v>854</v>
      </c>
      <c r="T52" s="862" t="s">
        <v>1188</v>
      </c>
      <c r="U52" s="533" t="s">
        <v>567</v>
      </c>
      <c r="X52" s="331"/>
      <c r="Y52" s="331">
        <f t="shared" si="2"/>
        <v>49</v>
      </c>
      <c r="Z52" s="535" t="str">
        <f t="shared" si="23"/>
        <v>CULT3_3_1</v>
      </c>
      <c r="AA52" s="535">
        <f>IF(Z52="","",MATCH(Z52,tblIndicators!E$2:E$85,0))</f>
        <v>49</v>
      </c>
      <c r="AB52" s="535" t="str">
        <f>IF($AA52="","",REPT(" ",AC52)&amp;(INDEX(tblIndicators!AM$2:AM$85,$AA52)))</f>
        <v xml:space="preserve">   3.3.1) AI readiness of government</v>
      </c>
      <c r="AC52" s="535">
        <f>IF($AA52="","",INDEX(tblIndicators!G$2:G$85,$AA52))</f>
        <v>3</v>
      </c>
      <c r="AD52" s="330"/>
      <c r="AE52" s="541" t="str">
        <f t="shared" si="3"/>
        <v>CULT3_3_1</v>
      </c>
      <c r="AF52" s="48"/>
      <c r="AH52" s="48"/>
      <c r="AI52" s="48"/>
      <c r="AJ52" s="48"/>
      <c r="AK52" s="48"/>
      <c r="AM52" s="967">
        <f t="shared" si="25"/>
        <v>49</v>
      </c>
      <c r="AN52" s="964">
        <f t="shared" si="25"/>
        <v>49</v>
      </c>
      <c r="AP52" s="964">
        <f t="shared" si="5"/>
        <v>49</v>
      </c>
      <c r="AQ52" s="964" t="str">
        <f t="shared" si="24"/>
        <v>CULT3_3_1</v>
      </c>
      <c r="AR52" s="964">
        <f>MATCH(AQ52,tblIndicators!$E$2:$E$128,0)</f>
        <v>49</v>
      </c>
      <c r="AS52" s="964" t="str">
        <f>REPT(" ",AT52)&amp;IF($AR52="","",INDEX(tblIndicators!$AL$2:$AL$128,AR52))</f>
        <v xml:space="preserve">   3.3.1) AI readiness of government</v>
      </c>
      <c r="AT52" s="964">
        <f>INDEX(tblIndicators!$G$2:$G$128,AR52)</f>
        <v>3</v>
      </c>
      <c r="AU52" s="964" t="str">
        <f>REPT(" ",AT52)&amp;IF($AR52="","",INDEX(tblIndicators!$AL$2:$AL$128,$AR52))</f>
        <v xml:space="preserve">   3.3.1) AI readiness of government</v>
      </c>
      <c r="AV52" s="964" t="str">
        <f t="shared" si="6"/>
        <v>3.3.1) AI readiness of government</v>
      </c>
      <c r="AW52" s="964" t="str">
        <f t="shared" si="7"/>
        <v>3.3</v>
      </c>
      <c r="AX52" s="964" t="str">
        <f>IF($AR52="","",INDEX(tblIndicators!$AL$2:$AL$128,AR52))</f>
        <v>3.3.1) AI readiness of government</v>
      </c>
      <c r="AZ52" s="970"/>
      <c r="BA52" s="968" t="s">
        <v>854</v>
      </c>
      <c r="BB52" s="967"/>
    </row>
    <row r="53" spans="1:54" ht="20.25" customHeight="1">
      <c r="A53" s="61" t="str">
        <f t="shared" si="26"/>
        <v>CULT3_2</v>
      </c>
      <c r="B53" s="535">
        <f>IF(A53="","",MATCH(A53,tblIndicators!$E$2:$E$71,0))</f>
        <v>42</v>
      </c>
      <c r="C53" s="535" t="str">
        <f>REPT(" ",D53)&amp;IF($A53="","",INDEX(tblIndicators!$AL$2:$AL$71,$B53))</f>
        <v xml:space="preserve">  3.2) Government support</v>
      </c>
      <c r="D53" s="535">
        <f>INDEX(tblIndicators!$G$2:$G$71,B53)</f>
        <v>2</v>
      </c>
      <c r="E53" s="535" t="str">
        <f>REPT(" ",D53)&amp;IF($A53="","",INDEX(tblIndicators!$AM$2:$AM$71,$B53))</f>
        <v xml:space="preserve">  3.2) Government support</v>
      </c>
      <c r="F53" s="535" t="str">
        <f t="shared" si="27"/>
        <v>3.2) Government support</v>
      </c>
      <c r="H53" s="535" t="str" cm="1">
        <f t="array" ref="H53">INDEX(tblIndicators!$K$2:$K$71,$B53)</f>
        <v>Government support</v>
      </c>
      <c r="O53" s="48"/>
      <c r="P53" s="330"/>
      <c r="Q53" s="861" t="s">
        <v>855</v>
      </c>
      <c r="T53" s="866" t="s">
        <v>858</v>
      </c>
      <c r="U53" s="532" t="s">
        <v>568</v>
      </c>
      <c r="X53" s="331"/>
      <c r="Y53" s="331">
        <f t="shared" si="2"/>
        <v>50</v>
      </c>
      <c r="Z53" s="535" t="str">
        <f t="shared" si="23"/>
        <v>CULT3_3_2</v>
      </c>
      <c r="AA53" s="535">
        <f>IF(Z53="","",MATCH(Z53,tblIndicators!E$2:E$85,0))</f>
        <v>50</v>
      </c>
      <c r="AB53" s="535" t="str">
        <f>IF($AA53="","",REPT(" ",AC53)&amp;(INDEX(tblIndicators!AM$2:AM$85,$AA53)))</f>
        <v xml:space="preserve">   3.3.2) Blockchain technology strategy</v>
      </c>
      <c r="AC53" s="535">
        <f>IF($AA53="","",INDEX(tblIndicators!G$2:G$85,$AA53))</f>
        <v>3</v>
      </c>
      <c r="AD53" s="330"/>
      <c r="AE53" s="541" t="str">
        <f t="shared" si="3"/>
        <v>CULT3_3_2</v>
      </c>
      <c r="AF53" s="48"/>
      <c r="AH53" s="48"/>
      <c r="AI53" s="48"/>
      <c r="AJ53" s="48"/>
      <c r="AK53" s="48"/>
      <c r="AM53" s="967">
        <f t="shared" ref="AM53:AN68" si="28">AM52+1</f>
        <v>50</v>
      </c>
      <c r="AN53" s="964">
        <f t="shared" si="28"/>
        <v>50</v>
      </c>
      <c r="AP53" s="964">
        <f t="shared" si="5"/>
        <v>50</v>
      </c>
      <c r="AQ53" s="964" t="str">
        <f t="shared" si="24"/>
        <v>CULT3_3_2</v>
      </c>
      <c r="AR53" s="964">
        <f>MATCH(AQ53,tblIndicators!$E$2:$E$128,0)</f>
        <v>50</v>
      </c>
      <c r="AS53" s="964" t="str">
        <f>REPT(" ",AT53)&amp;IF($AR53="","",INDEX(tblIndicators!$AL$2:$AL$128,AR53))</f>
        <v xml:space="preserve">   3.3.2) Blockchain technology strategy</v>
      </c>
      <c r="AT53" s="964">
        <f>INDEX(tblIndicators!$G$2:$G$128,AR53)</f>
        <v>3</v>
      </c>
      <c r="AU53" s="964" t="str">
        <f>REPT(" ",AT53)&amp;IF($AR53="","",INDEX(tblIndicators!$AL$2:$AL$128,$AR53))</f>
        <v xml:space="preserve">   3.3.2) Blockchain technology strategy</v>
      </c>
      <c r="AV53" s="964" t="str">
        <f t="shared" si="6"/>
        <v>3.3.2) Blockchain technology strategy</v>
      </c>
      <c r="AW53" s="964" t="str">
        <f t="shared" si="7"/>
        <v>3.3</v>
      </c>
      <c r="AX53" s="964" t="str">
        <f>IF($AR53="","",INDEX(tblIndicators!$AL$2:$AL$128,AR53))</f>
        <v>3.3.2) Blockchain technology strategy</v>
      </c>
      <c r="AZ53" s="970"/>
      <c r="BA53" s="968" t="s">
        <v>855</v>
      </c>
      <c r="BB53" s="967"/>
    </row>
    <row r="54" spans="1:54" ht="20.25" customHeight="1">
      <c r="A54" s="61" t="str">
        <f t="shared" si="26"/>
        <v>CULT3_2_1</v>
      </c>
      <c r="B54" s="535">
        <f>IF(A54="","",MATCH(A54,tblIndicators!$E$2:$E$71,0))</f>
        <v>43</v>
      </c>
      <c r="C54" s="535" t="str">
        <f>REPT(" ",D54)&amp;IF($A54="","",INDEX(tblIndicators!$AL$2:$AL$71,$B54))</f>
        <v xml:space="preserve">   3.2.1) Data protection law</v>
      </c>
      <c r="D54" s="535">
        <f>INDEX(tblIndicators!$G$2:$G$71,B54)</f>
        <v>3</v>
      </c>
      <c r="E54" s="535" t="str">
        <f>REPT(" ",D54)&amp;IF($A54="","",INDEX(tblIndicators!$AM$2:$AM$71,$B54))</f>
        <v xml:space="preserve">   3.2.1) Data protection law</v>
      </c>
      <c r="F54" s="535" t="str">
        <f t="shared" si="27"/>
        <v>3.2.1) Data protection law</v>
      </c>
      <c r="H54" s="535" t="str" cm="1">
        <f t="array" ref="H54">INDEX(tblIndicators!$K$2:$K$71,$B54)</f>
        <v>3.2.1</v>
      </c>
      <c r="O54" s="48"/>
      <c r="P54" s="330"/>
      <c r="Q54" s="862" t="s">
        <v>856</v>
      </c>
      <c r="T54" s="862" t="s">
        <v>859</v>
      </c>
      <c r="U54" s="533" t="s">
        <v>569</v>
      </c>
      <c r="X54" s="331"/>
      <c r="Y54" s="331">
        <f t="shared" si="2"/>
        <v>51</v>
      </c>
      <c r="Z54" s="535" t="str">
        <f t="shared" si="23"/>
        <v>CULT3_3_3</v>
      </c>
      <c r="AA54" s="535">
        <f>IF(Z54="","",MATCH(Z54,tblIndicators!E$2:E$85,0))</f>
        <v>51</v>
      </c>
      <c r="AB54" s="535" t="str">
        <f>IF($AA54="","",REPT(" ",AC54)&amp;(INDEX(tblIndicators!AM$2:AM$85,$AA54)))</f>
        <v xml:space="preserve">   3.3.3) Tech startup ecosytem</v>
      </c>
      <c r="AC54" s="535">
        <f>IF($AA54="","",INDEX(tblIndicators!G$2:G$85,$AA54))</f>
        <v>3</v>
      </c>
      <c r="AD54" s="330"/>
      <c r="AE54" s="541" t="str">
        <f t="shared" si="3"/>
        <v>CULT3_3_3</v>
      </c>
      <c r="AF54" s="48"/>
      <c r="AH54" s="48"/>
      <c r="AI54" s="48"/>
      <c r="AJ54" s="48"/>
      <c r="AK54" s="48"/>
      <c r="AM54" s="967">
        <f t="shared" si="28"/>
        <v>51</v>
      </c>
      <c r="AN54" s="964">
        <f t="shared" si="28"/>
        <v>51</v>
      </c>
      <c r="AP54" s="964">
        <f t="shared" si="5"/>
        <v>51</v>
      </c>
      <c r="AQ54" s="964" t="str">
        <f t="shared" si="24"/>
        <v>CULT3_3_3</v>
      </c>
      <c r="AR54" s="964">
        <f>MATCH(AQ54,tblIndicators!$E$2:$E$128,0)</f>
        <v>51</v>
      </c>
      <c r="AS54" s="964" t="str">
        <f>REPT(" ",AT54)&amp;IF($AR54="","",INDEX(tblIndicators!$AL$2:$AL$128,AR54))</f>
        <v xml:space="preserve">   3.3.3) Tech startup ecosytem</v>
      </c>
      <c r="AT54" s="964">
        <f>INDEX(tblIndicators!$G$2:$G$128,AR54)</f>
        <v>3</v>
      </c>
      <c r="AU54" s="964" t="str">
        <f>REPT(" ",AT54)&amp;IF($AR54="","",INDEX(tblIndicators!$AL$2:$AL$128,$AR54))</f>
        <v xml:space="preserve">   3.3.3) Tech startup ecosytem</v>
      </c>
      <c r="AV54" s="964" t="str">
        <f t="shared" si="6"/>
        <v>3.3.3) Tech startup ecosytem</v>
      </c>
      <c r="AW54" s="964" t="str">
        <f t="shared" si="7"/>
        <v>3.3</v>
      </c>
      <c r="AX54" s="964" t="str">
        <f>IF($AR54="","",INDEX(tblIndicators!$AL$2:$AL$128,AR54))</f>
        <v>3.3.3) Tech startup ecosytem</v>
      </c>
      <c r="AZ54" s="970"/>
      <c r="BA54" s="968" t="s">
        <v>856</v>
      </c>
      <c r="BB54" s="967"/>
    </row>
    <row r="55" spans="1:54" ht="20.25" customHeight="1">
      <c r="A55" s="61" t="str">
        <f t="shared" si="26"/>
        <v>CULT3_2_2</v>
      </c>
      <c r="B55" s="535">
        <f>IF(A55="","",MATCH(A55,tblIndicators!$E$2:$E$71,0))</f>
        <v>44</v>
      </c>
      <c r="C55" s="535" t="str">
        <f>REPT(" ",D55)&amp;IF($A55="","",INDEX(tblIndicators!$AL$2:$AL$71,$B55))</f>
        <v xml:space="preserve">   3.2.2) Cyber security preparedness</v>
      </c>
      <c r="D55" s="535">
        <f>INDEX(tblIndicators!$G$2:$G$71,B55)</f>
        <v>3</v>
      </c>
      <c r="E55" s="535" t="str">
        <f>REPT(" ",D55)&amp;IF($A55="","",INDEX(tblIndicators!$AM$2:$AM$71,$B55))</f>
        <v xml:space="preserve">   3.2.2) Cyber security preparedness</v>
      </c>
      <c r="F55" s="535" t="str">
        <f t="shared" si="27"/>
        <v>3.2.2) Cyber security preparedness</v>
      </c>
      <c r="H55" s="535" t="str" cm="1">
        <f t="array" ref="H55">INDEX(tblIndicators!$K$2:$K$71,$B55)</f>
        <v>3.2.2</v>
      </c>
      <c r="O55" s="48"/>
      <c r="P55" s="330"/>
      <c r="Q55" s="862" t="s">
        <v>857</v>
      </c>
      <c r="T55" s="862" t="s">
        <v>860</v>
      </c>
      <c r="U55" s="533" t="s">
        <v>570</v>
      </c>
      <c r="X55" s="331"/>
      <c r="Y55" s="331">
        <f t="shared" si="2"/>
        <v>52</v>
      </c>
      <c r="Z55" s="535" t="str">
        <f t="shared" si="23"/>
        <v>CULT3_3_4</v>
      </c>
      <c r="AA55" s="535">
        <f>IF(Z55="","",MATCH(Z55,tblIndicators!E$2:E$85,0))</f>
        <v>52</v>
      </c>
      <c r="AB55" s="535" t="str">
        <f>IF($AA55="","",REPT(" ",AC55)&amp;(INDEX(tblIndicators!AM$2:AM$85,$AA55)))</f>
        <v xml:space="preserve">   3.3.4) Intellectual Property Rights</v>
      </c>
      <c r="AC55" s="535">
        <f>IF($AA55="","",INDEX(tblIndicators!G$2:G$85,$AA55))</f>
        <v>3</v>
      </c>
      <c r="AD55" s="330"/>
      <c r="AE55" s="541" t="str">
        <f t="shared" si="3"/>
        <v>CULT3_3_4</v>
      </c>
      <c r="AF55" s="48"/>
      <c r="AH55" s="48"/>
      <c r="AI55" s="48"/>
      <c r="AJ55" s="48"/>
      <c r="AK55" s="48"/>
      <c r="AM55" s="967">
        <f t="shared" si="28"/>
        <v>52</v>
      </c>
      <c r="AN55" s="964">
        <f t="shared" si="28"/>
        <v>52</v>
      </c>
      <c r="AP55" s="964">
        <f t="shared" si="5"/>
        <v>52</v>
      </c>
      <c r="AQ55" s="964" t="str">
        <f t="shared" si="24"/>
        <v>CULT3_3_4</v>
      </c>
      <c r="AR55" s="964">
        <f>MATCH(AQ55,tblIndicators!$E$2:$E$128,0)</f>
        <v>52</v>
      </c>
      <c r="AS55" s="964" t="str">
        <f>REPT(" ",AT55)&amp;IF($AR55="","",INDEX(tblIndicators!$AL$2:$AL$128,AR55))</f>
        <v xml:space="preserve">   3.3.4) Intellectual property rights</v>
      </c>
      <c r="AT55" s="964">
        <f>INDEX(tblIndicators!$G$2:$G$128,AR55)</f>
        <v>3</v>
      </c>
      <c r="AU55" s="964" t="str">
        <f>REPT(" ",AT55)&amp;IF($AR55="","",INDEX(tblIndicators!$AL$2:$AL$128,$AR55))</f>
        <v xml:space="preserve">   3.3.4) Intellectual property rights</v>
      </c>
      <c r="AV55" s="964" t="str">
        <f t="shared" si="6"/>
        <v>3.3.4) Intellectual property rights</v>
      </c>
      <c r="AW55" s="964" t="str">
        <f t="shared" si="7"/>
        <v>3.3</v>
      </c>
      <c r="AX55" s="964" t="str">
        <f>IF($AR55="","",INDEX(tblIndicators!$AL$2:$AL$128,AR55))</f>
        <v>3.3.4) Intellectual property rights</v>
      </c>
      <c r="AZ55" s="970"/>
      <c r="BA55" s="968" t="s">
        <v>857</v>
      </c>
      <c r="BB55" s="967"/>
    </row>
    <row r="56" spans="1:54" ht="20.25" customHeight="1">
      <c r="A56" s="61" t="str">
        <f t="shared" si="26"/>
        <v>CULT3_2_3</v>
      </c>
      <c r="B56" s="535">
        <f>IF(A56="","",MATCH(A56,tblIndicators!$E$2:$E$71,0))</f>
        <v>45</v>
      </c>
      <c r="C56" s="535" t="str">
        <f>REPT(" ",D56)&amp;IF($A56="","",INDEX(tblIndicators!$AL$2:$AL$71,$B56))</f>
        <v xml:space="preserve">   3.2.3) Cyber security risk awareness</v>
      </c>
      <c r="D56" s="535">
        <f>INDEX(tblIndicators!$G$2:$G$71,B56)</f>
        <v>3</v>
      </c>
      <c r="E56" s="535" t="str">
        <f>REPT(" ",D56)&amp;IF($A56="","",INDEX(tblIndicators!$AM$2:$AM$71,$B56))</f>
        <v xml:space="preserve">   3.2.3) Cyber security risk awareness</v>
      </c>
      <c r="F56" s="535" t="str">
        <f t="shared" si="27"/>
        <v>3.2.3) Cyber security risk awareness</v>
      </c>
      <c r="H56" s="535" t="str" cm="1">
        <f t="array" ref="H56">INDEX(tblIndicators!$K$2:$K$71,$B56)</f>
        <v>3.2.3</v>
      </c>
      <c r="O56" s="48"/>
      <c r="P56" s="330"/>
      <c r="Q56" s="862" t="s">
        <v>1188</v>
      </c>
      <c r="T56" s="866" t="s">
        <v>861</v>
      </c>
      <c r="U56" s="533" t="s">
        <v>571</v>
      </c>
      <c r="X56" s="331"/>
      <c r="Y56" s="331">
        <f t="shared" si="2"/>
        <v>53</v>
      </c>
      <c r="Z56" s="535" t="str">
        <f t="shared" si="23"/>
        <v>CULT3_3_5</v>
      </c>
      <c r="AA56" s="535">
        <f>IF(Z56="","",MATCH(Z56,tblIndicators!E$2:E$85,0))</f>
        <v>53</v>
      </c>
      <c r="AB56" s="535" t="str">
        <f>IF($AA56="","",REPT(" ",AC56)&amp;(INDEX(tblIndicators!AM$2:AM$85,$AA56)))</f>
        <v xml:space="preserve">   3.3.5) Business environment</v>
      </c>
      <c r="AC56" s="535">
        <f>IF($AA56="","",INDEX(tblIndicators!G$2:G$85,$AA56))</f>
        <v>3</v>
      </c>
      <c r="AD56" s="330"/>
      <c r="AE56" s="541" t="str">
        <f t="shared" si="3"/>
        <v>CULT3_3_5</v>
      </c>
      <c r="AF56" s="48"/>
      <c r="AH56" s="48"/>
      <c r="AI56" s="48"/>
      <c r="AJ56" s="48"/>
      <c r="AK56" s="48"/>
      <c r="AM56" s="967">
        <f t="shared" si="28"/>
        <v>53</v>
      </c>
      <c r="AN56" s="964">
        <f t="shared" si="28"/>
        <v>53</v>
      </c>
      <c r="AP56" s="964">
        <f t="shared" si="5"/>
        <v>53</v>
      </c>
      <c r="AQ56" s="964" t="str">
        <f t="shared" si="24"/>
        <v>CULT3_3_5</v>
      </c>
      <c r="AR56" s="964">
        <f>MATCH(AQ56,tblIndicators!$E$2:$E$128,0)</f>
        <v>53</v>
      </c>
      <c r="AS56" s="964" t="str">
        <f>REPT(" ",AT56)&amp;IF($AR56="","",INDEX(tblIndicators!$AL$2:$AL$128,AR56))</f>
        <v xml:space="preserve">   3.3.5) Business environment</v>
      </c>
      <c r="AT56" s="964">
        <f>INDEX(tblIndicators!$G$2:$G$128,AR56)</f>
        <v>3</v>
      </c>
      <c r="AU56" s="964" t="str">
        <f>REPT(" ",AT56)&amp;IF($AR56="","",INDEX(tblIndicators!$AL$2:$AL$128,$AR56))</f>
        <v xml:space="preserve">   3.3.5) Business environment</v>
      </c>
      <c r="AV56" s="964" t="str">
        <f t="shared" si="6"/>
        <v>3.3.5) Business environment</v>
      </c>
      <c r="AW56" s="964" t="str">
        <f t="shared" si="7"/>
        <v>3.3</v>
      </c>
      <c r="AX56" s="964" t="str">
        <f>IF($AR56="","",INDEX(tblIndicators!$AL$2:$AL$128,AR56))</f>
        <v>3.3.5) Business environment</v>
      </c>
      <c r="AZ56" s="970"/>
      <c r="BA56" s="968" t="s">
        <v>1188</v>
      </c>
      <c r="BB56" s="967"/>
    </row>
    <row r="57" spans="1:54" ht="20.25" customHeight="1">
      <c r="A57" s="61" t="str">
        <f t="shared" si="26"/>
        <v>CULT3_2_4</v>
      </c>
      <c r="B57" s="535">
        <f>IF(A57="","",MATCH(A57,tblIndicators!$E$2:$E$71,0))</f>
        <v>46</v>
      </c>
      <c r="C57" s="535" t="str">
        <f>REPT(" ",D57)&amp;IF($A57="","",INDEX(tblIndicators!$AL$2:$AL$71,$B57))</f>
        <v xml:space="preserve">   3.2.4) Open data access and use</v>
      </c>
      <c r="D57" s="535">
        <f>INDEX(tblIndicators!$G$2:$G$71,B57)</f>
        <v>3</v>
      </c>
      <c r="E57" s="535" t="str">
        <f>REPT(" ",D57)&amp;IF($A57="","",INDEX(tblIndicators!$AM$2:$AM$71,$B57))</f>
        <v xml:space="preserve">   3.2.4) Open data access and use</v>
      </c>
      <c r="F57" s="535" t="str">
        <f t="shared" si="27"/>
        <v>3.2.4) Open data access and use</v>
      </c>
      <c r="H57" s="535" t="str" cm="1">
        <f t="array" ref="H57">INDEX(tblIndicators!$K$2:$K$71,$B57)</f>
        <v>3.2.4</v>
      </c>
      <c r="O57" s="48"/>
      <c r="P57" s="330"/>
      <c r="Q57" s="866" t="s">
        <v>858</v>
      </c>
      <c r="T57" s="862" t="s">
        <v>862</v>
      </c>
      <c r="U57" s="533" t="s">
        <v>572</v>
      </c>
      <c r="X57" s="331"/>
      <c r="Y57" s="331">
        <f t="shared" si="2"/>
        <v>54</v>
      </c>
      <c r="Z57" s="535" t="str">
        <f t="shared" si="23"/>
        <v>CULT3_4</v>
      </c>
      <c r="AA57" s="535">
        <f>IF(Z57="","",MATCH(Z57,tblIndicators!E$2:E$85,0))</f>
        <v>54</v>
      </c>
      <c r="AB57" s="535" t="str">
        <f>IF($AA57="","",REPT(" ",AC57)&amp;(INDEX(tblIndicators!AM$2:AM$85,$AA57)))</f>
        <v xml:space="preserve">  3.4) Public attitude and engagement</v>
      </c>
      <c r="AC57" s="535">
        <f>IF($AA57="","",INDEX(tblIndicators!G$2:G$85,$AA57))</f>
        <v>2</v>
      </c>
      <c r="AD57" s="330"/>
      <c r="AE57" s="541" t="str">
        <f t="shared" si="3"/>
        <v>CULT3_4</v>
      </c>
      <c r="AF57" s="48"/>
      <c r="AH57" s="48"/>
      <c r="AI57" s="48"/>
      <c r="AJ57" s="48"/>
      <c r="AK57" s="48"/>
      <c r="AM57" s="967">
        <f t="shared" si="28"/>
        <v>54</v>
      </c>
      <c r="AN57" s="964">
        <f t="shared" si="28"/>
        <v>54</v>
      </c>
      <c r="AP57" s="964">
        <f t="shared" si="5"/>
        <v>54</v>
      </c>
      <c r="AQ57" s="964" t="str">
        <f t="shared" si="24"/>
        <v>CULT3_4</v>
      </c>
      <c r="AR57" s="964">
        <f>MATCH(AQ57,tblIndicators!$E$2:$E$128,0)</f>
        <v>54</v>
      </c>
      <c r="AS57" s="964" t="str">
        <f>REPT(" ",AT57)&amp;IF($AR57="","",INDEX(tblIndicators!$AL$2:$AL$128,AR57))</f>
        <v xml:space="preserve">  3.4) Public attitude and engagement</v>
      </c>
      <c r="AT57" s="964">
        <f>INDEX(tblIndicators!$G$2:$G$128,AR57)</f>
        <v>2</v>
      </c>
      <c r="AU57" s="964" t="str">
        <f>REPT(" ",AT57)&amp;IF($AR57="","",INDEX(tblIndicators!$AL$2:$AL$128,$AR57))</f>
        <v xml:space="preserve">  3.4) Public attitude and engagement</v>
      </c>
      <c r="AV57" s="964" t="str">
        <f t="shared" si="6"/>
        <v>3.4) Public attitude and engagement</v>
      </c>
      <c r="AW57" s="964" t="str">
        <f t="shared" si="7"/>
        <v>3.4</v>
      </c>
      <c r="AX57" s="964" t="str">
        <f>IF($AR57="","",INDEX(tblIndicators!$AL$2:$AL$128,AR57))</f>
        <v>3.4) Public attitude and engagement</v>
      </c>
      <c r="AZ57" s="970"/>
      <c r="BA57" s="968" t="s">
        <v>858</v>
      </c>
      <c r="BB57" s="967"/>
    </row>
    <row r="58" spans="1:54" ht="20.25" customHeight="1">
      <c r="A58" s="61" t="str">
        <f t="shared" si="26"/>
        <v>CULT3_2_5</v>
      </c>
      <c r="B58" s="535">
        <f>IF(A58="","",MATCH(A58,tblIndicators!$E$2:$E$71,0))</f>
        <v>47</v>
      </c>
      <c r="C58" s="535" t="str">
        <f>REPT(" ",D58)&amp;IF($A58="","",INDEX(tblIndicators!$AL$2:$AL$71,$B58))</f>
        <v xml:space="preserve">   3.2.5) Internet freedom</v>
      </c>
      <c r="D58" s="535">
        <f>INDEX(tblIndicators!$G$2:$G$71,B58)</f>
        <v>3</v>
      </c>
      <c r="E58" s="535" t="str">
        <f>REPT(" ",D58)&amp;IF($A58="","",INDEX(tblIndicators!$AM$2:$AM$71,$B58))</f>
        <v xml:space="preserve">   3.2.5) Internet freedom</v>
      </c>
      <c r="F58" s="535" t="str">
        <f t="shared" si="27"/>
        <v>3.2.5) Internet freedom</v>
      </c>
      <c r="H58" s="535" t="str" cm="1">
        <f t="array" ref="H58">INDEX(tblIndicators!$K$2:$K$71,$B58)</f>
        <v>3.2.5</v>
      </c>
      <c r="O58" s="48"/>
      <c r="P58" s="330"/>
      <c r="Q58" s="862" t="s">
        <v>859</v>
      </c>
      <c r="T58" s="862" t="s">
        <v>863</v>
      </c>
      <c r="X58" s="331"/>
      <c r="Y58" s="331">
        <f t="shared" si="2"/>
        <v>55</v>
      </c>
      <c r="Z58" s="535" t="str">
        <f t="shared" si="23"/>
        <v>CULT3_4_1</v>
      </c>
      <c r="AA58" s="535">
        <f>IF(Z58="","",MATCH(Z58,tblIndicators!E$2:E$85,0))</f>
        <v>55</v>
      </c>
      <c r="AB58" s="535" t="str">
        <f>IF($AA58="","",REPT(" ",AC58)&amp;(INDEX(tblIndicators!AM$2:AM$85,$AA58)))</f>
        <v xml:space="preserve">   3.4.1) Online public comfort</v>
      </c>
      <c r="AC58" s="535">
        <f>IF($AA58="","",INDEX(tblIndicators!G$2:G$85,$AA58))</f>
        <v>3</v>
      </c>
      <c r="AD58" s="330"/>
      <c r="AE58" s="541" t="str">
        <f t="shared" si="3"/>
        <v>CULT3_4_1</v>
      </c>
      <c r="AF58" s="48"/>
      <c r="AH58" s="48"/>
      <c r="AI58" s="48"/>
      <c r="AJ58" s="48"/>
      <c r="AK58" s="48"/>
      <c r="AM58" s="967">
        <f t="shared" si="28"/>
        <v>55</v>
      </c>
      <c r="AN58" s="964">
        <f t="shared" si="28"/>
        <v>55</v>
      </c>
      <c r="AP58" s="964">
        <f t="shared" si="5"/>
        <v>55</v>
      </c>
      <c r="AQ58" s="964" t="str">
        <f t="shared" si="24"/>
        <v>CULT3_4_1</v>
      </c>
      <c r="AR58" s="964">
        <f>MATCH(AQ58,tblIndicators!$E$2:$E$128,0)</f>
        <v>55</v>
      </c>
      <c r="AS58" s="964" t="str">
        <f>REPT(" ",AT58)&amp;IF($AR58="","",INDEX(tblIndicators!$AL$2:$AL$128,AR58))</f>
        <v xml:space="preserve">   3.4.1) Public comfort with sharing information online</v>
      </c>
      <c r="AT58" s="964">
        <f>INDEX(tblIndicators!$G$2:$G$128,AR58)</f>
        <v>3</v>
      </c>
      <c r="AU58" s="964" t="str">
        <f>REPT(" ",AT58)&amp;IF($AR58="","",INDEX(tblIndicators!$AL$2:$AL$128,$AR58))</f>
        <v xml:space="preserve">   3.4.1) Public comfort with sharing information online</v>
      </c>
      <c r="AV58" s="964" t="str">
        <f t="shared" si="6"/>
        <v>3.4.1) Public comfort with sharing information online</v>
      </c>
      <c r="AW58" s="964" t="str">
        <f t="shared" si="7"/>
        <v>3.4</v>
      </c>
      <c r="AX58" s="964" t="str">
        <f>IF($AR58="","",INDEX(tblIndicators!$AL$2:$AL$128,AR58))</f>
        <v>3.4.1) Public comfort with sharing information online</v>
      </c>
      <c r="AZ58" s="970"/>
      <c r="BA58" s="968" t="s">
        <v>859</v>
      </c>
      <c r="BB58" s="967"/>
    </row>
    <row r="59" spans="1:54" ht="20.25" customHeight="1">
      <c r="A59" s="61" t="str">
        <f t="shared" si="26"/>
        <v>CULT3_3</v>
      </c>
      <c r="B59" s="535">
        <f>IF(A59="","",MATCH(A59,tblIndicators!$E$2:$E$71,0))</f>
        <v>48</v>
      </c>
      <c r="C59" s="535" t="str">
        <f>REPT(" ",D59)&amp;IF($A59="","",INDEX(tblIndicators!$AL$2:$AL$71,$B59))</f>
        <v xml:space="preserve">  3.3) Innovation ecosystem</v>
      </c>
      <c r="D59" s="535">
        <f>INDEX(tblIndicators!$G$2:$G$71,B59)</f>
        <v>2</v>
      </c>
      <c r="E59" s="535" t="str">
        <f>REPT(" ",D59)&amp;IF($A59="","",INDEX(tblIndicators!$AM$2:$AM$71,$B59))</f>
        <v xml:space="preserve">  3.3) Innovation ecosystem</v>
      </c>
      <c r="F59" s="535" t="str">
        <f t="shared" si="27"/>
        <v>3.3) Innovation ecosystem</v>
      </c>
      <c r="H59" s="535" t="str" cm="1">
        <f t="array" ref="H59">INDEX(tblIndicators!$K$2:$K$71,$B59)</f>
        <v>Innovation ecosystem</v>
      </c>
      <c r="O59" s="48"/>
      <c r="P59" s="330"/>
      <c r="Q59" s="862" t="s">
        <v>860</v>
      </c>
      <c r="T59" s="861" t="s">
        <v>864</v>
      </c>
      <c r="X59" s="331"/>
      <c r="Y59" s="331">
        <f t="shared" si="2"/>
        <v>56</v>
      </c>
      <c r="Z59" s="535" t="str">
        <f t="shared" si="23"/>
        <v>CULT3_4_2</v>
      </c>
      <c r="AA59" s="535">
        <f>IF(Z59="","",MATCH(Z59,tblIndicators!E$2:E$85,0))</f>
        <v>56</v>
      </c>
      <c r="AB59" s="535" t="str">
        <f>IF($AA59="","",REPT(" ",AC59)&amp;(INDEX(tblIndicators!AM$2:AM$85,$AA59)))</f>
        <v xml:space="preserve">   3.4.2) E-participation on government portals</v>
      </c>
      <c r="AC59" s="535">
        <f>IF($AA59="","",INDEX(tblIndicators!G$2:G$85,$AA59))</f>
        <v>3</v>
      </c>
      <c r="AD59" s="330"/>
      <c r="AE59" s="541" t="str">
        <f t="shared" si="3"/>
        <v>CULT3_4_2</v>
      </c>
      <c r="AF59" s="48"/>
      <c r="AH59" s="48"/>
      <c r="AI59" s="48"/>
      <c r="AJ59" s="48"/>
      <c r="AK59" s="48"/>
      <c r="AM59" s="967">
        <f t="shared" si="28"/>
        <v>56</v>
      </c>
      <c r="AN59" s="964">
        <f t="shared" si="28"/>
        <v>56</v>
      </c>
      <c r="AP59" s="964">
        <f t="shared" si="5"/>
        <v>56</v>
      </c>
      <c r="AQ59" s="964" t="str">
        <f t="shared" si="24"/>
        <v>CULT3_4_2</v>
      </c>
      <c r="AR59" s="964">
        <f>MATCH(AQ59,tblIndicators!$E$2:$E$128,0)</f>
        <v>56</v>
      </c>
      <c r="AS59" s="964" t="str">
        <f>REPT(" ",AT59)&amp;IF($AR59="","",INDEX(tblIndicators!$AL$2:$AL$128,AR59))</f>
        <v xml:space="preserve">   3.4.2) E-participation on government portals</v>
      </c>
      <c r="AT59" s="964">
        <f>INDEX(tblIndicators!$G$2:$G$128,AR59)</f>
        <v>3</v>
      </c>
      <c r="AU59" s="964" t="str">
        <f>REPT(" ",AT59)&amp;IF($AR59="","",INDEX(tblIndicators!$AL$2:$AL$128,$AR59))</f>
        <v xml:space="preserve">   3.4.2) E-participation on government portals</v>
      </c>
      <c r="AV59" s="964" t="str">
        <f t="shared" si="6"/>
        <v>3.4.2) E-participation on government portals</v>
      </c>
      <c r="AW59" s="964" t="str">
        <f t="shared" si="7"/>
        <v>3.4</v>
      </c>
      <c r="AX59" s="964" t="str">
        <f>IF($AR59="","",INDEX(tblIndicators!$AL$2:$AL$128,AR59))</f>
        <v>3.4.2) E-participation on government portals</v>
      </c>
      <c r="AZ59" s="970"/>
      <c r="BA59" s="968" t="s">
        <v>860</v>
      </c>
      <c r="BB59" s="967"/>
    </row>
    <row r="60" spans="1:54" ht="20.25" customHeight="1">
      <c r="A60" s="61" t="str">
        <f t="shared" si="26"/>
        <v>CULT3_3_1</v>
      </c>
      <c r="B60" s="535">
        <f>IF(A60="","",MATCH(A60,tblIndicators!$E$2:$E$71,0))</f>
        <v>49</v>
      </c>
      <c r="C60" s="535" t="str">
        <f>REPT(" ",D60)&amp;IF($A60="","",INDEX(tblIndicators!$AL$2:$AL$71,$B60))</f>
        <v xml:space="preserve">   3.3.1) AI readiness of government</v>
      </c>
      <c r="D60" s="535">
        <f>INDEX(tblIndicators!$G$2:$G$71,B60)</f>
        <v>3</v>
      </c>
      <c r="E60" s="535" t="str">
        <f>REPT(" ",D60)&amp;IF($A60="","",INDEX(tblIndicators!$AM$2:$AM$71,$B60))</f>
        <v xml:space="preserve">   3.3.1) AI readiness of government</v>
      </c>
      <c r="F60" s="535" t="str">
        <f t="shared" si="27"/>
        <v>3.3.1) AI readiness of government</v>
      </c>
      <c r="H60" s="535" t="str" cm="1">
        <f t="array" ref="H60">INDEX(tblIndicators!$K$2:$K$71,$B60)</f>
        <v>3.3.1</v>
      </c>
      <c r="O60" s="48"/>
      <c r="P60" s="330"/>
      <c r="Q60" s="865" t="s">
        <v>518</v>
      </c>
      <c r="T60" s="866" t="s">
        <v>865</v>
      </c>
      <c r="X60" s="331"/>
      <c r="Y60" s="331">
        <f t="shared" si="2"/>
        <v>57</v>
      </c>
      <c r="Z60" s="535" t="str">
        <f t="shared" si="23"/>
        <v>SUST</v>
      </c>
      <c r="AA60" s="535">
        <f>IF(Z60="","",MATCH(Z60,tblIndicators!E$2:E$85,0))</f>
        <v>57</v>
      </c>
      <c r="AB60" s="535" t="str">
        <f>IF($AA60="","",REPT(" ",AC60)&amp;(INDEX(tblIndicators!AM$2:AM$85,$AA60)))</f>
        <v xml:space="preserve"> 4) SUSTAINABILITY</v>
      </c>
      <c r="AC60" s="535">
        <f>IF($AA60="","",INDEX(tblIndicators!G$2:G$85,$AA60))</f>
        <v>1</v>
      </c>
      <c r="AD60" s="330"/>
      <c r="AE60" s="541" t="str">
        <f t="shared" si="3"/>
        <v>SUST</v>
      </c>
      <c r="AF60" s="48"/>
      <c r="AH60" s="48"/>
      <c r="AI60" s="48"/>
      <c r="AJ60" s="48"/>
      <c r="AK60" s="48"/>
      <c r="AM60" s="967">
        <f t="shared" si="28"/>
        <v>57</v>
      </c>
      <c r="AN60" s="964">
        <f t="shared" si="28"/>
        <v>57</v>
      </c>
      <c r="AP60" s="964">
        <f t="shared" si="5"/>
        <v>57</v>
      </c>
      <c r="AQ60" s="964" t="str">
        <f t="shared" si="24"/>
        <v>SUST</v>
      </c>
      <c r="AR60" s="964">
        <f>MATCH(AQ60,tblIndicators!$E$2:$E$128,0)</f>
        <v>57</v>
      </c>
      <c r="AS60" s="964" t="str">
        <f>REPT(" ",AT60)&amp;IF($AR60="","",INDEX(tblIndicators!$AL$2:$AL$128,AR60))</f>
        <v xml:space="preserve"> 4) SUSTAINABILITY</v>
      </c>
      <c r="AT60" s="964">
        <f>INDEX(tblIndicators!$G$2:$G$128,AR60)</f>
        <v>1</v>
      </c>
      <c r="AU60" s="964" t="str">
        <f>REPT(" ",AT60)&amp;IF($AR60="","",INDEX(tblIndicators!$AL$2:$AL$128,$AR60))</f>
        <v xml:space="preserve"> 4) SUSTAINABILITY</v>
      </c>
      <c r="AV60" s="964" t="str">
        <f t="shared" si="6"/>
        <v>4) SUSTAINABILITY</v>
      </c>
      <c r="AW60" s="964" t="str">
        <f t="shared" si="7"/>
        <v xml:space="preserve">4) </v>
      </c>
      <c r="AX60" s="964" t="str">
        <f>IF($AR60="","",INDEX(tblIndicators!$AL$2:$AL$128,AR60))</f>
        <v>4) SUSTAINABILITY</v>
      </c>
      <c r="AZ60" s="970"/>
      <c r="BA60" s="968" t="s">
        <v>518</v>
      </c>
      <c r="BB60" s="967"/>
    </row>
    <row r="61" spans="1:54" ht="20.25" customHeight="1">
      <c r="A61" s="61" t="str">
        <f t="shared" si="26"/>
        <v>CULT3_3_2</v>
      </c>
      <c r="B61" s="535">
        <f>IF(A61="","",MATCH(A61,tblIndicators!$E$2:$E$71,0))</f>
        <v>50</v>
      </c>
      <c r="C61" s="535" t="str">
        <f>REPT(" ",D61)&amp;IF($A61="","",INDEX(tblIndicators!$AL$2:$AL$71,$B61))</f>
        <v xml:space="preserve">   3.3.2) Blockchain technology strategy</v>
      </c>
      <c r="D61" s="535">
        <f>INDEX(tblIndicators!$G$2:$G$71,B61)</f>
        <v>3</v>
      </c>
      <c r="E61" s="535" t="str">
        <f>REPT(" ",D61)&amp;IF($A61="","",INDEX(tblIndicators!$AM$2:$AM$71,$B61))</f>
        <v xml:space="preserve">   3.3.2) Blockchain technology strategy</v>
      </c>
      <c r="F61" s="535" t="str">
        <f t="shared" si="27"/>
        <v>3.3.2) Blockchain technology strategy</v>
      </c>
      <c r="H61" s="535" t="str" cm="1">
        <f t="array" ref="H61">INDEX(tblIndicators!$K$2:$K$71,$B61)</f>
        <v>3.3.2</v>
      </c>
      <c r="O61" s="48"/>
      <c r="P61" s="330"/>
      <c r="Q61" s="866" t="s">
        <v>861</v>
      </c>
      <c r="T61" s="863" t="s">
        <v>866</v>
      </c>
      <c r="X61" s="331"/>
      <c r="Y61" s="331">
        <f t="shared" si="2"/>
        <v>58</v>
      </c>
      <c r="Z61" s="535" t="str">
        <f t="shared" si="23"/>
        <v>SUST4_1</v>
      </c>
      <c r="AA61" s="535">
        <f>IF(Z61="","",MATCH(Z61,tblIndicators!E$2:E$85,0))</f>
        <v>58</v>
      </c>
      <c r="AB61" s="535" t="str">
        <f>IF($AA61="","",REPT(" ",AC61)&amp;(INDEX(tblIndicators!AM$2:AM$85,$AA61)))</f>
        <v xml:space="preserve">  4.1) Efficient resource management</v>
      </c>
      <c r="AC61" s="535">
        <f>IF($AA61="","",INDEX(tblIndicators!G$2:G$85,$AA61))</f>
        <v>2</v>
      </c>
      <c r="AD61" s="330"/>
      <c r="AE61" s="541" t="str">
        <f t="shared" si="3"/>
        <v>SUST4_1</v>
      </c>
      <c r="AF61" s="48"/>
      <c r="AH61" s="48"/>
      <c r="AI61" s="48"/>
      <c r="AJ61" s="48"/>
      <c r="AK61" s="48"/>
      <c r="AM61" s="967">
        <f t="shared" si="28"/>
        <v>58</v>
      </c>
      <c r="AN61" s="964">
        <f t="shared" si="28"/>
        <v>58</v>
      </c>
      <c r="AP61" s="964">
        <f t="shared" si="5"/>
        <v>58</v>
      </c>
      <c r="AQ61" s="964" t="str">
        <f t="shared" si="24"/>
        <v>SUST4_1</v>
      </c>
      <c r="AR61" s="964">
        <f>MATCH(AQ61,tblIndicators!$E$2:$E$128,0)</f>
        <v>58</v>
      </c>
      <c r="AS61" s="964" t="str">
        <f>REPT(" ",AT61)&amp;IF($AR61="","",INDEX(tblIndicators!$AL$2:$AL$128,AR61))</f>
        <v xml:space="preserve">  4.1) Efficient resource management</v>
      </c>
      <c r="AT61" s="964">
        <f>INDEX(tblIndicators!$G$2:$G$128,AR61)</f>
        <v>2</v>
      </c>
      <c r="AU61" s="964" t="str">
        <f>REPT(" ",AT61)&amp;IF($AR61="","",INDEX(tblIndicators!$AL$2:$AL$128,$AR61))</f>
        <v xml:space="preserve">  4.1) Efficient resource management</v>
      </c>
      <c r="AV61" s="964" t="str">
        <f t="shared" si="6"/>
        <v>4.1) Efficient resource management</v>
      </c>
      <c r="AW61" s="964" t="str">
        <f t="shared" si="7"/>
        <v>4.1</v>
      </c>
      <c r="AX61" s="964" t="str">
        <f>IF($AR61="","",INDEX(tblIndicators!$AL$2:$AL$128,AR61))</f>
        <v>4.1) Efficient resource management</v>
      </c>
      <c r="AZ61" s="970"/>
      <c r="BA61" s="968" t="s">
        <v>861</v>
      </c>
      <c r="BB61" s="967"/>
    </row>
    <row r="62" spans="1:54" ht="20.25" customHeight="1">
      <c r="A62" s="61" t="str">
        <f t="shared" si="26"/>
        <v>CULT3_3_3</v>
      </c>
      <c r="B62" s="535">
        <f>IF(A62="","",MATCH(A62,tblIndicators!$E$2:$E$71,0))</f>
        <v>51</v>
      </c>
      <c r="C62" s="535" t="str">
        <f>REPT(" ",D62)&amp;IF($A62="","",INDEX(tblIndicators!$AL$2:$AL$71,$B62))</f>
        <v xml:space="preserve">   3.3.3) Tech startup ecosytem</v>
      </c>
      <c r="D62" s="535">
        <f>INDEX(tblIndicators!$G$2:$G$71,B62)</f>
        <v>3</v>
      </c>
      <c r="E62" s="535" t="str">
        <f>REPT(" ",D62)&amp;IF($A62="","",INDEX(tblIndicators!$AM$2:$AM$71,$B62))</f>
        <v xml:space="preserve">   3.3.3) Tech startup ecosytem</v>
      </c>
      <c r="F62" s="535" t="str">
        <f t="shared" si="27"/>
        <v>3.3.3) Tech startup ecosytem</v>
      </c>
      <c r="H62" s="535" t="str" cm="1">
        <f t="array" ref="H62">INDEX(tblIndicators!$K$2:$K$71,$B62)</f>
        <v>3.3.3</v>
      </c>
      <c r="O62" s="48"/>
      <c r="P62" s="330"/>
      <c r="Q62" s="862" t="s">
        <v>862</v>
      </c>
      <c r="T62" s="861" t="s">
        <v>867</v>
      </c>
      <c r="X62" s="331"/>
      <c r="Y62" s="331">
        <f t="shared" si="2"/>
        <v>59</v>
      </c>
      <c r="Z62" s="535" t="str">
        <f t="shared" si="23"/>
        <v>SUST4_1_1</v>
      </c>
      <c r="AA62" s="535">
        <f>IF(Z62="","",MATCH(Z62,tblIndicators!E$2:E$85,0))</f>
        <v>59</v>
      </c>
      <c r="AB62" s="535" t="str">
        <f>IF($AA62="","",REPT(" ",AC62)&amp;(INDEX(tblIndicators!AM$2:AM$85,$AA62)))</f>
        <v xml:space="preserve">   4.1.1) Smart utility management</v>
      </c>
      <c r="AC62" s="535">
        <f>IF($AA62="","",INDEX(tblIndicators!G$2:G$85,$AA62))</f>
        <v>3</v>
      </c>
      <c r="AD62" s="330"/>
      <c r="AE62" s="541" t="str">
        <f t="shared" si="3"/>
        <v>SUST4_1_1</v>
      </c>
      <c r="AF62" s="48"/>
      <c r="AH62" s="48"/>
      <c r="AI62" s="48"/>
      <c r="AJ62" s="48"/>
      <c r="AK62" s="48"/>
      <c r="AM62" s="967">
        <f t="shared" si="28"/>
        <v>59</v>
      </c>
      <c r="AN62" s="964">
        <f t="shared" si="28"/>
        <v>59</v>
      </c>
      <c r="AP62" s="964">
        <f t="shared" si="5"/>
        <v>59</v>
      </c>
      <c r="AQ62" s="964" t="str">
        <f t="shared" si="24"/>
        <v>SUST4_1_1</v>
      </c>
      <c r="AR62" s="964">
        <f>MATCH(AQ62,tblIndicators!$E$2:$E$128,0)</f>
        <v>59</v>
      </c>
      <c r="AS62" s="964" t="str">
        <f>REPT(" ",AT62)&amp;IF($AR62="","",INDEX(tblIndicators!$AL$2:$AL$128,AR62))</f>
        <v xml:space="preserve">   4.1.1) Smart utility management</v>
      </c>
      <c r="AT62" s="964">
        <f>INDEX(tblIndicators!$G$2:$G$128,AR62)</f>
        <v>3</v>
      </c>
      <c r="AU62" s="964" t="str">
        <f>REPT(" ",AT62)&amp;IF($AR62="","",INDEX(tblIndicators!$AL$2:$AL$128,$AR62))</f>
        <v xml:space="preserve">   4.1.1) Smart utility management</v>
      </c>
      <c r="AV62" s="964" t="str">
        <f t="shared" si="6"/>
        <v>4.1.1) Smart utility management</v>
      </c>
      <c r="AW62" s="964" t="str">
        <f t="shared" si="7"/>
        <v>4.1</v>
      </c>
      <c r="AX62" s="964" t="str">
        <f>IF($AR62="","",INDEX(tblIndicators!$AL$2:$AL$128,AR62))</f>
        <v>4.1.1) Smart utility management</v>
      </c>
      <c r="AZ62" s="970"/>
      <c r="BA62" s="968" t="s">
        <v>862</v>
      </c>
      <c r="BB62" s="967"/>
    </row>
    <row r="63" spans="1:54" ht="20.25" customHeight="1">
      <c r="A63" s="61" t="str">
        <f t="shared" si="26"/>
        <v>CULT3_3_4</v>
      </c>
      <c r="B63" s="535">
        <f>IF(A63="","",MATCH(A63,tblIndicators!$E$2:$E$71,0))</f>
        <v>52</v>
      </c>
      <c r="C63" s="535" t="str">
        <f>REPT(" ",D63)&amp;IF($A63="","",INDEX(tblIndicators!$AL$2:$AL$71,$B63))</f>
        <v xml:space="preserve">   3.3.4) Intellectual property rights</v>
      </c>
      <c r="D63" s="535">
        <f>INDEX(tblIndicators!$G$2:$G$71,B63)</f>
        <v>3</v>
      </c>
      <c r="E63" s="535" t="str">
        <f>REPT(" ",D63)&amp;IF($A63="","",INDEX(tblIndicators!$AM$2:$AM$71,$B63))</f>
        <v xml:space="preserve">   3.3.4) Intellectual Property Rights</v>
      </c>
      <c r="F63" s="535" t="str">
        <f t="shared" si="27"/>
        <v>3.3.4) Intellectual Property Rights</v>
      </c>
      <c r="H63" s="535" t="str" cm="1">
        <f t="array" ref="H63">INDEX(tblIndicators!$K$2:$K$71,$B63)</f>
        <v>3.3.4</v>
      </c>
      <c r="O63" s="48"/>
      <c r="P63" s="330"/>
      <c r="Q63" s="862" t="s">
        <v>863</v>
      </c>
      <c r="T63" s="863" t="s">
        <v>868</v>
      </c>
      <c r="X63" s="331"/>
      <c r="Y63" s="331">
        <f t="shared" si="2"/>
        <v>60</v>
      </c>
      <c r="Z63" s="535" t="str">
        <f t="shared" si="23"/>
        <v>SUST4_1_2</v>
      </c>
      <c r="AA63" s="535">
        <f>IF(Z63="","",MATCH(Z63,tblIndicators!E$2:E$85,0))</f>
        <v>60</v>
      </c>
      <c r="AB63" s="535" t="str">
        <f>IF($AA63="","",REPT(" ",AC63)&amp;(INDEX(tblIndicators!AM$2:AM$85,$AA63)))</f>
        <v xml:space="preserve">   4.1.2) Smart urban agriculture</v>
      </c>
      <c r="AC63" s="535">
        <f>IF($AA63="","",INDEX(tblIndicators!G$2:G$85,$AA63))</f>
        <v>3</v>
      </c>
      <c r="AD63" s="330"/>
      <c r="AE63" s="541" t="str">
        <f t="shared" si="3"/>
        <v>SUST4_1_2</v>
      </c>
      <c r="AF63" s="48"/>
      <c r="AH63" s="48"/>
      <c r="AI63" s="48"/>
      <c r="AJ63" s="48"/>
      <c r="AK63" s="48"/>
      <c r="AM63" s="967">
        <f t="shared" si="28"/>
        <v>60</v>
      </c>
      <c r="AN63" s="964">
        <f t="shared" si="28"/>
        <v>60</v>
      </c>
      <c r="AP63" s="964">
        <f t="shared" si="5"/>
        <v>60</v>
      </c>
      <c r="AQ63" s="964" t="str">
        <f t="shared" si="24"/>
        <v>SUST4_1_2</v>
      </c>
      <c r="AR63" s="964">
        <f>MATCH(AQ63,tblIndicators!$E$2:$E$128,0)</f>
        <v>60</v>
      </c>
      <c r="AS63" s="964" t="str">
        <f>REPT(" ",AT63)&amp;IF($AR63="","",INDEX(tblIndicators!$AL$2:$AL$128,AR63))</f>
        <v xml:space="preserve">   4.1.2) Smart urban agriculture</v>
      </c>
      <c r="AT63" s="964">
        <f>INDEX(tblIndicators!$G$2:$G$128,AR63)</f>
        <v>3</v>
      </c>
      <c r="AU63" s="964" t="str">
        <f>REPT(" ",AT63)&amp;IF($AR63="","",INDEX(tblIndicators!$AL$2:$AL$128,$AR63))</f>
        <v xml:space="preserve">   4.1.2) Smart urban agriculture</v>
      </c>
      <c r="AV63" s="964" t="str">
        <f t="shared" si="6"/>
        <v>4.1.2) Smart urban agriculture</v>
      </c>
      <c r="AW63" s="964" t="str">
        <f t="shared" si="7"/>
        <v>4.1</v>
      </c>
      <c r="AX63" s="964" t="str">
        <f>IF($AR63="","",INDEX(tblIndicators!$AL$2:$AL$128,AR63))</f>
        <v>4.1.2) Smart urban agriculture</v>
      </c>
      <c r="AZ63" s="970"/>
      <c r="BA63" s="968" t="s">
        <v>863</v>
      </c>
      <c r="BB63" s="967"/>
    </row>
    <row r="64" spans="1:54" ht="20.25" customHeight="1">
      <c r="A64" s="61" t="str">
        <f t="shared" si="26"/>
        <v>CULT3_3_5</v>
      </c>
      <c r="B64" s="535">
        <f>IF(A64="","",MATCH(A64,tblIndicators!$E$2:$E$71,0))</f>
        <v>53</v>
      </c>
      <c r="C64" s="535" t="str">
        <f>REPT(" ",D64)&amp;IF($A64="","",INDEX(tblIndicators!$AL$2:$AL$71,$B64))</f>
        <v xml:space="preserve">   3.3.5) Business environment</v>
      </c>
      <c r="D64" s="535">
        <f>INDEX(tblIndicators!$G$2:$G$71,B64)</f>
        <v>3</v>
      </c>
      <c r="E64" s="535" t="str">
        <f>REPT(" ",D64)&amp;IF($A64="","",INDEX(tblIndicators!$AM$2:$AM$71,$B64))</f>
        <v xml:space="preserve">   3.3.5) Business environment</v>
      </c>
      <c r="F64" s="535" t="str">
        <f t="shared" si="27"/>
        <v>3.3.5) Business environment</v>
      </c>
      <c r="H64" s="535" t="str" cm="1">
        <f t="array" ref="H64">INDEX(tblIndicators!$K$2:$K$71,$B64)</f>
        <v>3.3.5</v>
      </c>
      <c r="O64" s="48"/>
      <c r="P64" s="330"/>
      <c r="Q64" s="861" t="s">
        <v>864</v>
      </c>
      <c r="T64" s="866" t="s">
        <v>869</v>
      </c>
      <c r="X64" s="331"/>
      <c r="Y64" s="331">
        <f t="shared" si="2"/>
        <v>61</v>
      </c>
      <c r="Z64" s="535" t="str">
        <f t="shared" si="23"/>
        <v>SUST4_1_3</v>
      </c>
      <c r="AA64" s="535">
        <f>IF(Z64="","",MATCH(Z64,tblIndicators!E$2:E$85,0))</f>
        <v>61</v>
      </c>
      <c r="AB64" s="535" t="str">
        <f>IF($AA64="","",REPT(" ",AC64)&amp;(INDEX(tblIndicators!AM$2:AM$85,$AA64)))</f>
        <v xml:space="preserve">   4.1.3) Smart construction</v>
      </c>
      <c r="AC64" s="535">
        <f>IF($AA64="","",INDEX(tblIndicators!G$2:G$85,$AA64))</f>
        <v>3</v>
      </c>
      <c r="AD64" s="330"/>
      <c r="AE64" s="541" t="str">
        <f t="shared" si="3"/>
        <v>SUST4_1_3</v>
      </c>
      <c r="AF64" s="48"/>
      <c r="AH64" s="48"/>
      <c r="AI64" s="48"/>
      <c r="AJ64" s="48"/>
      <c r="AK64" s="48"/>
      <c r="AM64" s="967">
        <f t="shared" si="28"/>
        <v>61</v>
      </c>
      <c r="AN64" s="964">
        <f t="shared" si="28"/>
        <v>61</v>
      </c>
      <c r="AP64" s="964">
        <f t="shared" si="5"/>
        <v>61</v>
      </c>
      <c r="AQ64" s="964" t="str">
        <f t="shared" si="24"/>
        <v>SUST4_1_3</v>
      </c>
      <c r="AR64" s="964">
        <f>MATCH(AQ64,tblIndicators!$E$2:$E$128,0)</f>
        <v>61</v>
      </c>
      <c r="AS64" s="964" t="str">
        <f>REPT(" ",AT64)&amp;IF($AR64="","",INDEX(tblIndicators!$AL$2:$AL$128,AR64))</f>
        <v xml:space="preserve">   4.1.3) Smart construction</v>
      </c>
      <c r="AT64" s="964">
        <f>INDEX(tblIndicators!$G$2:$G$128,AR64)</f>
        <v>3</v>
      </c>
      <c r="AU64" s="964" t="str">
        <f>REPT(" ",AT64)&amp;IF($AR64="","",INDEX(tblIndicators!$AL$2:$AL$128,$AR64))</f>
        <v xml:space="preserve">   4.1.3) Smart construction</v>
      </c>
      <c r="AV64" s="964" t="str">
        <f t="shared" si="6"/>
        <v>4.1.3) Smart construction</v>
      </c>
      <c r="AW64" s="964" t="str">
        <f t="shared" si="7"/>
        <v>4.1</v>
      </c>
      <c r="AX64" s="964" t="str">
        <f>IF($AR64="","",INDEX(tblIndicators!$AL$2:$AL$128,AR64))</f>
        <v>4.1.3) Smart construction</v>
      </c>
      <c r="AZ64" s="970"/>
      <c r="BA64" s="968" t="s">
        <v>864</v>
      </c>
      <c r="BB64" s="967"/>
    </row>
    <row r="65" spans="1:54" ht="20.25" customHeight="1">
      <c r="A65" s="61" t="str">
        <f t="shared" si="26"/>
        <v>CULT3_4</v>
      </c>
      <c r="B65" s="535">
        <f>IF(A65="","",MATCH(A65,tblIndicators!$E$2:$E$71,0))</f>
        <v>54</v>
      </c>
      <c r="C65" s="535" t="str">
        <f>REPT(" ",D65)&amp;IF($A65="","",INDEX(tblIndicators!$AL$2:$AL$71,$B65))</f>
        <v xml:space="preserve">  3.4) Public attitude and engagement</v>
      </c>
      <c r="D65" s="535">
        <f>INDEX(tblIndicators!$G$2:$G$71,B65)</f>
        <v>2</v>
      </c>
      <c r="E65" s="535" t="str">
        <f>REPT(" ",D65)&amp;IF($A65="","",INDEX(tblIndicators!$AM$2:$AM$71,$B65))</f>
        <v xml:space="preserve">  3.4) Public attitude and engagement</v>
      </c>
      <c r="F65" s="535" t="str">
        <f t="shared" si="27"/>
        <v>3.4) Public attitude and engagement</v>
      </c>
      <c r="H65" s="535" t="str" cm="1">
        <f t="array" ref="H65">INDEX(tblIndicators!$K$2:$K$71,$B65)</f>
        <v>Public attitude and engagement</v>
      </c>
      <c r="O65" s="48"/>
      <c r="P65" s="330"/>
      <c r="Q65" s="866" t="s">
        <v>865</v>
      </c>
      <c r="T65" s="862" t="s">
        <v>870</v>
      </c>
      <c r="X65" s="331"/>
      <c r="Y65" s="331">
        <f t="shared" si="2"/>
        <v>62</v>
      </c>
      <c r="Z65" s="535" t="str">
        <f t="shared" si="23"/>
        <v>SUST4_2</v>
      </c>
      <c r="AA65" s="535">
        <f>IF(Z65="","",MATCH(Z65,tblIndicators!E$2:E$85,0))</f>
        <v>62</v>
      </c>
      <c r="AB65" s="535" t="str">
        <f>IF($AA65="","",REPT(" ",AC65)&amp;(INDEX(tblIndicators!AM$2:AM$85,$AA65)))</f>
        <v xml:space="preserve">  4.2) Emissions reduction</v>
      </c>
      <c r="AC65" s="535">
        <f>IF($AA65="","",INDEX(tblIndicators!G$2:G$85,$AA65))</f>
        <v>2</v>
      </c>
      <c r="AD65" s="330"/>
      <c r="AE65" s="541" t="str">
        <f t="shared" si="3"/>
        <v>SUST4_2</v>
      </c>
      <c r="AF65" s="48"/>
      <c r="AH65" s="48"/>
      <c r="AI65" s="48"/>
      <c r="AJ65" s="48"/>
      <c r="AK65" s="48"/>
      <c r="AM65" s="967">
        <f t="shared" si="28"/>
        <v>62</v>
      </c>
      <c r="AN65" s="964">
        <f t="shared" si="28"/>
        <v>62</v>
      </c>
      <c r="AP65" s="964">
        <f t="shared" si="5"/>
        <v>62</v>
      </c>
      <c r="AQ65" s="964" t="str">
        <f t="shared" si="24"/>
        <v>SUST4_2</v>
      </c>
      <c r="AR65" s="964">
        <f>MATCH(AQ65,tblIndicators!$E$2:$E$128,0)</f>
        <v>62</v>
      </c>
      <c r="AS65" s="964" t="str">
        <f>REPT(" ",AT65)&amp;IF($AR65="","",INDEX(tblIndicators!$AL$2:$AL$128,AR65))</f>
        <v xml:space="preserve">  4.2) Emissions reduction</v>
      </c>
      <c r="AT65" s="964">
        <f>INDEX(tblIndicators!$G$2:$G$128,AR65)</f>
        <v>2</v>
      </c>
      <c r="AU65" s="964" t="str">
        <f>REPT(" ",AT65)&amp;IF($AR65="","",INDEX(tblIndicators!$AL$2:$AL$128,$AR65))</f>
        <v xml:space="preserve">  4.2) Emissions reduction</v>
      </c>
      <c r="AV65" s="964" t="str">
        <f t="shared" si="6"/>
        <v>4.2) Emissions reduction</v>
      </c>
      <c r="AW65" s="964" t="str">
        <f t="shared" si="7"/>
        <v>4.2</v>
      </c>
      <c r="AX65" s="964" t="str">
        <f>IF($AR65="","",INDEX(tblIndicators!$AL$2:$AL$128,AR65))</f>
        <v>4.2) Emissions reduction</v>
      </c>
      <c r="AZ65" s="970"/>
      <c r="BA65" s="968" t="s">
        <v>865</v>
      </c>
      <c r="BB65" s="967"/>
    </row>
    <row r="66" spans="1:54" ht="20.25" customHeight="1">
      <c r="A66" s="61" t="str">
        <f t="shared" si="26"/>
        <v>CULT3_4_1</v>
      </c>
      <c r="B66" s="535">
        <f>IF(A66="","",MATCH(A66,tblIndicators!$E$2:$E$71,0))</f>
        <v>55</v>
      </c>
      <c r="C66" s="535" t="str">
        <f>REPT(" ",D66)&amp;IF($A66="","",INDEX(tblIndicators!$AL$2:$AL$71,$B66))</f>
        <v xml:space="preserve">   3.4.1) Public comfort with sharing information online</v>
      </c>
      <c r="D66" s="535">
        <f>INDEX(tblIndicators!$G$2:$G$71,B66)</f>
        <v>3</v>
      </c>
      <c r="E66" s="535" t="str">
        <f>REPT(" ",D66)&amp;IF($A66="","",INDEX(tblIndicators!$AM$2:$AM$71,$B66))</f>
        <v xml:space="preserve">   3.4.1) Online public comfort</v>
      </c>
      <c r="F66" s="535" t="str">
        <f t="shared" si="27"/>
        <v>3.4.1) Online public comfort</v>
      </c>
      <c r="H66" s="535" t="str" cm="1">
        <f t="array" ref="H66">INDEX(tblIndicators!$K$2:$K$71,$B66)</f>
        <v>3.4.1</v>
      </c>
      <c r="O66" s="48"/>
      <c r="P66" s="330"/>
      <c r="Q66" s="863" t="s">
        <v>866</v>
      </c>
      <c r="T66" s="866" t="s">
        <v>871</v>
      </c>
      <c r="X66" s="331"/>
      <c r="Y66" s="331">
        <f t="shared" si="2"/>
        <v>63</v>
      </c>
      <c r="Z66" s="535" t="str">
        <f t="shared" si="23"/>
        <v>SUST4_2_1</v>
      </c>
      <c r="AA66" s="535">
        <f>IF(Z66="","",MATCH(Z66,tblIndicators!E$2:E$85,0))</f>
        <v>63</v>
      </c>
      <c r="AB66" s="535" t="str">
        <f>IF($AA66="","",REPT(" ",AC66)&amp;(INDEX(tblIndicators!AM$2:AM$85,$AA66)))</f>
        <v xml:space="preserve">   4.2.1) Net-zero emission</v>
      </c>
      <c r="AC66" s="535">
        <f>IF($AA66="","",INDEX(tblIndicators!G$2:G$85,$AA66))</f>
        <v>3</v>
      </c>
      <c r="AD66" s="330"/>
      <c r="AE66" s="541" t="str">
        <f t="shared" si="3"/>
        <v>SUST4_2_1</v>
      </c>
      <c r="AF66" s="48"/>
      <c r="AH66" s="48"/>
      <c r="AI66" s="48"/>
      <c r="AJ66" s="48"/>
      <c r="AK66" s="48"/>
      <c r="AM66" s="967">
        <f t="shared" si="28"/>
        <v>63</v>
      </c>
      <c r="AN66" s="964">
        <f t="shared" si="28"/>
        <v>63</v>
      </c>
      <c r="AP66" s="964">
        <f t="shared" si="5"/>
        <v>63</v>
      </c>
      <c r="AQ66" s="964" t="str">
        <f t="shared" si="24"/>
        <v>SUST4_2_1</v>
      </c>
      <c r="AR66" s="964">
        <f>MATCH(AQ66,tblIndicators!$E$2:$E$128,0)</f>
        <v>63</v>
      </c>
      <c r="AS66" s="964" t="str">
        <f>REPT(" ",AT66)&amp;IF($AR66="","",INDEX(tblIndicators!$AL$2:$AL$128,AR66))</f>
        <v xml:space="preserve">   4.2.1) Net-zero emission</v>
      </c>
      <c r="AT66" s="964">
        <f>INDEX(tblIndicators!$G$2:$G$128,AR66)</f>
        <v>3</v>
      </c>
      <c r="AU66" s="964" t="str">
        <f>REPT(" ",AT66)&amp;IF($AR66="","",INDEX(tblIndicators!$AL$2:$AL$128,$AR66))</f>
        <v xml:space="preserve">   4.2.1) Net-zero emission</v>
      </c>
      <c r="AV66" s="964" t="str">
        <f t="shared" si="6"/>
        <v>4.2.1) Net-zero emission</v>
      </c>
      <c r="AW66" s="964" t="str">
        <f t="shared" si="7"/>
        <v>4.2</v>
      </c>
      <c r="AX66" s="964" t="str">
        <f>IF($AR66="","",INDEX(tblIndicators!$AL$2:$AL$128,AR66))</f>
        <v>4.2.1) Net-zero emission</v>
      </c>
      <c r="AZ66" s="970"/>
      <c r="BA66" s="968" t="s">
        <v>866</v>
      </c>
      <c r="BB66" s="967"/>
    </row>
    <row r="67" spans="1:54" ht="20.25" customHeight="1">
      <c r="A67" s="61" t="str">
        <f t="shared" si="26"/>
        <v>CULT3_4_2</v>
      </c>
      <c r="B67" s="535">
        <f>IF(A67="","",MATCH(A67,tblIndicators!$E$2:$E$71,0))</f>
        <v>56</v>
      </c>
      <c r="C67" s="535" t="str">
        <f>REPT(" ",D67)&amp;IF($A67="","",INDEX(tblIndicators!$AL$2:$AL$71,$B67))</f>
        <v xml:space="preserve">   3.4.2) E-participation on government portals</v>
      </c>
      <c r="D67" s="535">
        <f>INDEX(tblIndicators!$G$2:$G$71,B67)</f>
        <v>3</v>
      </c>
      <c r="E67" s="535" t="str">
        <f>REPT(" ",D67)&amp;IF($A67="","",INDEX(tblIndicators!$AM$2:$AM$71,$B67))</f>
        <v xml:space="preserve">   3.4.2) E-participation on government portals</v>
      </c>
      <c r="F67" s="535" t="str">
        <f t="shared" si="27"/>
        <v>3.4.2) E-participation on government portals</v>
      </c>
      <c r="H67" s="535" t="str" cm="1">
        <f t="array" ref="H67">INDEX(tblIndicators!$K$2:$K$71,$B67)</f>
        <v>3.4.2</v>
      </c>
      <c r="O67" s="48"/>
      <c r="P67" s="330"/>
      <c r="Q67" s="861" t="s">
        <v>867</v>
      </c>
      <c r="T67" s="862" t="s">
        <v>872</v>
      </c>
      <c r="X67" s="331"/>
      <c r="Y67" s="331">
        <f t="shared" si="2"/>
        <v>64</v>
      </c>
      <c r="Z67" s="535" t="str">
        <f t="shared" si="23"/>
        <v>SUST4_2_2</v>
      </c>
      <c r="AA67" s="535">
        <f>IF(Z67="","",MATCH(Z67,tblIndicators!E$2:E$85,0))</f>
        <v>64</v>
      </c>
      <c r="AB67" s="535" t="str">
        <f>IF($AA67="","",REPT(" ",AC67)&amp;(INDEX(tblIndicators!AM$2:AM$85,$AA67)))</f>
        <v xml:space="preserve">   4.2.2) Traffic management </v>
      </c>
      <c r="AC67" s="535">
        <f>IF($AA67="","",INDEX(tblIndicators!G$2:G$85,$AA67))</f>
        <v>3</v>
      </c>
      <c r="AD67" s="330"/>
      <c r="AE67" s="541" t="str">
        <f t="shared" si="3"/>
        <v>SUST4_2_2</v>
      </c>
      <c r="AF67" s="48"/>
      <c r="AH67" s="48"/>
      <c r="AI67" s="48"/>
      <c r="AJ67" s="48"/>
      <c r="AK67" s="48"/>
      <c r="AM67" s="967">
        <f t="shared" si="28"/>
        <v>64</v>
      </c>
      <c r="AN67" s="964">
        <f t="shared" si="28"/>
        <v>64</v>
      </c>
      <c r="AP67" s="964">
        <f t="shared" si="5"/>
        <v>64</v>
      </c>
      <c r="AQ67" s="964" t="str">
        <f t="shared" si="24"/>
        <v>SUST4_2_2</v>
      </c>
      <c r="AR67" s="964">
        <f>MATCH(AQ67,tblIndicators!$E$2:$E$128,0)</f>
        <v>64</v>
      </c>
      <c r="AS67" s="964" t="str">
        <f>REPT(" ",AT67)&amp;IF($AR67="","",INDEX(tblIndicators!$AL$2:$AL$128,AR67))</f>
        <v xml:space="preserve">   4.2.2) Traffic management </v>
      </c>
      <c r="AT67" s="964">
        <f>INDEX(tblIndicators!$G$2:$G$128,AR67)</f>
        <v>3</v>
      </c>
      <c r="AU67" s="964" t="str">
        <f>REPT(" ",AT67)&amp;IF($AR67="","",INDEX(tblIndicators!$AL$2:$AL$128,$AR67))</f>
        <v xml:space="preserve">   4.2.2) Traffic management </v>
      </c>
      <c r="AV67" s="964" t="str">
        <f t="shared" si="6"/>
        <v>4.2.2) Traffic management</v>
      </c>
      <c r="AW67" s="964" t="str">
        <f t="shared" si="7"/>
        <v>4.2</v>
      </c>
      <c r="AX67" s="964" t="str">
        <f>IF($AR67="","",INDEX(tblIndicators!$AL$2:$AL$128,AR67))</f>
        <v xml:space="preserve">4.2.2) Traffic management </v>
      </c>
      <c r="AZ67" s="970"/>
      <c r="BA67" s="968" t="s">
        <v>867</v>
      </c>
      <c r="BB67" s="967"/>
    </row>
    <row r="68" spans="1:54" ht="20.25" customHeight="1">
      <c r="A68" s="61" t="str">
        <f t="shared" si="26"/>
        <v>SUST</v>
      </c>
      <c r="B68" s="535">
        <f>IF(A68="","",MATCH(A68,tblIndicators!$E$2:$E$71,0))</f>
        <v>57</v>
      </c>
      <c r="C68" s="535" t="str">
        <f>REPT(" ",D68)&amp;IF($A68="","",INDEX(tblIndicators!$AL$2:$AL$71,$B68))</f>
        <v xml:space="preserve"> 4) SUSTAINABILITY</v>
      </c>
      <c r="D68" s="535">
        <f>INDEX(tblIndicators!$G$2:$G$71,B68)</f>
        <v>1</v>
      </c>
      <c r="E68" s="535" t="str">
        <f>REPT(" ",D68)&amp;IF($A68="","",INDEX(tblIndicators!$AM$2:$AM$71,$B68))</f>
        <v xml:space="preserve"> 4) SUSTAINABILITY</v>
      </c>
      <c r="F68" s="535" t="str">
        <f t="shared" si="27"/>
        <v>4) SUSTAINABILITY</v>
      </c>
      <c r="H68" s="535" t="str" cm="1">
        <f t="array" ref="H68">INDEX(tblIndicators!$K$2:$K$71,$B68)</f>
        <v>Sustainability</v>
      </c>
      <c r="O68" s="48"/>
      <c r="P68" s="330"/>
      <c r="Q68" s="863" t="s">
        <v>868</v>
      </c>
      <c r="T68" s="862" t="s">
        <v>873</v>
      </c>
      <c r="X68" s="331"/>
      <c r="Y68" s="331">
        <f t="shared" si="2"/>
        <v>65</v>
      </c>
      <c r="Z68" s="535" t="str">
        <f t="shared" ref="Z68:Z78" si="29">IF(INDEX($AE$4:$AL$175,Y68,$Z$2)="","",INDEX($AE$4:$AL$175,Y68,$Z$2))</f>
        <v>SUST4_2_3</v>
      </c>
      <c r="AA68" s="535">
        <f>IF(Z68="","",MATCH(Z68,tblIndicators!E$2:E$85,0))</f>
        <v>65</v>
      </c>
      <c r="AB68" s="535" t="str">
        <f>IF($AA68="","",REPT(" ",AC68)&amp;(INDEX(tblIndicators!AM$2:AM$85,$AA68)))</f>
        <v xml:space="preserve">   4.2.3) Support for autonomous vehicles</v>
      </c>
      <c r="AC68" s="535">
        <f>IF($AA68="","",INDEX(tblIndicators!G$2:G$85,$AA68))</f>
        <v>3</v>
      </c>
      <c r="AD68" s="330"/>
      <c r="AE68" s="541" t="str">
        <f t="shared" si="3"/>
        <v>SUST4_2_3</v>
      </c>
      <c r="AF68" s="48"/>
      <c r="AH68" s="48"/>
      <c r="AI68" s="48"/>
      <c r="AJ68" s="48"/>
      <c r="AK68" s="48"/>
      <c r="AM68" s="967">
        <f t="shared" si="28"/>
        <v>65</v>
      </c>
      <c r="AN68" s="964">
        <f t="shared" si="28"/>
        <v>65</v>
      </c>
      <c r="AP68" s="964">
        <f t="shared" si="5"/>
        <v>65</v>
      </c>
      <c r="AQ68" s="964" t="str">
        <f t="shared" ref="AQ68:AQ99" si="30">IF(OR(INDEX($AZ$4:$BB$106,$AP68,$AT$2)=0,INDEX($AZ$4:$BB$106,$AP68,$AT$2)=""),"",INDEX($AZ$4:$BB$106,$AP68,$AT$2))</f>
        <v>SUST4_2_3</v>
      </c>
      <c r="AR68" s="964">
        <f>MATCH(AQ68,tblIndicators!$E$2:$E$128,0)</f>
        <v>65</v>
      </c>
      <c r="AS68" s="964" t="str">
        <f>REPT(" ",AT68)&amp;IF($AR68="","",INDEX(tblIndicators!$AL$2:$AL$128,AR68))</f>
        <v xml:space="preserve">   4.2.3) Autonomous vehicle support</v>
      </c>
      <c r="AT68" s="964">
        <f>INDEX(tblIndicators!$G$2:$G$128,AR68)</f>
        <v>3</v>
      </c>
      <c r="AU68" s="964" t="str">
        <f>REPT(" ",AT68)&amp;IF($AR68="","",INDEX(tblIndicators!$AL$2:$AL$128,$AR68))</f>
        <v xml:space="preserve">   4.2.3) Autonomous vehicle support</v>
      </c>
      <c r="AV68" s="964" t="str">
        <f t="shared" si="6"/>
        <v>4.2.3) Autonomous vehicle support</v>
      </c>
      <c r="AW68" s="964" t="str">
        <f t="shared" si="7"/>
        <v>4.2</v>
      </c>
      <c r="AX68" s="964" t="str">
        <f>IF($AR68="","",INDEX(tblIndicators!$AL$2:$AL$128,AR68))</f>
        <v>4.2.3) Autonomous vehicle support</v>
      </c>
      <c r="BA68" s="964" t="s">
        <v>868</v>
      </c>
      <c r="BB68" s="967"/>
    </row>
    <row r="69" spans="1:54" ht="20.25" customHeight="1">
      <c r="A69" s="61" t="str">
        <f t="shared" si="26"/>
        <v>SUST4_1</v>
      </c>
      <c r="B69" s="535">
        <f>IF(A69="","",MATCH(A69,tblIndicators!$E$2:$E$71,0))</f>
        <v>58</v>
      </c>
      <c r="C69" s="535" t="str">
        <f>REPT(" ",D69)&amp;IF($A69="","",INDEX(tblIndicators!$AL$2:$AL$71,$B69))</f>
        <v xml:space="preserve">  4.1) Efficient resource management</v>
      </c>
      <c r="D69" s="535">
        <f>INDEX(tblIndicators!$G$2:$G$71,B69)</f>
        <v>2</v>
      </c>
      <c r="E69" s="535" t="str">
        <f>REPT(" ",D69)&amp;IF($A69="","",INDEX(tblIndicators!$AM$2:$AM$71,$B69))</f>
        <v xml:space="preserve">  4.1) Efficient resource management</v>
      </c>
      <c r="F69" s="535" t="str">
        <f t="shared" si="27"/>
        <v>4.1) Efficient resource management</v>
      </c>
      <c r="H69" s="535" t="str" cm="1">
        <f t="array" ref="H69">INDEX(tblIndicators!$K$2:$K$71,$B69)</f>
        <v>Efficient resource management</v>
      </c>
      <c r="O69" s="48"/>
      <c r="P69" s="330"/>
      <c r="Q69" s="866" t="s">
        <v>869</v>
      </c>
      <c r="X69" s="331"/>
      <c r="Y69" s="331">
        <f t="shared" si="2"/>
        <v>66</v>
      </c>
      <c r="Z69" s="535" t="str">
        <f t="shared" si="29"/>
        <v>SUST4_3</v>
      </c>
      <c r="AA69" s="535">
        <f>IF(Z69="","",MATCH(Z69,tblIndicators!E$2:E$85,0))</f>
        <v>66</v>
      </c>
      <c r="AB69" s="535" t="str">
        <f>IF($AA69="","",REPT(" ",AC69)&amp;(INDEX(tblIndicators!AM$2:AM$85,$AA69)))</f>
        <v xml:space="preserve">  4.3) Pollution</v>
      </c>
      <c r="AC69" s="535">
        <f>IF($AA69="","",INDEX(tblIndicators!G$2:G$85,$AA69))</f>
        <v>2</v>
      </c>
      <c r="AD69" s="330"/>
      <c r="AE69" s="541" t="str">
        <f t="shared" ref="AE69:AE73" si="31">Q69</f>
        <v>SUST4_3</v>
      </c>
      <c r="AF69" s="48"/>
      <c r="AH69" s="48"/>
      <c r="AI69" s="48"/>
      <c r="AJ69" s="48"/>
      <c r="AK69" s="48"/>
      <c r="AM69" s="967">
        <f t="shared" ref="AM69:AN84" si="32">AM68+1</f>
        <v>66</v>
      </c>
      <c r="AN69" s="964">
        <f t="shared" si="32"/>
        <v>66</v>
      </c>
      <c r="AP69" s="964">
        <f t="shared" ref="AP69:AP106" si="33">AP68+1</f>
        <v>66</v>
      </c>
      <c r="AQ69" s="964" t="str">
        <f t="shared" si="30"/>
        <v>SUST4_3</v>
      </c>
      <c r="AR69" s="964">
        <f>MATCH(AQ69,tblIndicators!$E$2:$E$128,0)</f>
        <v>66</v>
      </c>
      <c r="AS69" s="964" t="str">
        <f>REPT(" ",AT69)&amp;IF($AR69="","",INDEX(tblIndicators!$AL$2:$AL$128,AR69))</f>
        <v xml:space="preserve">  4.3) Pollution</v>
      </c>
      <c r="AT69" s="964">
        <f>INDEX(tblIndicators!$G$2:$G$128,AR69)</f>
        <v>2</v>
      </c>
      <c r="AU69" s="964" t="str">
        <f>REPT(" ",AT69)&amp;IF($AR69="","",INDEX(tblIndicators!$AL$2:$AL$128,$AR69))</f>
        <v xml:space="preserve">  4.3) Pollution</v>
      </c>
      <c r="AV69" s="964" t="str">
        <f t="shared" ref="AV69:AV106" si="34">TRIM(AU69)</f>
        <v>4.3) Pollution</v>
      </c>
      <c r="AW69" s="964" t="str">
        <f t="shared" ref="AW69:AW106" si="35">IF(AV69&lt;&gt;"",LEFT(AV69,3),"")</f>
        <v>4.3</v>
      </c>
      <c r="AX69" s="964" t="str">
        <f>IF($AR69="","",INDEX(tblIndicators!$AL$2:$AL$128,AR69))</f>
        <v>4.3) Pollution</v>
      </c>
      <c r="BA69" s="964" t="s">
        <v>869</v>
      </c>
      <c r="BB69" s="967"/>
    </row>
    <row r="70" spans="1:54" ht="20.25" customHeight="1">
      <c r="A70" s="61" t="str">
        <f t="shared" si="26"/>
        <v>SUST4_1_1</v>
      </c>
      <c r="B70" s="535">
        <f>IF(A70="","",MATCH(A70,tblIndicators!$E$2:$E$71,0))</f>
        <v>59</v>
      </c>
      <c r="C70" s="535" t="str">
        <f>REPT(" ",D70)&amp;IF($A70="","",INDEX(tblIndicators!$AL$2:$AL$71,$B70))</f>
        <v xml:space="preserve">   4.1.1) Smart utility management</v>
      </c>
      <c r="D70" s="535">
        <f>INDEX(tblIndicators!$G$2:$G$71,B70)</f>
        <v>3</v>
      </c>
      <c r="E70" s="535" t="str">
        <f>REPT(" ",D70)&amp;IF($A70="","",INDEX(tblIndicators!$AM$2:$AM$71,$B70))</f>
        <v xml:space="preserve">   4.1.1) Smart utility management</v>
      </c>
      <c r="F70" s="535" t="str">
        <f t="shared" si="27"/>
        <v>4.1.1) Smart utility management</v>
      </c>
      <c r="H70" s="535" t="str" cm="1">
        <f t="array" ref="H70">INDEX(tblIndicators!$K$2:$K$71,$B70)</f>
        <v>4.1.1</v>
      </c>
      <c r="O70" s="48"/>
      <c r="P70" s="330"/>
      <c r="Q70" s="862" t="s">
        <v>870</v>
      </c>
      <c r="X70" s="331"/>
      <c r="Y70" s="331">
        <f t="shared" si="2"/>
        <v>67</v>
      </c>
      <c r="Z70" s="535" t="str">
        <f t="shared" si="29"/>
        <v>SUST4_3_1</v>
      </c>
      <c r="AA70" s="535">
        <f>IF(Z70="","",MATCH(Z70,tblIndicators!E$2:E$85,0))</f>
        <v>67</v>
      </c>
      <c r="AB70" s="535" t="str">
        <f>IF($AA70="","",REPT(" ",AC70)&amp;(INDEX(tblIndicators!AM$2:AM$85,$AA70)))</f>
        <v xml:space="preserve">   4.3.1) Air pollution</v>
      </c>
      <c r="AC70" s="535">
        <f>IF($AA70="","",INDEX(tblIndicators!G$2:G$85,$AA70))</f>
        <v>3</v>
      </c>
      <c r="AD70" s="330"/>
      <c r="AE70" s="541" t="str">
        <f t="shared" si="31"/>
        <v>SUST4_3_1</v>
      </c>
      <c r="AF70" s="48"/>
      <c r="AH70" s="48"/>
      <c r="AI70" s="48"/>
      <c r="AJ70" s="48"/>
      <c r="AK70" s="48"/>
      <c r="AM70" s="967">
        <f t="shared" si="32"/>
        <v>67</v>
      </c>
      <c r="AN70" s="964">
        <f t="shared" si="32"/>
        <v>67</v>
      </c>
      <c r="AP70" s="964">
        <f t="shared" si="33"/>
        <v>67</v>
      </c>
      <c r="AQ70" s="964" t="str">
        <f t="shared" si="30"/>
        <v>SUST4_3_1</v>
      </c>
      <c r="AR70" s="964">
        <f>MATCH(AQ70,tblIndicators!$E$2:$E$128,0)</f>
        <v>67</v>
      </c>
      <c r="AS70" s="964" t="str">
        <f>REPT(" ",AT70)&amp;IF($AR70="","",INDEX(tblIndicators!$AL$2:$AL$128,AR70))</f>
        <v xml:space="preserve">   4.3.1) Air pollution</v>
      </c>
      <c r="AT70" s="964">
        <f>INDEX(tblIndicators!$G$2:$G$128,AR70)</f>
        <v>3</v>
      </c>
      <c r="AU70" s="964" t="str">
        <f>REPT(" ",AT70)&amp;IF($AR70="","",INDEX(tblIndicators!$AL$2:$AL$128,$AR70))</f>
        <v xml:space="preserve">   4.3.1) Air pollution</v>
      </c>
      <c r="AV70" s="964" t="str">
        <f t="shared" si="34"/>
        <v>4.3.1) Air pollution</v>
      </c>
      <c r="AW70" s="964" t="str">
        <f t="shared" si="35"/>
        <v>4.3</v>
      </c>
      <c r="AX70" s="964" t="str">
        <f>IF($AR70="","",INDEX(tblIndicators!$AL$2:$AL$128,AR70))</f>
        <v>4.3.1) Air pollution</v>
      </c>
      <c r="BA70" s="964" t="s">
        <v>870</v>
      </c>
      <c r="BB70" s="967"/>
    </row>
    <row r="71" spans="1:54" ht="20.25" customHeight="1">
      <c r="A71" s="61" t="str">
        <f t="shared" si="26"/>
        <v>SUST4_1_2</v>
      </c>
      <c r="B71" s="535">
        <f>IF(A71="","",MATCH(A71,tblIndicators!$E$2:$E$71,0))</f>
        <v>60</v>
      </c>
      <c r="C71" s="535" t="str">
        <f>REPT(" ",D71)&amp;IF($A71="","",INDEX(tblIndicators!$AL$2:$AL$71,$B71))</f>
        <v xml:space="preserve">   4.1.2) Smart urban agriculture</v>
      </c>
      <c r="D71" s="535">
        <f>INDEX(tblIndicators!$G$2:$G$71,B71)</f>
        <v>3</v>
      </c>
      <c r="E71" s="535" t="str">
        <f>REPT(" ",D71)&amp;IF($A71="","",INDEX(tblIndicators!$AM$2:$AM$71,$B71))</f>
        <v xml:space="preserve">   4.1.2) Smart urban agriculture</v>
      </c>
      <c r="F71" s="535" t="str">
        <f t="shared" si="27"/>
        <v>4.1.2) Smart urban agriculture</v>
      </c>
      <c r="H71" s="535" t="str" cm="1">
        <f t="array" ref="H71">INDEX(tblIndicators!$K$2:$K$71,$B71)</f>
        <v>4.1.2</v>
      </c>
      <c r="O71" s="48"/>
      <c r="P71" s="330"/>
      <c r="Q71" s="866" t="s">
        <v>871</v>
      </c>
      <c r="X71" s="331"/>
      <c r="Y71" s="331">
        <f t="shared" si="2"/>
        <v>68</v>
      </c>
      <c r="Z71" s="535" t="str">
        <f t="shared" si="29"/>
        <v>SUST4_4</v>
      </c>
      <c r="AA71" s="535">
        <f>IF(Z71="","",MATCH(Z71,tblIndicators!E$2:E$85,0))</f>
        <v>68</v>
      </c>
      <c r="AB71" s="535" t="str">
        <f>IF($AA71="","",REPT(" ",AC71)&amp;(INDEX(tblIndicators!AM$2:AM$85,$AA71)))</f>
        <v xml:space="preserve">  4.4) Circular economy</v>
      </c>
      <c r="AC71" s="535">
        <f>IF($AA71="","",INDEX(tblIndicators!G$2:G$85,$AA71))</f>
        <v>2</v>
      </c>
      <c r="AD71" s="330"/>
      <c r="AE71" s="541" t="str">
        <f t="shared" si="31"/>
        <v>SUST4_4</v>
      </c>
      <c r="AF71" s="48"/>
      <c r="AH71" s="48"/>
      <c r="AI71" s="48"/>
      <c r="AJ71" s="48"/>
      <c r="AK71" s="48"/>
      <c r="AM71" s="967">
        <f t="shared" si="32"/>
        <v>68</v>
      </c>
      <c r="AN71" s="964">
        <f t="shared" si="32"/>
        <v>68</v>
      </c>
      <c r="AP71" s="964">
        <f t="shared" si="33"/>
        <v>68</v>
      </c>
      <c r="AQ71" s="964" t="str">
        <f t="shared" si="30"/>
        <v>SUST4_4</v>
      </c>
      <c r="AR71" s="964">
        <f>MATCH(AQ71,tblIndicators!$E$2:$E$128,0)</f>
        <v>68</v>
      </c>
      <c r="AS71" s="964" t="str">
        <f>REPT(" ",AT71)&amp;IF($AR71="","",INDEX(tblIndicators!$AL$2:$AL$128,AR71))</f>
        <v xml:space="preserve">  4.4) Circular economy</v>
      </c>
      <c r="AT71" s="964">
        <f>INDEX(tblIndicators!$G$2:$G$128,AR71)</f>
        <v>2</v>
      </c>
      <c r="AU71" s="964" t="str">
        <f>REPT(" ",AT71)&amp;IF($AR71="","",INDEX(tblIndicators!$AL$2:$AL$128,$AR71))</f>
        <v xml:space="preserve">  4.4) Circular economy</v>
      </c>
      <c r="AV71" s="964" t="str">
        <f t="shared" si="34"/>
        <v>4.4) Circular economy</v>
      </c>
      <c r="AW71" s="964" t="str">
        <f t="shared" si="35"/>
        <v>4.4</v>
      </c>
      <c r="AX71" s="964" t="str">
        <f>IF($AR71="","",INDEX(tblIndicators!$AL$2:$AL$128,AR71))</f>
        <v>4.4) Circular economy</v>
      </c>
      <c r="BA71" s="964" t="s">
        <v>871</v>
      </c>
      <c r="BB71" s="967"/>
    </row>
    <row r="72" spans="1:54" ht="20.25" customHeight="1">
      <c r="A72" s="61" t="str">
        <f t="shared" si="26"/>
        <v>SUST4_1_3</v>
      </c>
      <c r="B72" s="535">
        <f>IF(A72="","",MATCH(A72,tblIndicators!$E$2:$E$71,0))</f>
        <v>61</v>
      </c>
      <c r="C72" s="535" t="str">
        <f>REPT(" ",D72)&amp;IF($A72="","",INDEX(tblIndicators!$AL$2:$AL$71,$B72))</f>
        <v xml:space="preserve">   4.1.3) Smart construction</v>
      </c>
      <c r="D72" s="535">
        <f>INDEX(tblIndicators!$G$2:$G$71,B72)</f>
        <v>3</v>
      </c>
      <c r="E72" s="535" t="str">
        <f>REPT(" ",D72)&amp;IF($A72="","",INDEX(tblIndicators!$AM$2:$AM$71,$B72))</f>
        <v xml:space="preserve">   4.1.3) Smart construction</v>
      </c>
      <c r="F72" s="535" t="str">
        <f t="shared" si="27"/>
        <v>4.1.3) Smart construction</v>
      </c>
      <c r="H72" s="535" t="str" cm="1">
        <f t="array" ref="H72">INDEX(tblIndicators!$K$2:$K$71,$B72)</f>
        <v>4.1.3</v>
      </c>
      <c r="O72" s="48"/>
      <c r="P72" s="330"/>
      <c r="Q72" s="862" t="s">
        <v>872</v>
      </c>
      <c r="X72" s="331"/>
      <c r="Y72" s="331">
        <f t="shared" si="2"/>
        <v>69</v>
      </c>
      <c r="Z72" s="535" t="str">
        <f t="shared" si="29"/>
        <v>SUST4_4_1</v>
      </c>
      <c r="AA72" s="535">
        <f>IF(Z72="","",MATCH(Z72,tblIndicators!E$2:E$85,0))</f>
        <v>69</v>
      </c>
      <c r="AB72" s="535" t="str">
        <f>IF($AA72="","",REPT(" ",AC72)&amp;(INDEX(tblIndicators!AM$2:AM$85,$AA72)))</f>
        <v xml:space="preserve">   4.4.1) Development of sharing economy </v>
      </c>
      <c r="AC72" s="535">
        <f>IF($AA72="","",INDEX(tblIndicators!G$2:G$85,$AA72))</f>
        <v>3</v>
      </c>
      <c r="AD72" s="330"/>
      <c r="AE72" s="541" t="str">
        <f t="shared" si="31"/>
        <v>SUST4_4_1</v>
      </c>
      <c r="AF72" s="48"/>
      <c r="AH72" s="48"/>
      <c r="AI72" s="48"/>
      <c r="AJ72" s="48"/>
      <c r="AK72" s="48"/>
      <c r="AM72" s="967">
        <f t="shared" si="32"/>
        <v>69</v>
      </c>
      <c r="AN72" s="964">
        <f t="shared" si="32"/>
        <v>69</v>
      </c>
      <c r="AP72" s="964">
        <f t="shared" si="33"/>
        <v>69</v>
      </c>
      <c r="AQ72" s="964" t="str">
        <f t="shared" si="30"/>
        <v>SUST4_4_1</v>
      </c>
      <c r="AR72" s="964">
        <f>MATCH(AQ72,tblIndicators!$E$2:$E$128,0)</f>
        <v>69</v>
      </c>
      <c r="AS72" s="964" t="str">
        <f>REPT(" ",AT72)&amp;IF($AR72="","",INDEX(tblIndicators!$AL$2:$AL$128,AR72))</f>
        <v xml:space="preserve">   4.4.1) Sharing economy development</v>
      </c>
      <c r="AT72" s="964">
        <f>INDEX(tblIndicators!$G$2:$G$128,AR72)</f>
        <v>3</v>
      </c>
      <c r="AU72" s="964" t="str">
        <f>REPT(" ",AT72)&amp;IF($AR72="","",INDEX(tblIndicators!$AL$2:$AL$128,$AR72))</f>
        <v xml:space="preserve">   4.4.1) Sharing economy development</v>
      </c>
      <c r="AV72" s="964" t="str">
        <f t="shared" si="34"/>
        <v>4.4.1) Sharing economy development</v>
      </c>
      <c r="AW72" s="964" t="str">
        <f t="shared" si="35"/>
        <v>4.4</v>
      </c>
      <c r="AX72" s="964" t="str">
        <f>IF($AR72="","",INDEX(tblIndicators!$AL$2:$AL$128,AR72))</f>
        <v>4.4.1) Sharing economy development</v>
      </c>
      <c r="BA72" s="964" t="s">
        <v>872</v>
      </c>
      <c r="BB72" s="967"/>
    </row>
    <row r="73" spans="1:54" ht="20.25" customHeight="1">
      <c r="A73" s="61" t="str">
        <f t="shared" si="26"/>
        <v>SUST4_2</v>
      </c>
      <c r="B73" s="535">
        <f>IF(A73="","",MATCH(A73,tblIndicators!$E$2:$E$71,0))</f>
        <v>62</v>
      </c>
      <c r="C73" s="535" t="str">
        <f>REPT(" ",D73)&amp;IF($A73="","",INDEX(tblIndicators!$AL$2:$AL$71,$B73))</f>
        <v xml:space="preserve">  4.2) Emissions reduction</v>
      </c>
      <c r="D73" s="535">
        <f>INDEX(tblIndicators!$G$2:$G$71,B73)</f>
        <v>2</v>
      </c>
      <c r="E73" s="535" t="str">
        <f>REPT(" ",D73)&amp;IF($A73="","",INDEX(tblIndicators!$AM$2:$AM$71,$B73))</f>
        <v xml:space="preserve">  4.2) Emissions reduction</v>
      </c>
      <c r="F73" s="535" t="str">
        <f t="shared" si="27"/>
        <v>4.2) Emissions reduction</v>
      </c>
      <c r="H73" s="535" t="str" cm="1">
        <f t="array" ref="H73">INDEX(tblIndicators!$K$2:$K$71,$B73)</f>
        <v>Emissions reduction</v>
      </c>
      <c r="O73" s="48"/>
      <c r="P73" s="330"/>
      <c r="Q73" s="862" t="s">
        <v>873</v>
      </c>
      <c r="X73" s="331"/>
      <c r="Y73" s="331">
        <f t="shared" si="2"/>
        <v>70</v>
      </c>
      <c r="Z73" s="535" t="str">
        <f t="shared" si="29"/>
        <v>SUST4_4_2</v>
      </c>
      <c r="AA73" s="535">
        <f>IF(Z73="","",MATCH(Z73,tblIndicators!E$2:E$85,0))</f>
        <v>70</v>
      </c>
      <c r="AB73" s="535" t="str">
        <f>IF($AA73="","",REPT(" ",AC73)&amp;(INDEX(tblIndicators!AM$2:AM$85,$AA73)))</f>
        <v xml:space="preserve">   4.4.2) E-waste management</v>
      </c>
      <c r="AC73" s="535">
        <f>IF($AA73="","",INDEX(tblIndicators!G$2:G$85,$AA73))</f>
        <v>3</v>
      </c>
      <c r="AD73" s="330"/>
      <c r="AE73" s="541" t="str">
        <f t="shared" si="31"/>
        <v>SUST4_4_2</v>
      </c>
      <c r="AF73" s="48"/>
      <c r="AH73" s="48"/>
      <c r="AI73" s="48"/>
      <c r="AJ73" s="48"/>
      <c r="AK73" s="48"/>
      <c r="AM73" s="967">
        <f t="shared" si="32"/>
        <v>70</v>
      </c>
      <c r="AN73" s="964">
        <f t="shared" si="32"/>
        <v>70</v>
      </c>
      <c r="AP73" s="964">
        <f t="shared" si="33"/>
        <v>70</v>
      </c>
      <c r="AQ73" s="964" t="str">
        <f t="shared" si="30"/>
        <v>SUST4_4_2</v>
      </c>
      <c r="AR73" s="964">
        <f>MATCH(AQ73,tblIndicators!$E$2:$E$128,0)</f>
        <v>70</v>
      </c>
      <c r="AS73" s="964" t="str">
        <f>REPT(" ",AT73)&amp;IF($AR73="","",INDEX(tblIndicators!$AL$2:$AL$128,AR73))</f>
        <v xml:space="preserve">   4.4.2) E-waste management</v>
      </c>
      <c r="AT73" s="964">
        <f>INDEX(tblIndicators!$G$2:$G$128,AR73)</f>
        <v>3</v>
      </c>
      <c r="AU73" s="964" t="str">
        <f>REPT(" ",AT73)&amp;IF($AR73="","",INDEX(tblIndicators!$AL$2:$AL$128,$AR73))</f>
        <v xml:space="preserve">   4.4.2) E-waste management</v>
      </c>
      <c r="AV73" s="964" t="str">
        <f t="shared" si="34"/>
        <v>4.4.2) E-waste management</v>
      </c>
      <c r="AW73" s="964" t="str">
        <f t="shared" si="35"/>
        <v>4.4</v>
      </c>
      <c r="AX73" s="964" t="str">
        <f>IF($AR73="","",INDEX(tblIndicators!$AL$2:$AL$128,AR73))</f>
        <v>4.4.2) E-waste management</v>
      </c>
      <c r="BA73" s="964" t="s">
        <v>873</v>
      </c>
      <c r="BB73" s="967"/>
    </row>
    <row r="74" spans="1:54" ht="20.25" customHeight="1">
      <c r="A74" s="61" t="str">
        <f t="shared" si="26"/>
        <v>SUST4_2_1</v>
      </c>
      <c r="B74" s="535">
        <f>IF(A74="","",MATCH(A74,tblIndicators!$E$2:$E$71,0))</f>
        <v>63</v>
      </c>
      <c r="C74" s="535" t="str">
        <f>REPT(" ",D74)&amp;IF($A74="","",INDEX(tblIndicators!$AL$2:$AL$71,$B74))</f>
        <v xml:space="preserve">   4.2.1) Net-zero emission</v>
      </c>
      <c r="D74" s="535">
        <f>INDEX(tblIndicators!$G$2:$G$71,B74)</f>
        <v>3</v>
      </c>
      <c r="E74" s="535" t="str">
        <f>REPT(" ",D74)&amp;IF($A74="","",INDEX(tblIndicators!$AM$2:$AM$71,$B74))</f>
        <v xml:space="preserve">   4.2.1) Net-zero emission</v>
      </c>
      <c r="F74" s="535" t="str">
        <f t="shared" si="27"/>
        <v>4.2.1) Net-zero emission</v>
      </c>
      <c r="H74" s="535" t="str" cm="1">
        <f t="array" ref="H74">INDEX(tblIndicators!$K$2:$K$71,$B74)</f>
        <v>4.2.1</v>
      </c>
      <c r="O74" s="48"/>
      <c r="P74" s="330"/>
      <c r="Q74" s="862" t="s">
        <v>879</v>
      </c>
      <c r="X74" s="331"/>
      <c r="Y74" s="331">
        <f t="shared" si="2"/>
        <v>71</v>
      </c>
      <c r="Z74" s="535" t="str">
        <f t="shared" si="29"/>
        <v>BG.11_1</v>
      </c>
      <c r="AA74" s="535">
        <f>IF(Z74="","",MATCH(Z74,tblIndicators!E$2:E$85,0))</f>
        <v>72</v>
      </c>
      <c r="AB74" s="535" t="str">
        <f>IF($AA74="","",REPT(" ",AC74)&amp;(INDEX(tblIndicators!AM$2:AM$85,$AA74)))</f>
        <v xml:space="preserve">   BG_1.1) Real GDP growth</v>
      </c>
      <c r="AC74" s="535">
        <f>IF($AA74="","",INDEX(tblIndicators!G$2:G$85,$AA74))</f>
        <v>3</v>
      </c>
      <c r="AD74" s="330"/>
      <c r="AE74" s="541" t="str">
        <f>Q75</f>
        <v>BG.11_1</v>
      </c>
      <c r="AF74" s="48"/>
      <c r="AH74" s="48"/>
      <c r="AI74" s="48"/>
      <c r="AJ74" s="48"/>
      <c r="AK74" s="48"/>
      <c r="AM74" s="967">
        <f t="shared" si="32"/>
        <v>71</v>
      </c>
      <c r="AN74" s="964">
        <f t="shared" si="32"/>
        <v>71</v>
      </c>
      <c r="AP74" s="964">
        <f t="shared" si="33"/>
        <v>71</v>
      </c>
      <c r="AQ74" s="964" t="str">
        <f t="shared" si="30"/>
        <v/>
      </c>
      <c r="AR74" s="964" t="e">
        <f>MATCH(AQ74,tblIndicators!$E$2:$E$128,0)</f>
        <v>#N/A</v>
      </c>
      <c r="AS74" s="964" t="e">
        <f>REPT(" ",AT74)&amp;IF($AR74="","",INDEX(tblIndicators!$AL$2:$AL$128,AR74))</f>
        <v>#N/A</v>
      </c>
      <c r="AT74" s="964" t="e">
        <f>INDEX(tblIndicators!$G$2:$G$128,AR74)</f>
        <v>#N/A</v>
      </c>
      <c r="AU74" s="964" t="e">
        <f>REPT(" ",AT74)&amp;IF($AR74="","",INDEX(tblIndicators!$AL$2:$AL$128,$AR74))</f>
        <v>#N/A</v>
      </c>
      <c r="AV74" s="964" t="e">
        <f t="shared" si="34"/>
        <v>#N/A</v>
      </c>
      <c r="AW74" s="964" t="e">
        <f t="shared" si="35"/>
        <v>#N/A</v>
      </c>
      <c r="AX74" s="964" t="e">
        <f>IF($AR74="","",INDEX(tblIndicators!$AL$2:$AL$128,AR74))</f>
        <v>#N/A</v>
      </c>
      <c r="BB74" s="967"/>
    </row>
    <row r="75" spans="1:54" ht="20.25" customHeight="1">
      <c r="A75" s="61" t="str">
        <f t="shared" si="26"/>
        <v>SUST4_2_2</v>
      </c>
      <c r="B75" s="535">
        <f>IF(A75="","",MATCH(A75,tblIndicators!$E$2:$E$71,0))</f>
        <v>64</v>
      </c>
      <c r="C75" s="535" t="str">
        <f>REPT(" ",D75)&amp;IF($A75="","",INDEX(tblIndicators!$AL$2:$AL$71,$B75))</f>
        <v xml:space="preserve">   4.2.2) Traffic management </v>
      </c>
      <c r="D75" s="535">
        <f>INDEX(tblIndicators!$G$2:$G$71,B75)</f>
        <v>3</v>
      </c>
      <c r="E75" s="535" t="str">
        <f>REPT(" ",D75)&amp;IF($A75="","",INDEX(tblIndicators!$AM$2:$AM$71,$B75))</f>
        <v xml:space="preserve">   4.2.2) Traffic management </v>
      </c>
      <c r="F75" s="535" t="str">
        <f t="shared" si="27"/>
        <v>4.2.2) Traffic management</v>
      </c>
      <c r="H75" s="535" t="str" cm="1">
        <f t="array" ref="H75">INDEX(tblIndicators!$K$2:$K$71,$B75)</f>
        <v>4.2.2</v>
      </c>
      <c r="O75" s="48"/>
      <c r="P75" s="330"/>
      <c r="Q75" s="862" t="s">
        <v>874</v>
      </c>
      <c r="X75" s="331"/>
      <c r="Y75" s="331">
        <f t="shared" si="2"/>
        <v>72</v>
      </c>
      <c r="Z75" s="535" t="str">
        <f t="shared" si="29"/>
        <v>BG.11_2</v>
      </c>
      <c r="AA75" s="535">
        <f>IF(Z75="","",MATCH(Z75,tblIndicators!E$2:E$85,0))</f>
        <v>73</v>
      </c>
      <c r="AB75" s="535" t="str">
        <f>IF($AA75="","",REPT(" ",AC75)&amp;(INDEX(tblIndicators!AM$2:AM$85,$AA75)))</f>
        <v xml:space="preserve">   BG_1.2) Corruption</v>
      </c>
      <c r="AC75" s="535">
        <f>IF($AA75="","",INDEX(tblIndicators!G$2:G$85,$AA75))</f>
        <v>3</v>
      </c>
      <c r="AD75" s="330"/>
      <c r="AE75" s="541" t="str">
        <f t="shared" ref="AE75:AE78" si="36">Q76</f>
        <v>BG.11_2</v>
      </c>
      <c r="AF75" s="48"/>
      <c r="AH75" s="48"/>
      <c r="AI75" s="48"/>
      <c r="AJ75" s="48"/>
      <c r="AK75" s="48"/>
      <c r="AM75" s="967">
        <f t="shared" si="32"/>
        <v>72</v>
      </c>
      <c r="AN75" s="964">
        <f t="shared" si="32"/>
        <v>72</v>
      </c>
      <c r="AP75" s="964">
        <f t="shared" si="33"/>
        <v>72</v>
      </c>
      <c r="AQ75" s="964" t="str">
        <f t="shared" si="30"/>
        <v/>
      </c>
      <c r="AR75" s="964" t="e">
        <f>MATCH(AQ75,tblIndicators!$E$2:$E$128,0)</f>
        <v>#N/A</v>
      </c>
      <c r="AS75" s="964" t="e">
        <f>REPT(" ",AT75)&amp;IF($AR75="","",INDEX(tblIndicators!$AL$2:$AL$128,AR75))</f>
        <v>#N/A</v>
      </c>
      <c r="AT75" s="964" t="e">
        <f>INDEX(tblIndicators!$G$2:$G$128,AR75)</f>
        <v>#N/A</v>
      </c>
      <c r="AU75" s="964" t="e">
        <f>REPT(" ",AT75)&amp;IF($AR75="","",INDEX(tblIndicators!$AL$2:$AL$128,$AR75))</f>
        <v>#N/A</v>
      </c>
      <c r="AV75" s="964" t="e">
        <f t="shared" si="34"/>
        <v>#N/A</v>
      </c>
      <c r="AW75" s="964" t="e">
        <f t="shared" si="35"/>
        <v>#N/A</v>
      </c>
      <c r="AX75" s="964" t="e">
        <f>IF($AR75="","",INDEX(tblIndicators!$AL$2:$AL$128,AR75))</f>
        <v>#N/A</v>
      </c>
      <c r="BB75" s="967"/>
    </row>
    <row r="76" spans="1:54" ht="20.25" customHeight="1">
      <c r="A76" s="61" t="str">
        <f t="shared" ref="A76:A81" si="37">Q68</f>
        <v>SUST4_2_3</v>
      </c>
      <c r="B76" s="535">
        <f>IF(A76="","",MATCH(A76,tblIndicators!$E$2:$E$71,0))</f>
        <v>65</v>
      </c>
      <c r="C76" s="535" t="str">
        <f>REPT(" ",D76)&amp;IF($A76="","",INDEX(tblIndicators!$AL$2:$AL$71,$B76))</f>
        <v xml:space="preserve">   4.2.3) Autonomous vehicle support</v>
      </c>
      <c r="D76" s="535">
        <f>INDEX(tblIndicators!$G$2:$G$71,B76)</f>
        <v>3</v>
      </c>
      <c r="E76" s="535" t="str">
        <f>REPT(" ",D76)&amp;IF($A76="","",INDEX(tblIndicators!$AM$2:$AM$71,$B76))</f>
        <v xml:space="preserve">   4.2.3) Support for autonomous vehicles</v>
      </c>
      <c r="F76" s="535" t="str">
        <f t="shared" ref="F76:F81" si="38">TRIM(E76)</f>
        <v>4.2.3) Support for autonomous vehicles</v>
      </c>
      <c r="H76" s="535" t="str" cm="1">
        <f t="array" ref="H76">INDEX(tblIndicators!$K$2:$K$71,$B76)</f>
        <v>4.2.3</v>
      </c>
      <c r="O76" s="48"/>
      <c r="P76" s="330"/>
      <c r="Q76" s="864" t="s">
        <v>875</v>
      </c>
      <c r="X76" s="331"/>
      <c r="Y76" s="331">
        <f t="shared" si="2"/>
        <v>73</v>
      </c>
      <c r="Z76" s="535" t="str">
        <f t="shared" si="29"/>
        <v>BG.11_3</v>
      </c>
      <c r="AA76" s="535">
        <f>IF(Z76="","",MATCH(Z76,tblIndicators!E$2:E$85,0))</f>
        <v>74</v>
      </c>
      <c r="AB76" s="535" t="str">
        <f>IF($AA76="","",REPT(" ",AC76)&amp;(INDEX(tblIndicators!AM$2:AM$85,$AA76)))</f>
        <v xml:space="preserve">   BG_1.3) Human Development Index</v>
      </c>
      <c r="AC76" s="535">
        <f>IF($AA76="","",INDEX(tblIndicators!G$2:G$85,$AA76))</f>
        <v>3</v>
      </c>
      <c r="AD76" s="330"/>
      <c r="AE76" s="541" t="str">
        <f t="shared" si="36"/>
        <v>BG.11_3</v>
      </c>
      <c r="AF76" s="48"/>
      <c r="AH76" s="48"/>
      <c r="AI76" s="48"/>
      <c r="AJ76" s="48"/>
      <c r="AK76" s="48"/>
      <c r="AM76" s="967">
        <f t="shared" si="32"/>
        <v>73</v>
      </c>
      <c r="AN76" s="964">
        <f t="shared" si="32"/>
        <v>73</v>
      </c>
      <c r="AP76" s="964">
        <f t="shared" si="33"/>
        <v>73</v>
      </c>
      <c r="AQ76" s="964" t="str">
        <f t="shared" si="30"/>
        <v/>
      </c>
      <c r="AR76" s="964" t="e">
        <f>MATCH(AQ76,tblIndicators!$E$2:$E$128,0)</f>
        <v>#N/A</v>
      </c>
      <c r="AS76" s="964" t="e">
        <f>REPT(" ",AT76)&amp;IF($AR76="","",INDEX(tblIndicators!$AL$2:$AL$128,AR76))</f>
        <v>#N/A</v>
      </c>
      <c r="AT76" s="964" t="e">
        <f>INDEX(tblIndicators!$G$2:$G$128,AR76)</f>
        <v>#N/A</v>
      </c>
      <c r="AU76" s="964" t="e">
        <f>REPT(" ",AT76)&amp;IF($AR76="","",INDEX(tblIndicators!$AL$2:$AL$128,$AR76))</f>
        <v>#N/A</v>
      </c>
      <c r="AV76" s="964" t="e">
        <f t="shared" si="34"/>
        <v>#N/A</v>
      </c>
      <c r="AW76" s="964" t="e">
        <f t="shared" si="35"/>
        <v>#N/A</v>
      </c>
      <c r="AX76" s="964" t="e">
        <f>IF($AR76="","",INDEX(tblIndicators!$AL$2:$AL$128,AR76))</f>
        <v>#N/A</v>
      </c>
      <c r="BB76" s="967"/>
    </row>
    <row r="77" spans="1:54" ht="20.25" customHeight="1">
      <c r="A77" s="61" t="str">
        <f t="shared" si="37"/>
        <v>SUST4_3</v>
      </c>
      <c r="B77" s="535">
        <f>IF(A77="","",MATCH(A77,tblIndicators!$E$2:$E$71,0))</f>
        <v>66</v>
      </c>
      <c r="C77" s="535" t="str">
        <f>REPT(" ",D77)&amp;IF($A77="","",INDEX(tblIndicators!$AL$2:$AL$71,$B77))</f>
        <v xml:space="preserve">  4.3) Pollution</v>
      </c>
      <c r="D77" s="535">
        <f>INDEX(tblIndicators!$G$2:$G$71,B77)</f>
        <v>2</v>
      </c>
      <c r="E77" s="535" t="str">
        <f>REPT(" ",D77)&amp;IF($A77="","",INDEX(tblIndicators!$AM$2:$AM$71,$B77))</f>
        <v xml:space="preserve">  4.3) Pollution</v>
      </c>
      <c r="F77" s="535" t="str">
        <f t="shared" si="38"/>
        <v>4.3) Pollution</v>
      </c>
      <c r="H77" s="535" t="str" cm="1">
        <f t="array" ref="H77">INDEX(tblIndicators!$K$2:$K$71,$B77)</f>
        <v>Pollution</v>
      </c>
      <c r="O77" s="48"/>
      <c r="P77" s="330"/>
      <c r="Q77" s="864" t="s">
        <v>876</v>
      </c>
      <c r="X77" s="331"/>
      <c r="Y77" s="331">
        <f t="shared" si="2"/>
        <v>74</v>
      </c>
      <c r="Z77" s="535" t="str">
        <f t="shared" si="29"/>
        <v>BG.11_4</v>
      </c>
      <c r="AA77" s="535">
        <f>IF(Z77="","",MATCH(Z77,tblIndicators!E$2:E$85,0))</f>
        <v>75</v>
      </c>
      <c r="AB77" s="535" t="str">
        <f>IF($AA77="","",REPT(" ",AC77)&amp;(INDEX(tblIndicators!AM$2:AM$85,$AA77)))</f>
        <v xml:space="preserve">   BG_1.4) Gender Inequality Index</v>
      </c>
      <c r="AC77" s="535">
        <f>IF($AA77="","",INDEX(tblIndicators!G$2:G$85,$AA77))</f>
        <v>3</v>
      </c>
      <c r="AD77" s="330"/>
      <c r="AE77" s="541" t="str">
        <f t="shared" si="36"/>
        <v>BG.11_4</v>
      </c>
      <c r="AF77" s="48"/>
      <c r="AH77" s="48"/>
      <c r="AI77" s="48"/>
      <c r="AJ77" s="48"/>
      <c r="AK77" s="48"/>
      <c r="AM77" s="967">
        <f t="shared" si="32"/>
        <v>74</v>
      </c>
      <c r="AN77" s="964">
        <f t="shared" si="32"/>
        <v>74</v>
      </c>
      <c r="AP77" s="964">
        <f t="shared" si="33"/>
        <v>74</v>
      </c>
      <c r="AQ77" s="964" t="str">
        <f t="shared" si="30"/>
        <v/>
      </c>
      <c r="AR77" s="964" t="e">
        <f>MATCH(AQ77,tblIndicators!$E$2:$E$128,0)</f>
        <v>#N/A</v>
      </c>
      <c r="AS77" s="964" t="e">
        <f>REPT(" ",AT77)&amp;IF($AR77="","",INDEX(tblIndicators!$AL$2:$AL$128,AR77))</f>
        <v>#N/A</v>
      </c>
      <c r="AT77" s="964" t="e">
        <f>INDEX(tblIndicators!$G$2:$G$128,AR77)</f>
        <v>#N/A</v>
      </c>
      <c r="AU77" s="964" t="e">
        <f>REPT(" ",AT77)&amp;IF($AR77="","",INDEX(tblIndicators!$AL$2:$AL$128,$AR77))</f>
        <v>#N/A</v>
      </c>
      <c r="AV77" s="964" t="e">
        <f t="shared" si="34"/>
        <v>#N/A</v>
      </c>
      <c r="AW77" s="964" t="e">
        <f t="shared" si="35"/>
        <v>#N/A</v>
      </c>
      <c r="AX77" s="964" t="e">
        <f>IF($AR77="","",INDEX(tblIndicators!$AL$2:$AL$128,AR77))</f>
        <v>#N/A</v>
      </c>
      <c r="BB77" s="967"/>
    </row>
    <row r="78" spans="1:54" ht="20.25" customHeight="1">
      <c r="A78" s="61" t="str">
        <f t="shared" si="37"/>
        <v>SUST4_3_1</v>
      </c>
      <c r="B78" s="535">
        <f>IF(A78="","",MATCH(A78,tblIndicators!$E$2:$E$71,0))</f>
        <v>67</v>
      </c>
      <c r="C78" s="535" t="str">
        <f>REPT(" ",D78)&amp;IF($A78="","",INDEX(tblIndicators!$AL$2:$AL$71,$B78))</f>
        <v xml:space="preserve">   4.3.1) Air pollution</v>
      </c>
      <c r="D78" s="535">
        <f>INDEX(tblIndicators!$G$2:$G$71,B78)</f>
        <v>3</v>
      </c>
      <c r="E78" s="535" t="str">
        <f>REPT(" ",D78)&amp;IF($A78="","",INDEX(tblIndicators!$AM$2:$AM$71,$B78))</f>
        <v xml:space="preserve">   4.3.1) Air pollution</v>
      </c>
      <c r="F78" s="535" t="str">
        <f t="shared" si="38"/>
        <v>4.3.1) Air pollution</v>
      </c>
      <c r="H78" s="535" t="str" cm="1">
        <f t="array" ref="H78">INDEX(tblIndicators!$K$2:$K$71,$B78)</f>
        <v>4.3.1</v>
      </c>
      <c r="O78" s="48"/>
      <c r="P78" s="330"/>
      <c r="Q78" s="864" t="s">
        <v>877</v>
      </c>
      <c r="X78" s="331"/>
      <c r="Y78" s="331">
        <f t="shared" si="2"/>
        <v>75</v>
      </c>
      <c r="Z78" s="535" t="str">
        <f t="shared" si="29"/>
        <v>BG.11_5</v>
      </c>
      <c r="AA78" s="535">
        <f>IF(Z78="","",MATCH(Z78,tblIndicators!E$2:E$85,0))</f>
        <v>76</v>
      </c>
      <c r="AB78" s="535" t="str">
        <f>IF($AA78="","",REPT(" ",AC78)&amp;(INDEX(tblIndicators!AM$2:AM$85,$AA78)))</f>
        <v xml:space="preserve">   BG_1.5) Per capita income</v>
      </c>
      <c r="AC78" s="535">
        <f>IF($AA78="","",INDEX(tblIndicators!G$2:G$85,$AA78))</f>
        <v>3</v>
      </c>
      <c r="AD78" s="330"/>
      <c r="AE78" s="541" t="str">
        <f t="shared" si="36"/>
        <v>BG.11_5</v>
      </c>
      <c r="AF78" s="48"/>
      <c r="AH78" s="48"/>
      <c r="AI78" s="48"/>
      <c r="AJ78" s="48"/>
      <c r="AK78" s="48"/>
      <c r="AM78" s="967">
        <f t="shared" si="32"/>
        <v>75</v>
      </c>
      <c r="AN78" s="964">
        <f t="shared" si="32"/>
        <v>75</v>
      </c>
      <c r="AP78" s="964">
        <f t="shared" si="33"/>
        <v>75</v>
      </c>
      <c r="AQ78" s="964" t="str">
        <f t="shared" si="30"/>
        <v/>
      </c>
      <c r="AR78" s="964" t="e">
        <f>MATCH(AQ78,tblIndicators!$E$2:$E$128,0)</f>
        <v>#N/A</v>
      </c>
      <c r="AS78" s="964" t="e">
        <f>REPT(" ",AT78)&amp;IF($AR78="","",INDEX(tblIndicators!$AL$2:$AL$128,AR78))</f>
        <v>#N/A</v>
      </c>
      <c r="AT78" s="964" t="e">
        <f>INDEX(tblIndicators!$G$2:$G$128,AR78)</f>
        <v>#N/A</v>
      </c>
      <c r="AU78" s="964" t="e">
        <f>REPT(" ",AT78)&amp;IF($AR78="","",INDEX(tblIndicators!$AL$2:$AL$128,$AR78))</f>
        <v>#N/A</v>
      </c>
      <c r="AV78" s="964" t="e">
        <f t="shared" si="34"/>
        <v>#N/A</v>
      </c>
      <c r="AW78" s="964" t="e">
        <f t="shared" si="35"/>
        <v>#N/A</v>
      </c>
      <c r="AX78" s="964" t="e">
        <f>IF($AR78="","",INDEX(tblIndicators!$AL$2:$AL$128,AR78))</f>
        <v>#N/A</v>
      </c>
      <c r="BB78" s="967"/>
    </row>
    <row r="79" spans="1:54" ht="20.25" customHeight="1">
      <c r="A79" s="61" t="str">
        <f t="shared" si="37"/>
        <v>SUST4_4</v>
      </c>
      <c r="B79" s="535">
        <f>IF(A79="","",MATCH(A79,tblIndicators!$E$2:$E$71,0))</f>
        <v>68</v>
      </c>
      <c r="C79" s="535" t="str">
        <f>REPT(" ",D79)&amp;IF($A79="","",INDEX(tblIndicators!$AL$2:$AL$71,$B79))</f>
        <v xml:space="preserve">  4.4) Circular economy</v>
      </c>
      <c r="D79" s="535">
        <f>INDEX(tblIndicators!$G$2:$G$71,B79)</f>
        <v>2</v>
      </c>
      <c r="E79" s="535" t="str">
        <f>REPT(" ",D79)&amp;IF($A79="","",INDEX(tblIndicators!$AM$2:$AM$71,$B79))</f>
        <v xml:space="preserve">  4.4) Circular economy</v>
      </c>
      <c r="F79" s="535" t="str">
        <f t="shared" si="38"/>
        <v>4.4) Circular economy</v>
      </c>
      <c r="H79" s="535" t="str" cm="1">
        <f t="array" ref="H79">INDEX(tblIndicators!$K$2:$K$71,$B79)</f>
        <v>Circular economy</v>
      </c>
      <c r="O79" s="48"/>
      <c r="P79" s="330"/>
      <c r="Q79" s="864" t="s">
        <v>878</v>
      </c>
      <c r="X79" s="331"/>
      <c r="AH79" s="48"/>
      <c r="AI79" s="48"/>
      <c r="AJ79" s="48"/>
      <c r="AK79" s="48"/>
      <c r="AM79" s="967">
        <f t="shared" si="32"/>
        <v>76</v>
      </c>
      <c r="AN79" s="964">
        <f t="shared" si="32"/>
        <v>76</v>
      </c>
      <c r="AP79" s="964">
        <f t="shared" si="33"/>
        <v>76</v>
      </c>
      <c r="AQ79" s="964" t="str">
        <f t="shared" si="30"/>
        <v/>
      </c>
      <c r="AR79" s="964" t="e">
        <f>MATCH(AQ79,tblIndicators!$E$2:$E$128,0)</f>
        <v>#N/A</v>
      </c>
      <c r="AS79" s="964" t="e">
        <f>REPT(" ",AT79)&amp;IF($AR79="","",INDEX(tblIndicators!$AL$2:$AL$128,AR79))</f>
        <v>#N/A</v>
      </c>
      <c r="AT79" s="964" t="e">
        <f>INDEX(tblIndicators!$G$2:$G$128,AR79)</f>
        <v>#N/A</v>
      </c>
      <c r="AU79" s="964" t="e">
        <f>REPT(" ",AT79)&amp;IF($AR79="","",INDEX(tblIndicators!$AL$2:$AL$128,$AR79))</f>
        <v>#N/A</v>
      </c>
      <c r="AV79" s="964" t="e">
        <f t="shared" si="34"/>
        <v>#N/A</v>
      </c>
      <c r="AW79" s="964" t="e">
        <f t="shared" si="35"/>
        <v>#N/A</v>
      </c>
      <c r="AX79" s="964" t="e">
        <f>IF($AR79="","",INDEX(tblIndicators!$AL$2:$AL$128,AR79))</f>
        <v>#N/A</v>
      </c>
      <c r="BB79" s="967"/>
    </row>
    <row r="80" spans="1:54" ht="20.25" customHeight="1">
      <c r="A80" s="61" t="str">
        <f t="shared" si="37"/>
        <v>SUST4_4_1</v>
      </c>
      <c r="B80" s="535">
        <f>IF(A80="","",MATCH(A80,tblIndicators!$E$2:$E$71,0))</f>
        <v>69</v>
      </c>
      <c r="C80" s="535" t="str">
        <f>REPT(" ",D80)&amp;IF($A80="","",INDEX(tblIndicators!$AL$2:$AL$71,$B80))</f>
        <v xml:space="preserve">   4.4.1) Sharing economy development</v>
      </c>
      <c r="D80" s="535">
        <f>INDEX(tblIndicators!$G$2:$G$71,B80)</f>
        <v>3</v>
      </c>
      <c r="E80" s="535" t="str">
        <f>REPT(" ",D80)&amp;IF($A80="","",INDEX(tblIndicators!$AM$2:$AM$71,$B80))</f>
        <v xml:space="preserve">   4.4.1) Development of sharing economy </v>
      </c>
      <c r="F80" s="535" t="str">
        <f t="shared" si="38"/>
        <v>4.4.1) Development of sharing economy</v>
      </c>
      <c r="H80" s="535" t="str" cm="1">
        <f t="array" ref="H80">INDEX(tblIndicators!$K$2:$K$71,$B80)</f>
        <v>4.4.1</v>
      </c>
      <c r="O80" s="48"/>
      <c r="X80" s="331"/>
      <c r="AH80" s="48"/>
      <c r="AI80" s="48"/>
      <c r="AJ80" s="48"/>
      <c r="AK80" s="48"/>
      <c r="AM80" s="967">
        <f t="shared" si="32"/>
        <v>77</v>
      </c>
      <c r="AN80" s="964">
        <f t="shared" si="32"/>
        <v>77</v>
      </c>
      <c r="AP80" s="964">
        <f t="shared" si="33"/>
        <v>77</v>
      </c>
      <c r="AQ80" s="964" t="str">
        <f t="shared" si="30"/>
        <v/>
      </c>
      <c r="AR80" s="964" t="e">
        <f>MATCH(AQ80,tblIndicators!$E$2:$E$128,0)</f>
        <v>#N/A</v>
      </c>
      <c r="AS80" s="964" t="e">
        <f>REPT(" ",AT80)&amp;IF($AR80="","",INDEX(tblIndicators!$AL$2:$AL$128,AR80))</f>
        <v>#N/A</v>
      </c>
      <c r="AT80" s="964" t="e">
        <f>INDEX(tblIndicators!$G$2:$G$128,AR80)</f>
        <v>#N/A</v>
      </c>
      <c r="AU80" s="964" t="e">
        <f>REPT(" ",AT80)&amp;IF($AR80="","",INDEX(tblIndicators!$AL$2:$AL$128,$AR80))</f>
        <v>#N/A</v>
      </c>
      <c r="AV80" s="964" t="e">
        <f t="shared" si="34"/>
        <v>#N/A</v>
      </c>
      <c r="AW80" s="964" t="e">
        <f t="shared" si="35"/>
        <v>#N/A</v>
      </c>
      <c r="AX80" s="964" t="e">
        <f>IF($AR80="","",INDEX(tblIndicators!$AL$2:$AL$128,AR80))</f>
        <v>#N/A</v>
      </c>
      <c r="BB80" s="967"/>
    </row>
    <row r="81" spans="1:54" ht="20.25" customHeight="1">
      <c r="A81" s="61" t="str">
        <f t="shared" si="37"/>
        <v>SUST4_4_2</v>
      </c>
      <c r="B81" s="535">
        <f>IF(A81="","",MATCH(A81,tblIndicators!$E$2:$E$71,0))</f>
        <v>70</v>
      </c>
      <c r="C81" s="535" t="str">
        <f>REPT(" ",D81)&amp;IF($A81="","",INDEX(tblIndicators!$AL$2:$AL$71,$B81))</f>
        <v xml:space="preserve">   4.4.2) E-waste management</v>
      </c>
      <c r="D81" s="535">
        <f>INDEX(tblIndicators!$G$2:$G$71,B81)</f>
        <v>3</v>
      </c>
      <c r="E81" s="535" t="str">
        <f>REPT(" ",D81)&amp;IF($A81="","",INDEX(tblIndicators!$AM$2:$AM$71,$B81))</f>
        <v xml:space="preserve">   4.4.2) E-waste management</v>
      </c>
      <c r="F81" s="535" t="str">
        <f t="shared" si="38"/>
        <v>4.4.2) E-waste management</v>
      </c>
      <c r="H81" s="535" t="str" cm="1">
        <f t="array" ref="H81">INDEX(tblIndicators!$K$2:$K$71,$B81)</f>
        <v>4.4.2</v>
      </c>
      <c r="O81" s="48"/>
      <c r="X81" s="331"/>
      <c r="AH81" s="48"/>
      <c r="AI81" s="48"/>
      <c r="AJ81" s="48"/>
      <c r="AK81" s="48"/>
      <c r="AM81" s="967">
        <f t="shared" si="32"/>
        <v>78</v>
      </c>
      <c r="AN81" s="964">
        <f t="shared" si="32"/>
        <v>78</v>
      </c>
      <c r="AP81" s="964">
        <f t="shared" si="33"/>
        <v>78</v>
      </c>
      <c r="AQ81" s="964" t="str">
        <f t="shared" si="30"/>
        <v/>
      </c>
      <c r="AR81" s="964" t="e">
        <f>MATCH(AQ81,tblIndicators!$E$2:$E$128,0)</f>
        <v>#N/A</v>
      </c>
      <c r="AS81" s="964" t="e">
        <f>REPT(" ",AT81)&amp;IF($AR81="","",INDEX(tblIndicators!$AL$2:$AL$128,AR81))</f>
        <v>#N/A</v>
      </c>
      <c r="AT81" s="964" t="e">
        <f>INDEX(tblIndicators!$G$2:$G$128,AR81)</f>
        <v>#N/A</v>
      </c>
      <c r="AU81" s="964" t="e">
        <f>REPT(" ",AT81)&amp;IF($AR81="","",INDEX(tblIndicators!$AL$2:$AL$128,$AR81))</f>
        <v>#N/A</v>
      </c>
      <c r="AV81" s="964" t="e">
        <f t="shared" si="34"/>
        <v>#N/A</v>
      </c>
      <c r="AW81" s="964" t="e">
        <f t="shared" si="35"/>
        <v>#N/A</v>
      </c>
      <c r="AX81" s="964" t="e">
        <f>IF($AR81="","",INDEX(tblIndicators!$AL$2:$AL$128,AR81))</f>
        <v>#N/A</v>
      </c>
      <c r="BB81" s="967"/>
    </row>
    <row r="82" spans="1:54" ht="20.25" customHeight="1">
      <c r="A82" s="547"/>
      <c r="X82" s="331"/>
      <c r="AH82" s="48"/>
      <c r="AI82" s="48"/>
      <c r="AJ82" s="48"/>
      <c r="AK82" s="48"/>
      <c r="AM82" s="967">
        <f t="shared" si="32"/>
        <v>79</v>
      </c>
      <c r="AN82" s="964">
        <f t="shared" si="32"/>
        <v>79</v>
      </c>
      <c r="AP82" s="964">
        <f t="shared" si="33"/>
        <v>79</v>
      </c>
      <c r="AQ82" s="964" t="str">
        <f t="shared" si="30"/>
        <v/>
      </c>
      <c r="AR82" s="964" t="e">
        <f>MATCH(AQ82,tblIndicators!$E$2:$E$128,0)</f>
        <v>#N/A</v>
      </c>
      <c r="AS82" s="964" t="e">
        <f>REPT(" ",AT82)&amp;IF($AR82="","",INDEX(tblIndicators!$AL$2:$AL$128,AR82))</f>
        <v>#N/A</v>
      </c>
      <c r="AT82" s="964" t="e">
        <f>INDEX(tblIndicators!$G$2:$G$128,AR82)</f>
        <v>#N/A</v>
      </c>
      <c r="AU82" s="964" t="e">
        <f>REPT(" ",AT82)&amp;IF($AR82="","",INDEX(tblIndicators!$AL$2:$AL$128,$AR82))</f>
        <v>#N/A</v>
      </c>
      <c r="AV82" s="964" t="e">
        <f t="shared" si="34"/>
        <v>#N/A</v>
      </c>
      <c r="AW82" s="964" t="e">
        <f t="shared" si="35"/>
        <v>#N/A</v>
      </c>
      <c r="AX82" s="964" t="e">
        <f>IF($AR82="","",INDEX(tblIndicators!$AL$2:$AL$128,AR82))</f>
        <v>#N/A</v>
      </c>
      <c r="BB82" s="967"/>
    </row>
    <row r="83" spans="1:54" ht="20.25" customHeight="1">
      <c r="A83" s="547"/>
      <c r="X83" s="331"/>
      <c r="AH83" s="48"/>
      <c r="AI83" s="48"/>
      <c r="AJ83" s="48"/>
      <c r="AK83" s="48"/>
      <c r="AM83" s="967">
        <f t="shared" si="32"/>
        <v>80</v>
      </c>
      <c r="AN83" s="964">
        <f t="shared" si="32"/>
        <v>80</v>
      </c>
      <c r="AP83" s="964">
        <f t="shared" si="33"/>
        <v>80</v>
      </c>
      <c r="AQ83" s="964" t="str">
        <f t="shared" si="30"/>
        <v/>
      </c>
      <c r="AR83" s="964" t="e">
        <f>MATCH(AQ83,tblIndicators!$E$2:$E$128,0)</f>
        <v>#N/A</v>
      </c>
      <c r="AS83" s="964" t="e">
        <f>REPT(" ",AT83)&amp;IF($AR83="","",INDEX(tblIndicators!$AL$2:$AL$128,AR83))</f>
        <v>#N/A</v>
      </c>
      <c r="AT83" s="964" t="e">
        <f>INDEX(tblIndicators!$G$2:$G$128,AR83)</f>
        <v>#N/A</v>
      </c>
      <c r="AU83" s="964" t="e">
        <f>REPT(" ",AT83)&amp;IF($AR83="","",INDEX(tblIndicators!$AL$2:$AL$128,$AR83))</f>
        <v>#N/A</v>
      </c>
      <c r="AV83" s="964" t="e">
        <f t="shared" si="34"/>
        <v>#N/A</v>
      </c>
      <c r="AW83" s="964" t="e">
        <f t="shared" si="35"/>
        <v>#N/A</v>
      </c>
      <c r="AX83" s="964" t="e">
        <f>IF($AR83="","",INDEX(tblIndicators!$AL$2:$AL$128,AR83))</f>
        <v>#N/A</v>
      </c>
      <c r="BB83" s="967"/>
    </row>
    <row r="84" spans="1:54" ht="20.25" customHeight="1">
      <c r="A84" s="548"/>
      <c r="B84" s="535">
        <f>COUNT(B86:B107)</f>
        <v>22</v>
      </c>
      <c r="E84" s="549"/>
      <c r="F84" s="549"/>
      <c r="G84" s="549"/>
      <c r="H84" s="549"/>
      <c r="I84" s="549"/>
      <c r="J84" s="549"/>
      <c r="K84" s="550"/>
      <c r="L84" s="550"/>
      <c r="M84" s="550"/>
      <c r="N84" s="550"/>
      <c r="X84" s="331"/>
      <c r="AH84" s="48"/>
      <c r="AI84" s="48"/>
      <c r="AJ84" s="48"/>
      <c r="AK84" s="48"/>
      <c r="AM84" s="967">
        <f t="shared" si="32"/>
        <v>81</v>
      </c>
      <c r="AN84" s="964">
        <f t="shared" si="32"/>
        <v>81</v>
      </c>
      <c r="AP84" s="964">
        <f t="shared" si="33"/>
        <v>81</v>
      </c>
      <c r="AQ84" s="964" t="str">
        <f t="shared" si="30"/>
        <v/>
      </c>
      <c r="AR84" s="964" t="e">
        <f>MATCH(AQ84,tblIndicators!$E$2:$E$128,0)</f>
        <v>#N/A</v>
      </c>
      <c r="AS84" s="964" t="e">
        <f>REPT(" ",AT84)&amp;IF($AR84="","",INDEX(tblIndicators!$AL$2:$AL$128,AR84))</f>
        <v>#N/A</v>
      </c>
      <c r="AT84" s="964" t="e">
        <f>INDEX(tblIndicators!$G$2:$G$128,AR84)</f>
        <v>#N/A</v>
      </c>
      <c r="AU84" s="964" t="e">
        <f>REPT(" ",AT84)&amp;IF($AR84="","",INDEX(tblIndicators!$AL$2:$AL$128,$AR84))</f>
        <v>#N/A</v>
      </c>
      <c r="AV84" s="964" t="e">
        <f t="shared" si="34"/>
        <v>#N/A</v>
      </c>
      <c r="AW84" s="964" t="e">
        <f t="shared" si="35"/>
        <v>#N/A</v>
      </c>
      <c r="AX84" s="964" t="e">
        <f>IF($AR84="","",INDEX(tblIndicators!$AL$2:$AL$128,AR84))</f>
        <v>#N/A</v>
      </c>
      <c r="BB84" s="967"/>
    </row>
    <row r="85" spans="1:54" ht="20.25" customHeight="1">
      <c r="A85" s="543" t="s">
        <v>881</v>
      </c>
      <c r="E85" s="549"/>
      <c r="F85" s="549"/>
      <c r="G85" s="549"/>
      <c r="H85" s="549"/>
      <c r="I85" s="549"/>
      <c r="J85" s="549"/>
      <c r="K85" s="550"/>
      <c r="L85" s="550"/>
      <c r="M85" s="550"/>
      <c r="N85" s="550"/>
      <c r="X85" s="331"/>
      <c r="AH85" s="48"/>
      <c r="AI85" s="48"/>
      <c r="AJ85" s="48"/>
      <c r="AK85" s="48"/>
      <c r="AM85" s="967">
        <f t="shared" ref="AM85:AN100" si="39">AM84+1</f>
        <v>82</v>
      </c>
      <c r="AN85" s="964">
        <f t="shared" si="39"/>
        <v>82</v>
      </c>
      <c r="AP85" s="964">
        <f t="shared" si="33"/>
        <v>82</v>
      </c>
      <c r="AQ85" s="964" t="str">
        <f t="shared" si="30"/>
        <v/>
      </c>
      <c r="AR85" s="964" t="e">
        <f>MATCH(AQ85,tblIndicators!$E$2:$E$128,0)</f>
        <v>#N/A</v>
      </c>
      <c r="AS85" s="964" t="e">
        <f>REPT(" ",AT85)&amp;IF($AR85="","",INDEX(tblIndicators!$AL$2:$AL$128,AR85))</f>
        <v>#N/A</v>
      </c>
      <c r="AT85" s="964" t="e">
        <f>INDEX(tblIndicators!$G$2:$G$128,AR85)</f>
        <v>#N/A</v>
      </c>
      <c r="AU85" s="964" t="e">
        <f>REPT(" ",AT85)&amp;IF($AR85="","",INDEX(tblIndicators!$AL$2:$AL$128,$AR85))</f>
        <v>#N/A</v>
      </c>
      <c r="AV85" s="964" t="e">
        <f t="shared" si="34"/>
        <v>#N/A</v>
      </c>
      <c r="AW85" s="964" t="e">
        <f t="shared" si="35"/>
        <v>#N/A</v>
      </c>
      <c r="AX85" s="964" t="e">
        <f>IF($AR85="","",INDEX(tblIndicators!$AL$2:$AL$128,AR85))</f>
        <v>#N/A</v>
      </c>
      <c r="BB85" s="967"/>
    </row>
    <row r="86" spans="1:54" ht="20.25" customHeight="1">
      <c r="A86" s="60" t="str">
        <f>S4</f>
        <v>OVERALL</v>
      </c>
      <c r="B86" s="535">
        <f>IF(A86="","",MATCH(A86,tblIndicators!E$2:E$71,0))</f>
        <v>1</v>
      </c>
      <c r="C86" s="535" t="str">
        <f>IF($A86="","",INDEX(tblIndicators!AL$2:AL$71,$B86))</f>
        <v>OVERALL SCORE</v>
      </c>
      <c r="E86" s="549" t="str">
        <f>IF($A86="","",INDEX(tblIndicators!AM$2:AM$71,$B86))</f>
        <v>OVERALL SCORE</v>
      </c>
      <c r="F86" s="549"/>
      <c r="G86" s="549"/>
      <c r="H86" s="549"/>
      <c r="I86" s="549"/>
      <c r="J86" s="549"/>
      <c r="K86" s="550"/>
      <c r="L86" s="550"/>
      <c r="M86" s="550"/>
      <c r="N86" s="550"/>
      <c r="X86" s="331"/>
      <c r="AH86" s="48"/>
      <c r="AI86" s="48"/>
      <c r="AJ86" s="48"/>
      <c r="AK86" s="48"/>
      <c r="AM86" s="967">
        <f t="shared" si="39"/>
        <v>83</v>
      </c>
      <c r="AN86" s="964">
        <f t="shared" si="39"/>
        <v>83</v>
      </c>
      <c r="AP86" s="964">
        <f t="shared" si="33"/>
        <v>83</v>
      </c>
      <c r="AQ86" s="964" t="str">
        <f t="shared" si="30"/>
        <v/>
      </c>
      <c r="AR86" s="964" t="e">
        <f>MATCH(AQ86,tblIndicators!$E$2:$E$128,0)</f>
        <v>#N/A</v>
      </c>
      <c r="AS86" s="964" t="e">
        <f>REPT(" ",AT86)&amp;IF($AR86="","",INDEX(tblIndicators!$AL$2:$AL$128,AR86))</f>
        <v>#N/A</v>
      </c>
      <c r="AT86" s="964" t="e">
        <f>INDEX(tblIndicators!$G$2:$G$128,AR86)</f>
        <v>#N/A</v>
      </c>
      <c r="AU86" s="964" t="e">
        <f>REPT(" ",AT86)&amp;IF($AR86="","",INDEX(tblIndicators!$AL$2:$AL$128,$AR86))</f>
        <v>#N/A</v>
      </c>
      <c r="AV86" s="964" t="e">
        <f t="shared" si="34"/>
        <v>#N/A</v>
      </c>
      <c r="AW86" s="964" t="e">
        <f t="shared" si="35"/>
        <v>#N/A</v>
      </c>
      <c r="AX86" s="964" t="e">
        <f>IF($AR86="","",INDEX(tblIndicators!$AL$2:$AL$128,AR86))</f>
        <v>#N/A</v>
      </c>
      <c r="BB86" s="967"/>
    </row>
    <row r="87" spans="1:54" ht="20.25" customHeight="1">
      <c r="A87" s="60" t="str">
        <f t="shared" ref="A87:A94" si="40">S5</f>
        <v>CNTY</v>
      </c>
      <c r="B87" s="535">
        <f>IF(A87="","",MATCH(A87,tblIndicators!E$2:E$71,0))</f>
        <v>2</v>
      </c>
      <c r="C87" s="535" t="str">
        <f>IF($A87="","",INDEX(tblIndicators!AL$2:AL$71,$B87))</f>
        <v>1) CONNECTIVITY</v>
      </c>
      <c r="E87" s="549" t="str">
        <f>IF($A87="","",INDEX(tblIndicators!AM$2:AM$71,$B87))</f>
        <v>1) CONNECTIVITY</v>
      </c>
      <c r="F87" s="549"/>
      <c r="G87" s="549"/>
      <c r="H87" s="549"/>
      <c r="I87" s="549"/>
      <c r="J87" s="549"/>
      <c r="K87" s="550"/>
      <c r="L87" s="550"/>
      <c r="M87" s="550"/>
      <c r="N87" s="550"/>
      <c r="X87" s="331"/>
      <c r="AH87" s="48"/>
      <c r="AI87" s="48"/>
      <c r="AJ87" s="48"/>
      <c r="AK87" s="48"/>
      <c r="AM87" s="967">
        <f t="shared" si="39"/>
        <v>84</v>
      </c>
      <c r="AN87" s="964">
        <f t="shared" si="39"/>
        <v>84</v>
      </c>
      <c r="AP87" s="964">
        <f t="shared" si="33"/>
        <v>84</v>
      </c>
      <c r="AQ87" s="964" t="str">
        <f t="shared" si="30"/>
        <v/>
      </c>
      <c r="AR87" s="964" t="e">
        <f>MATCH(AQ87,tblIndicators!$E$2:$E$128,0)</f>
        <v>#N/A</v>
      </c>
      <c r="AS87" s="964" t="e">
        <f>REPT(" ",AT87)&amp;IF($AR87="","",INDEX(tblIndicators!$AL$2:$AL$128,AR87))</f>
        <v>#N/A</v>
      </c>
      <c r="AT87" s="964" t="e">
        <f>INDEX(tblIndicators!$G$2:$G$128,AR87)</f>
        <v>#N/A</v>
      </c>
      <c r="AU87" s="964" t="e">
        <f>REPT(" ",AT87)&amp;IF($AR87="","",INDEX(tblIndicators!$AL$2:$AL$128,$AR87))</f>
        <v>#N/A</v>
      </c>
      <c r="AV87" s="964" t="e">
        <f t="shared" si="34"/>
        <v>#N/A</v>
      </c>
      <c r="AW87" s="964" t="e">
        <f t="shared" si="35"/>
        <v>#N/A</v>
      </c>
      <c r="AX87" s="964" t="e">
        <f>IF($AR87="","",INDEX(tblIndicators!$AL$2:$AL$128,AR87))</f>
        <v>#N/A</v>
      </c>
    </row>
    <row r="88" spans="1:54" ht="20.25" customHeight="1">
      <c r="A88" s="60" t="str">
        <f t="shared" si="40"/>
        <v>CNTY1_1</v>
      </c>
      <c r="B88" s="535">
        <f>IF(A88="","",MATCH(A88,tblIndicators!E$2:E$71,0))</f>
        <v>3</v>
      </c>
      <c r="C88" s="535" t="str">
        <f>IF($A88="","",INDEX(tblIndicators!AL$2:AL$71,$B88))</f>
        <v>1.1) Digital infrastructure</v>
      </c>
      <c r="E88" s="549" t="str">
        <f>IF($A88="","",INDEX(tblIndicators!AM$2:AM$71,$B88))</f>
        <v>1.1) Digital infrastructure</v>
      </c>
      <c r="F88" s="549"/>
      <c r="G88" s="549"/>
      <c r="H88" s="549"/>
      <c r="I88" s="549"/>
      <c r="J88" s="549"/>
      <c r="K88" s="550"/>
      <c r="L88" s="550"/>
      <c r="M88" s="550"/>
      <c r="N88" s="550"/>
      <c r="X88" s="331"/>
      <c r="AH88" s="48"/>
      <c r="AI88" s="48"/>
      <c r="AJ88" s="48"/>
      <c r="AK88" s="48"/>
      <c r="AM88" s="967">
        <f t="shared" si="39"/>
        <v>85</v>
      </c>
      <c r="AN88" s="964">
        <f t="shared" si="39"/>
        <v>85</v>
      </c>
      <c r="AP88" s="964">
        <f t="shared" si="33"/>
        <v>85</v>
      </c>
      <c r="AQ88" s="964" t="str">
        <f t="shared" si="30"/>
        <v/>
      </c>
      <c r="AR88" s="964" t="e">
        <f>MATCH(AQ88,tblIndicators!$E$2:$E$128,0)</f>
        <v>#N/A</v>
      </c>
      <c r="AS88" s="964" t="e">
        <f>REPT(" ",AT88)&amp;IF($AR88="","",INDEX(tblIndicators!$AL$2:$AL$128,AR88))</f>
        <v>#N/A</v>
      </c>
      <c r="AT88" s="964" t="e">
        <f>INDEX(tblIndicators!$G$2:$G$128,AR88)</f>
        <v>#N/A</v>
      </c>
      <c r="AU88" s="964" t="e">
        <f>REPT(" ",AT88)&amp;IF($AR88="","",INDEX(tblIndicators!$AL$2:$AL$128,$AR88))</f>
        <v>#N/A</v>
      </c>
      <c r="AV88" s="964" t="e">
        <f t="shared" si="34"/>
        <v>#N/A</v>
      </c>
      <c r="AW88" s="964" t="e">
        <f t="shared" si="35"/>
        <v>#N/A</v>
      </c>
      <c r="AX88" s="964" t="e">
        <f>IF($AR88="","",INDEX(tblIndicators!$AL$2:$AL$128,AR88))</f>
        <v>#N/A</v>
      </c>
    </row>
    <row r="89" spans="1:54" ht="20.25" customHeight="1">
      <c r="A89" s="60" t="str">
        <f t="shared" si="40"/>
        <v>CNTY1_2</v>
      </c>
      <c r="B89" s="535">
        <f>IF(A89="","",MATCH(A89,tblIndicators!E$2:E$71,0))</f>
        <v>8</v>
      </c>
      <c r="C89" s="535" t="str">
        <f>IF($A89="","",INDEX(tblIndicators!AL$2:AL$71,$B89))</f>
        <v>1.2) Quality</v>
      </c>
      <c r="E89" s="549" t="str">
        <f>IF($A89="","",INDEX(tblIndicators!AM$2:AM$71,$B89))</f>
        <v>1.2) Quality</v>
      </c>
      <c r="F89" s="549"/>
      <c r="G89" s="549"/>
      <c r="H89" s="549"/>
      <c r="I89" s="549"/>
      <c r="J89" s="549"/>
      <c r="K89" s="550"/>
      <c r="L89" s="550"/>
      <c r="M89" s="550"/>
      <c r="N89" s="550"/>
      <c r="X89" s="331"/>
      <c r="AH89" s="48"/>
      <c r="AI89" s="48"/>
      <c r="AJ89" s="48"/>
      <c r="AK89" s="48"/>
      <c r="AM89" s="967">
        <f t="shared" si="39"/>
        <v>86</v>
      </c>
      <c r="AN89" s="964">
        <f t="shared" si="39"/>
        <v>86</v>
      </c>
      <c r="AP89" s="964">
        <f t="shared" si="33"/>
        <v>86</v>
      </c>
      <c r="AQ89" s="964" t="str">
        <f t="shared" si="30"/>
        <v/>
      </c>
      <c r="AR89" s="964" t="e">
        <f>MATCH(AQ89,tblIndicators!$E$2:$E$128,0)</f>
        <v>#N/A</v>
      </c>
      <c r="AS89" s="964" t="e">
        <f>REPT(" ",AT89)&amp;IF($AR89="","",INDEX(tblIndicators!$AL$2:$AL$128,AR89))</f>
        <v>#N/A</v>
      </c>
      <c r="AT89" s="964" t="e">
        <f>INDEX(tblIndicators!$G$2:$G$128,AR89)</f>
        <v>#N/A</v>
      </c>
      <c r="AU89" s="964" t="e">
        <f>REPT(" ",AT89)&amp;IF($AR89="","",INDEX(tblIndicators!$AL$2:$AL$128,$AR89))</f>
        <v>#N/A</v>
      </c>
      <c r="AV89" s="964" t="e">
        <f t="shared" si="34"/>
        <v>#N/A</v>
      </c>
      <c r="AW89" s="964" t="e">
        <f t="shared" si="35"/>
        <v>#N/A</v>
      </c>
      <c r="AX89" s="964" t="e">
        <f>IF($AR89="","",INDEX(tblIndicators!$AL$2:$AL$128,AR89))</f>
        <v>#N/A</v>
      </c>
    </row>
    <row r="90" spans="1:54" ht="20.25" customHeight="1">
      <c r="A90" s="60" t="str">
        <f t="shared" si="40"/>
        <v>CNTY1_3</v>
      </c>
      <c r="B90" s="535">
        <f>IF(A90="","",MATCH(A90,tblIndicators!E$2:E$71,0))</f>
        <v>13</v>
      </c>
      <c r="C90" s="535" t="str">
        <f>IF($A90="","",INDEX(tblIndicators!AL$2:AL$71,$B90))</f>
        <v>1.3) Affordability</v>
      </c>
      <c r="E90" s="549" t="str">
        <f>IF($A90="","",INDEX(tblIndicators!AM$2:AM$71,$B90))</f>
        <v>1.3) Affordability</v>
      </c>
      <c r="F90" s="549"/>
      <c r="G90" s="549"/>
      <c r="H90" s="549"/>
      <c r="I90" s="549"/>
      <c r="J90" s="549"/>
      <c r="K90" s="550"/>
      <c r="L90" s="550"/>
      <c r="M90" s="550"/>
      <c r="N90" s="550"/>
      <c r="X90" s="331"/>
      <c r="AH90" s="48"/>
      <c r="AI90" s="48"/>
      <c r="AJ90" s="48"/>
      <c r="AK90" s="48"/>
      <c r="AM90" s="967">
        <f t="shared" si="39"/>
        <v>87</v>
      </c>
      <c r="AN90" s="964">
        <f t="shared" si="39"/>
        <v>87</v>
      </c>
      <c r="AP90" s="964">
        <f t="shared" si="33"/>
        <v>87</v>
      </c>
      <c r="AQ90" s="964" t="str">
        <f t="shared" si="30"/>
        <v/>
      </c>
      <c r="AR90" s="964" t="e">
        <f>MATCH(AQ90,tblIndicators!$E$2:$E$128,0)</f>
        <v>#N/A</v>
      </c>
      <c r="AS90" s="964" t="e">
        <f>REPT(" ",AT90)&amp;IF($AR90="","",INDEX(tblIndicators!$AL$2:$AL$128,AR90))</f>
        <v>#N/A</v>
      </c>
      <c r="AT90" s="964" t="e">
        <f>INDEX(tblIndicators!$G$2:$G$128,AR90)</f>
        <v>#N/A</v>
      </c>
      <c r="AU90" s="964" t="e">
        <f>REPT(" ",AT90)&amp;IF($AR90="","",INDEX(tblIndicators!$AL$2:$AL$128,$AR90))</f>
        <v>#N/A</v>
      </c>
      <c r="AV90" s="964" t="e">
        <f t="shared" si="34"/>
        <v>#N/A</v>
      </c>
      <c r="AW90" s="964" t="e">
        <f t="shared" si="35"/>
        <v>#N/A</v>
      </c>
      <c r="AX90" s="964" t="e">
        <f>IF($AR90="","",INDEX(tblIndicators!$AL$2:$AL$128,AR90))</f>
        <v>#N/A</v>
      </c>
    </row>
    <row r="91" spans="1:54" ht="20.25" customHeight="1">
      <c r="A91" s="60" t="str">
        <f t="shared" si="40"/>
        <v>SERV</v>
      </c>
      <c r="B91" s="535">
        <f>IF(A91="","",MATCH(A91,tblIndicators!E$2:E$71,0))</f>
        <v>16</v>
      </c>
      <c r="C91" s="535" t="str">
        <f>IF($A91="","",INDEX(tblIndicators!AL$2:AL$71,$B91))</f>
        <v>2) SERVICES</v>
      </c>
      <c r="E91" s="549" t="str">
        <f>IF($A91="","",INDEX(tblIndicators!AM$2:AM$71,$B91))</f>
        <v>2) SERVICES</v>
      </c>
      <c r="F91" s="549"/>
      <c r="G91" s="549"/>
      <c r="H91" s="549"/>
      <c r="I91" s="549"/>
      <c r="J91" s="549"/>
      <c r="K91" s="550"/>
      <c r="L91" s="550"/>
      <c r="M91" s="550"/>
      <c r="N91" s="550"/>
      <c r="X91" s="331"/>
      <c r="AH91" s="48"/>
      <c r="AI91" s="48"/>
      <c r="AJ91" s="48"/>
      <c r="AK91" s="48"/>
      <c r="AM91" s="967">
        <f t="shared" si="39"/>
        <v>88</v>
      </c>
      <c r="AN91" s="964">
        <f t="shared" si="39"/>
        <v>88</v>
      </c>
      <c r="AP91" s="964">
        <f t="shared" si="33"/>
        <v>88</v>
      </c>
      <c r="AQ91" s="964" t="str">
        <f t="shared" si="30"/>
        <v/>
      </c>
      <c r="AR91" s="964" t="e">
        <f>MATCH(AQ91,tblIndicators!$E$2:$E$128,0)</f>
        <v>#N/A</v>
      </c>
      <c r="AS91" s="964" t="e">
        <f>REPT(" ",AT91)&amp;IF($AR91="","",INDEX(tblIndicators!$AL$2:$AL$128,AR91))</f>
        <v>#N/A</v>
      </c>
      <c r="AT91" s="964" t="e">
        <f>INDEX(tblIndicators!$G$2:$G$128,AR91)</f>
        <v>#N/A</v>
      </c>
      <c r="AU91" s="964" t="e">
        <f>REPT(" ",AT91)&amp;IF($AR91="","",INDEX(tblIndicators!$AL$2:$AL$128,$AR91))</f>
        <v>#N/A</v>
      </c>
      <c r="AV91" s="964" t="e">
        <f t="shared" si="34"/>
        <v>#N/A</v>
      </c>
      <c r="AW91" s="964" t="e">
        <f t="shared" si="35"/>
        <v>#N/A</v>
      </c>
      <c r="AX91" s="964" t="e">
        <f>IF($AR91="","",INDEX(tblIndicators!$AL$2:$AL$128,AR91))</f>
        <v>#N/A</v>
      </c>
    </row>
    <row r="92" spans="1:54" ht="20.25" customHeight="1">
      <c r="A92" s="60" t="str">
        <f t="shared" si="40"/>
        <v>SERV2_1</v>
      </c>
      <c r="B92" s="535">
        <f>IF(A92="","",MATCH(A92,tblIndicators!E$2:E$71,0))</f>
        <v>17</v>
      </c>
      <c r="C92" s="535" t="str">
        <f>IF($A92="","",INDEX(tblIndicators!AL$2:AL$71,$B92))</f>
        <v>2.1) E-gov services for residents &amp; businesses</v>
      </c>
      <c r="E92" s="549" t="str">
        <f>IF($A92="","",INDEX(tblIndicators!AM$2:AM$71,$B92))</f>
        <v>2.1) E-gov services for residents &amp; businesses</v>
      </c>
      <c r="F92" s="549"/>
      <c r="G92" s="549"/>
      <c r="H92" s="549"/>
      <c r="I92" s="549"/>
      <c r="J92" s="549"/>
      <c r="K92" s="550"/>
      <c r="L92" s="550"/>
      <c r="M92" s="550"/>
      <c r="N92" s="550"/>
      <c r="X92" s="331"/>
      <c r="AH92" s="48"/>
      <c r="AI92" s="48"/>
      <c r="AJ92" s="48"/>
      <c r="AK92" s="48"/>
      <c r="AM92" s="967">
        <f t="shared" si="39"/>
        <v>89</v>
      </c>
      <c r="AN92" s="964">
        <f t="shared" si="39"/>
        <v>89</v>
      </c>
      <c r="AP92" s="964">
        <f t="shared" si="33"/>
        <v>89</v>
      </c>
      <c r="AQ92" s="964" t="str">
        <f t="shared" si="30"/>
        <v/>
      </c>
      <c r="AR92" s="964" t="e">
        <f>MATCH(AQ92,tblIndicators!$E$2:$E$128,0)</f>
        <v>#N/A</v>
      </c>
      <c r="AS92" s="964" t="e">
        <f>REPT(" ",AT92)&amp;IF($AR92="","",INDEX(tblIndicators!$AL$2:$AL$128,AR92))</f>
        <v>#N/A</v>
      </c>
      <c r="AT92" s="964" t="e">
        <f>INDEX(tblIndicators!$G$2:$G$128,AR92)</f>
        <v>#N/A</v>
      </c>
      <c r="AU92" s="964" t="e">
        <f>REPT(" ",AT92)&amp;IF($AR92="","",INDEX(tblIndicators!$AL$2:$AL$128,$AR92))</f>
        <v>#N/A</v>
      </c>
      <c r="AV92" s="964" t="e">
        <f t="shared" si="34"/>
        <v>#N/A</v>
      </c>
      <c r="AW92" s="964" t="e">
        <f t="shared" si="35"/>
        <v>#N/A</v>
      </c>
      <c r="AX92" s="964" t="e">
        <f>IF($AR92="","",INDEX(tblIndicators!$AL$2:$AL$128,AR92))</f>
        <v>#N/A</v>
      </c>
    </row>
    <row r="93" spans="1:54" ht="20.25" customHeight="1">
      <c r="A93" s="60" t="str">
        <f t="shared" si="40"/>
        <v>SERV2_2</v>
      </c>
      <c r="B93" s="535">
        <f>IF(A93="","",MATCH(A93,tblIndicators!E$2:E$71,0))</f>
        <v>21</v>
      </c>
      <c r="C93" s="535" t="str">
        <f>IF($A93="","",INDEX(tblIndicators!AL$2:AL$71,$B93))</f>
        <v>2.2) Digital finance</v>
      </c>
      <c r="E93" s="549" t="str">
        <f>IF($A93="","",INDEX(tblIndicators!AM$2:AM$71,$B93))</f>
        <v>2.2) Digital finance</v>
      </c>
      <c r="F93" s="549"/>
      <c r="G93" s="549"/>
      <c r="H93" s="549"/>
      <c r="I93" s="549"/>
      <c r="J93" s="549"/>
      <c r="K93" s="550"/>
      <c r="L93" s="550"/>
      <c r="M93" s="550"/>
      <c r="N93" s="550"/>
      <c r="X93" s="331"/>
      <c r="AH93" s="48"/>
      <c r="AI93" s="48"/>
      <c r="AJ93" s="48"/>
      <c r="AK93" s="48"/>
      <c r="AM93" s="967">
        <f t="shared" si="39"/>
        <v>90</v>
      </c>
      <c r="AN93" s="964">
        <f t="shared" si="39"/>
        <v>90</v>
      </c>
      <c r="AP93" s="964">
        <f t="shared" si="33"/>
        <v>90</v>
      </c>
      <c r="AQ93" s="964" t="str">
        <f t="shared" si="30"/>
        <v/>
      </c>
      <c r="AR93" s="964" t="e">
        <f>MATCH(AQ93,tblIndicators!$E$2:$E$128,0)</f>
        <v>#N/A</v>
      </c>
      <c r="AS93" s="964" t="e">
        <f>REPT(" ",AT93)&amp;IF($AR93="","",INDEX(tblIndicators!$AL$2:$AL$128,AR93))</f>
        <v>#N/A</v>
      </c>
      <c r="AT93" s="964" t="e">
        <f>INDEX(tblIndicators!$G$2:$G$128,AR93)</f>
        <v>#N/A</v>
      </c>
      <c r="AU93" s="964" t="e">
        <f>REPT(" ",AT93)&amp;IF($AR93="","",INDEX(tblIndicators!$AL$2:$AL$128,$AR93))</f>
        <v>#N/A</v>
      </c>
      <c r="AV93" s="964" t="e">
        <f t="shared" si="34"/>
        <v>#N/A</v>
      </c>
      <c r="AW93" s="964" t="e">
        <f t="shared" si="35"/>
        <v>#N/A</v>
      </c>
      <c r="AX93" s="964" t="e">
        <f>IF($AR93="","",INDEX(tblIndicators!$AL$2:$AL$128,AR93))</f>
        <v>#N/A</v>
      </c>
    </row>
    <row r="94" spans="1:54" ht="20.25" customHeight="1">
      <c r="A94" s="60" t="str">
        <f t="shared" si="40"/>
        <v>SERV2_3</v>
      </c>
      <c r="B94" s="535">
        <f>IF(A94="","",MATCH(A94,tblIndicators!E$2:E$71,0))</f>
        <v>25</v>
      </c>
      <c r="C94" s="535" t="str">
        <f>IF($A94="","",INDEX(tblIndicators!AL$2:AL$71,$B94))</f>
        <v>2.3) Transportation</v>
      </c>
      <c r="E94" s="549" t="str">
        <f>IF($A94="","",INDEX(tblIndicators!AM$2:AM$71,$B94))</f>
        <v>2.3) Transportation</v>
      </c>
      <c r="F94" s="549"/>
      <c r="G94" s="549"/>
      <c r="H94" s="549"/>
      <c r="I94" s="549"/>
      <c r="J94" s="549"/>
      <c r="K94" s="550"/>
      <c r="L94" s="550"/>
      <c r="M94" s="550"/>
      <c r="N94" s="550"/>
      <c r="X94" s="331"/>
      <c r="AH94" s="48"/>
      <c r="AI94" s="48"/>
      <c r="AJ94" s="48"/>
      <c r="AK94" s="48"/>
      <c r="AM94" s="967">
        <f t="shared" si="39"/>
        <v>91</v>
      </c>
      <c r="AN94" s="964">
        <f t="shared" si="39"/>
        <v>91</v>
      </c>
      <c r="AP94" s="964">
        <f t="shared" si="33"/>
        <v>91</v>
      </c>
      <c r="AQ94" s="964" t="str">
        <f t="shared" si="30"/>
        <v/>
      </c>
      <c r="AR94" s="964" t="e">
        <f>MATCH(AQ94,tblIndicators!$E$2:$E$128,0)</f>
        <v>#N/A</v>
      </c>
      <c r="AS94" s="964" t="e">
        <f>REPT(" ",AT94)&amp;IF($AR94="","",INDEX(tblIndicators!$AL$2:$AL$128,AR94))</f>
        <v>#N/A</v>
      </c>
      <c r="AT94" s="964" t="e">
        <f>INDEX(tblIndicators!$G$2:$G$128,AR94)</f>
        <v>#N/A</v>
      </c>
      <c r="AU94" s="964" t="e">
        <f>REPT(" ",AT94)&amp;IF($AR94="","",INDEX(tblIndicators!$AL$2:$AL$128,$AR94))</f>
        <v>#N/A</v>
      </c>
      <c r="AV94" s="964" t="e">
        <f t="shared" si="34"/>
        <v>#N/A</v>
      </c>
      <c r="AW94" s="964" t="e">
        <f t="shared" si="35"/>
        <v>#N/A</v>
      </c>
      <c r="AX94" s="964" t="e">
        <f>IF($AR94="","",INDEX(tblIndicators!$AL$2:$AL$128,AR94))</f>
        <v>#N/A</v>
      </c>
    </row>
    <row r="95" spans="1:54" ht="20.25" customHeight="1">
      <c r="A95" s="60" t="str">
        <f t="shared" ref="A95:A107" si="41">S13</f>
        <v>SERV2_4</v>
      </c>
      <c r="B95" s="535">
        <f>IF(A95="","",MATCH(A95,tblIndicators!E$2:E$71,0))</f>
        <v>28</v>
      </c>
      <c r="C95" s="535" t="str">
        <f>IF($A95="","",INDEX(tblIndicators!AL$2:AL$71,$B95))</f>
        <v>2.4) Healthcare</v>
      </c>
      <c r="E95" s="549" t="str">
        <f>IF($A95="","",INDEX(tblIndicators!AM$2:AM$71,$B95))</f>
        <v>2.4) Healthcare</v>
      </c>
      <c r="F95" s="549"/>
      <c r="G95" s="549"/>
      <c r="H95" s="549"/>
      <c r="I95" s="549"/>
      <c r="J95" s="549"/>
      <c r="K95" s="550"/>
      <c r="L95" s="550"/>
      <c r="M95" s="550"/>
      <c r="N95" s="550"/>
      <c r="X95" s="331"/>
      <c r="AH95" s="48"/>
      <c r="AI95" s="48"/>
      <c r="AJ95" s="48"/>
      <c r="AK95" s="48"/>
      <c r="AM95" s="967">
        <f t="shared" si="39"/>
        <v>92</v>
      </c>
      <c r="AN95" s="964">
        <f t="shared" si="39"/>
        <v>92</v>
      </c>
      <c r="AP95" s="964">
        <f t="shared" si="33"/>
        <v>92</v>
      </c>
      <c r="AQ95" s="964" t="str">
        <f t="shared" si="30"/>
        <v/>
      </c>
      <c r="AR95" s="964" t="e">
        <f>MATCH(AQ95,tblIndicators!$E$2:$E$128,0)</f>
        <v>#N/A</v>
      </c>
      <c r="AS95" s="964" t="e">
        <f>REPT(" ",AT95)&amp;IF($AR95="","",INDEX(tblIndicators!$AL$2:$AL$128,AR95))</f>
        <v>#N/A</v>
      </c>
      <c r="AT95" s="964" t="e">
        <f>INDEX(tblIndicators!$G$2:$G$128,AR95)</f>
        <v>#N/A</v>
      </c>
      <c r="AU95" s="964" t="e">
        <f>REPT(" ",AT95)&amp;IF($AR95="","",INDEX(tblIndicators!$AL$2:$AL$128,$AR95))</f>
        <v>#N/A</v>
      </c>
      <c r="AV95" s="964" t="e">
        <f t="shared" si="34"/>
        <v>#N/A</v>
      </c>
      <c r="AW95" s="964" t="e">
        <f t="shared" si="35"/>
        <v>#N/A</v>
      </c>
      <c r="AX95" s="964" t="e">
        <f>IF($AR95="","",INDEX(tblIndicators!$AL$2:$AL$128,AR95))</f>
        <v>#N/A</v>
      </c>
    </row>
    <row r="96" spans="1:54" ht="20.25" customHeight="1">
      <c r="A96" s="60" t="str">
        <f t="shared" si="41"/>
        <v>SERV2_5</v>
      </c>
      <c r="B96" s="535">
        <f>IF(A96="","",MATCH(A96,tblIndicators!E$2:E$71,0))</f>
        <v>32</v>
      </c>
      <c r="C96" s="535" t="str">
        <f>IF($A96="","",INDEX(tblIndicators!AL$2:AL$71,$B96))</f>
        <v>2.5) Education</v>
      </c>
      <c r="E96" s="549" t="str">
        <f>IF($A96="","",INDEX(tblIndicators!AM$2:AM$71,$B96))</f>
        <v>2.5) Education</v>
      </c>
      <c r="F96" s="549"/>
      <c r="G96" s="549"/>
      <c r="H96" s="549"/>
      <c r="I96" s="549"/>
      <c r="J96" s="549"/>
      <c r="K96" s="550"/>
      <c r="L96" s="550"/>
      <c r="M96" s="550"/>
      <c r="N96" s="550"/>
      <c r="X96" s="331"/>
      <c r="AH96" s="48"/>
      <c r="AI96" s="48"/>
      <c r="AJ96" s="48"/>
      <c r="AK96" s="48"/>
      <c r="AM96" s="967">
        <f t="shared" si="39"/>
        <v>93</v>
      </c>
      <c r="AN96" s="964">
        <f t="shared" si="39"/>
        <v>93</v>
      </c>
      <c r="AP96" s="964">
        <f t="shared" si="33"/>
        <v>93</v>
      </c>
      <c r="AQ96" s="964" t="str">
        <f t="shared" si="30"/>
        <v/>
      </c>
      <c r="AR96" s="964" t="e">
        <f>MATCH(AQ96,tblIndicators!$E$2:$E$128,0)</f>
        <v>#N/A</v>
      </c>
      <c r="AS96" s="964" t="e">
        <f>REPT(" ",AT96)&amp;IF($AR96="","",INDEX(tblIndicators!$AL$2:$AL$128,AR96))</f>
        <v>#N/A</v>
      </c>
      <c r="AT96" s="964" t="e">
        <f>INDEX(tblIndicators!$G$2:$G$128,AR96)</f>
        <v>#N/A</v>
      </c>
      <c r="AU96" s="964" t="e">
        <f>REPT(" ",AT96)&amp;IF($AR96="","",INDEX(tblIndicators!$AL$2:$AL$128,$AR96))</f>
        <v>#N/A</v>
      </c>
      <c r="AV96" s="964" t="e">
        <f t="shared" si="34"/>
        <v>#N/A</v>
      </c>
      <c r="AW96" s="964" t="e">
        <f t="shared" si="35"/>
        <v>#N/A</v>
      </c>
      <c r="AX96" s="964" t="e">
        <f>IF($AR96="","",INDEX(tblIndicators!$AL$2:$AL$128,AR96))</f>
        <v>#N/A</v>
      </c>
    </row>
    <row r="97" spans="1:50" ht="20.25" customHeight="1">
      <c r="A97" s="60" t="str">
        <f t="shared" si="41"/>
        <v>SERV2_6</v>
      </c>
      <c r="B97" s="535">
        <f>IF(A97="","",MATCH(A97,tblIndicators!E$2:E$71,0))</f>
        <v>34</v>
      </c>
      <c r="C97" s="535" t="str">
        <f>IF($A97="","",INDEX(tblIndicators!AL$2:AL$71,$B97))</f>
        <v>2.6) Retail and hospitality</v>
      </c>
      <c r="E97" s="549" t="str">
        <f>IF($A97="","",INDEX(tblIndicators!AM$2:AM$71,$B97))</f>
        <v>2.6) Retail and hospitality</v>
      </c>
      <c r="F97" s="549"/>
      <c r="G97" s="549"/>
      <c r="H97" s="549"/>
      <c r="I97" s="549"/>
      <c r="J97" s="549"/>
      <c r="K97" s="550"/>
      <c r="L97" s="550"/>
      <c r="M97" s="550"/>
      <c r="N97" s="550"/>
      <c r="X97" s="331"/>
      <c r="AH97" s="48"/>
      <c r="AI97" s="48"/>
      <c r="AJ97" s="48"/>
      <c r="AK97" s="48"/>
      <c r="AM97" s="967">
        <f t="shared" si="39"/>
        <v>94</v>
      </c>
      <c r="AN97" s="964">
        <f t="shared" si="39"/>
        <v>94</v>
      </c>
      <c r="AP97" s="964">
        <f t="shared" si="33"/>
        <v>94</v>
      </c>
      <c r="AQ97" s="964" t="str">
        <f t="shared" si="30"/>
        <v/>
      </c>
      <c r="AR97" s="964" t="e">
        <f>MATCH(AQ97,tblIndicators!$E$2:$E$128,0)</f>
        <v>#N/A</v>
      </c>
      <c r="AS97" s="964" t="e">
        <f>REPT(" ",AT97)&amp;IF($AR97="","",INDEX(tblIndicators!$AL$2:$AL$128,AR97))</f>
        <v>#N/A</v>
      </c>
      <c r="AT97" s="964" t="e">
        <f>INDEX(tblIndicators!$G$2:$G$128,AR97)</f>
        <v>#N/A</v>
      </c>
      <c r="AU97" s="964" t="e">
        <f>REPT(" ",AT97)&amp;IF($AR97="","",INDEX(tblIndicators!$AL$2:$AL$128,$AR97))</f>
        <v>#N/A</v>
      </c>
      <c r="AV97" s="964" t="e">
        <f t="shared" si="34"/>
        <v>#N/A</v>
      </c>
      <c r="AW97" s="964" t="e">
        <f t="shared" si="35"/>
        <v>#N/A</v>
      </c>
      <c r="AX97" s="964" t="e">
        <f>IF($AR97="","",INDEX(tblIndicators!$AL$2:$AL$128,AR97))</f>
        <v>#N/A</v>
      </c>
    </row>
    <row r="98" spans="1:50" ht="20.25" customHeight="1">
      <c r="A98" s="60" t="str">
        <f t="shared" si="41"/>
        <v>CULT</v>
      </c>
      <c r="B98" s="535">
        <f>IF(A98="","",MATCH(A98,tblIndicators!E$2:E$71,0))</f>
        <v>37</v>
      </c>
      <c r="C98" s="535" t="str">
        <f>IF($A98="","",INDEX(tblIndicators!AL$2:AL$71,$B98))</f>
        <v>3) CULTURE</v>
      </c>
      <c r="E98" s="549" t="str">
        <f>IF($A98="","",INDEX(tblIndicators!AM$2:AM$71,$B98))</f>
        <v>3) CULTURE</v>
      </c>
      <c r="F98" s="549"/>
      <c r="G98" s="549"/>
      <c r="H98" s="549"/>
      <c r="I98" s="549"/>
      <c r="J98" s="549"/>
      <c r="K98" s="550"/>
      <c r="L98" s="550"/>
      <c r="M98" s="550"/>
      <c r="N98" s="550"/>
      <c r="X98" s="331"/>
      <c r="AH98" s="48"/>
      <c r="AI98" s="48"/>
      <c r="AJ98" s="48"/>
      <c r="AK98" s="48"/>
      <c r="AM98" s="967">
        <f t="shared" si="39"/>
        <v>95</v>
      </c>
      <c r="AN98" s="964">
        <f t="shared" si="39"/>
        <v>95</v>
      </c>
      <c r="AP98" s="964">
        <f t="shared" si="33"/>
        <v>95</v>
      </c>
      <c r="AQ98" s="964" t="str">
        <f t="shared" si="30"/>
        <v/>
      </c>
      <c r="AR98" s="964" t="e">
        <f>MATCH(AQ98,tblIndicators!$E$2:$E$128,0)</f>
        <v>#N/A</v>
      </c>
      <c r="AS98" s="964" t="e">
        <f>REPT(" ",AT98)&amp;IF($AR98="","",INDEX(tblIndicators!$AL$2:$AL$128,AR98))</f>
        <v>#N/A</v>
      </c>
      <c r="AT98" s="964" t="e">
        <f>INDEX(tblIndicators!$G$2:$G$128,AR98)</f>
        <v>#N/A</v>
      </c>
      <c r="AU98" s="964" t="e">
        <f>REPT(" ",AT98)&amp;IF($AR98="","",INDEX(tblIndicators!$AL$2:$AL$128,$AR98))</f>
        <v>#N/A</v>
      </c>
      <c r="AV98" s="964" t="e">
        <f t="shared" si="34"/>
        <v>#N/A</v>
      </c>
      <c r="AW98" s="964" t="e">
        <f t="shared" si="35"/>
        <v>#N/A</v>
      </c>
      <c r="AX98" s="964" t="e">
        <f>IF($AR98="","",INDEX(tblIndicators!$AL$2:$AL$128,AR98))</f>
        <v>#N/A</v>
      </c>
    </row>
    <row r="99" spans="1:50" ht="20.25" customHeight="1">
      <c r="A99" s="60" t="str">
        <f t="shared" si="41"/>
        <v>CULT3_1</v>
      </c>
      <c r="B99" s="535">
        <f>IF(A99="","",MATCH(A99,tblIndicators!E$2:E$71,0))</f>
        <v>38</v>
      </c>
      <c r="C99" s="535" t="str">
        <f>IF($A99="","",INDEX(tblIndicators!AL$2:AL$71,$B99))</f>
        <v>3.1) Digital inclusion</v>
      </c>
      <c r="E99" s="549" t="str">
        <f>IF($A99="","",INDEX(tblIndicators!AM$2:AM$71,$B99))</f>
        <v>3.1) Digital inclusion</v>
      </c>
      <c r="F99" s="549"/>
      <c r="G99" s="549"/>
      <c r="H99" s="549"/>
      <c r="I99" s="549"/>
      <c r="J99" s="549"/>
      <c r="K99" s="550"/>
      <c r="L99" s="550"/>
      <c r="M99" s="550"/>
      <c r="N99" s="550"/>
      <c r="X99" s="331"/>
      <c r="AH99" s="48"/>
      <c r="AI99" s="48"/>
      <c r="AJ99" s="48"/>
      <c r="AK99" s="48"/>
      <c r="AM99" s="967">
        <f t="shared" si="39"/>
        <v>96</v>
      </c>
      <c r="AN99" s="964">
        <f t="shared" si="39"/>
        <v>96</v>
      </c>
      <c r="AP99" s="964">
        <f t="shared" si="33"/>
        <v>96</v>
      </c>
      <c r="AQ99" s="964" t="str">
        <f t="shared" si="30"/>
        <v/>
      </c>
      <c r="AR99" s="964" t="e">
        <f>MATCH(AQ99,tblIndicators!$E$2:$E$128,0)</f>
        <v>#N/A</v>
      </c>
      <c r="AS99" s="964" t="e">
        <f>REPT(" ",AT99)&amp;IF($AR99="","",INDEX(tblIndicators!$AL$2:$AL$128,AR99))</f>
        <v>#N/A</v>
      </c>
      <c r="AT99" s="964" t="e">
        <f>INDEX(tblIndicators!$G$2:$G$128,AR99)</f>
        <v>#N/A</v>
      </c>
      <c r="AU99" s="964" t="e">
        <f>REPT(" ",AT99)&amp;IF($AR99="","",INDEX(tblIndicators!$AL$2:$AL$128,$AR99))</f>
        <v>#N/A</v>
      </c>
      <c r="AV99" s="964" t="e">
        <f t="shared" si="34"/>
        <v>#N/A</v>
      </c>
      <c r="AW99" s="964" t="e">
        <f t="shared" si="35"/>
        <v>#N/A</v>
      </c>
      <c r="AX99" s="964" t="e">
        <f>IF($AR99="","",INDEX(tblIndicators!$AL$2:$AL$128,AR99))</f>
        <v>#N/A</v>
      </c>
    </row>
    <row r="100" spans="1:50" ht="20.25" customHeight="1">
      <c r="A100" s="60" t="str">
        <f t="shared" si="41"/>
        <v>CULT3_2</v>
      </c>
      <c r="B100" s="535">
        <f>IF(A100="","",MATCH(A100,tblIndicators!E$2:E$71,0))</f>
        <v>42</v>
      </c>
      <c r="C100" s="535" t="str">
        <f>IF($A100="","",INDEX(tblIndicators!AL$2:AL$71,$B100))</f>
        <v>3.2) Government support</v>
      </c>
      <c r="E100" s="549" t="str">
        <f>IF($A100="","",INDEX(tblIndicators!AM$2:AM$71,$B100))</f>
        <v>3.2) Government support</v>
      </c>
      <c r="F100" s="549"/>
      <c r="G100" s="549"/>
      <c r="H100" s="549"/>
      <c r="I100" s="549"/>
      <c r="J100" s="549"/>
      <c r="K100" s="550"/>
      <c r="L100" s="550"/>
      <c r="M100" s="550"/>
      <c r="N100" s="550"/>
      <c r="X100" s="331"/>
      <c r="AH100" s="48"/>
      <c r="AI100" s="48"/>
      <c r="AJ100" s="48"/>
      <c r="AK100" s="48"/>
      <c r="AM100" s="967">
        <f t="shared" si="39"/>
        <v>97</v>
      </c>
      <c r="AN100" s="964">
        <f t="shared" si="39"/>
        <v>97</v>
      </c>
      <c r="AP100" s="964">
        <f t="shared" si="33"/>
        <v>97</v>
      </c>
      <c r="AQ100" s="964" t="str">
        <f t="shared" ref="AQ100:AQ106" si="42">IF(OR(INDEX($AZ$4:$BB$106,$AP100,$AT$2)=0,INDEX($AZ$4:$BB$106,$AP100,$AT$2)=""),"",INDEX($AZ$4:$BB$106,$AP100,$AT$2))</f>
        <v/>
      </c>
      <c r="AR100" s="964" t="e">
        <f>MATCH(AQ100,tblIndicators!$E$2:$E$128,0)</f>
        <v>#N/A</v>
      </c>
      <c r="AS100" s="964" t="e">
        <f>REPT(" ",AT100)&amp;IF($AR100="","",INDEX(tblIndicators!$AL$2:$AL$128,AR100))</f>
        <v>#N/A</v>
      </c>
      <c r="AT100" s="964" t="e">
        <f>INDEX(tblIndicators!$G$2:$G$128,AR100)</f>
        <v>#N/A</v>
      </c>
      <c r="AU100" s="964" t="e">
        <f>REPT(" ",AT100)&amp;IF($AR100="","",INDEX(tblIndicators!$AL$2:$AL$128,$AR100))</f>
        <v>#N/A</v>
      </c>
      <c r="AV100" s="964" t="e">
        <f t="shared" si="34"/>
        <v>#N/A</v>
      </c>
      <c r="AW100" s="964" t="e">
        <f t="shared" si="35"/>
        <v>#N/A</v>
      </c>
      <c r="AX100" s="964" t="e">
        <f>IF($AR100="","",INDEX(tblIndicators!$AL$2:$AL$128,AR100))</f>
        <v>#N/A</v>
      </c>
    </row>
    <row r="101" spans="1:50" ht="20.25" customHeight="1">
      <c r="A101" s="60" t="str">
        <f t="shared" si="41"/>
        <v>CULT3_3</v>
      </c>
      <c r="B101" s="535">
        <f>IF(A101="","",MATCH(A101,tblIndicators!E$2:E$71,0))</f>
        <v>48</v>
      </c>
      <c r="C101" s="535" t="str">
        <f>IF($A101="","",INDEX(tblIndicators!AL$2:AL$71,$B101))</f>
        <v>3.3) Innovation ecosystem</v>
      </c>
      <c r="E101" s="549" t="str">
        <f>IF($A101="","",INDEX(tblIndicators!AM$2:AM$71,$B101))</f>
        <v>3.3) Innovation ecosystem</v>
      </c>
      <c r="F101" s="549"/>
      <c r="G101" s="549"/>
      <c r="H101" s="549"/>
      <c r="I101" s="549"/>
      <c r="J101" s="549"/>
      <c r="K101" s="550"/>
      <c r="L101" s="550"/>
      <c r="M101" s="550"/>
      <c r="N101" s="550"/>
      <c r="X101" s="331"/>
      <c r="AH101" s="48"/>
      <c r="AI101" s="48"/>
      <c r="AJ101" s="48"/>
      <c r="AK101" s="48"/>
      <c r="AM101" s="967">
        <f t="shared" ref="AM101:AN106" si="43">AM100+1</f>
        <v>98</v>
      </c>
      <c r="AN101" s="964">
        <f t="shared" si="43"/>
        <v>98</v>
      </c>
      <c r="AP101" s="964">
        <f t="shared" si="33"/>
        <v>98</v>
      </c>
      <c r="AQ101" s="964" t="str">
        <f t="shared" si="42"/>
        <v/>
      </c>
      <c r="AR101" s="964" t="e">
        <f>MATCH(AQ101,tblIndicators!$E$2:$E$128,0)</f>
        <v>#N/A</v>
      </c>
      <c r="AS101" s="964" t="e">
        <f>REPT(" ",AT101)&amp;IF($AR101="","",INDEX(tblIndicators!$AL$2:$AL$128,AR101))</f>
        <v>#N/A</v>
      </c>
      <c r="AT101" s="964" t="e">
        <f>INDEX(tblIndicators!$G$2:$G$128,AR101)</f>
        <v>#N/A</v>
      </c>
      <c r="AU101" s="964" t="e">
        <f>REPT(" ",AT101)&amp;IF($AR101="","",INDEX(tblIndicators!$AL$2:$AL$128,$AR101))</f>
        <v>#N/A</v>
      </c>
      <c r="AV101" s="964" t="e">
        <f t="shared" si="34"/>
        <v>#N/A</v>
      </c>
      <c r="AW101" s="964" t="e">
        <f t="shared" si="35"/>
        <v>#N/A</v>
      </c>
      <c r="AX101" s="964" t="e">
        <f>IF($AR101="","",INDEX(tblIndicators!$AL$2:$AL$128,AR101))</f>
        <v>#N/A</v>
      </c>
    </row>
    <row r="102" spans="1:50" ht="20.25" customHeight="1">
      <c r="A102" s="60" t="str">
        <f t="shared" si="41"/>
        <v>CULT3_4</v>
      </c>
      <c r="B102" s="535">
        <f>IF(A102="","",MATCH(A102,tblIndicators!E$2:E$71,0))</f>
        <v>54</v>
      </c>
      <c r="C102" s="535" t="str">
        <f>IF($A102="","",INDEX(tblIndicators!AL$2:AL$71,$B102))</f>
        <v>3.4) Public attitude and engagement</v>
      </c>
      <c r="E102" s="549" t="str">
        <f>IF($A102="","",INDEX(tblIndicators!AM$2:AM$71,$B102))</f>
        <v>3.4) Public attitude and engagement</v>
      </c>
      <c r="F102" s="549"/>
      <c r="G102" s="549"/>
      <c r="H102" s="549"/>
      <c r="I102" s="549"/>
      <c r="J102" s="549"/>
      <c r="K102" s="550"/>
      <c r="L102" s="550"/>
      <c r="M102" s="550"/>
      <c r="N102" s="550"/>
      <c r="X102" s="331"/>
      <c r="AH102" s="48"/>
      <c r="AI102" s="48"/>
      <c r="AJ102" s="48"/>
      <c r="AK102" s="48"/>
      <c r="AM102" s="967">
        <f t="shared" si="43"/>
        <v>99</v>
      </c>
      <c r="AN102" s="964">
        <f t="shared" si="43"/>
        <v>99</v>
      </c>
      <c r="AP102" s="964">
        <f t="shared" si="33"/>
        <v>99</v>
      </c>
      <c r="AQ102" s="964" t="str">
        <f t="shared" si="42"/>
        <v/>
      </c>
      <c r="AR102" s="964" t="e">
        <f>MATCH(AQ102,tblIndicators!$E$2:$E$128,0)</f>
        <v>#N/A</v>
      </c>
      <c r="AS102" s="964" t="e">
        <f>REPT(" ",AT102)&amp;IF($AR102="","",INDEX(tblIndicators!$AL$2:$AL$128,AR102))</f>
        <v>#N/A</v>
      </c>
      <c r="AT102" s="964" t="e">
        <f>INDEX(tblIndicators!$G$2:$G$128,AR102)</f>
        <v>#N/A</v>
      </c>
      <c r="AU102" s="964" t="e">
        <f>REPT(" ",AT102)&amp;IF($AR102="","",INDEX(tblIndicators!$AL$2:$AL$128,$AR102))</f>
        <v>#N/A</v>
      </c>
      <c r="AV102" s="964" t="e">
        <f t="shared" si="34"/>
        <v>#N/A</v>
      </c>
      <c r="AW102" s="964" t="e">
        <f t="shared" si="35"/>
        <v>#N/A</v>
      </c>
      <c r="AX102" s="964" t="e">
        <f>IF($AR102="","",INDEX(tblIndicators!$AL$2:$AL$128,AR102))</f>
        <v>#N/A</v>
      </c>
    </row>
    <row r="103" spans="1:50" ht="20.25" customHeight="1">
      <c r="A103" s="60" t="str">
        <f t="shared" si="41"/>
        <v>SUST</v>
      </c>
      <c r="B103" s="535">
        <f>IF(A103="","",MATCH(A103,tblIndicators!E$2:E$71,0))</f>
        <v>57</v>
      </c>
      <c r="C103" s="535" t="str">
        <f>IF($A103="","",INDEX(tblIndicators!AL$2:AL$71,$B103))</f>
        <v>4) SUSTAINABILITY</v>
      </c>
      <c r="E103" s="549" t="str">
        <f>IF($A103="","",INDEX(tblIndicators!AM$2:AM$71,$B103))</f>
        <v>4) SUSTAINABILITY</v>
      </c>
      <c r="F103" s="549"/>
      <c r="G103" s="549"/>
      <c r="H103" s="549"/>
      <c r="I103" s="549"/>
      <c r="J103" s="549"/>
      <c r="K103" s="550"/>
      <c r="L103" s="550"/>
      <c r="M103" s="550"/>
      <c r="N103" s="550"/>
      <c r="X103" s="331"/>
      <c r="AH103" s="48"/>
      <c r="AI103" s="48"/>
      <c r="AJ103" s="48"/>
      <c r="AK103" s="48"/>
      <c r="AM103" s="967">
        <f t="shared" si="43"/>
        <v>100</v>
      </c>
      <c r="AN103" s="964">
        <f t="shared" si="43"/>
        <v>100</v>
      </c>
      <c r="AP103" s="964">
        <f t="shared" si="33"/>
        <v>100</v>
      </c>
      <c r="AQ103" s="964" t="str">
        <f t="shared" si="42"/>
        <v/>
      </c>
      <c r="AR103" s="964" t="e">
        <f>MATCH(AQ103,tblIndicators!$E$2:$E$128,0)</f>
        <v>#N/A</v>
      </c>
      <c r="AS103" s="964" t="e">
        <f>REPT(" ",AT103)&amp;IF($AR103="","",INDEX(tblIndicators!$AL$2:$AL$128,AR103))</f>
        <v>#N/A</v>
      </c>
      <c r="AT103" s="964" t="e">
        <f>INDEX(tblIndicators!$G$2:$G$128,AR103)</f>
        <v>#N/A</v>
      </c>
      <c r="AU103" s="964" t="e">
        <f>REPT(" ",AT103)&amp;IF($AR103="","",INDEX(tblIndicators!$AL$2:$AL$128,$AR103))</f>
        <v>#N/A</v>
      </c>
      <c r="AV103" s="964" t="e">
        <f t="shared" si="34"/>
        <v>#N/A</v>
      </c>
      <c r="AW103" s="964" t="e">
        <f t="shared" si="35"/>
        <v>#N/A</v>
      </c>
      <c r="AX103" s="964" t="e">
        <f>IF($AR103="","",INDEX(tblIndicators!$AL$2:$AL$128,AR103))</f>
        <v>#N/A</v>
      </c>
    </row>
    <row r="104" spans="1:50" ht="20.25" customHeight="1">
      <c r="A104" s="60" t="str">
        <f t="shared" si="41"/>
        <v>SUST4_1</v>
      </c>
      <c r="B104" s="535">
        <f>IF(A104="","",MATCH(A104,tblIndicators!E$2:E$71,0))</f>
        <v>58</v>
      </c>
      <c r="C104" s="535" t="str">
        <f>IF($A104="","",INDEX(tblIndicators!AL$2:AL$71,$B104))</f>
        <v>4.1) Efficient resource management</v>
      </c>
      <c r="E104" s="549" t="str">
        <f>IF($A104="","",INDEX(tblIndicators!AM$2:AM$71,$B104))</f>
        <v>4.1) Efficient resource management</v>
      </c>
      <c r="F104" s="549"/>
      <c r="G104" s="549"/>
      <c r="H104" s="549"/>
      <c r="I104" s="549"/>
      <c r="J104" s="549"/>
      <c r="K104" s="550"/>
      <c r="L104" s="550"/>
      <c r="M104" s="550"/>
      <c r="N104" s="550"/>
      <c r="AH104" s="48"/>
      <c r="AI104" s="48"/>
      <c r="AJ104" s="48"/>
      <c r="AK104" s="48"/>
      <c r="AM104" s="967">
        <f t="shared" si="43"/>
        <v>101</v>
      </c>
      <c r="AN104" s="964">
        <f t="shared" si="43"/>
        <v>101</v>
      </c>
      <c r="AP104" s="964">
        <f t="shared" si="33"/>
        <v>101</v>
      </c>
      <c r="AQ104" s="964" t="str">
        <f t="shared" si="42"/>
        <v/>
      </c>
      <c r="AR104" s="964" t="e">
        <f>MATCH(AQ104,tblIndicators!$E$2:$E$128,0)</f>
        <v>#N/A</v>
      </c>
      <c r="AS104" s="964" t="e">
        <f>REPT(" ",AT104)&amp;IF($AR104="","",INDEX(tblIndicators!$AL$2:$AL$128,AR104))</f>
        <v>#N/A</v>
      </c>
      <c r="AT104" s="964" t="e">
        <f>INDEX(tblIndicators!$G$2:$G$128,AR104)</f>
        <v>#N/A</v>
      </c>
      <c r="AU104" s="964" t="e">
        <f>REPT(" ",AT104)&amp;IF($AR104="","",INDEX(tblIndicators!$AL$2:$AL$128,$AR104))</f>
        <v>#N/A</v>
      </c>
      <c r="AV104" s="964" t="e">
        <f t="shared" si="34"/>
        <v>#N/A</v>
      </c>
      <c r="AW104" s="964" t="e">
        <f t="shared" si="35"/>
        <v>#N/A</v>
      </c>
      <c r="AX104" s="964" t="e">
        <f>IF($AR104="","",INDEX(tblIndicators!$AL$2:$AL$128,AR104))</f>
        <v>#N/A</v>
      </c>
    </row>
    <row r="105" spans="1:50" ht="20.25" customHeight="1">
      <c r="A105" s="60" t="str">
        <f t="shared" si="41"/>
        <v>SUST4_2</v>
      </c>
      <c r="B105" s="535">
        <f>IF(A105="","",MATCH(A105,tblIndicators!E$2:E$71,0))</f>
        <v>62</v>
      </c>
      <c r="C105" s="535" t="str">
        <f>IF($A105="","",INDEX(tblIndicators!AL$2:AL$71,$B105))</f>
        <v>4.2) Emissions reduction</v>
      </c>
      <c r="E105" s="549" t="str">
        <f>IF($A105="","",INDEX(tblIndicators!AM$2:AM$71,$B105))</f>
        <v>4.2) Emissions reduction</v>
      </c>
      <c r="F105" s="549"/>
      <c r="G105" s="549"/>
      <c r="H105" s="549"/>
      <c r="I105" s="549"/>
      <c r="J105" s="549"/>
      <c r="K105" s="550"/>
      <c r="L105" s="550"/>
      <c r="M105" s="550"/>
      <c r="N105" s="550"/>
      <c r="AH105" s="48"/>
      <c r="AI105" s="48"/>
      <c r="AJ105" s="48"/>
      <c r="AK105" s="48"/>
      <c r="AM105" s="967">
        <f t="shared" si="43"/>
        <v>102</v>
      </c>
      <c r="AN105" s="964">
        <f t="shared" si="43"/>
        <v>102</v>
      </c>
      <c r="AP105" s="964">
        <f t="shared" si="33"/>
        <v>102</v>
      </c>
      <c r="AQ105" s="964" t="str">
        <f t="shared" si="42"/>
        <v/>
      </c>
      <c r="AR105" s="964" t="e">
        <f>MATCH(AQ105,tblIndicators!$E$2:$E$128,0)</f>
        <v>#N/A</v>
      </c>
      <c r="AS105" s="964" t="e">
        <f>REPT(" ",AT105)&amp;IF($AR105="","",INDEX(tblIndicators!$AL$2:$AL$128,AR105))</f>
        <v>#N/A</v>
      </c>
      <c r="AT105" s="964" t="e">
        <f>INDEX(tblIndicators!$G$2:$G$128,AR105)</f>
        <v>#N/A</v>
      </c>
      <c r="AU105" s="964" t="e">
        <f>REPT(" ",AT105)&amp;IF($AR105="","",INDEX(tblIndicators!$AL$2:$AL$128,$AR105))</f>
        <v>#N/A</v>
      </c>
      <c r="AV105" s="964" t="e">
        <f t="shared" si="34"/>
        <v>#N/A</v>
      </c>
      <c r="AW105" s="964" t="e">
        <f t="shared" si="35"/>
        <v>#N/A</v>
      </c>
      <c r="AX105" s="964" t="e">
        <f>IF($AR105="","",INDEX(tblIndicators!$AL$2:$AL$128,AR105))</f>
        <v>#N/A</v>
      </c>
    </row>
    <row r="106" spans="1:50" ht="20.25" customHeight="1">
      <c r="A106" s="60" t="str">
        <f t="shared" si="41"/>
        <v>SUST4_3</v>
      </c>
      <c r="B106" s="535">
        <f>IF(A106="","",MATCH(A106,tblIndicators!E$2:E$71,0))</f>
        <v>66</v>
      </c>
      <c r="C106" s="535" t="str">
        <f>IF($A106="","",INDEX(tblIndicators!AL$2:AL$71,$B106))</f>
        <v>4.3) Pollution</v>
      </c>
      <c r="E106" s="549" t="str">
        <f>IF($A106="","",INDEX(tblIndicators!AM$2:AM$71,$B106))</f>
        <v>4.3) Pollution</v>
      </c>
      <c r="F106" s="549"/>
      <c r="G106" s="549"/>
      <c r="H106" s="549"/>
      <c r="I106" s="549"/>
      <c r="J106" s="549"/>
      <c r="K106" s="550"/>
      <c r="L106" s="550"/>
      <c r="M106" s="550"/>
      <c r="N106" s="550"/>
      <c r="AH106" s="48"/>
      <c r="AI106" s="48"/>
      <c r="AJ106" s="48"/>
      <c r="AK106" s="48"/>
      <c r="AM106" s="967">
        <f t="shared" si="43"/>
        <v>103</v>
      </c>
      <c r="AN106" s="964">
        <f t="shared" si="43"/>
        <v>103</v>
      </c>
      <c r="AP106" s="964">
        <f t="shared" si="33"/>
        <v>103</v>
      </c>
      <c r="AQ106" s="964" t="str">
        <f t="shared" si="42"/>
        <v/>
      </c>
      <c r="AR106" s="964" t="e">
        <f>MATCH(AQ106,tblIndicators!$E$2:$E$128,0)</f>
        <v>#N/A</v>
      </c>
      <c r="AS106" s="964" t="e">
        <f>REPT(" ",AT106)&amp;IF($AR106="","",INDEX(tblIndicators!$AL$2:$AL$128,AR106))</f>
        <v>#N/A</v>
      </c>
      <c r="AT106" s="964" t="e">
        <f>INDEX(tblIndicators!$G$2:$G$128,AR106)</f>
        <v>#N/A</v>
      </c>
      <c r="AU106" s="964" t="e">
        <f>REPT(" ",AT106)&amp;IF($AR106="","",INDEX(tblIndicators!$AL$2:$AL$128,$AR106))</f>
        <v>#N/A</v>
      </c>
      <c r="AV106" s="964" t="e">
        <f t="shared" si="34"/>
        <v>#N/A</v>
      </c>
      <c r="AW106" s="964" t="e">
        <f t="shared" si="35"/>
        <v>#N/A</v>
      </c>
      <c r="AX106" s="964" t="e">
        <f>IF($AR106="","",INDEX(tblIndicators!$AL$2:$AL$128,AR106))</f>
        <v>#N/A</v>
      </c>
    </row>
    <row r="107" spans="1:50" ht="20.25" customHeight="1">
      <c r="A107" s="60" t="str">
        <f t="shared" si="41"/>
        <v>SUST4_4</v>
      </c>
      <c r="B107" s="535">
        <f>IF(A107="","",MATCH(A107,tblIndicators!E$2:E$71,0))</f>
        <v>68</v>
      </c>
      <c r="C107" s="535" t="str">
        <f>IF($A107="","",INDEX(tblIndicators!AL$2:AL$71,$B107))</f>
        <v>4.4) Circular economy</v>
      </c>
      <c r="E107" s="549" t="str">
        <f>IF($A107="","",INDEX(tblIndicators!AM$2:AM$71,$B107))</f>
        <v>4.4) Circular economy</v>
      </c>
      <c r="F107" s="549"/>
      <c r="G107" s="549"/>
      <c r="H107" s="549"/>
      <c r="I107" s="549"/>
      <c r="J107" s="549"/>
      <c r="K107" s="550"/>
      <c r="L107" s="550"/>
      <c r="M107" s="550"/>
      <c r="N107" s="550"/>
      <c r="AH107" s="48"/>
      <c r="AI107" s="48"/>
      <c r="AJ107" s="48"/>
      <c r="AK107" s="48"/>
    </row>
    <row r="108" spans="1:50" ht="20.25" customHeight="1">
      <c r="A108" s="551"/>
      <c r="E108" s="549"/>
      <c r="F108" s="549"/>
      <c r="G108" s="549"/>
      <c r="H108" s="549"/>
      <c r="I108" s="549"/>
      <c r="J108" s="549"/>
      <c r="K108" s="550"/>
      <c r="L108" s="550"/>
      <c r="M108" s="550"/>
      <c r="N108" s="550"/>
      <c r="O108" s="550"/>
      <c r="AH108" s="48"/>
      <c r="AI108" s="48"/>
      <c r="AJ108" s="48"/>
      <c r="AK108" s="48"/>
    </row>
    <row r="109" spans="1:50" ht="20.25" customHeight="1">
      <c r="A109" s="551"/>
      <c r="E109" s="549"/>
      <c r="F109" s="549"/>
      <c r="G109" s="549"/>
      <c r="H109" s="549"/>
      <c r="I109" s="549"/>
      <c r="J109" s="549"/>
      <c r="K109" s="550"/>
      <c r="L109" s="550"/>
      <c r="M109" s="550"/>
      <c r="N109" s="550"/>
      <c r="O109" s="550"/>
      <c r="AH109" s="48"/>
      <c r="AI109" s="48"/>
      <c r="AJ109" s="48"/>
      <c r="AK109" s="48"/>
    </row>
    <row r="110" spans="1:50" ht="20.25" customHeight="1">
      <c r="A110" s="552" t="s">
        <v>163</v>
      </c>
      <c r="E110" s="549"/>
      <c r="F110" s="549"/>
      <c r="G110" s="549"/>
      <c r="H110" s="549"/>
      <c r="I110" s="549"/>
      <c r="J110" s="549"/>
      <c r="K110" s="550"/>
      <c r="L110" s="550"/>
      <c r="M110" s="550"/>
      <c r="N110" s="550"/>
      <c r="O110" s="550"/>
      <c r="AH110" s="48"/>
      <c r="AI110" s="48"/>
      <c r="AJ110" s="48"/>
      <c r="AK110" s="48"/>
    </row>
    <row r="111" spans="1:50" ht="20.25" customHeight="1">
      <c r="A111" s="553" t="s">
        <v>254</v>
      </c>
      <c r="E111" s="549"/>
      <c r="F111" s="549"/>
      <c r="G111" s="549"/>
      <c r="H111" s="549"/>
      <c r="I111" s="549"/>
      <c r="J111" s="549"/>
      <c r="K111" s="550"/>
      <c r="L111" s="550"/>
      <c r="M111" s="550"/>
      <c r="N111" s="550"/>
      <c r="O111" s="550"/>
      <c r="AH111" s="48"/>
      <c r="AI111" s="48"/>
      <c r="AJ111" s="48"/>
      <c r="AK111" s="48"/>
    </row>
    <row r="112" spans="1:50" ht="20.25" customHeight="1">
      <c r="A112" s="552"/>
      <c r="E112" s="549"/>
      <c r="F112" s="549"/>
      <c r="G112" s="549"/>
      <c r="H112" s="549"/>
      <c r="I112" s="549"/>
      <c r="J112" s="549"/>
      <c r="K112" s="550"/>
      <c r="L112" s="550"/>
      <c r="M112" s="550"/>
      <c r="N112" s="550"/>
      <c r="O112" s="550"/>
      <c r="AH112" s="48"/>
      <c r="AI112" s="48"/>
      <c r="AJ112" s="48"/>
      <c r="AK112" s="48"/>
    </row>
    <row r="113" spans="1:37" ht="20.25" customHeight="1">
      <c r="A113" s="552" t="str">
        <f>T4</f>
        <v>CNTY1_1</v>
      </c>
      <c r="B113" s="535">
        <f>IF(A113="","",MATCH(A113,tblIndicators!E$2:E$71,0))</f>
        <v>3</v>
      </c>
      <c r="C113" s="535" t="str">
        <f>REPT(" ",D113)&amp;IF($A113="","",INDEX(tblIndicators!AL$2:AL$71,$B113))</f>
        <v xml:space="preserve">  1.1) Digital infrastructure</v>
      </c>
      <c r="D113" s="535">
        <f>INDEX(tblIndicators!$G$2:$G$71,B113)</f>
        <v>2</v>
      </c>
      <c r="E113" s="549" t="str">
        <f>IF($A113="","",INDEX(tblIndicators!AM$2:AM$71,$B113))</f>
        <v>1.1) Digital infrastructure</v>
      </c>
      <c r="F113" s="549"/>
      <c r="G113" s="549"/>
      <c r="H113" s="549"/>
      <c r="I113" s="549"/>
      <c r="J113" s="549"/>
      <c r="K113" s="550"/>
      <c r="L113" s="550"/>
      <c r="M113" s="550"/>
      <c r="N113" s="550"/>
      <c r="O113" s="550"/>
      <c r="AH113" s="48"/>
      <c r="AI113" s="48"/>
      <c r="AJ113" s="48"/>
      <c r="AK113" s="48"/>
    </row>
    <row r="114" spans="1:37" ht="20.25" customHeight="1">
      <c r="A114" s="552" t="str">
        <f t="shared" ref="A114" si="44">T5</f>
        <v>CNTY1_1_1</v>
      </c>
      <c r="B114" s="535">
        <f>IF(A114="","",MATCH(A114,tblIndicators!E$2:E$71,0))</f>
        <v>4</v>
      </c>
      <c r="C114" s="535" t="str">
        <f>REPT(" ",D114)&amp;IF($A114="","",INDEX(tblIndicators!AL$2:AL$71,$B114))</f>
        <v xml:space="preserve">   1.1.1) Mobile broadband subscriptions</v>
      </c>
      <c r="D114" s="535">
        <f>INDEX(tblIndicators!$G$2:$G$71,B114)</f>
        <v>3</v>
      </c>
      <c r="E114" s="549" t="str">
        <f>IF($A114="","",INDEX(tblIndicators!AM$2:AM$71,$B114))</f>
        <v>1.1.1) Mobile broadband subscriptions</v>
      </c>
      <c r="F114" s="549"/>
      <c r="G114" s="549"/>
      <c r="H114" s="549"/>
      <c r="I114" s="549"/>
      <c r="J114" s="549"/>
      <c r="K114" s="550"/>
      <c r="L114" s="550"/>
      <c r="M114" s="550"/>
      <c r="N114" s="550"/>
      <c r="O114" s="550"/>
      <c r="AH114" s="48"/>
      <c r="AI114" s="48"/>
      <c r="AJ114" s="48"/>
      <c r="AK114" s="48"/>
    </row>
    <row r="115" spans="1:37" ht="20.25" customHeight="1">
      <c r="A115" s="552" t="str">
        <f t="shared" ref="A115:A121" si="45">T6</f>
        <v>CNTY1_1_2</v>
      </c>
      <c r="B115" s="535">
        <f>IF(A115="","",MATCH(A115,tblIndicators!E$2:E$71,0))</f>
        <v>5</v>
      </c>
      <c r="C115" s="535" t="str">
        <f>REPT(" ",D115)&amp;IF($A115="","",INDEX(tblIndicators!AL$2:AL$71,$B115))</f>
        <v xml:space="preserve">   1.1.2) Fixed broadband susbcriptions</v>
      </c>
      <c r="D115" s="535">
        <f>INDEX(tblIndicators!$G$2:$G$71,B115)</f>
        <v>3</v>
      </c>
      <c r="E115" s="549" t="str">
        <f>IF($A115="","",INDEX(tblIndicators!AM$2:AM$71,$B115))</f>
        <v>1.1.2) Fixed broadband susbcriptions</v>
      </c>
      <c r="F115" s="549"/>
      <c r="G115" s="549"/>
      <c r="H115" s="549"/>
      <c r="I115" s="549"/>
      <c r="J115" s="549"/>
      <c r="K115" s="550"/>
      <c r="L115" s="550"/>
      <c r="M115" s="550"/>
      <c r="N115" s="550"/>
      <c r="O115" s="550"/>
      <c r="AH115" s="48"/>
      <c r="AI115" s="48"/>
      <c r="AJ115" s="48"/>
      <c r="AK115" s="48"/>
    </row>
    <row r="116" spans="1:37" ht="20.25" customHeight="1">
      <c r="A116" s="552" t="str">
        <f t="shared" si="45"/>
        <v>CNTY1_1_3</v>
      </c>
      <c r="B116" s="535">
        <f>IF(A116="","",MATCH(A116,tblIndicators!E$2:E$71,0))</f>
        <v>6</v>
      </c>
      <c r="C116" s="535" t="str">
        <f>REPT(" ",D116)&amp;IF($A116="","",INDEX(tblIndicators!AL$2:AL$71,$B116))</f>
        <v xml:space="preserve">   1.1.3) 5G readiness</v>
      </c>
      <c r="D116" s="535">
        <f>INDEX(tblIndicators!$G$2:$G$71,B116)</f>
        <v>3</v>
      </c>
      <c r="E116" s="549" t="str">
        <f>IF($A116="","",INDEX(tblIndicators!AM$2:AM$71,$B116))</f>
        <v>1.1.3) 5G readiness</v>
      </c>
      <c r="F116" s="549"/>
      <c r="G116" s="549"/>
      <c r="H116" s="549"/>
      <c r="I116" s="549"/>
      <c r="J116" s="549"/>
      <c r="K116" s="550"/>
      <c r="L116" s="550"/>
      <c r="M116" s="550"/>
      <c r="N116" s="550"/>
      <c r="O116" s="550"/>
      <c r="AH116" s="48"/>
      <c r="AI116" s="48"/>
      <c r="AJ116" s="48"/>
      <c r="AK116" s="48"/>
    </row>
    <row r="117" spans="1:37" ht="20.25" customHeight="1">
      <c r="A117" s="552" t="str">
        <f t="shared" si="45"/>
        <v>CNTY1_1_4</v>
      </c>
      <c r="B117" s="535">
        <f>IF(A117="","",MATCH(A117,tblIndicators!E$2:E$71,0))</f>
        <v>7</v>
      </c>
      <c r="C117" s="535" t="str">
        <f>REPT(" ",D117)&amp;IF($A117="","",INDEX(tblIndicators!AL$2:AL$71,$B117))</f>
        <v xml:space="preserve">   1.1.4) 5G deployment</v>
      </c>
      <c r="D117" s="535">
        <f>INDEX(tblIndicators!$G$2:$G$71,B117)</f>
        <v>3</v>
      </c>
      <c r="E117" s="549" t="str">
        <f>IF($A117="","",INDEX(tblIndicators!AM$2:AM$71,$B117))</f>
        <v>1.1.4) 5G deployment</v>
      </c>
      <c r="F117" s="549"/>
      <c r="G117" s="549"/>
      <c r="H117" s="549"/>
      <c r="I117" s="549"/>
      <c r="J117" s="549"/>
      <c r="K117" s="550"/>
      <c r="L117" s="550"/>
      <c r="M117" s="550"/>
      <c r="N117" s="550"/>
      <c r="O117" s="550"/>
      <c r="AH117" s="48"/>
      <c r="AI117" s="48"/>
      <c r="AJ117" s="48"/>
      <c r="AK117" s="48"/>
    </row>
    <row r="118" spans="1:37" ht="20.25" customHeight="1">
      <c r="A118" s="552" t="str">
        <f t="shared" si="45"/>
        <v>CNTY1_2</v>
      </c>
      <c r="B118" s="535">
        <f>IF(A118="","",MATCH(A118,tblIndicators!E$2:E$71,0))</f>
        <v>8</v>
      </c>
      <c r="C118" s="535" t="str">
        <f>REPT(" ",D118)&amp;IF($A118="","",INDEX(tblIndicators!AL$2:AL$71,$B118))</f>
        <v xml:space="preserve">  1.2) Quality</v>
      </c>
      <c r="D118" s="535">
        <f>INDEX(tblIndicators!$G$2:$G$71,B118)</f>
        <v>2</v>
      </c>
      <c r="E118" s="549" t="str">
        <f>IF($A118="","",INDEX(tblIndicators!AM$2:AM$71,$B118))</f>
        <v>1.2) Quality</v>
      </c>
      <c r="F118" s="549"/>
      <c r="G118" s="549"/>
      <c r="H118" s="549"/>
      <c r="I118" s="549"/>
      <c r="J118" s="549"/>
      <c r="K118" s="550"/>
      <c r="L118" s="550"/>
      <c r="M118" s="550"/>
      <c r="N118" s="550"/>
      <c r="O118" s="550"/>
      <c r="AH118" s="48"/>
      <c r="AI118" s="48"/>
      <c r="AJ118" s="48"/>
      <c r="AK118" s="48"/>
    </row>
    <row r="119" spans="1:37" ht="20.25" customHeight="1">
      <c r="A119" s="552" t="str">
        <f t="shared" si="45"/>
        <v>CNTY1_2_1</v>
      </c>
      <c r="B119" s="535">
        <f>IF(A119="","",MATCH(A119,tblIndicators!E$2:E$71,0))</f>
        <v>9</v>
      </c>
      <c r="C119" s="535" t="str">
        <f>REPT(" ",D119)&amp;IF($A119="","",INDEX(tblIndicators!AL$2:AL$71,$B119))</f>
        <v xml:space="preserve">   1.2.1) Internet upload speed</v>
      </c>
      <c r="D119" s="535">
        <f>INDEX(tblIndicators!$G$2:$G$71,B119)</f>
        <v>3</v>
      </c>
      <c r="E119" s="549" t="str">
        <f>IF($A119="","",INDEX(tblIndicators!AM$2:AM$71,$B119))</f>
        <v>1.2.1) Internet upload speed</v>
      </c>
      <c r="F119" s="549"/>
      <c r="G119" s="549"/>
      <c r="H119" s="549"/>
      <c r="I119" s="549"/>
      <c r="J119" s="549"/>
      <c r="K119" s="550"/>
      <c r="L119" s="550"/>
      <c r="M119" s="550"/>
      <c r="N119" s="550"/>
      <c r="O119" s="550"/>
      <c r="AH119" s="48"/>
      <c r="AI119" s="48"/>
      <c r="AJ119" s="48"/>
      <c r="AK119" s="48"/>
    </row>
    <row r="120" spans="1:37" ht="20.25" customHeight="1">
      <c r="A120" s="552" t="str">
        <f t="shared" si="45"/>
        <v>CNTY1_2_2</v>
      </c>
      <c r="B120" s="535">
        <f>IF(A120="","",MATCH(A120,tblIndicators!E$2:E$71,0))</f>
        <v>10</v>
      </c>
      <c r="C120" s="535" t="str">
        <f>REPT(" ",D120)&amp;IF($A120="","",INDEX(tblIndicators!AL$2:AL$71,$B120))</f>
        <v xml:space="preserve">   1.2.2) Internet download speed</v>
      </c>
      <c r="D120" s="535">
        <f>INDEX(tblIndicators!$G$2:$G$71,B120)</f>
        <v>3</v>
      </c>
      <c r="E120" s="549" t="str">
        <f>IF($A120="","",INDEX(tblIndicators!AM$2:AM$71,$B120))</f>
        <v>1.2.2) Internet download speed</v>
      </c>
      <c r="F120" s="549"/>
      <c r="G120" s="549"/>
      <c r="H120" s="549"/>
      <c r="I120" s="549"/>
      <c r="J120" s="549"/>
      <c r="K120" s="550"/>
      <c r="L120" s="550"/>
      <c r="M120" s="550"/>
      <c r="N120" s="550"/>
      <c r="O120" s="550"/>
      <c r="AH120" s="48"/>
      <c r="AI120" s="48"/>
      <c r="AJ120" s="48"/>
      <c r="AK120" s="48"/>
    </row>
    <row r="121" spans="1:37" ht="20.25" customHeight="1">
      <c r="A121" s="552" t="str">
        <f t="shared" si="45"/>
        <v>CNTY1_2_3</v>
      </c>
      <c r="B121" s="535">
        <f>IF(A121="","",MATCH(A121,tblIndicators!E$2:E$71,0))</f>
        <v>11</v>
      </c>
      <c r="C121" s="535" t="str">
        <f>REPT(" ",D121)&amp;IF($A121="","",INDEX(tblIndicators!AL$2:AL$71,$B121))</f>
        <v xml:space="preserve">   1.2.3) Mobile broadband latency</v>
      </c>
      <c r="D121" s="535">
        <f>INDEX(tblIndicators!$G$2:$G$71,B121)</f>
        <v>3</v>
      </c>
      <c r="E121" s="549" t="str">
        <f>IF($A121="","",INDEX(tblIndicators!AM$2:AM$71,$B121))</f>
        <v>1.2.3) Mobile broadband latency</v>
      </c>
      <c r="F121" s="549"/>
      <c r="G121" s="549"/>
      <c r="H121" s="549"/>
      <c r="I121" s="549"/>
      <c r="J121" s="549"/>
      <c r="K121" s="550"/>
      <c r="L121" s="550"/>
      <c r="M121" s="550"/>
      <c r="N121" s="550"/>
      <c r="O121" s="550"/>
      <c r="AH121" s="48"/>
      <c r="AI121" s="48"/>
      <c r="AJ121" s="48"/>
      <c r="AK121" s="48"/>
    </row>
    <row r="122" spans="1:37" ht="20.25" customHeight="1">
      <c r="A122" s="552" t="str">
        <f t="shared" ref="A122:A123" si="46">T13</f>
        <v>CNTY1_2_4</v>
      </c>
      <c r="B122" s="535">
        <f>IF(A122="","",MATCH(A122,tblIndicators!E$2:E$71,0))</f>
        <v>12</v>
      </c>
      <c r="C122" s="535" t="str">
        <f>REPT(" ",D122)&amp;IF($A122="","",INDEX(tblIndicators!AL$2:AL$71,$B122))</f>
        <v xml:space="preserve">   1.2.4) Fixed broadband latency</v>
      </c>
      <c r="D122" s="535">
        <f>INDEX(tblIndicators!$G$2:$G$71,B122)</f>
        <v>3</v>
      </c>
      <c r="E122" s="549" t="str">
        <f>IF($A122="","",INDEX(tblIndicators!AM$2:AM$71,$B122))</f>
        <v>1.2.4) Fixed broadband latency</v>
      </c>
      <c r="F122" s="549"/>
      <c r="G122" s="549"/>
      <c r="H122" s="549"/>
      <c r="I122" s="549"/>
      <c r="J122" s="549"/>
      <c r="K122" s="550"/>
      <c r="L122" s="550"/>
      <c r="M122" s="550"/>
      <c r="N122" s="550"/>
      <c r="O122" s="550"/>
      <c r="AH122" s="48"/>
      <c r="AI122" s="48"/>
      <c r="AJ122" s="48"/>
      <c r="AK122" s="48"/>
    </row>
    <row r="123" spans="1:37" ht="20.25" customHeight="1">
      <c r="A123" s="552" t="str">
        <f t="shared" si="46"/>
        <v>CNTY1_3</v>
      </c>
      <c r="B123" s="535">
        <f>IF(A123="","",MATCH(A123,tblIndicators!E$2:E$71,0))</f>
        <v>13</v>
      </c>
      <c r="C123" s="535" t="str">
        <f>REPT(" ",D123)&amp;IF($A123="","",INDEX(tblIndicators!AL$2:AL$71,$B123))</f>
        <v xml:space="preserve">  1.3) Affordability</v>
      </c>
      <c r="D123" s="535">
        <f>INDEX(tblIndicators!$G$2:$G$71,B123)</f>
        <v>2</v>
      </c>
      <c r="E123" s="549" t="str">
        <f>IF($A123="","",INDEX(tblIndicators!AM$2:AM$71,$B123))</f>
        <v>1.3) Affordability</v>
      </c>
      <c r="F123" s="549"/>
      <c r="G123" s="549"/>
      <c r="H123" s="549"/>
      <c r="I123" s="549"/>
      <c r="J123" s="549"/>
      <c r="K123" s="550"/>
      <c r="L123" s="550"/>
      <c r="M123" s="550"/>
      <c r="N123" s="550"/>
      <c r="O123" s="550"/>
      <c r="AH123" s="48"/>
      <c r="AI123" s="48"/>
      <c r="AJ123" s="48"/>
      <c r="AK123" s="48"/>
    </row>
    <row r="124" spans="1:37" ht="20.25" customHeight="1">
      <c r="A124" s="552" t="str">
        <f t="shared" ref="A124:A154" si="47">T15</f>
        <v>CNTY1_3_1</v>
      </c>
      <c r="B124" s="535">
        <f>IF(A124="","",MATCH(A124,tblIndicators!E$2:E$71,0))</f>
        <v>14</v>
      </c>
      <c r="C124" s="535" t="str">
        <f>REPT(" ",D124)&amp;IF($A124="","",INDEX(tblIndicators!AL$2:AL$71,$B124))</f>
        <v xml:space="preserve">   1.3.1) Mobile data affordability</v>
      </c>
      <c r="D124" s="535">
        <f>INDEX(tblIndicators!$G$2:$G$71,B124)</f>
        <v>3</v>
      </c>
      <c r="E124" s="549" t="str">
        <f>IF($A124="","",INDEX(tblIndicators!AM$2:AM$71,$B124))</f>
        <v>1.3.1) Mobile data affordability</v>
      </c>
      <c r="F124" s="549"/>
      <c r="G124" s="549"/>
      <c r="H124" s="549"/>
      <c r="I124" s="549"/>
      <c r="J124" s="549"/>
      <c r="K124" s="550"/>
      <c r="L124" s="550"/>
      <c r="M124" s="550"/>
      <c r="N124" s="550"/>
      <c r="O124" s="550"/>
      <c r="AH124" s="48"/>
      <c r="AI124" s="48"/>
      <c r="AJ124" s="48"/>
      <c r="AK124" s="48"/>
    </row>
    <row r="125" spans="1:37" ht="20.25" customHeight="1">
      <c r="A125" s="552" t="str">
        <f t="shared" si="47"/>
        <v>CNTY1_3_2</v>
      </c>
      <c r="B125" s="535">
        <f>IF(A125="","",MATCH(A125,tblIndicators!E$2:E$71,0))</f>
        <v>15</v>
      </c>
      <c r="C125" s="535" t="str">
        <f>REPT(" ",D125)&amp;IF($A125="","",INDEX(tblIndicators!AL$2:AL$71,$B125))</f>
        <v xml:space="preserve">   1.3.2) Fixed broadband affordability</v>
      </c>
      <c r="D125" s="535">
        <f>INDEX(tblIndicators!$G$2:$G$71,B125)</f>
        <v>3</v>
      </c>
      <c r="E125" s="549" t="str">
        <f>IF($A125="","",INDEX(tblIndicators!AM$2:AM$71,$B125))</f>
        <v>1.3.2) Fixed broadband affordability</v>
      </c>
      <c r="F125" s="549"/>
      <c r="G125" s="549"/>
      <c r="H125" s="549"/>
      <c r="I125" s="549"/>
      <c r="J125" s="549"/>
      <c r="K125" s="550"/>
      <c r="L125" s="550"/>
      <c r="M125" s="550"/>
      <c r="N125" s="550"/>
      <c r="O125" s="550"/>
      <c r="AH125" s="48"/>
      <c r="AI125" s="48"/>
      <c r="AJ125" s="48"/>
      <c r="AK125" s="48"/>
    </row>
    <row r="126" spans="1:37" ht="20.25" customHeight="1">
      <c r="A126" s="552" t="str">
        <f t="shared" si="47"/>
        <v>SERV2_1</v>
      </c>
      <c r="B126" s="535">
        <f>IF(A126="","",MATCH(A126,tblIndicators!E$2:E$71,0))</f>
        <v>17</v>
      </c>
      <c r="C126" s="535" t="str">
        <f>REPT(" ",D126)&amp;IF($A126="","",INDEX(tblIndicators!AL$2:AL$71,$B126))</f>
        <v xml:space="preserve">  2.1) E-gov services for residents &amp; businesses</v>
      </c>
      <c r="D126" s="535">
        <f>INDEX(tblIndicators!$G$2:$G$71,B126)</f>
        <v>2</v>
      </c>
      <c r="E126" s="549" t="str">
        <f>IF($A126="","",INDEX(tblIndicators!AM$2:AM$71,$B126))</f>
        <v>2.1) E-gov services for residents &amp; businesses</v>
      </c>
      <c r="F126" s="549"/>
      <c r="G126" s="549"/>
      <c r="H126" s="549"/>
      <c r="I126" s="549"/>
      <c r="J126" s="549"/>
      <c r="K126" s="550"/>
      <c r="L126" s="550"/>
      <c r="M126" s="550"/>
      <c r="N126" s="550"/>
      <c r="O126" s="550"/>
      <c r="AH126" s="48"/>
      <c r="AI126" s="48"/>
      <c r="AJ126" s="48"/>
      <c r="AK126" s="48"/>
    </row>
    <row r="127" spans="1:37" ht="20.25" customHeight="1">
      <c r="A127" s="552" t="str">
        <f t="shared" si="47"/>
        <v>SERV2_1_1</v>
      </c>
      <c r="B127" s="535">
        <f>IF(A127="","",MATCH(A127,tblIndicators!E$2:E$71,0))</f>
        <v>18</v>
      </c>
      <c r="C127" s="535" t="str">
        <f>REPT(" ",D127)&amp;IF($A127="","",INDEX(tblIndicators!AL$2:AL$71,$B127))</f>
        <v xml:space="preserve">   2.1.1) Mobile digital national ID</v>
      </c>
      <c r="D127" s="535">
        <f>INDEX(tblIndicators!$G$2:$G$71,B127)</f>
        <v>3</v>
      </c>
      <c r="E127" s="549" t="str">
        <f>IF($A127="","",INDEX(tblIndicators!AM$2:AM$71,$B127))</f>
        <v>2.1.1) Mobile digital national ID</v>
      </c>
      <c r="F127" s="549"/>
      <c r="G127" s="549"/>
      <c r="H127" s="549"/>
      <c r="I127" s="549"/>
      <c r="J127" s="549"/>
      <c r="K127" s="550"/>
      <c r="L127" s="550"/>
      <c r="M127" s="550"/>
      <c r="N127" s="550"/>
      <c r="O127" s="550"/>
      <c r="AH127" s="48"/>
      <c r="AI127" s="48"/>
      <c r="AJ127" s="48"/>
      <c r="AK127" s="48"/>
    </row>
    <row r="128" spans="1:37" ht="20.25" customHeight="1">
      <c r="A128" s="552" t="str">
        <f t="shared" si="47"/>
        <v>SERV2_1_2</v>
      </c>
      <c r="B128" s="535">
        <f>IF(A128="","",MATCH(A128,tblIndicators!E$2:E$71,0))</f>
        <v>19</v>
      </c>
      <c r="C128" s="535" t="str">
        <f>REPT(" ",D128)&amp;IF($A128="","",INDEX(tblIndicators!AL$2:AL$71,$B128))</f>
        <v xml:space="preserve">   2.1.2) E-gov service portal for residents</v>
      </c>
      <c r="D128" s="535">
        <f>INDEX(tblIndicators!$G$2:$G$71,B128)</f>
        <v>3</v>
      </c>
      <c r="E128" s="549" t="str">
        <f>IF($A128="","",INDEX(tblIndicators!AM$2:AM$71,$B128))</f>
        <v>2.1.2) E-gov service portal for residents</v>
      </c>
      <c r="F128" s="549"/>
      <c r="G128" s="549"/>
      <c r="H128" s="549"/>
      <c r="I128" s="549"/>
      <c r="J128" s="549"/>
      <c r="K128" s="550"/>
      <c r="L128" s="550"/>
      <c r="M128" s="550"/>
      <c r="N128" s="550"/>
      <c r="O128" s="550"/>
      <c r="AH128" s="48"/>
      <c r="AI128" s="48"/>
      <c r="AJ128" s="48"/>
      <c r="AK128" s="48"/>
    </row>
    <row r="129" spans="1:37" ht="20.25" customHeight="1">
      <c r="A129" s="552" t="str">
        <f t="shared" si="47"/>
        <v>SERV2_1_3</v>
      </c>
      <c r="B129" s="535">
        <f>IF(A129="","",MATCH(A129,tblIndicators!E$2:E$71,0))</f>
        <v>20</v>
      </c>
      <c r="C129" s="535" t="str">
        <f>REPT(" ",D129)&amp;IF($A129="","",INDEX(tblIndicators!AL$2:AL$71,$B129))</f>
        <v xml:space="preserve">   2.1.3) E-gov service portal for businesses</v>
      </c>
      <c r="D129" s="535">
        <f>INDEX(tblIndicators!$G$2:$G$71,B129)</f>
        <v>3</v>
      </c>
      <c r="E129" s="549" t="str">
        <f>IF($A129="","",INDEX(tblIndicators!AM$2:AM$71,$B129))</f>
        <v>2.1.3) E-gov service portal for businesses</v>
      </c>
      <c r="F129" s="549"/>
      <c r="G129" s="549"/>
      <c r="H129" s="549"/>
      <c r="I129" s="549"/>
      <c r="J129" s="549"/>
      <c r="K129" s="550"/>
      <c r="L129" s="550"/>
      <c r="M129" s="550"/>
      <c r="N129" s="550"/>
      <c r="O129" s="550"/>
      <c r="AH129" s="48"/>
      <c r="AI129" s="48"/>
      <c r="AJ129" s="48"/>
      <c r="AK129" s="48"/>
    </row>
    <row r="130" spans="1:37" ht="20.25" customHeight="1">
      <c r="A130" s="552" t="str">
        <f t="shared" si="47"/>
        <v>SERV2_2</v>
      </c>
      <c r="B130" s="535">
        <f>IF(A130="","",MATCH(A130,tblIndicators!E$2:E$71,0))</f>
        <v>21</v>
      </c>
      <c r="C130" s="535" t="str">
        <f>REPT(" ",D130)&amp;IF($A130="","",INDEX(tblIndicators!AL$2:AL$71,$B130))</f>
        <v xml:space="preserve">  2.2) Digital finance</v>
      </c>
      <c r="D130" s="535">
        <f>INDEX(tblIndicators!$G$2:$G$71,B130)</f>
        <v>2</v>
      </c>
      <c r="E130" s="549" t="str">
        <f>IF($A130="","",INDEX(tblIndicators!AM$2:AM$71,$B130))</f>
        <v>2.2) Digital finance</v>
      </c>
      <c r="F130" s="549"/>
      <c r="G130" s="549"/>
      <c r="H130" s="549"/>
      <c r="I130" s="549"/>
      <c r="J130" s="549"/>
      <c r="K130" s="550"/>
      <c r="L130" s="550"/>
      <c r="M130" s="550"/>
      <c r="N130" s="550"/>
      <c r="O130" s="550"/>
      <c r="AH130" s="48"/>
      <c r="AI130" s="48"/>
      <c r="AJ130" s="48"/>
      <c r="AK130" s="48"/>
    </row>
    <row r="131" spans="1:37" ht="20.25" customHeight="1">
      <c r="A131" s="552" t="str">
        <f t="shared" si="47"/>
        <v>SERV2_2_1</v>
      </c>
      <c r="B131" s="535">
        <f>IF(A131="","",MATCH(A131,tblIndicators!E$2:E$71,0))</f>
        <v>22</v>
      </c>
      <c r="C131" s="535" t="str">
        <f>REPT(" ",D131)&amp;IF($A131="","",INDEX(tblIndicators!AL$2:AL$71,$B131))</f>
        <v xml:space="preserve">   2.2.1) Digital platforms for banking and personal finance</v>
      </c>
      <c r="D131" s="535">
        <f>INDEX(tblIndicators!$G$2:$G$71,B131)</f>
        <v>3</v>
      </c>
      <c r="E131" s="549" t="str">
        <f>IF($A131="","",INDEX(tblIndicators!AM$2:AM$71,$B131))</f>
        <v>2.2.1) Digital platforms for banking and personal finance</v>
      </c>
      <c r="F131" s="549"/>
      <c r="G131" s="549"/>
      <c r="H131" s="549"/>
      <c r="I131" s="549"/>
      <c r="J131" s="549"/>
      <c r="K131" s="550"/>
      <c r="L131" s="550"/>
      <c r="M131" s="550"/>
      <c r="N131" s="550"/>
      <c r="O131" s="550"/>
      <c r="AH131" s="48"/>
      <c r="AI131" s="48"/>
      <c r="AJ131" s="48"/>
      <c r="AK131" s="48"/>
    </row>
    <row r="132" spans="1:37" ht="20.25" customHeight="1">
      <c r="A132" s="552" t="str">
        <f t="shared" si="47"/>
        <v>SERV2_2_2</v>
      </c>
      <c r="B132" s="535">
        <f>IF(A132="","",MATCH(A132,tblIndicators!E$2:E$71,0))</f>
        <v>23</v>
      </c>
      <c r="C132" s="535" t="str">
        <f>REPT(" ",D132)&amp;IF($A132="","",INDEX(tblIndicators!AL$2:AL$71,$B132))</f>
        <v xml:space="preserve">   2.2.2) Digital investment management tools</v>
      </c>
      <c r="D132" s="535">
        <f>INDEX(tblIndicators!$G$2:$G$71,B132)</f>
        <v>3</v>
      </c>
      <c r="E132" s="549" t="str">
        <f>IF($A132="","",INDEX(tblIndicators!AM$2:AM$71,$B132))</f>
        <v>2.2.2) Digital investment management tools</v>
      </c>
      <c r="F132" s="549"/>
      <c r="G132" s="549"/>
      <c r="H132" s="549"/>
      <c r="I132" s="549"/>
      <c r="J132" s="549"/>
      <c r="K132" s="550"/>
      <c r="L132" s="550"/>
      <c r="M132" s="550"/>
      <c r="N132" s="550"/>
      <c r="O132" s="550"/>
      <c r="AH132" s="48"/>
      <c r="AI132" s="48"/>
      <c r="AJ132" s="48"/>
      <c r="AK132" s="48"/>
    </row>
    <row r="133" spans="1:37" ht="20.25" customHeight="1">
      <c r="A133" s="552" t="str">
        <f t="shared" si="47"/>
        <v>SERV2_2_3</v>
      </c>
      <c r="B133" s="535">
        <f>IF(A133="","",MATCH(A133,tblIndicators!E$2:E$71,0))</f>
        <v>24</v>
      </c>
      <c r="C133" s="535" t="str">
        <f>REPT(" ",D133)&amp;IF($A133="","",INDEX(tblIndicators!AL$2:AL$71,$B133))</f>
        <v xml:space="preserve">   2.2.3) E-payments</v>
      </c>
      <c r="D133" s="535">
        <f>INDEX(tblIndicators!$G$2:$G$71,B133)</f>
        <v>3</v>
      </c>
      <c r="E133" s="549" t="str">
        <f>IF($A133="","",INDEX(tblIndicators!AM$2:AM$71,$B133))</f>
        <v>2.2.3) E-payments</v>
      </c>
      <c r="F133" s="549"/>
      <c r="G133" s="549"/>
      <c r="H133" s="549"/>
      <c r="I133" s="549"/>
      <c r="J133" s="549"/>
      <c r="K133" s="550"/>
      <c r="L133" s="550"/>
      <c r="M133" s="550"/>
      <c r="N133" s="550"/>
      <c r="O133" s="550"/>
      <c r="AH133" s="48"/>
      <c r="AI133" s="48"/>
      <c r="AJ133" s="48"/>
      <c r="AK133" s="48"/>
    </row>
    <row r="134" spans="1:37" ht="20.25" customHeight="1">
      <c r="A134" s="552" t="str">
        <f t="shared" si="47"/>
        <v>SERV2_3</v>
      </c>
      <c r="B134" s="535">
        <f>IF(A134="","",MATCH(A134,tblIndicators!E$2:E$71,0))</f>
        <v>25</v>
      </c>
      <c r="C134" s="535" t="str">
        <f>REPT(" ",D134)&amp;IF($A134="","",INDEX(tblIndicators!AL$2:AL$71,$B134))</f>
        <v xml:space="preserve">  2.3) Transportation</v>
      </c>
      <c r="D134" s="535">
        <f>INDEX(tblIndicators!$G$2:$G$71,B134)</f>
        <v>2</v>
      </c>
      <c r="E134" s="549" t="str">
        <f>IF($A134="","",INDEX(tblIndicators!AM$2:AM$71,$B134))</f>
        <v>2.3) Transportation</v>
      </c>
      <c r="F134" s="549"/>
      <c r="G134" s="549"/>
      <c r="H134" s="549"/>
      <c r="I134" s="549"/>
      <c r="J134" s="549"/>
      <c r="K134" s="550"/>
      <c r="L134" s="550"/>
      <c r="M134" s="550"/>
      <c r="N134" s="550"/>
      <c r="O134" s="550"/>
      <c r="AH134" s="48"/>
      <c r="AI134" s="48"/>
      <c r="AJ134" s="48"/>
      <c r="AK134" s="48"/>
    </row>
    <row r="135" spans="1:37" ht="20.25" customHeight="1">
      <c r="A135" s="552" t="str">
        <f t="shared" si="47"/>
        <v>SERV2_3_1</v>
      </c>
      <c r="B135" s="535">
        <f>IF(A135="","",MATCH(A135,tblIndicators!E$2:E$71,0))</f>
        <v>26</v>
      </c>
      <c r="C135" s="535" t="str">
        <f>REPT(" ",D135)&amp;IF($A135="","",INDEX(tblIndicators!AL$2:AL$71,$B135))</f>
        <v xml:space="preserve">   2.3.1) Integrated public transport apps</v>
      </c>
      <c r="D135" s="535">
        <f>INDEX(tblIndicators!$G$2:$G$71,B135)</f>
        <v>3</v>
      </c>
      <c r="E135" s="549" t="str">
        <f>IF($A135="","",INDEX(tblIndicators!AM$2:AM$71,$B135))</f>
        <v>2.3.1) Integrated public transport apps</v>
      </c>
      <c r="F135" s="549"/>
      <c r="G135" s="549"/>
      <c r="H135" s="549"/>
      <c r="I135" s="549"/>
      <c r="J135" s="549"/>
      <c r="K135" s="550"/>
      <c r="L135" s="550"/>
      <c r="M135" s="550"/>
      <c r="N135" s="550"/>
      <c r="O135" s="550"/>
      <c r="AH135" s="48"/>
      <c r="AI135" s="48"/>
      <c r="AJ135" s="48"/>
      <c r="AK135" s="48"/>
    </row>
    <row r="136" spans="1:37" ht="20.25" customHeight="1">
      <c r="A136" s="552" t="str">
        <f t="shared" si="47"/>
        <v>SERV2_3_2</v>
      </c>
      <c r="B136" s="535">
        <f>IF(A136="","",MATCH(A136,tblIndicators!E$2:E$71,0))</f>
        <v>27</v>
      </c>
      <c r="C136" s="535" t="str">
        <f>REPT(" ",D136)&amp;IF($A136="","",INDEX(tblIndicators!AL$2:AL$71,$B136))</f>
        <v xml:space="preserve">   2.3.2) Digital identification at airports</v>
      </c>
      <c r="D136" s="535">
        <f>INDEX(tblIndicators!$G$2:$G$71,B136)</f>
        <v>3</v>
      </c>
      <c r="E136" s="549" t="str">
        <f>IF($A136="","",INDEX(tblIndicators!AM$2:AM$71,$B136))</f>
        <v>2.3.2) Digital identification at airports</v>
      </c>
      <c r="F136" s="549"/>
      <c r="G136" s="549"/>
      <c r="H136" s="549"/>
      <c r="I136" s="549"/>
      <c r="J136" s="549"/>
      <c r="K136" s="550"/>
      <c r="L136" s="550"/>
      <c r="M136" s="550"/>
      <c r="N136" s="550"/>
      <c r="O136" s="550"/>
      <c r="AH136" s="48"/>
      <c r="AI136" s="48"/>
      <c r="AJ136" s="48"/>
      <c r="AK136" s="48"/>
    </row>
    <row r="137" spans="1:37" ht="20.25" customHeight="1">
      <c r="A137" s="552" t="str">
        <f t="shared" si="47"/>
        <v>SERV2_4</v>
      </c>
      <c r="B137" s="535">
        <f>IF(A137="","",MATCH(A137,tblIndicators!E$2:E$71,0))</f>
        <v>28</v>
      </c>
      <c r="C137" s="535" t="str">
        <f>REPT(" ",D137)&amp;IF($A137="","",INDEX(tblIndicators!AL$2:AL$71,$B137))</f>
        <v xml:space="preserve">  2.4) Healthcare</v>
      </c>
      <c r="D137" s="535">
        <f>INDEX(tblIndicators!$G$2:$G$71,B137)</f>
        <v>2</v>
      </c>
      <c r="E137" s="549" t="str">
        <f>IF($A137="","",INDEX(tblIndicators!AM$2:AM$71,$B137))</f>
        <v>2.4) Healthcare</v>
      </c>
      <c r="F137" s="549"/>
      <c r="G137" s="549"/>
      <c r="H137" s="549"/>
      <c r="I137" s="549"/>
      <c r="J137" s="549"/>
      <c r="K137" s="550"/>
      <c r="L137" s="550"/>
      <c r="M137" s="550"/>
      <c r="N137" s="550"/>
      <c r="O137" s="550"/>
      <c r="AH137" s="48"/>
      <c r="AI137" s="48"/>
      <c r="AJ137" s="48"/>
      <c r="AK137" s="48"/>
    </row>
    <row r="138" spans="1:37" ht="20.25" customHeight="1">
      <c r="A138" s="552" t="str">
        <f t="shared" si="47"/>
        <v>SERV2_4_1</v>
      </c>
      <c r="B138" s="535">
        <f>IF(A138="","",MATCH(A138,tblIndicators!E$2:E$71,0))</f>
        <v>29</v>
      </c>
      <c r="C138" s="535" t="str">
        <f>REPT(" ",D138)&amp;IF($A138="","",INDEX(tblIndicators!AL$2:AL$71,$B138))</f>
        <v xml:space="preserve">   2.4.1) Telehealth &amp; telemedicine</v>
      </c>
      <c r="D138" s="535">
        <f>INDEX(tblIndicators!$G$2:$G$71,B138)</f>
        <v>3</v>
      </c>
      <c r="E138" s="549" t="str">
        <f>IF($A138="","",INDEX(tblIndicators!AM$2:AM$71,$B138))</f>
        <v>2.4.1) Telehealth &amp; telemedicine</v>
      </c>
      <c r="F138" s="549"/>
      <c r="G138" s="549"/>
      <c r="H138" s="549"/>
      <c r="I138" s="549"/>
      <c r="J138" s="549"/>
      <c r="K138" s="550"/>
      <c r="L138" s="550"/>
      <c r="M138" s="550"/>
      <c r="N138" s="550"/>
      <c r="O138" s="550"/>
      <c r="AH138" s="48"/>
      <c r="AI138" s="48"/>
      <c r="AJ138" s="48"/>
      <c r="AK138" s="48"/>
    </row>
    <row r="139" spans="1:37" ht="20.25" customHeight="1">
      <c r="A139" s="552" t="str">
        <f t="shared" si="47"/>
        <v>SERV2_4_2</v>
      </c>
      <c r="B139" s="535">
        <f>IF(A139="","",MATCH(A139,tblIndicators!E$2:E$71,0))</f>
        <v>30</v>
      </c>
      <c r="C139" s="535" t="str">
        <f>REPT(" ",D139)&amp;IF($A139="","",INDEX(tblIndicators!AL$2:AL$71,$B139))</f>
        <v xml:space="preserve">   2.4.2) Electronic health records</v>
      </c>
      <c r="D139" s="535">
        <f>INDEX(tblIndicators!$G$2:$G$71,B139)</f>
        <v>3</v>
      </c>
      <c r="E139" s="549" t="str">
        <f>IF($A139="","",INDEX(tblIndicators!AM$2:AM$71,$B139))</f>
        <v>2.4.2) Electronic health records</v>
      </c>
      <c r="F139" s="549"/>
      <c r="G139" s="549"/>
      <c r="H139" s="549"/>
      <c r="I139" s="549"/>
      <c r="J139" s="549"/>
      <c r="K139" s="550"/>
      <c r="L139" s="550"/>
      <c r="M139" s="550"/>
      <c r="N139" s="550"/>
      <c r="O139" s="550"/>
      <c r="AH139" s="48"/>
      <c r="AI139" s="48"/>
      <c r="AJ139" s="48"/>
      <c r="AK139" s="48"/>
    </row>
    <row r="140" spans="1:37" ht="20.25" customHeight="1">
      <c r="A140" s="552" t="str">
        <f t="shared" si="47"/>
        <v>SERV2_4_3</v>
      </c>
      <c r="B140" s="535">
        <f>IF(A140="","",MATCH(A140,tblIndicators!E$2:E$71,0))</f>
        <v>31</v>
      </c>
      <c r="C140" s="535" t="str">
        <f>REPT(" ",D140)&amp;IF($A140="","",INDEX(tblIndicators!AL$2:AL$71,$B140))</f>
        <v xml:space="preserve">   2.4.3) Pandemic-related applications</v>
      </c>
      <c r="D140" s="535">
        <f>INDEX(tblIndicators!$G$2:$G$71,B140)</f>
        <v>3</v>
      </c>
      <c r="E140" s="549" t="str">
        <f>IF($A140="","",INDEX(tblIndicators!AM$2:AM$71,$B140))</f>
        <v>2.4.3) Pandemic-related applications</v>
      </c>
      <c r="F140" s="549"/>
      <c r="G140" s="549"/>
      <c r="H140" s="549"/>
      <c r="I140" s="549"/>
      <c r="J140" s="549"/>
      <c r="K140" s="550"/>
      <c r="L140" s="550"/>
      <c r="M140" s="550"/>
      <c r="N140" s="550"/>
      <c r="O140" s="550"/>
      <c r="AH140" s="48"/>
      <c r="AI140" s="48"/>
      <c r="AJ140" s="48"/>
      <c r="AK140" s="48"/>
    </row>
    <row r="141" spans="1:37" ht="20.25" customHeight="1">
      <c r="A141" s="552" t="str">
        <f t="shared" si="47"/>
        <v>SERV2_5</v>
      </c>
      <c r="B141" s="535">
        <f>IF(A141="","",MATCH(A141,tblIndicators!E$2:E$71,0))</f>
        <v>32</v>
      </c>
      <c r="C141" s="535" t="str">
        <f>REPT(" ",D141)&amp;IF($A141="","",INDEX(tblIndicators!AL$2:AL$71,$B141))</f>
        <v xml:space="preserve">  2.5) Education</v>
      </c>
      <c r="D141" s="535">
        <f>INDEX(tblIndicators!$G$2:$G$71,B141)</f>
        <v>2</v>
      </c>
      <c r="E141" s="549" t="str">
        <f>IF($A141="","",INDEX(tblIndicators!AM$2:AM$71,$B141))</f>
        <v>2.5) Education</v>
      </c>
      <c r="F141" s="549"/>
      <c r="G141" s="549"/>
      <c r="H141" s="549"/>
      <c r="I141" s="549"/>
      <c r="J141" s="549"/>
      <c r="K141" s="550"/>
      <c r="L141" s="550"/>
      <c r="M141" s="550"/>
      <c r="N141" s="550"/>
      <c r="O141" s="550"/>
      <c r="AH141" s="48"/>
      <c r="AI141" s="48"/>
      <c r="AJ141" s="48"/>
      <c r="AK141" s="48"/>
    </row>
    <row r="142" spans="1:37" ht="20.25" customHeight="1">
      <c r="A142" s="552" t="str">
        <f t="shared" si="47"/>
        <v>SERV2_5_1</v>
      </c>
      <c r="B142" s="535">
        <f>IF(A142="","",MATCH(A142,tblIndicators!E$2:E$71,0))</f>
        <v>33</v>
      </c>
      <c r="C142" s="535" t="str">
        <f>REPT(" ",D142)&amp;IF($A142="","",INDEX(tblIndicators!AL$2:AL$71,$B142))</f>
        <v xml:space="preserve">   2.5.1) Digital education</v>
      </c>
      <c r="D142" s="535">
        <f>INDEX(tblIndicators!$G$2:$G$71,B142)</f>
        <v>3</v>
      </c>
      <c r="E142" s="549" t="str">
        <f>IF($A142="","",INDEX(tblIndicators!AM$2:AM$71,$B142))</f>
        <v>2.5.1) Digital education</v>
      </c>
      <c r="F142" s="549"/>
      <c r="G142" s="549"/>
      <c r="H142" s="549"/>
      <c r="I142" s="549"/>
      <c r="J142" s="549"/>
      <c r="K142" s="550"/>
      <c r="L142" s="550"/>
      <c r="M142" s="550"/>
      <c r="N142" s="550"/>
      <c r="O142" s="550"/>
      <c r="AH142" s="48"/>
      <c r="AI142" s="48"/>
      <c r="AJ142" s="48"/>
      <c r="AK142" s="48"/>
    </row>
    <row r="143" spans="1:37" ht="20.25" customHeight="1">
      <c r="A143" s="552" t="str">
        <f t="shared" si="47"/>
        <v>SERV2_6</v>
      </c>
      <c r="B143" s="535">
        <f>IF(A143="","",MATCH(A143,tblIndicators!E$2:E$71,0))</f>
        <v>34</v>
      </c>
      <c r="C143" s="535" t="str">
        <f>REPT(" ",D143)&amp;IF($A143="","",INDEX(tblIndicators!AL$2:AL$71,$B143))</f>
        <v xml:space="preserve">  2.6) Retail and hospitality</v>
      </c>
      <c r="D143" s="535">
        <f>INDEX(tblIndicators!$G$2:$G$71,B143)</f>
        <v>2</v>
      </c>
      <c r="E143" s="549" t="str">
        <f>IF($A143="","",INDEX(tblIndicators!AM$2:AM$71,$B143))</f>
        <v>2.6) Retail and hospitality</v>
      </c>
      <c r="F143" s="549"/>
      <c r="G143" s="549"/>
      <c r="H143" s="549"/>
      <c r="I143" s="549"/>
      <c r="J143" s="549"/>
      <c r="K143" s="550"/>
      <c r="L143" s="550"/>
      <c r="M143" s="550"/>
      <c r="N143" s="550"/>
      <c r="O143" s="550"/>
      <c r="AH143" s="48"/>
      <c r="AI143" s="48"/>
      <c r="AJ143" s="48"/>
      <c r="AK143" s="48"/>
    </row>
    <row r="144" spans="1:37" ht="20.25" customHeight="1">
      <c r="A144" s="552" t="str">
        <f t="shared" si="47"/>
        <v>SERV2_6_1</v>
      </c>
      <c r="B144" s="535">
        <f>IF(A144="","",MATCH(A144,tblIndicators!E$2:E$71,0))</f>
        <v>35</v>
      </c>
      <c r="C144" s="535" t="str">
        <f>REPT(" ",D144)&amp;IF($A144="","",INDEX(tblIndicators!AL$2:AL$71,$B144))</f>
        <v xml:space="preserve">   2.6.1) E-commerce penetration</v>
      </c>
      <c r="D144" s="535">
        <f>INDEX(tblIndicators!$G$2:$G$71,B144)</f>
        <v>3</v>
      </c>
      <c r="E144" s="549" t="str">
        <f>IF($A144="","",INDEX(tblIndicators!AM$2:AM$71,$B144))</f>
        <v>2.6.1) E-commerce penetration</v>
      </c>
      <c r="F144" s="549"/>
      <c r="G144" s="549"/>
      <c r="H144" s="549"/>
      <c r="I144" s="549"/>
      <c r="J144" s="549"/>
      <c r="K144" s="550"/>
      <c r="L144" s="550"/>
      <c r="M144" s="550"/>
      <c r="N144" s="550"/>
      <c r="O144" s="550"/>
      <c r="AH144" s="48"/>
      <c r="AI144" s="48"/>
      <c r="AJ144" s="48"/>
      <c r="AK144" s="48"/>
    </row>
    <row r="145" spans="1:37" ht="20.25" customHeight="1">
      <c r="A145" s="552" t="str">
        <f t="shared" si="47"/>
        <v>SERV2_6_2</v>
      </c>
      <c r="B145" s="535">
        <f>IF(A145="","",MATCH(A145,tblIndicators!E$2:E$71,0))</f>
        <v>36</v>
      </c>
      <c r="C145" s="535" t="str">
        <f>REPT(" ",D145)&amp;IF($A145="","",INDEX(tblIndicators!AL$2:AL$71,$B145))</f>
        <v xml:space="preserve">   2.6.2) Digital tourist passes</v>
      </c>
      <c r="D145" s="535">
        <f>INDEX(tblIndicators!$G$2:$G$71,B145)</f>
        <v>3</v>
      </c>
      <c r="E145" s="549" t="str">
        <f>IF($A145="","",INDEX(tblIndicators!AM$2:AM$71,$B145))</f>
        <v>2.6.2) Digital tourist passes</v>
      </c>
      <c r="F145" s="549"/>
      <c r="G145" s="549"/>
      <c r="H145" s="549"/>
      <c r="I145" s="549"/>
      <c r="J145" s="549"/>
      <c r="K145" s="550"/>
      <c r="L145" s="550"/>
      <c r="M145" s="550"/>
      <c r="N145" s="550"/>
      <c r="O145" s="550"/>
      <c r="AH145" s="48"/>
      <c r="AI145" s="48"/>
      <c r="AJ145" s="48"/>
      <c r="AK145" s="48"/>
    </row>
    <row r="146" spans="1:37" ht="20.25" customHeight="1">
      <c r="A146" s="552" t="str">
        <f t="shared" si="47"/>
        <v>CULT3_1</v>
      </c>
      <c r="B146" s="535">
        <f>IF(A146="","",MATCH(A146,tblIndicators!E$2:E$71,0))</f>
        <v>38</v>
      </c>
      <c r="C146" s="535" t="str">
        <f>REPT(" ",D146)&amp;IF($A146="","",INDEX(tblIndicators!AL$2:AL$71,$B146))</f>
        <v xml:space="preserve">  3.1) Digital inclusion</v>
      </c>
      <c r="D146" s="535">
        <f>INDEX(tblIndicators!$G$2:$G$71,B146)</f>
        <v>2</v>
      </c>
      <c r="E146" s="549" t="str">
        <f>IF($A146="","",INDEX(tblIndicators!AM$2:AM$71,$B146))</f>
        <v>3.1) Digital inclusion</v>
      </c>
      <c r="F146" s="549"/>
      <c r="G146" s="549"/>
      <c r="H146" s="549"/>
      <c r="I146" s="549"/>
      <c r="J146" s="549"/>
      <c r="K146" s="550"/>
      <c r="L146" s="550"/>
      <c r="M146" s="550"/>
      <c r="N146" s="550"/>
      <c r="O146" s="550"/>
      <c r="AH146" s="48"/>
      <c r="AI146" s="48"/>
      <c r="AJ146" s="48"/>
      <c r="AK146" s="48"/>
    </row>
    <row r="147" spans="1:37" ht="20.25" customHeight="1">
      <c r="A147" s="552" t="str">
        <f t="shared" si="47"/>
        <v>CULT3_1_1</v>
      </c>
      <c r="B147" s="535">
        <f>IF(A147="","",MATCH(A147,tblIndicators!E$2:E$71,0))</f>
        <v>39</v>
      </c>
      <c r="C147" s="535" t="str">
        <f>REPT(" ",D147)&amp;IF($A147="","",INDEX(tblIndicators!AL$2:AL$71,$B147))</f>
        <v xml:space="preserve">   3.1.1) Internet Usage</v>
      </c>
      <c r="D147" s="535">
        <f>INDEX(tblIndicators!$G$2:$G$71,B147)</f>
        <v>3</v>
      </c>
      <c r="E147" s="549" t="str">
        <f>IF($A147="","",INDEX(tblIndicators!AM$2:AM$71,$B147))</f>
        <v>3.1.1) Internet usage</v>
      </c>
      <c r="F147" s="549"/>
      <c r="G147" s="549"/>
      <c r="H147" s="549"/>
      <c r="I147" s="549"/>
      <c r="J147" s="549"/>
      <c r="K147" s="550"/>
      <c r="L147" s="550"/>
      <c r="M147" s="550"/>
      <c r="N147" s="550"/>
      <c r="O147" s="550"/>
      <c r="AH147" s="48"/>
      <c r="AI147" s="48"/>
      <c r="AJ147" s="48"/>
      <c r="AK147" s="48"/>
    </row>
    <row r="148" spans="1:37" ht="20.25" customHeight="1">
      <c r="A148" s="552" t="str">
        <f t="shared" si="47"/>
        <v>CULT3_1_2</v>
      </c>
      <c r="B148" s="535">
        <f>IF(A148="","",MATCH(A148,tblIndicators!E$2:E$71,0))</f>
        <v>40</v>
      </c>
      <c r="C148" s="535" t="str">
        <f>REPT(" ",D148)&amp;IF($A148="","",INDEX(tblIndicators!AL$2:AL$71,$B148))</f>
        <v xml:space="preserve">   3.1.2) Gap between female and male access to the internet</v>
      </c>
      <c r="D148" s="535">
        <f>INDEX(tblIndicators!$G$2:$G$71,B148)</f>
        <v>3</v>
      </c>
      <c r="E148" s="549" t="str">
        <f>IF($A148="","",INDEX(tblIndicators!AM$2:AM$71,$B148))</f>
        <v>3.1.2) Gap between female and male access to the internet</v>
      </c>
      <c r="F148" s="549"/>
      <c r="G148" s="549"/>
      <c r="H148" s="549"/>
      <c r="I148" s="549"/>
      <c r="J148" s="549"/>
      <c r="K148" s="550"/>
      <c r="L148" s="550"/>
      <c r="M148" s="550"/>
      <c r="N148" s="550"/>
      <c r="O148" s="550"/>
      <c r="AH148" s="48"/>
      <c r="AI148" s="48"/>
      <c r="AJ148" s="48"/>
      <c r="AK148" s="48"/>
    </row>
    <row r="149" spans="1:37" ht="20.25" customHeight="1">
      <c r="A149" s="552" t="str">
        <f t="shared" si="47"/>
        <v>CULT3_1_3</v>
      </c>
      <c r="B149" s="535">
        <f>IF(A149="","",MATCH(A149,tblIndicators!E$2:E$71,0))</f>
        <v>41</v>
      </c>
      <c r="C149" s="535" t="str">
        <f>REPT(" ",D149)&amp;IF($A149="","",INDEX(tblIndicators!AL$2:AL$71,$B149))</f>
        <v xml:space="preserve">   3.1.3) Digital skills</v>
      </c>
      <c r="D149" s="535">
        <f>INDEX(tblIndicators!$G$2:$G$71,B149)</f>
        <v>3</v>
      </c>
      <c r="E149" s="549" t="str">
        <f>IF($A149="","",INDEX(tblIndicators!AM$2:AM$71,$B149))</f>
        <v>3.1.3) Digital skills</v>
      </c>
      <c r="F149" s="549"/>
      <c r="G149" s="549"/>
      <c r="H149" s="549"/>
      <c r="I149" s="549"/>
      <c r="J149" s="549"/>
      <c r="K149" s="550"/>
      <c r="L149" s="550"/>
      <c r="M149" s="550"/>
      <c r="N149" s="550"/>
      <c r="O149" s="550"/>
      <c r="AH149" s="48"/>
      <c r="AI149" s="48"/>
      <c r="AJ149" s="48"/>
      <c r="AK149" s="48"/>
    </row>
    <row r="150" spans="1:37" ht="20.25" customHeight="1">
      <c r="A150" s="552" t="str">
        <f t="shared" si="47"/>
        <v>CULT3_2</v>
      </c>
      <c r="B150" s="535">
        <f>IF(A150="","",MATCH(A150,tblIndicators!E$2:E$71,0))</f>
        <v>42</v>
      </c>
      <c r="C150" s="535" t="str">
        <f>REPT(" ",D150)&amp;IF($A150="","",INDEX(tblIndicators!AL$2:AL$71,$B150))</f>
        <v xml:space="preserve">  3.2) Government support</v>
      </c>
      <c r="D150" s="535">
        <f>INDEX(tblIndicators!$G$2:$G$71,B150)</f>
        <v>2</v>
      </c>
      <c r="E150" s="549" t="str">
        <f>IF($A150="","",INDEX(tblIndicators!AM$2:AM$71,$B150))</f>
        <v>3.2) Government support</v>
      </c>
      <c r="F150" s="549"/>
      <c r="G150" s="549"/>
      <c r="H150" s="549"/>
      <c r="I150" s="549"/>
      <c r="J150" s="549"/>
      <c r="K150" s="550"/>
      <c r="L150" s="550"/>
      <c r="M150" s="550"/>
      <c r="N150" s="550"/>
      <c r="O150" s="550"/>
      <c r="AH150" s="48"/>
      <c r="AI150" s="48"/>
      <c r="AJ150" s="48"/>
      <c r="AK150" s="48"/>
    </row>
    <row r="151" spans="1:37" ht="20.25" customHeight="1">
      <c r="A151" s="552" t="str">
        <f t="shared" si="47"/>
        <v>CULT3_2_1</v>
      </c>
      <c r="B151" s="535">
        <f>IF(A151="","",MATCH(A151,tblIndicators!E$2:E$71,0))</f>
        <v>43</v>
      </c>
      <c r="C151" s="535" t="str">
        <f>REPT(" ",D151)&amp;IF($A151="","",INDEX(tblIndicators!AL$2:AL$71,$B151))</f>
        <v xml:space="preserve">   3.2.1) Data protection law</v>
      </c>
      <c r="D151" s="535">
        <f>INDEX(tblIndicators!$G$2:$G$71,B151)</f>
        <v>3</v>
      </c>
      <c r="E151" s="549" t="str">
        <f>IF($A151="","",INDEX(tblIndicators!AM$2:AM$71,$B151))</f>
        <v>3.2.1) Data protection law</v>
      </c>
      <c r="F151" s="549"/>
      <c r="G151" s="549"/>
      <c r="H151" s="549"/>
      <c r="I151" s="549"/>
      <c r="J151" s="549"/>
      <c r="K151" s="550"/>
      <c r="L151" s="550"/>
      <c r="M151" s="550"/>
      <c r="N151" s="550"/>
      <c r="O151" s="550"/>
      <c r="AH151" s="48"/>
      <c r="AI151" s="48"/>
      <c r="AJ151" s="48"/>
      <c r="AK151" s="48"/>
    </row>
    <row r="152" spans="1:37" ht="20.25" customHeight="1">
      <c r="A152" s="552" t="str">
        <f t="shared" si="47"/>
        <v>CULT3_2_2</v>
      </c>
      <c r="B152" s="535">
        <f>IF(A152="","",MATCH(A152,tblIndicators!E$2:E$71,0))</f>
        <v>44</v>
      </c>
      <c r="C152" s="535" t="str">
        <f>REPT(" ",D152)&amp;IF($A152="","",INDEX(tblIndicators!AL$2:AL$71,$B152))</f>
        <v xml:space="preserve">   3.2.2) Cyber security preparedness</v>
      </c>
      <c r="D152" s="535">
        <f>INDEX(tblIndicators!$G$2:$G$71,B152)</f>
        <v>3</v>
      </c>
      <c r="E152" s="549" t="str">
        <f>IF($A152="","",INDEX(tblIndicators!AM$2:AM$71,$B152))</f>
        <v>3.2.2) Cyber security preparedness</v>
      </c>
      <c r="F152" s="549"/>
      <c r="G152" s="549"/>
      <c r="H152" s="549"/>
      <c r="I152" s="549"/>
      <c r="J152" s="549"/>
      <c r="K152" s="550"/>
      <c r="L152" s="550"/>
      <c r="M152" s="550"/>
      <c r="N152" s="550"/>
      <c r="O152" s="550"/>
      <c r="AH152" s="48"/>
      <c r="AI152" s="48"/>
      <c r="AJ152" s="48"/>
      <c r="AK152" s="48"/>
    </row>
    <row r="153" spans="1:37" ht="20.25" customHeight="1">
      <c r="A153" s="552" t="str">
        <f t="shared" si="47"/>
        <v>CULT3_2_3</v>
      </c>
      <c r="B153" s="535">
        <f>IF(A153="","",MATCH(A153,tblIndicators!E$2:E$71,0))</f>
        <v>45</v>
      </c>
      <c r="C153" s="535" t="str">
        <f>REPT(" ",D153)&amp;IF($A153="","",INDEX(tblIndicators!AL$2:AL$71,$B153))</f>
        <v xml:space="preserve">   3.2.3) Cyber security risk awareness</v>
      </c>
      <c r="D153" s="535">
        <f>INDEX(tblIndicators!$G$2:$G$71,B153)</f>
        <v>3</v>
      </c>
      <c r="E153" s="549" t="str">
        <f>IF($A153="","",INDEX(tblIndicators!AM$2:AM$71,$B153))</f>
        <v>3.2.3) Cyber security risk awareness</v>
      </c>
      <c r="F153" s="549"/>
      <c r="G153" s="549"/>
      <c r="H153" s="549"/>
      <c r="I153" s="549"/>
      <c r="J153" s="549"/>
      <c r="K153" s="550"/>
      <c r="L153" s="550"/>
      <c r="M153" s="550"/>
      <c r="N153" s="550"/>
      <c r="O153" s="550"/>
      <c r="AH153" s="48"/>
      <c r="AI153" s="48"/>
      <c r="AJ153" s="48"/>
      <c r="AK153" s="48"/>
    </row>
    <row r="154" spans="1:37" ht="20.25" customHeight="1">
      <c r="A154" s="552" t="str">
        <f t="shared" si="47"/>
        <v>CULT3_2_4</v>
      </c>
      <c r="B154" s="535">
        <f>IF(A154="","",MATCH(A154,tblIndicators!E$2:E$71,0))</f>
        <v>46</v>
      </c>
      <c r="C154" s="535" t="str">
        <f>REPT(" ",D154)&amp;IF($A154="","",INDEX(tblIndicators!AL$2:AL$71,$B154))</f>
        <v xml:space="preserve">   3.2.4) Open data access and use</v>
      </c>
      <c r="D154" s="535">
        <f>INDEX(tblIndicators!$G$2:$G$71,B154)</f>
        <v>3</v>
      </c>
      <c r="E154" s="549" t="str">
        <f>IF($A154="","",INDEX(tblIndicators!AM$2:AM$71,$B154))</f>
        <v>3.2.4) Open data access and use</v>
      </c>
      <c r="F154" s="549"/>
      <c r="G154" s="549"/>
      <c r="H154" s="549"/>
      <c r="I154" s="549"/>
      <c r="J154" s="549"/>
      <c r="K154" s="550"/>
      <c r="L154" s="550"/>
      <c r="M154" s="550"/>
      <c r="N154" s="550"/>
      <c r="O154" s="550"/>
      <c r="AH154" s="48"/>
      <c r="AI154" s="48"/>
      <c r="AJ154" s="48"/>
      <c r="AK154" s="48"/>
    </row>
    <row r="155" spans="1:37" ht="20.25" customHeight="1">
      <c r="A155" s="552" t="str">
        <f t="shared" ref="A155:A157" si="48">T46</f>
        <v>CULT3_2_5</v>
      </c>
      <c r="B155" s="535">
        <f>IF(A155="","",MATCH(A155,tblIndicators!E$2:E$71,0))</f>
        <v>47</v>
      </c>
      <c r="C155" s="535" t="str">
        <f>REPT(" ",D155)&amp;IF($A155="","",INDEX(tblIndicators!AL$2:AL$71,$B155))</f>
        <v xml:space="preserve">   3.2.5) Internet freedom</v>
      </c>
      <c r="D155" s="535">
        <f>INDEX(tblIndicators!$G$2:$G$71,B155)</f>
        <v>3</v>
      </c>
      <c r="E155" s="549" t="str">
        <f>IF($A155="","",INDEX(tblIndicators!AM$2:AM$71,$B155))</f>
        <v>3.2.5) Internet freedom</v>
      </c>
      <c r="F155" s="549"/>
      <c r="G155" s="549"/>
      <c r="H155" s="549"/>
      <c r="I155" s="549"/>
      <c r="J155" s="549"/>
      <c r="K155" s="550"/>
      <c r="L155" s="550"/>
      <c r="M155" s="550"/>
      <c r="N155" s="550"/>
      <c r="O155" s="550"/>
      <c r="AH155" s="48"/>
      <c r="AI155" s="48"/>
      <c r="AJ155" s="48"/>
      <c r="AK155" s="48"/>
    </row>
    <row r="156" spans="1:37" ht="20.25" customHeight="1">
      <c r="A156" s="552" t="str">
        <f t="shared" si="48"/>
        <v>CULT3_3</v>
      </c>
      <c r="B156" s="535">
        <f>IF(A156="","",MATCH(A156,tblIndicators!E$2:E$71,0))</f>
        <v>48</v>
      </c>
      <c r="C156" s="535" t="str">
        <f>REPT(" ",D156)&amp;IF($A156="","",INDEX(tblIndicators!AL$2:AL$71,$B156))</f>
        <v xml:space="preserve">  3.3) Innovation ecosystem</v>
      </c>
      <c r="D156" s="535">
        <f>INDEX(tblIndicators!$G$2:$G$71,B156)</f>
        <v>2</v>
      </c>
      <c r="E156" s="549" t="str">
        <f>IF($A156="","",INDEX(tblIndicators!AM$2:AM$71,$B156))</f>
        <v>3.3) Innovation ecosystem</v>
      </c>
      <c r="F156" s="549"/>
      <c r="G156" s="549"/>
      <c r="H156" s="549"/>
      <c r="I156" s="549"/>
      <c r="J156" s="549"/>
      <c r="K156" s="550"/>
      <c r="L156" s="550"/>
      <c r="M156" s="550"/>
      <c r="N156" s="550"/>
      <c r="O156" s="550"/>
      <c r="AH156" s="48"/>
      <c r="AI156" s="48"/>
      <c r="AJ156" s="48"/>
      <c r="AK156" s="48"/>
    </row>
    <row r="157" spans="1:37" ht="20.25" customHeight="1">
      <c r="A157" s="552" t="str">
        <f t="shared" si="48"/>
        <v>CULT3_3_1</v>
      </c>
      <c r="B157" s="535">
        <f>IF(A157="","",MATCH(A157,tblIndicators!E$2:E$71,0))</f>
        <v>49</v>
      </c>
      <c r="C157" s="535" t="str">
        <f>REPT(" ",D157)&amp;IF($A157="","",INDEX(tblIndicators!AL$2:AL$71,$B157))</f>
        <v xml:space="preserve">   3.3.1) AI readiness of government</v>
      </c>
      <c r="D157" s="535">
        <f>INDEX(tblIndicators!$G$2:$G$71,B157)</f>
        <v>3</v>
      </c>
      <c r="E157" s="549" t="str">
        <f>IF($A157="","",INDEX(tblIndicators!AM$2:AM$71,$B157))</f>
        <v>3.3.1) AI readiness of government</v>
      </c>
      <c r="F157" s="549"/>
      <c r="G157" s="549"/>
      <c r="H157" s="549"/>
      <c r="I157" s="549"/>
      <c r="J157" s="549"/>
      <c r="K157" s="550"/>
      <c r="L157" s="550"/>
      <c r="M157" s="550"/>
      <c r="N157" s="550"/>
      <c r="O157" s="550"/>
      <c r="AH157" s="48"/>
      <c r="AI157" s="48"/>
      <c r="AJ157" s="48"/>
      <c r="AK157" s="48"/>
    </row>
    <row r="158" spans="1:37" ht="20.25" customHeight="1">
      <c r="A158" s="552" t="str">
        <f>T49</f>
        <v>CULT3_3_2</v>
      </c>
      <c r="B158" s="535">
        <f>IF(A158="","",MATCH(A158,tblIndicators!E$2:E$71,0))</f>
        <v>50</v>
      </c>
      <c r="C158" s="535" t="str">
        <f>REPT(" ",D158)&amp;IF($A158="","",INDEX(tblIndicators!AL$2:AL$71,$B158))</f>
        <v xml:space="preserve">   3.3.2) Blockchain technology strategy</v>
      </c>
      <c r="D158" s="535">
        <f>INDEX(tblIndicators!$G$2:$G$71,B158)</f>
        <v>3</v>
      </c>
      <c r="E158" s="549" t="str">
        <f>IF($A158="","",INDEX(tblIndicators!AM$2:AM$71,$B158))</f>
        <v>3.3.2) Blockchain technology strategy</v>
      </c>
      <c r="F158" s="549"/>
      <c r="G158" s="549"/>
      <c r="H158" s="549"/>
      <c r="I158" s="549"/>
      <c r="J158" s="549"/>
      <c r="K158" s="550"/>
      <c r="L158" s="550"/>
      <c r="M158" s="550"/>
      <c r="N158" s="550"/>
      <c r="O158" s="550"/>
      <c r="AH158" s="48"/>
      <c r="AI158" s="48"/>
      <c r="AJ158" s="48"/>
      <c r="AK158" s="48"/>
    </row>
    <row r="159" spans="1:37" ht="20.25" customHeight="1">
      <c r="A159" s="552" t="str">
        <f>T50</f>
        <v>CULT3_3_3</v>
      </c>
      <c r="B159" s="535">
        <f>IF(A159="","",MATCH(A159,tblIndicators!E$2:E$71,0))</f>
        <v>51</v>
      </c>
      <c r="C159" s="535" t="str">
        <f>REPT(" ",D159)&amp;IF($A159="","",INDEX(tblIndicators!AL$2:AL$71,$B159))</f>
        <v xml:space="preserve">   3.3.3) Tech startup ecosytem</v>
      </c>
      <c r="D159" s="535">
        <f>INDEX(tblIndicators!$G$2:$G$71,B159)</f>
        <v>3</v>
      </c>
      <c r="E159" s="549" t="str">
        <f>IF($A159="","",INDEX(tblIndicators!AM$2:AM$71,$B159))</f>
        <v>3.3.3) Tech startup ecosytem</v>
      </c>
      <c r="F159" s="549"/>
      <c r="G159" s="549"/>
      <c r="H159" s="549"/>
      <c r="I159" s="549"/>
      <c r="J159" s="549"/>
      <c r="K159" s="550"/>
      <c r="L159" s="550"/>
      <c r="M159" s="550"/>
      <c r="N159" s="550"/>
      <c r="O159" s="550"/>
      <c r="AH159" s="48"/>
      <c r="AI159" s="48"/>
      <c r="AJ159" s="48"/>
      <c r="AK159" s="48"/>
    </row>
    <row r="160" spans="1:37" ht="20.25" customHeight="1">
      <c r="A160" s="552" t="str">
        <f>T51</f>
        <v>CULT3_3_4</v>
      </c>
      <c r="B160" s="535">
        <f>IF(A160="","",MATCH(A160,tblIndicators!E$2:E$71,0))</f>
        <v>52</v>
      </c>
      <c r="C160" s="535" t="str">
        <f>REPT(" ",D160)&amp;IF($A160="","",INDEX(tblIndicators!AL$2:AL$71,$B160))</f>
        <v xml:space="preserve">   3.3.4) Intellectual property rights</v>
      </c>
      <c r="D160" s="535">
        <f>INDEX(tblIndicators!$G$2:$G$71,B160)</f>
        <v>3</v>
      </c>
      <c r="E160" s="549" t="str">
        <f>IF($A160="","",INDEX(tblIndicators!AM$2:AM$71,$B160))</f>
        <v>3.3.4) Intellectual Property Rights</v>
      </c>
      <c r="F160" s="549"/>
      <c r="G160" s="549"/>
      <c r="H160" s="549"/>
      <c r="I160" s="549"/>
      <c r="J160" s="549"/>
      <c r="K160" s="550"/>
      <c r="L160" s="550"/>
      <c r="M160" s="550"/>
      <c r="N160" s="550"/>
      <c r="O160" s="550"/>
      <c r="AH160" s="48"/>
      <c r="AI160" s="48"/>
      <c r="AJ160" s="48"/>
      <c r="AK160" s="48"/>
    </row>
    <row r="161" spans="1:37" ht="20.25" customHeight="1">
      <c r="A161" s="552" t="str">
        <f t="shared" ref="A161:A162" si="49">T52</f>
        <v>CULT3_3_5</v>
      </c>
      <c r="B161" s="535">
        <f>IF(A161="","",MATCH(A161,tblIndicators!E$2:E$71,0))</f>
        <v>53</v>
      </c>
      <c r="C161" s="535" t="str">
        <f>REPT(" ",D161)&amp;IF($A161="","",INDEX(tblIndicators!AL$2:AL$71,$B161))</f>
        <v xml:space="preserve">   3.3.5) Business environment</v>
      </c>
      <c r="D161" s="535">
        <f>INDEX(tblIndicators!$G$2:$G$71,B161)</f>
        <v>3</v>
      </c>
      <c r="E161" s="549" t="str">
        <f>IF($A161="","",INDEX(tblIndicators!AM$2:AM$71,$B161))</f>
        <v>3.3.5) Business environment</v>
      </c>
      <c r="F161" s="549"/>
      <c r="G161" s="549"/>
      <c r="H161" s="549"/>
      <c r="I161" s="549"/>
      <c r="J161" s="549"/>
      <c r="K161" s="550"/>
      <c r="L161" s="550"/>
      <c r="M161" s="550"/>
      <c r="N161" s="550"/>
      <c r="O161" s="550"/>
      <c r="AH161" s="48"/>
      <c r="AI161" s="48"/>
      <c r="AJ161" s="48"/>
      <c r="AK161" s="48"/>
    </row>
    <row r="162" spans="1:37" ht="20.25" customHeight="1">
      <c r="A162" s="552" t="str">
        <f t="shared" si="49"/>
        <v>CULT3_4</v>
      </c>
      <c r="B162" s="535">
        <f>IF(A162="","",MATCH(A162,tblIndicators!E$2:E$71,0))</f>
        <v>54</v>
      </c>
      <c r="C162" s="535" t="str">
        <f>REPT(" ",D162)&amp;IF($A162="","",INDEX(tblIndicators!AL$2:AL$71,$B162))</f>
        <v xml:space="preserve">  3.4) Public attitude and engagement</v>
      </c>
      <c r="D162" s="535">
        <f>INDEX(tblIndicators!$G$2:$G$71,B162)</f>
        <v>2</v>
      </c>
      <c r="E162" s="549" t="str">
        <f>IF($A162="","",INDEX(tblIndicators!AM$2:AM$71,$B162))</f>
        <v>3.4) Public attitude and engagement</v>
      </c>
      <c r="F162" s="549"/>
      <c r="G162" s="549"/>
      <c r="H162" s="549"/>
      <c r="I162" s="549"/>
      <c r="J162" s="549"/>
      <c r="K162" s="550"/>
      <c r="L162" s="550"/>
      <c r="M162" s="550"/>
      <c r="N162" s="550"/>
      <c r="O162" s="550"/>
      <c r="AH162" s="48"/>
      <c r="AI162" s="48"/>
      <c r="AJ162" s="48"/>
      <c r="AK162" s="48"/>
    </row>
    <row r="163" spans="1:37" ht="20.25" customHeight="1">
      <c r="A163" s="552" t="str">
        <f t="shared" ref="A163:A177" si="50">T54</f>
        <v>CULT3_4_1</v>
      </c>
      <c r="B163" s="535">
        <f>IF(A163="","",MATCH(A163,tblIndicators!E$2:E$71,0))</f>
        <v>55</v>
      </c>
      <c r="C163" s="535" t="str">
        <f>REPT(" ",D163)&amp;IF($A163="","",INDEX(tblIndicators!AL$2:AL$71,$B163))</f>
        <v xml:space="preserve">   3.4.1) Public comfort with sharing information online</v>
      </c>
      <c r="D163" s="535">
        <f>INDEX(tblIndicators!$G$2:$G$71,B163)</f>
        <v>3</v>
      </c>
      <c r="E163" s="549" t="str">
        <f>IF($A163="","",INDEX(tblIndicators!AM$2:AM$71,$B163))</f>
        <v>3.4.1) Online public comfort</v>
      </c>
      <c r="F163" s="549"/>
      <c r="G163" s="549"/>
      <c r="H163" s="549"/>
      <c r="I163" s="549"/>
      <c r="J163" s="549"/>
      <c r="K163" s="550"/>
      <c r="L163" s="550"/>
      <c r="M163" s="550"/>
      <c r="N163" s="550"/>
      <c r="O163" s="550"/>
      <c r="AH163" s="48"/>
      <c r="AI163" s="48"/>
      <c r="AJ163" s="48"/>
      <c r="AK163" s="48"/>
    </row>
    <row r="164" spans="1:37" ht="20.25" customHeight="1">
      <c r="A164" s="552" t="str">
        <f t="shared" si="50"/>
        <v>CULT3_4_2</v>
      </c>
      <c r="B164" s="535">
        <f>IF(A164="","",MATCH(A164,tblIndicators!E$2:E$71,0))</f>
        <v>56</v>
      </c>
      <c r="C164" s="535" t="str">
        <f>REPT(" ",D164)&amp;IF($A164="","",INDEX(tblIndicators!AL$2:AL$71,$B164))</f>
        <v xml:space="preserve">   3.4.2) E-participation on government portals</v>
      </c>
      <c r="D164" s="535">
        <f>INDEX(tblIndicators!$G$2:$G$71,B164)</f>
        <v>3</v>
      </c>
      <c r="E164" s="549" t="str">
        <f>IF($A164="","",INDEX(tblIndicators!AM$2:AM$71,$B164))</f>
        <v>3.4.2) E-participation on government portals</v>
      </c>
      <c r="F164" s="549"/>
      <c r="G164" s="549"/>
      <c r="H164" s="549"/>
      <c r="I164" s="549"/>
      <c r="J164" s="549"/>
      <c r="K164" s="550"/>
      <c r="L164" s="550"/>
      <c r="M164" s="550"/>
      <c r="N164" s="550"/>
      <c r="O164" s="550"/>
      <c r="AH164" s="48"/>
      <c r="AI164" s="48"/>
      <c r="AJ164" s="48"/>
      <c r="AK164" s="48"/>
    </row>
    <row r="165" spans="1:37" ht="20.25" customHeight="1">
      <c r="A165" s="552" t="str">
        <f t="shared" si="50"/>
        <v>SUST4_1</v>
      </c>
      <c r="B165" s="535">
        <f>IF(A165="","",MATCH(A165,tblIndicators!E$2:E$71,0))</f>
        <v>58</v>
      </c>
      <c r="C165" s="535" t="str">
        <f>REPT(" ",D165)&amp;IF($A165="","",INDEX(tblIndicators!AL$2:AL$71,$B165))</f>
        <v xml:space="preserve">  4.1) Efficient resource management</v>
      </c>
      <c r="D165" s="535">
        <f>INDEX(tblIndicators!$G$2:$G$71,B165)</f>
        <v>2</v>
      </c>
      <c r="E165" s="549" t="str">
        <f>IF($A165="","",INDEX(tblIndicators!AM$2:AM$71,$B165))</f>
        <v>4.1) Efficient resource management</v>
      </c>
      <c r="F165" s="549"/>
      <c r="G165" s="549"/>
      <c r="H165" s="549"/>
      <c r="I165" s="549"/>
      <c r="J165" s="549"/>
      <c r="K165" s="550"/>
      <c r="L165" s="550"/>
      <c r="M165" s="550"/>
      <c r="N165" s="550"/>
      <c r="O165" s="550"/>
      <c r="AH165" s="48"/>
      <c r="AI165" s="48"/>
      <c r="AJ165" s="48"/>
      <c r="AK165" s="48"/>
    </row>
    <row r="166" spans="1:37" ht="20.25" customHeight="1">
      <c r="A166" s="552" t="str">
        <f t="shared" si="50"/>
        <v>SUST4_1_1</v>
      </c>
      <c r="B166" s="535">
        <f>IF(A166="","",MATCH(A166,tblIndicators!E$2:E$71,0))</f>
        <v>59</v>
      </c>
      <c r="C166" s="535" t="str">
        <f>REPT(" ",D166)&amp;IF($A166="","",INDEX(tblIndicators!AL$2:AL$71,$B166))</f>
        <v xml:space="preserve">   4.1.1) Smart utility management</v>
      </c>
      <c r="D166" s="535">
        <f>INDEX(tblIndicators!$G$2:$G$71,B166)</f>
        <v>3</v>
      </c>
      <c r="E166" s="549" t="str">
        <f>IF($A166="","",INDEX(tblIndicators!AM$2:AM$71,$B166))</f>
        <v>4.1.1) Smart utility management</v>
      </c>
      <c r="F166" s="549"/>
      <c r="G166" s="549"/>
      <c r="H166" s="549"/>
      <c r="I166" s="549"/>
      <c r="J166" s="549"/>
      <c r="K166" s="550"/>
      <c r="L166" s="550"/>
      <c r="M166" s="550"/>
      <c r="N166" s="550"/>
      <c r="O166" s="550"/>
      <c r="AH166" s="48"/>
      <c r="AI166" s="48"/>
      <c r="AJ166" s="48"/>
      <c r="AK166" s="48"/>
    </row>
    <row r="167" spans="1:37" ht="20.25" customHeight="1">
      <c r="A167" s="552" t="str">
        <f t="shared" si="50"/>
        <v>SUST4_1_2</v>
      </c>
      <c r="B167" s="535">
        <f>IF(A167="","",MATCH(A167,tblIndicators!E$2:E$71,0))</f>
        <v>60</v>
      </c>
      <c r="C167" s="535" t="str">
        <f>REPT(" ",D167)&amp;IF($A167="","",INDEX(tblIndicators!AL$2:AL$71,$B167))</f>
        <v xml:space="preserve">   4.1.2) Smart urban agriculture</v>
      </c>
      <c r="D167" s="535">
        <f>INDEX(tblIndicators!$G$2:$G$71,B167)</f>
        <v>3</v>
      </c>
      <c r="E167" s="549" t="str">
        <f>IF($A167="","",INDEX(tblIndicators!AM$2:AM$71,$B167))</f>
        <v>4.1.2) Smart urban agriculture</v>
      </c>
      <c r="F167" s="549"/>
      <c r="G167" s="549"/>
      <c r="H167" s="549"/>
      <c r="I167" s="549"/>
      <c r="J167" s="549"/>
      <c r="K167" s="550"/>
      <c r="L167" s="550"/>
      <c r="M167" s="550"/>
      <c r="N167" s="550"/>
      <c r="O167" s="550"/>
      <c r="AH167" s="48"/>
      <c r="AI167" s="48"/>
      <c r="AJ167" s="48"/>
      <c r="AK167" s="48"/>
    </row>
    <row r="168" spans="1:37" ht="20.25" customHeight="1">
      <c r="A168" s="552" t="str">
        <f t="shared" si="50"/>
        <v>SUST4_1_3</v>
      </c>
      <c r="B168" s="535">
        <f>IF(A168="","",MATCH(A168,tblIndicators!E$2:E$71,0))</f>
        <v>61</v>
      </c>
      <c r="C168" s="535" t="str">
        <f>REPT(" ",D168)&amp;IF($A168="","",INDEX(tblIndicators!AL$2:AL$71,$B168))</f>
        <v xml:space="preserve">   4.1.3) Smart construction</v>
      </c>
      <c r="D168" s="535">
        <f>INDEX(tblIndicators!$G$2:$G$71,B168)</f>
        <v>3</v>
      </c>
      <c r="E168" s="549" t="str">
        <f>IF($A168="","",INDEX(tblIndicators!AM$2:AM$71,$B168))</f>
        <v>4.1.3) Smart construction</v>
      </c>
      <c r="F168" s="549"/>
      <c r="G168" s="549"/>
      <c r="H168" s="549"/>
      <c r="I168" s="549"/>
      <c r="J168" s="549"/>
      <c r="K168" s="550"/>
      <c r="L168" s="550"/>
      <c r="M168" s="550"/>
      <c r="N168" s="550"/>
      <c r="O168" s="550"/>
      <c r="AH168" s="48"/>
      <c r="AI168" s="48"/>
      <c r="AJ168" s="48"/>
      <c r="AK168" s="48"/>
    </row>
    <row r="169" spans="1:37" ht="20.25" customHeight="1">
      <c r="A169" s="552" t="str">
        <f t="shared" si="50"/>
        <v>SUST4_2</v>
      </c>
      <c r="B169" s="535">
        <f>IF(A169="","",MATCH(A169,tblIndicators!E$2:E$71,0))</f>
        <v>62</v>
      </c>
      <c r="C169" s="535" t="str">
        <f>REPT(" ",D169)&amp;IF($A169="","",INDEX(tblIndicators!AL$2:AL$71,$B169))</f>
        <v xml:space="preserve">  4.2) Emissions reduction</v>
      </c>
      <c r="D169" s="535">
        <f>INDEX(tblIndicators!$G$2:$G$71,B169)</f>
        <v>2</v>
      </c>
      <c r="E169" s="549" t="str">
        <f>IF($A169="","",INDEX(tblIndicators!AM$2:AM$71,$B169))</f>
        <v>4.2) Emissions reduction</v>
      </c>
      <c r="F169" s="549"/>
      <c r="G169" s="549"/>
      <c r="H169" s="549"/>
      <c r="I169" s="549"/>
      <c r="J169" s="549"/>
      <c r="K169" s="550"/>
      <c r="L169" s="550"/>
      <c r="M169" s="550"/>
      <c r="N169" s="550"/>
      <c r="O169" s="550"/>
      <c r="AH169" s="48"/>
      <c r="AI169" s="48"/>
      <c r="AJ169" s="48"/>
      <c r="AK169" s="48"/>
    </row>
    <row r="170" spans="1:37" ht="20.25" customHeight="1">
      <c r="A170" s="552" t="str">
        <f t="shared" si="50"/>
        <v>SUST4_2_1</v>
      </c>
      <c r="B170" s="535">
        <f>IF(A170="","",MATCH(A170,tblIndicators!E$2:E$71,0))</f>
        <v>63</v>
      </c>
      <c r="C170" s="535" t="str">
        <f>REPT(" ",D170)&amp;IF($A170="","",INDEX(tblIndicators!AL$2:AL$71,$B170))</f>
        <v xml:space="preserve">   4.2.1) Net-zero emission</v>
      </c>
      <c r="D170" s="535">
        <f>INDEX(tblIndicators!$G$2:$G$71,B170)</f>
        <v>3</v>
      </c>
      <c r="E170" s="549" t="str">
        <f>IF($A170="","",INDEX(tblIndicators!AM$2:AM$71,$B170))</f>
        <v>4.2.1) Net-zero emission</v>
      </c>
      <c r="F170" s="549"/>
      <c r="G170" s="549"/>
      <c r="H170" s="549"/>
      <c r="I170" s="549"/>
      <c r="J170" s="549"/>
      <c r="K170" s="550"/>
      <c r="L170" s="550"/>
      <c r="M170" s="550"/>
      <c r="N170" s="550"/>
      <c r="O170" s="550"/>
      <c r="AH170" s="48"/>
      <c r="AI170" s="48"/>
      <c r="AJ170" s="48"/>
      <c r="AK170" s="48"/>
    </row>
    <row r="171" spans="1:37" ht="20.25" customHeight="1">
      <c r="A171" s="552" t="str">
        <f t="shared" si="50"/>
        <v>SUST4_2_2</v>
      </c>
      <c r="B171" s="535">
        <f>IF(A171="","",MATCH(A171,tblIndicators!E$2:E$71,0))</f>
        <v>64</v>
      </c>
      <c r="C171" s="535" t="str">
        <f>REPT(" ",D171)&amp;IF($A171="","",INDEX(tblIndicators!AL$2:AL$71,$B171))</f>
        <v xml:space="preserve">   4.2.2) Traffic management </v>
      </c>
      <c r="D171" s="535">
        <f>INDEX(tblIndicators!$G$2:$G$71,B171)</f>
        <v>3</v>
      </c>
      <c r="E171" s="549" t="str">
        <f>IF($A171="","",INDEX(tblIndicators!AM$2:AM$71,$B171))</f>
        <v xml:space="preserve">4.2.2) Traffic management </v>
      </c>
      <c r="F171" s="549"/>
      <c r="G171" s="549"/>
      <c r="H171" s="549"/>
      <c r="I171" s="549"/>
      <c r="J171" s="549"/>
      <c r="K171" s="550"/>
      <c r="L171" s="550"/>
      <c r="M171" s="550"/>
      <c r="N171" s="550"/>
      <c r="O171" s="550"/>
      <c r="AH171" s="48"/>
      <c r="AI171" s="48"/>
      <c r="AJ171" s="48"/>
      <c r="AK171" s="48"/>
    </row>
    <row r="172" spans="1:37" ht="20.25" customHeight="1">
      <c r="A172" s="552" t="str">
        <f t="shared" si="50"/>
        <v>SUST4_2_3</v>
      </c>
      <c r="B172" s="535">
        <f>IF(A172="","",MATCH(A172,tblIndicators!E$2:E$71,0))</f>
        <v>65</v>
      </c>
      <c r="C172" s="535" t="str">
        <f>REPT(" ",D172)&amp;IF($A172="","",INDEX(tblIndicators!AL$2:AL$71,$B172))</f>
        <v xml:space="preserve">   4.2.3) Autonomous vehicle support</v>
      </c>
      <c r="D172" s="535">
        <f>INDEX(tblIndicators!$G$2:$G$71,B172)</f>
        <v>3</v>
      </c>
      <c r="E172" s="549" t="str">
        <f>IF($A172="","",INDEX(tblIndicators!AM$2:AM$71,$B172))</f>
        <v>4.2.3) Support for autonomous vehicles</v>
      </c>
      <c r="F172" s="549"/>
      <c r="G172" s="549"/>
      <c r="H172" s="549"/>
      <c r="I172" s="549"/>
      <c r="J172" s="549"/>
      <c r="K172" s="550"/>
      <c r="L172" s="550"/>
      <c r="M172" s="550"/>
      <c r="N172" s="550"/>
      <c r="O172" s="550"/>
      <c r="AH172" s="48"/>
      <c r="AI172" s="48"/>
      <c r="AJ172" s="48"/>
      <c r="AK172" s="48"/>
    </row>
    <row r="173" spans="1:37" ht="20.25" customHeight="1">
      <c r="A173" s="552" t="str">
        <f t="shared" si="50"/>
        <v>SUST4_3</v>
      </c>
      <c r="B173" s="535">
        <f>IF(A173="","",MATCH(A173,tblIndicators!E$2:E$71,0))</f>
        <v>66</v>
      </c>
      <c r="C173" s="535" t="str">
        <f>REPT(" ",D173)&amp;IF($A173="","",INDEX(tblIndicators!AL$2:AL$71,$B173))</f>
        <v xml:space="preserve">  4.3) Pollution</v>
      </c>
      <c r="D173" s="535">
        <f>INDEX(tblIndicators!$G$2:$G$71,B173)</f>
        <v>2</v>
      </c>
      <c r="E173" s="549" t="str">
        <f>IF($A173="","",INDEX(tblIndicators!AM$2:AM$71,$B173))</f>
        <v>4.3) Pollution</v>
      </c>
      <c r="F173" s="549"/>
      <c r="G173" s="549"/>
      <c r="H173" s="549"/>
      <c r="I173" s="549"/>
      <c r="J173" s="549"/>
      <c r="K173" s="550"/>
      <c r="L173" s="550"/>
      <c r="M173" s="550"/>
      <c r="N173" s="550"/>
      <c r="O173" s="550"/>
      <c r="AH173" s="48"/>
      <c r="AI173" s="48"/>
      <c r="AJ173" s="48"/>
      <c r="AK173" s="48"/>
    </row>
    <row r="174" spans="1:37" ht="20.25" customHeight="1">
      <c r="A174" s="552" t="str">
        <f t="shared" si="50"/>
        <v>SUST4_3_1</v>
      </c>
      <c r="B174" s="535">
        <f>IF(A174="","",MATCH(A174,tblIndicators!E$2:E$71,0))</f>
        <v>67</v>
      </c>
      <c r="C174" s="535" t="str">
        <f>REPT(" ",D174)&amp;IF($A174="","",INDEX(tblIndicators!AL$2:AL$71,$B174))</f>
        <v xml:space="preserve">   4.3.1) Air pollution</v>
      </c>
      <c r="D174" s="535">
        <f>INDEX(tblIndicators!$G$2:$G$71,B174)</f>
        <v>3</v>
      </c>
      <c r="E174" s="549" t="str">
        <f>IF($A174="","",INDEX(tblIndicators!AM$2:AM$71,$B174))</f>
        <v>4.3.1) Air pollution</v>
      </c>
      <c r="F174" s="549"/>
      <c r="G174" s="549"/>
      <c r="H174" s="549"/>
      <c r="I174" s="549"/>
      <c r="J174" s="549"/>
      <c r="K174" s="550"/>
      <c r="L174" s="550"/>
      <c r="M174" s="550"/>
      <c r="N174" s="550"/>
      <c r="O174" s="550"/>
      <c r="AH174" s="48"/>
      <c r="AI174" s="48"/>
      <c r="AJ174" s="48"/>
      <c r="AK174" s="48"/>
    </row>
    <row r="175" spans="1:37" ht="20.25" customHeight="1">
      <c r="A175" s="552" t="str">
        <f t="shared" si="50"/>
        <v>SUST4_4</v>
      </c>
      <c r="B175" s="535">
        <f>IF(A175="","",MATCH(A175,tblIndicators!E$2:E$71,0))</f>
        <v>68</v>
      </c>
      <c r="C175" s="535" t="str">
        <f>REPT(" ",D175)&amp;IF($A175="","",INDEX(tblIndicators!AL$2:AL$71,$B175))</f>
        <v xml:space="preserve">  4.4) Circular economy</v>
      </c>
      <c r="D175" s="535">
        <f>INDEX(tblIndicators!$G$2:$G$71,B175)</f>
        <v>2</v>
      </c>
      <c r="E175" s="549" t="str">
        <f>IF($A175="","",INDEX(tblIndicators!AM$2:AM$71,$B175))</f>
        <v>4.4) Circular economy</v>
      </c>
      <c r="F175" s="549"/>
      <c r="G175" s="549"/>
      <c r="H175" s="549"/>
      <c r="I175" s="549"/>
      <c r="J175" s="549"/>
      <c r="K175" s="550"/>
      <c r="L175" s="550"/>
      <c r="M175" s="550"/>
      <c r="N175" s="550"/>
      <c r="O175" s="550"/>
      <c r="AH175" s="48"/>
      <c r="AI175" s="48"/>
      <c r="AJ175" s="48"/>
      <c r="AK175" s="48"/>
    </row>
    <row r="176" spans="1:37" ht="20.25" customHeight="1">
      <c r="A176" s="552" t="str">
        <f t="shared" si="50"/>
        <v>SUST4_4_1</v>
      </c>
      <c r="B176" s="535">
        <f>IF(A176="","",MATCH(A176,tblIndicators!E$2:E$71,0))</f>
        <v>69</v>
      </c>
      <c r="C176" s="535" t="str">
        <f>REPT(" ",D176)&amp;IF($A176="","",INDEX(tblIndicators!AL$2:AL$71,$B176))</f>
        <v xml:space="preserve">   4.4.1) Sharing economy development</v>
      </c>
      <c r="D176" s="535">
        <f>INDEX(tblIndicators!$G$2:$G$71,B176)</f>
        <v>3</v>
      </c>
      <c r="E176" s="549" t="str">
        <f>IF($A176="","",INDEX(tblIndicators!AM$2:AM$71,$B176))</f>
        <v xml:space="preserve">4.4.1) Development of sharing economy </v>
      </c>
      <c r="F176" s="549"/>
      <c r="G176" s="549"/>
      <c r="H176" s="549"/>
      <c r="I176" s="549"/>
      <c r="J176" s="549"/>
      <c r="K176" s="550"/>
      <c r="L176" s="550"/>
      <c r="M176" s="550"/>
      <c r="N176" s="550"/>
      <c r="O176" s="550"/>
      <c r="R176" s="292"/>
      <c r="AH176" s="48"/>
      <c r="AI176" s="48"/>
      <c r="AJ176" s="48"/>
      <c r="AK176" s="48"/>
    </row>
    <row r="177" spans="1:37" ht="20.25" customHeight="1">
      <c r="A177" s="552" t="str">
        <f t="shared" si="50"/>
        <v>SUST4_4_2</v>
      </c>
      <c r="B177" s="535">
        <f>IF(A177="","",MATCH(A177,tblIndicators!E$2:E$71,0))</f>
        <v>70</v>
      </c>
      <c r="C177" s="535" t="str">
        <f>REPT(" ",D177)&amp;IF($A177="","",INDEX(tblIndicators!AL$2:AL$71,$B177))</f>
        <v xml:space="preserve">   4.4.2) E-waste management</v>
      </c>
      <c r="D177" s="535">
        <f>INDEX(tblIndicators!$G$2:$G$71,B177)</f>
        <v>3</v>
      </c>
      <c r="E177" s="549" t="str">
        <f>IF($A177="","",INDEX(tblIndicators!AM$2:AM$71,$B177))</f>
        <v>4.4.2) E-waste management</v>
      </c>
      <c r="F177" s="549"/>
      <c r="G177" s="549"/>
      <c r="H177" s="549"/>
      <c r="I177" s="549"/>
      <c r="J177" s="549"/>
      <c r="K177" s="550"/>
      <c r="L177" s="550"/>
      <c r="M177" s="550"/>
      <c r="N177" s="550"/>
      <c r="O177" s="550"/>
      <c r="R177" s="292"/>
      <c r="AH177" s="48"/>
      <c r="AI177" s="48"/>
      <c r="AJ177" s="48"/>
      <c r="AK177" s="48"/>
    </row>
    <row r="178" spans="1:37" ht="20.25" customHeight="1">
      <c r="A178" s="552"/>
      <c r="E178" s="549"/>
      <c r="F178" s="549"/>
      <c r="G178" s="549"/>
      <c r="H178" s="549"/>
      <c r="I178" s="549"/>
      <c r="J178" s="549"/>
      <c r="K178" s="550"/>
      <c r="L178" s="550"/>
      <c r="M178" s="550"/>
      <c r="N178" s="550"/>
      <c r="O178" s="550"/>
      <c r="R178" s="292"/>
      <c r="AH178" s="48"/>
      <c r="AI178" s="48"/>
      <c r="AJ178" s="48"/>
      <c r="AK178" s="48"/>
    </row>
    <row r="179" spans="1:37" ht="20.25" customHeight="1">
      <c r="A179" s="554"/>
      <c r="I179" s="536"/>
      <c r="J179" s="536"/>
      <c r="K179" s="536"/>
      <c r="L179" s="536"/>
      <c r="M179" s="536"/>
      <c r="N179" s="536"/>
      <c r="R179" s="292"/>
      <c r="AH179" s="48"/>
      <c r="AI179" s="48"/>
      <c r="AJ179" s="48"/>
      <c r="AK179" s="48"/>
    </row>
    <row r="180" spans="1:37" ht="20.25" customHeight="1">
      <c r="A180" s="554" t="s">
        <v>109</v>
      </c>
      <c r="R180" s="292"/>
      <c r="AH180" s="48"/>
      <c r="AI180" s="48"/>
      <c r="AJ180" s="48"/>
      <c r="AK180" s="48"/>
    </row>
    <row r="181" spans="1:37" ht="20.25" customHeight="1">
      <c r="A181" s="554" t="s">
        <v>371</v>
      </c>
      <c r="C181" s="536" t="s">
        <v>490</v>
      </c>
      <c r="R181" s="292"/>
      <c r="AH181" s="48"/>
      <c r="AI181" s="48"/>
      <c r="AJ181" s="48"/>
      <c r="AK181" s="48"/>
    </row>
    <row r="182" spans="1:37" ht="20.25" customHeight="1">
      <c r="A182" s="554" t="s">
        <v>626</v>
      </c>
      <c r="C182" s="536" t="s">
        <v>601</v>
      </c>
      <c r="R182" s="292"/>
      <c r="AH182" s="48"/>
      <c r="AI182" s="48"/>
      <c r="AJ182" s="48"/>
      <c r="AK182" s="48"/>
    </row>
    <row r="183" spans="1:37" ht="20.25" customHeight="1">
      <c r="A183" s="554" t="s">
        <v>372</v>
      </c>
      <c r="C183" s="536" t="s">
        <v>491</v>
      </c>
      <c r="R183" s="292"/>
      <c r="AH183" s="48"/>
      <c r="AI183" s="48"/>
      <c r="AK183" s="48"/>
    </row>
    <row r="184" spans="1:37" ht="20.25" customHeight="1">
      <c r="A184" s="554" t="s">
        <v>489</v>
      </c>
      <c r="R184" s="292"/>
      <c r="AH184" s="48"/>
      <c r="AK184" s="48"/>
    </row>
    <row r="185" spans="1:37" ht="20.25" customHeight="1">
      <c r="A185" s="554"/>
      <c r="R185" s="292"/>
      <c r="AK185" s="48"/>
    </row>
    <row r="186" spans="1:37" ht="20.25" customHeight="1">
      <c r="A186" s="555" t="s">
        <v>130</v>
      </c>
      <c r="R186" s="292"/>
      <c r="AK186" s="48"/>
    </row>
    <row r="187" spans="1:37" ht="20.25" customHeight="1">
      <c r="A187" s="555" t="s">
        <v>132</v>
      </c>
      <c r="B187" s="556"/>
      <c r="C187" s="557" t="s">
        <v>131</v>
      </c>
      <c r="D187" s="557" t="str">
        <f>C187</f>
        <v>All Country Average</v>
      </c>
      <c r="R187" s="292"/>
      <c r="AK187" s="48"/>
    </row>
    <row r="188" spans="1:37" ht="20.25" customHeight="1">
      <c r="A188" s="534">
        <f>tblTerritories!S5</f>
        <v>0</v>
      </c>
      <c r="C188" s="535" t="str">
        <f>"Average for "&amp;A188</f>
        <v>Average for 0</v>
      </c>
      <c r="D188" s="535" t="str">
        <f>C188</f>
        <v>Average for 0</v>
      </c>
      <c r="R188" s="292"/>
      <c r="AK188" s="48"/>
    </row>
    <row r="189" spans="1:37" ht="20.25" customHeight="1">
      <c r="R189" s="292"/>
      <c r="AK189" s="48"/>
    </row>
    <row r="190" spans="1:37" ht="20.25" customHeight="1">
      <c r="R190" s="292"/>
      <c r="AK190" s="48"/>
    </row>
    <row r="191" spans="1:37" ht="20.25" customHeight="1">
      <c r="A191" s="554" t="s">
        <v>182</v>
      </c>
      <c r="R191" s="292"/>
      <c r="AK191" s="48"/>
    </row>
    <row r="192" spans="1:37" ht="20.25" customHeight="1">
      <c r="A192" s="534">
        <f>uxb_works!N35</f>
        <v>1</v>
      </c>
      <c r="D192" s="535">
        <f>COUNT(D193:D219)</f>
        <v>27</v>
      </c>
      <c r="F192" s="536"/>
      <c r="G192" s="536"/>
      <c r="H192" s="536"/>
      <c r="I192" s="536">
        <f>COUNTA(I193:I226)-COUNTBLANK(I193:I226)</f>
        <v>26</v>
      </c>
      <c r="J192" s="536">
        <f>COUNTA(J193:J226)-COUNTBLANK(J193:J226)</f>
        <v>0</v>
      </c>
      <c r="R192" s="292"/>
      <c r="AK192" s="48"/>
    </row>
    <row r="193" spans="1:37" ht="20.25" customHeight="1">
      <c r="A193" s="558" t="str">
        <f t="shared" ref="A193:A219" si="51">INDEX(I193:J193,$A$192)</f>
        <v>OVERALL</v>
      </c>
      <c r="B193" s="535">
        <f>IF(A193="","",MATCH(A193,tblIndicators!E$2:E$84,0))</f>
        <v>1</v>
      </c>
      <c r="C193" s="535" t="str">
        <f>REPT(" ",D193)&amp;IF($A193="","",INDEX(tblIndicators!AL$2:AL$84,$B193))</f>
        <v>OVERALL SCORE</v>
      </c>
      <c r="D193" s="535">
        <f>INDEX(tblIndicators!$G$2:$G$84,B193)</f>
        <v>0</v>
      </c>
      <c r="E193" s="535" t="str">
        <f>REPT(" ",D193)&amp;IF($A193="","",INDEX(tblIndicators!AM$2:AM$84,$B193))</f>
        <v>OVERALL SCORE</v>
      </c>
      <c r="F193" s="536">
        <f>F192+1</f>
        <v>1</v>
      </c>
      <c r="G193" s="536"/>
      <c r="H193" s="536"/>
      <c r="I193" s="536" t="str">
        <f t="shared" ref="I193:I219" si="52">IF(S4="","",S4)</f>
        <v>OVERALL</v>
      </c>
      <c r="J193" s="536" t="str">
        <f t="shared" ref="J193:J219" si="53">IF(AF4="","",AF4)</f>
        <v>BG</v>
      </c>
      <c r="R193" s="292"/>
      <c r="AK193" s="48"/>
    </row>
    <row r="194" spans="1:37" ht="20.25" customHeight="1">
      <c r="A194" s="558" t="str">
        <f t="shared" si="51"/>
        <v>CNTY</v>
      </c>
      <c r="B194" s="535">
        <f>IF(A194="","",MATCH(A194,tblIndicators!E$2:E$84,0))</f>
        <v>2</v>
      </c>
      <c r="C194" s="535" t="str">
        <f>REPT(" ",D194)&amp;IF($A194="","",INDEX(tblIndicators!AL$2:AL$84,$B194))</f>
        <v xml:space="preserve"> 1) CONNECTIVITY</v>
      </c>
      <c r="D194" s="535">
        <f>INDEX(tblIndicators!$G$2:$G$84,B194)</f>
        <v>1</v>
      </c>
      <c r="E194" s="535" t="str">
        <f>REPT(" ",D194)&amp;IF($A194="","",INDEX(tblIndicators!AM$2:AM$84,$B194))</f>
        <v xml:space="preserve"> 1) CONNECTIVITY</v>
      </c>
      <c r="F194" s="536">
        <f t="shared" ref="F194:F213" si="54">F193+1</f>
        <v>2</v>
      </c>
      <c r="G194" s="536"/>
      <c r="H194" s="536"/>
      <c r="I194" s="536" t="str">
        <f t="shared" si="52"/>
        <v>CNTY</v>
      </c>
      <c r="J194" s="536" t="str">
        <f t="shared" si="53"/>
        <v/>
      </c>
      <c r="R194" s="292"/>
      <c r="AK194" s="48"/>
    </row>
    <row r="195" spans="1:37" ht="20.25" customHeight="1">
      <c r="A195" s="558" t="str">
        <f t="shared" si="51"/>
        <v>CNTY1_1</v>
      </c>
      <c r="B195" s="535">
        <f>IF(A195="","",MATCH(A195,tblIndicators!E$2:E$84,0))</f>
        <v>3</v>
      </c>
      <c r="C195" s="535" t="str">
        <f>REPT(" ",D195)&amp;IF($A195="","",INDEX(tblIndicators!AL$2:AL$84,$B195))</f>
        <v xml:space="preserve">  1.1) Digital infrastructure</v>
      </c>
      <c r="D195" s="535">
        <f>INDEX(tblIndicators!$G$2:$G$84,B195)</f>
        <v>2</v>
      </c>
      <c r="E195" s="535" t="str">
        <f>REPT(" ",D195)&amp;IF($A195="","",INDEX(tblIndicators!AM$2:AM$84,$B195))</f>
        <v xml:space="preserve">  1.1) Digital infrastructure</v>
      </c>
      <c r="F195" s="536">
        <f t="shared" si="54"/>
        <v>3</v>
      </c>
      <c r="G195" s="536"/>
      <c r="H195" s="536"/>
      <c r="I195" s="536" t="str">
        <f t="shared" si="52"/>
        <v>CNTY1_1</v>
      </c>
      <c r="J195" s="536" t="str">
        <f t="shared" si="53"/>
        <v/>
      </c>
      <c r="R195" s="292"/>
      <c r="AK195" s="48"/>
    </row>
    <row r="196" spans="1:37" ht="20.25" customHeight="1">
      <c r="A196" s="558" t="str">
        <f t="shared" si="51"/>
        <v>CNTY1_2</v>
      </c>
      <c r="B196" s="535">
        <f>IF(A196="","",MATCH(A196,tblIndicators!E$2:E$84,0))</f>
        <v>8</v>
      </c>
      <c r="C196" s="535" t="str">
        <f>REPT(" ",D196)&amp;IF($A196="","",INDEX(tblIndicators!AL$2:AL$84,$B196))</f>
        <v xml:space="preserve">  1.2) Quality</v>
      </c>
      <c r="D196" s="535">
        <f>INDEX(tblIndicators!$G$2:$G$84,B196)</f>
        <v>2</v>
      </c>
      <c r="E196" s="535" t="str">
        <f>REPT(" ",D196)&amp;IF($A196="","",INDEX(tblIndicators!AM$2:AM$84,$B196))</f>
        <v xml:space="preserve">  1.2) Quality</v>
      </c>
      <c r="F196" s="536">
        <f t="shared" si="54"/>
        <v>4</v>
      </c>
      <c r="G196" s="536"/>
      <c r="H196" s="536"/>
      <c r="I196" s="536" t="str">
        <f t="shared" si="52"/>
        <v>CNTY1_2</v>
      </c>
      <c r="J196" s="536" t="str">
        <f t="shared" si="53"/>
        <v/>
      </c>
      <c r="R196" s="292"/>
      <c r="AK196" s="48"/>
    </row>
    <row r="197" spans="1:37" ht="20.25" customHeight="1">
      <c r="A197" s="558" t="str">
        <f t="shared" si="51"/>
        <v>CNTY1_3</v>
      </c>
      <c r="B197" s="535">
        <f>IF(A197="","",MATCH(A197,tblIndicators!E$2:E$84,0))</f>
        <v>13</v>
      </c>
      <c r="C197" s="535" t="str">
        <f>REPT(" ",D197)&amp;IF($A197="","",INDEX(tblIndicators!AL$2:AL$84,$B197))</f>
        <v xml:space="preserve">  1.3) Affordability</v>
      </c>
      <c r="D197" s="535">
        <f>INDEX(tblIndicators!$G$2:$G$84,B197)</f>
        <v>2</v>
      </c>
      <c r="E197" s="535" t="str">
        <f>REPT(" ",D197)&amp;IF($A197="","",INDEX(tblIndicators!AM$2:AM$84,$B197))</f>
        <v xml:space="preserve">  1.3) Affordability</v>
      </c>
      <c r="F197" s="536">
        <f t="shared" si="54"/>
        <v>5</v>
      </c>
      <c r="G197" s="536"/>
      <c r="H197" s="536"/>
      <c r="I197" s="536" t="str">
        <f t="shared" si="52"/>
        <v>CNTY1_3</v>
      </c>
      <c r="J197" s="536" t="str">
        <f t="shared" si="53"/>
        <v/>
      </c>
      <c r="R197" s="292"/>
      <c r="AK197" s="48"/>
    </row>
    <row r="198" spans="1:37" ht="20.25" customHeight="1">
      <c r="A198" s="558" t="str">
        <f t="shared" si="51"/>
        <v>SERV</v>
      </c>
      <c r="B198" s="535">
        <f>IF(A198="","",MATCH(A198,tblIndicators!E$2:E$84,0))</f>
        <v>16</v>
      </c>
      <c r="C198" s="535" t="str">
        <f>REPT(" ",D198)&amp;IF($A198="","",INDEX(tblIndicators!AL$2:AL$84,$B198))</f>
        <v xml:space="preserve"> 2) SERVICES</v>
      </c>
      <c r="D198" s="535">
        <f>INDEX(tblIndicators!$G$2:$G$84,B198)</f>
        <v>1</v>
      </c>
      <c r="E198" s="535" t="str">
        <f>REPT(" ",D198)&amp;IF($A198="","",INDEX(tblIndicators!AM$2:AM$84,$B198))</f>
        <v xml:space="preserve"> 2) SERVICES</v>
      </c>
      <c r="F198" s="536">
        <f t="shared" si="54"/>
        <v>6</v>
      </c>
      <c r="G198" s="536"/>
      <c r="H198" s="536"/>
      <c r="I198" s="536" t="str">
        <f t="shared" si="52"/>
        <v>SERV</v>
      </c>
      <c r="J198" s="536" t="str">
        <f t="shared" si="53"/>
        <v/>
      </c>
      <c r="R198" s="292"/>
      <c r="AK198" s="48"/>
    </row>
    <row r="199" spans="1:37" ht="20.25" customHeight="1">
      <c r="A199" s="558" t="str">
        <f t="shared" si="51"/>
        <v>SERV2_1</v>
      </c>
      <c r="B199" s="535">
        <f>IF(A199="","",MATCH(A199,tblIndicators!E$2:E$84,0))</f>
        <v>17</v>
      </c>
      <c r="C199" s="535" t="str">
        <f>REPT(" ",D199)&amp;IF($A199="","",INDEX(tblIndicators!AL$2:AL$84,$B199))</f>
        <v xml:space="preserve">  2.1) E-gov services for residents &amp; businesses</v>
      </c>
      <c r="D199" s="535">
        <f>INDEX(tblIndicators!$G$2:$G$84,B199)</f>
        <v>2</v>
      </c>
      <c r="E199" s="535" t="str">
        <f>REPT(" ",D199)&amp;IF($A199="","",INDEX(tblIndicators!AM$2:AM$84,$B199))</f>
        <v xml:space="preserve">  2.1) E-gov services for residents &amp; businesses</v>
      </c>
      <c r="F199" s="536">
        <f t="shared" si="54"/>
        <v>7</v>
      </c>
      <c r="G199" s="536"/>
      <c r="H199" s="536"/>
      <c r="I199" s="536" t="str">
        <f t="shared" si="52"/>
        <v>SERV2_1</v>
      </c>
      <c r="J199" s="536" t="str">
        <f t="shared" si="53"/>
        <v/>
      </c>
      <c r="R199" s="292"/>
      <c r="AK199" s="48"/>
    </row>
    <row r="200" spans="1:37" ht="20.25" customHeight="1">
      <c r="A200" s="558" t="str">
        <f t="shared" si="51"/>
        <v>SERV2_2</v>
      </c>
      <c r="B200" s="535">
        <f>IF(A200="","",MATCH(A200,tblIndicators!E$2:E$84,0))</f>
        <v>21</v>
      </c>
      <c r="C200" s="535" t="str">
        <f>REPT(" ",D200)&amp;IF($A200="","",INDEX(tblIndicators!AL$2:AL$84,$B200))</f>
        <v xml:space="preserve">  2.2) Digital finance</v>
      </c>
      <c r="D200" s="535">
        <f>INDEX(tblIndicators!$G$2:$G$84,B200)</f>
        <v>2</v>
      </c>
      <c r="E200" s="535" t="str">
        <f>REPT(" ",D200)&amp;IF($A200="","",INDEX(tblIndicators!AM$2:AM$84,$B200))</f>
        <v xml:space="preserve">  2.2) Digital finance</v>
      </c>
      <c r="F200" s="536">
        <f t="shared" si="54"/>
        <v>8</v>
      </c>
      <c r="G200" s="536"/>
      <c r="H200" s="536"/>
      <c r="I200" s="536" t="str">
        <f t="shared" si="52"/>
        <v>SERV2_2</v>
      </c>
      <c r="J200" s="536" t="str">
        <f t="shared" si="53"/>
        <v/>
      </c>
      <c r="R200" s="292"/>
      <c r="AK200" s="48"/>
    </row>
    <row r="201" spans="1:37" ht="20.25" customHeight="1">
      <c r="A201" s="558" t="str">
        <f t="shared" si="51"/>
        <v>SERV2_3</v>
      </c>
      <c r="B201" s="535">
        <f>IF(A201="","",MATCH(A201,tblIndicators!E$2:E$84,0))</f>
        <v>25</v>
      </c>
      <c r="C201" s="535" t="str">
        <f>REPT(" ",D201)&amp;IF($A201="","",INDEX(tblIndicators!AL$2:AL$84,$B201))</f>
        <v xml:space="preserve">  2.3) Transportation</v>
      </c>
      <c r="D201" s="535">
        <f>INDEX(tblIndicators!$G$2:$G$84,B201)</f>
        <v>2</v>
      </c>
      <c r="E201" s="535" t="str">
        <f>REPT(" ",D201)&amp;IF($A201="","",INDEX(tblIndicators!AM$2:AM$84,$B201))</f>
        <v xml:space="preserve">  2.3) Transportation</v>
      </c>
      <c r="F201" s="536">
        <f t="shared" si="54"/>
        <v>9</v>
      </c>
      <c r="G201" s="536"/>
      <c r="H201" s="536"/>
      <c r="I201" s="536" t="str">
        <f t="shared" si="52"/>
        <v>SERV2_3</v>
      </c>
      <c r="J201" s="536" t="str">
        <f t="shared" si="53"/>
        <v/>
      </c>
      <c r="R201" s="292"/>
      <c r="AK201" s="48"/>
    </row>
    <row r="202" spans="1:37" ht="20.25" customHeight="1">
      <c r="A202" s="558" t="str">
        <f t="shared" si="51"/>
        <v>SERV2_4</v>
      </c>
      <c r="B202" s="535">
        <f>IF(A202="","",MATCH(A202,tblIndicators!E$2:E$84,0))</f>
        <v>28</v>
      </c>
      <c r="C202" s="535" t="str">
        <f>REPT(" ",D202)&amp;IF($A202="","",INDEX(tblIndicators!AL$2:AL$84,$B202))</f>
        <v xml:space="preserve">  2.4) Healthcare</v>
      </c>
      <c r="D202" s="535">
        <f>INDEX(tblIndicators!$G$2:$G$84,B202)</f>
        <v>2</v>
      </c>
      <c r="E202" s="535" t="str">
        <f>REPT(" ",D202)&amp;IF($A202="","",INDEX(tblIndicators!AM$2:AM$84,$B202))</f>
        <v xml:space="preserve">  2.4) Healthcare</v>
      </c>
      <c r="F202" s="536">
        <f t="shared" si="54"/>
        <v>10</v>
      </c>
      <c r="G202" s="536"/>
      <c r="H202" s="536"/>
      <c r="I202" s="536" t="str">
        <f t="shared" si="52"/>
        <v>SERV2_4</v>
      </c>
      <c r="J202" s="536" t="str">
        <f t="shared" si="53"/>
        <v/>
      </c>
      <c r="R202" s="292"/>
      <c r="AK202" s="48"/>
    </row>
    <row r="203" spans="1:37" ht="20.25" customHeight="1">
      <c r="A203" s="558" t="str">
        <f t="shared" si="51"/>
        <v>SERV2_5</v>
      </c>
      <c r="B203" s="535">
        <f>IF(A203="","",MATCH(A203,tblIndicators!E$2:E$84,0))</f>
        <v>32</v>
      </c>
      <c r="C203" s="535" t="str">
        <f>REPT(" ",D203)&amp;IF($A203="","",INDEX(tblIndicators!AL$2:AL$84,$B203))</f>
        <v xml:space="preserve">  2.5) Education</v>
      </c>
      <c r="D203" s="535">
        <f>INDEX(tblIndicators!$G$2:$G$84,B203)</f>
        <v>2</v>
      </c>
      <c r="E203" s="535" t="str">
        <f>REPT(" ",D203)&amp;IF($A203="","",INDEX(tblIndicators!AM$2:AM$84,$B203))</f>
        <v xml:space="preserve">  2.5) Education</v>
      </c>
      <c r="F203" s="536">
        <f t="shared" si="54"/>
        <v>11</v>
      </c>
      <c r="G203" s="536"/>
      <c r="H203" s="536"/>
      <c r="I203" s="536" t="str">
        <f t="shared" si="52"/>
        <v>SERV2_5</v>
      </c>
      <c r="J203" s="536" t="str">
        <f t="shared" si="53"/>
        <v/>
      </c>
      <c r="R203" s="292"/>
      <c r="AK203" s="48"/>
    </row>
    <row r="204" spans="1:37" ht="20.25" customHeight="1">
      <c r="A204" s="558" t="str">
        <f t="shared" si="51"/>
        <v>SERV2_6</v>
      </c>
      <c r="B204" s="535">
        <f>IF(A204="","",MATCH(A204,tblIndicators!E$2:E$84,0))</f>
        <v>34</v>
      </c>
      <c r="C204" s="535" t="str">
        <f>REPT(" ",D204)&amp;IF($A204="","",INDEX(tblIndicators!AL$2:AL$84,$B204))</f>
        <v xml:space="preserve">  2.6) Retail and hospitality</v>
      </c>
      <c r="D204" s="535">
        <f>INDEX(tblIndicators!$G$2:$G$84,B204)</f>
        <v>2</v>
      </c>
      <c r="E204" s="535" t="str">
        <f>REPT(" ",D204)&amp;IF($A204="","",INDEX(tblIndicators!AM$2:AM$84,$B204))</f>
        <v xml:space="preserve">  2.6) Retail and hospitality</v>
      </c>
      <c r="F204" s="536">
        <f t="shared" si="54"/>
        <v>12</v>
      </c>
      <c r="G204" s="536"/>
      <c r="H204" s="536"/>
      <c r="I204" s="536" t="str">
        <f t="shared" si="52"/>
        <v>SERV2_6</v>
      </c>
      <c r="J204" s="536" t="str">
        <f t="shared" si="53"/>
        <v/>
      </c>
      <c r="R204" s="292"/>
      <c r="AK204" s="48"/>
    </row>
    <row r="205" spans="1:37" ht="20.25" customHeight="1">
      <c r="A205" s="558" t="str">
        <f t="shared" si="51"/>
        <v>CULT</v>
      </c>
      <c r="B205" s="535">
        <f>IF(A205="","",MATCH(A205,tblIndicators!E$2:E$84,0))</f>
        <v>37</v>
      </c>
      <c r="C205" s="535" t="str">
        <f>REPT(" ",D205)&amp;IF($A205="","",INDEX(tblIndicators!AL$2:AL$84,$B205))</f>
        <v xml:space="preserve"> 3) CULTURE</v>
      </c>
      <c r="D205" s="535">
        <f>INDEX(tblIndicators!$G$2:$G$84,B205)</f>
        <v>1</v>
      </c>
      <c r="E205" s="535" t="str">
        <f>REPT(" ",D205)&amp;IF($A205="","",INDEX(tblIndicators!AM$2:AM$84,$B205))</f>
        <v xml:space="preserve"> 3) CULTURE</v>
      </c>
      <c r="F205" s="536">
        <f t="shared" si="54"/>
        <v>13</v>
      </c>
      <c r="G205" s="536"/>
      <c r="H205" s="536"/>
      <c r="I205" s="536" t="str">
        <f t="shared" si="52"/>
        <v>CULT</v>
      </c>
      <c r="J205" s="536" t="str">
        <f t="shared" si="53"/>
        <v/>
      </c>
      <c r="R205" s="292"/>
      <c r="AK205" s="48"/>
    </row>
    <row r="206" spans="1:37" ht="20.25" customHeight="1">
      <c r="A206" s="558" t="str">
        <f t="shared" si="51"/>
        <v>CULT3_1</v>
      </c>
      <c r="B206" s="535">
        <f>IF(A206="","",MATCH(A206,tblIndicators!E$2:E$84,0))</f>
        <v>38</v>
      </c>
      <c r="C206" s="535" t="str">
        <f>REPT(" ",D206)&amp;IF($A206="","",INDEX(tblIndicators!AL$2:AL$84,$B206))</f>
        <v xml:space="preserve">  3.1) Digital inclusion</v>
      </c>
      <c r="D206" s="535">
        <f>INDEX(tblIndicators!$G$2:$G$84,B206)</f>
        <v>2</v>
      </c>
      <c r="E206" s="535" t="str">
        <f>REPT(" ",D206)&amp;IF($A206="","",INDEX(tblIndicators!AM$2:AM$84,$B206))</f>
        <v xml:space="preserve">  3.1) Digital inclusion</v>
      </c>
      <c r="F206" s="536">
        <f t="shared" si="54"/>
        <v>14</v>
      </c>
      <c r="G206" s="536"/>
      <c r="H206" s="536"/>
      <c r="I206" s="536" t="str">
        <f t="shared" si="52"/>
        <v>CULT3_1</v>
      </c>
      <c r="J206" s="536" t="str">
        <f t="shared" si="53"/>
        <v/>
      </c>
      <c r="R206" s="292"/>
      <c r="AK206" s="48"/>
    </row>
    <row r="207" spans="1:37" ht="20.25" customHeight="1">
      <c r="A207" s="558" t="str">
        <f t="shared" si="51"/>
        <v>CULT3_2</v>
      </c>
      <c r="B207" s="535">
        <f>IF(A207="","",MATCH(A207,tblIndicators!E$2:E$84,0))</f>
        <v>42</v>
      </c>
      <c r="C207" s="535" t="str">
        <f>REPT(" ",D207)&amp;IF($A207="","",INDEX(tblIndicators!AL$2:AL$84,$B207))</f>
        <v xml:space="preserve">  3.2) Government support</v>
      </c>
      <c r="D207" s="535">
        <f>INDEX(tblIndicators!$G$2:$G$84,B207)</f>
        <v>2</v>
      </c>
      <c r="E207" s="535" t="str">
        <f>REPT(" ",D207)&amp;IF($A207="","",INDEX(tblIndicators!AM$2:AM$84,$B207))</f>
        <v xml:space="preserve">  3.2) Government support</v>
      </c>
      <c r="F207" s="536">
        <f t="shared" si="54"/>
        <v>15</v>
      </c>
      <c r="G207" s="536"/>
      <c r="H207" s="536"/>
      <c r="I207" s="536" t="str">
        <f t="shared" si="52"/>
        <v>CULT3_2</v>
      </c>
      <c r="J207" s="536" t="str">
        <f t="shared" si="53"/>
        <v/>
      </c>
      <c r="R207" s="292"/>
      <c r="AK207" s="48"/>
    </row>
    <row r="208" spans="1:37" ht="20.25" customHeight="1">
      <c r="A208" s="558" t="str">
        <f t="shared" si="51"/>
        <v>CULT3_3</v>
      </c>
      <c r="B208" s="535">
        <f>IF(A208="","",MATCH(A208,tblIndicators!E$2:E$84,0))</f>
        <v>48</v>
      </c>
      <c r="C208" s="535" t="str">
        <f>REPT(" ",D208)&amp;IF($A208="","",INDEX(tblIndicators!AL$2:AL$84,$B208))</f>
        <v xml:space="preserve">  3.3) Innovation ecosystem</v>
      </c>
      <c r="D208" s="535">
        <f>INDEX(tblIndicators!$G$2:$G$84,B208)</f>
        <v>2</v>
      </c>
      <c r="E208" s="535" t="str">
        <f>REPT(" ",D208)&amp;IF($A208="","",INDEX(tblIndicators!AM$2:AM$84,$B208))</f>
        <v xml:space="preserve">  3.3) Innovation ecosystem</v>
      </c>
      <c r="F208" s="536">
        <f t="shared" si="54"/>
        <v>16</v>
      </c>
      <c r="G208" s="536"/>
      <c r="H208" s="536"/>
      <c r="I208" s="536" t="str">
        <f t="shared" si="52"/>
        <v>CULT3_3</v>
      </c>
      <c r="J208" s="536" t="str">
        <f t="shared" si="53"/>
        <v/>
      </c>
      <c r="R208" s="292"/>
      <c r="AK208" s="48"/>
    </row>
    <row r="209" spans="1:37" ht="20.25" customHeight="1">
      <c r="A209" s="558" t="str">
        <f t="shared" si="51"/>
        <v>CULT3_4</v>
      </c>
      <c r="B209" s="535">
        <f>IF(A209="","",MATCH(A209,tblIndicators!E$2:E$84,0))</f>
        <v>54</v>
      </c>
      <c r="C209" s="535" t="str">
        <f>REPT(" ",D209)&amp;IF($A209="","",INDEX(tblIndicators!AL$2:AL$84,$B209))</f>
        <v xml:space="preserve">  3.4) Public attitude and engagement</v>
      </c>
      <c r="D209" s="535">
        <f>INDEX(tblIndicators!$G$2:$G$84,B209)</f>
        <v>2</v>
      </c>
      <c r="E209" s="535" t="str">
        <f>REPT(" ",D209)&amp;IF($A209="","",INDEX(tblIndicators!AM$2:AM$84,$B209))</f>
        <v xml:space="preserve">  3.4) Public attitude and engagement</v>
      </c>
      <c r="F209" s="536">
        <f t="shared" si="54"/>
        <v>17</v>
      </c>
      <c r="G209" s="536"/>
      <c r="H209" s="536"/>
      <c r="I209" s="536" t="str">
        <f t="shared" si="52"/>
        <v>CULT3_4</v>
      </c>
      <c r="J209" s="536" t="str">
        <f t="shared" si="53"/>
        <v/>
      </c>
      <c r="R209" s="292"/>
      <c r="AK209" s="48"/>
    </row>
    <row r="210" spans="1:37" ht="20.25" customHeight="1">
      <c r="A210" s="558" t="str">
        <f t="shared" si="51"/>
        <v>SUST</v>
      </c>
      <c r="B210" s="535">
        <f>IF(A210="","",MATCH(A210,tblIndicators!E$2:E$84,0))</f>
        <v>57</v>
      </c>
      <c r="C210" s="535" t="str">
        <f>REPT(" ",D210)&amp;IF($A210="","",INDEX(tblIndicators!AL$2:AL$84,$B210))</f>
        <v xml:space="preserve"> 4) SUSTAINABILITY</v>
      </c>
      <c r="D210" s="535">
        <f>INDEX(tblIndicators!$G$2:$G$84,B210)</f>
        <v>1</v>
      </c>
      <c r="E210" s="535" t="str">
        <f>REPT(" ",D210)&amp;IF($A210="","",INDEX(tblIndicators!AM$2:AM$84,$B210))</f>
        <v xml:space="preserve"> 4) SUSTAINABILITY</v>
      </c>
      <c r="F210" s="536">
        <f t="shared" si="54"/>
        <v>18</v>
      </c>
      <c r="G210" s="536"/>
      <c r="H210" s="536"/>
      <c r="I210" s="536" t="str">
        <f t="shared" si="52"/>
        <v>SUST</v>
      </c>
      <c r="J210" s="536" t="str">
        <f t="shared" si="53"/>
        <v/>
      </c>
      <c r="R210" s="292"/>
      <c r="AK210" s="48"/>
    </row>
    <row r="211" spans="1:37" ht="20.25" customHeight="1">
      <c r="A211" s="558" t="str">
        <f t="shared" si="51"/>
        <v>SUST4_1</v>
      </c>
      <c r="B211" s="535">
        <f>IF(A211="","",MATCH(A211,tblIndicators!E$2:E$84,0))</f>
        <v>58</v>
      </c>
      <c r="C211" s="535" t="str">
        <f>REPT(" ",D211)&amp;IF($A211="","",INDEX(tblIndicators!AL$2:AL$84,$B211))</f>
        <v xml:space="preserve">  4.1) Efficient resource management</v>
      </c>
      <c r="D211" s="535">
        <f>INDEX(tblIndicators!$G$2:$G$84,B211)</f>
        <v>2</v>
      </c>
      <c r="E211" s="535" t="str">
        <f>REPT(" ",D211)&amp;IF($A211="","",INDEX(tblIndicators!AM$2:AM$84,$B211))</f>
        <v xml:space="preserve">  4.1) Efficient resource management</v>
      </c>
      <c r="F211" s="536">
        <f t="shared" si="54"/>
        <v>19</v>
      </c>
      <c r="G211" s="536"/>
      <c r="H211" s="536"/>
      <c r="I211" s="536" t="str">
        <f t="shared" si="52"/>
        <v>SUST4_1</v>
      </c>
      <c r="J211" s="536" t="str">
        <f t="shared" si="53"/>
        <v/>
      </c>
      <c r="R211" s="292"/>
      <c r="AK211" s="48"/>
    </row>
    <row r="212" spans="1:37" ht="20.25" customHeight="1">
      <c r="A212" s="558" t="str">
        <f t="shared" si="51"/>
        <v>SUST4_2</v>
      </c>
      <c r="B212" s="535">
        <f>IF(A212="","",MATCH(A212,tblIndicators!E$2:E$84,0))</f>
        <v>62</v>
      </c>
      <c r="C212" s="535" t="str">
        <f>REPT(" ",D212)&amp;IF($A212="","",INDEX(tblIndicators!AL$2:AL$84,$B212))</f>
        <v xml:space="preserve">  4.2) Emissions reduction</v>
      </c>
      <c r="D212" s="535">
        <f>INDEX(tblIndicators!$G$2:$G$84,B212)</f>
        <v>2</v>
      </c>
      <c r="E212" s="535" t="str">
        <f>REPT(" ",D212)&amp;IF($A212="","",INDEX(tblIndicators!AM$2:AM$84,$B212))</f>
        <v xml:space="preserve">  4.2) Emissions reduction</v>
      </c>
      <c r="F212" s="536">
        <f t="shared" si="54"/>
        <v>20</v>
      </c>
      <c r="G212" s="536"/>
      <c r="H212" s="536"/>
      <c r="I212" s="536" t="str">
        <f t="shared" si="52"/>
        <v>SUST4_2</v>
      </c>
      <c r="J212" s="536" t="str">
        <f t="shared" si="53"/>
        <v/>
      </c>
      <c r="R212" s="292"/>
      <c r="AK212" s="48"/>
    </row>
    <row r="213" spans="1:37" ht="20.25" customHeight="1">
      <c r="A213" s="558" t="str">
        <f t="shared" si="51"/>
        <v>SUST4_3</v>
      </c>
      <c r="B213" s="535">
        <f>IF(A213="","",MATCH(A213,tblIndicators!E$2:E$84,0))</f>
        <v>66</v>
      </c>
      <c r="C213" s="535" t="str">
        <f>REPT(" ",D213)&amp;IF($A213="","",INDEX(tblIndicators!AL$2:AL$84,$B213))</f>
        <v xml:space="preserve">  4.3) Pollution</v>
      </c>
      <c r="D213" s="535">
        <f>INDEX(tblIndicators!$G$2:$G$84,B213)</f>
        <v>2</v>
      </c>
      <c r="E213" s="535" t="str">
        <f>REPT(" ",D213)&amp;IF($A213="","",INDEX(tblIndicators!AM$2:AM$84,$B213))</f>
        <v xml:space="preserve">  4.3) Pollution</v>
      </c>
      <c r="F213" s="536">
        <f t="shared" si="54"/>
        <v>21</v>
      </c>
      <c r="G213" s="536"/>
      <c r="H213" s="536"/>
      <c r="I213" s="536" t="str">
        <f t="shared" si="52"/>
        <v>SUST4_3</v>
      </c>
      <c r="J213" s="536" t="str">
        <f t="shared" si="53"/>
        <v/>
      </c>
      <c r="R213" s="292"/>
      <c r="AK213" s="48"/>
    </row>
    <row r="214" spans="1:37" ht="20.25" customHeight="1">
      <c r="A214" s="558" t="str">
        <f t="shared" si="51"/>
        <v>SUST4_4</v>
      </c>
      <c r="B214" s="535">
        <f>IF(A214="","",MATCH(A214,tblIndicators!E$2:E$84,0))</f>
        <v>68</v>
      </c>
      <c r="C214" s="535" t="str">
        <f>REPT(" ",D214)&amp;IF($A214="","",INDEX(tblIndicators!AL$2:AL$84,$B214))</f>
        <v xml:space="preserve">  4.4) Circular economy</v>
      </c>
      <c r="D214" s="535">
        <f>INDEX(tblIndicators!$G$2:$G$84,B214)</f>
        <v>2</v>
      </c>
      <c r="E214" s="535" t="str">
        <f>REPT(" ",D214)&amp;IF($A214="","",INDEX(tblIndicators!AM$2:AM$84,$B214))</f>
        <v xml:space="preserve">  4.4) Circular economy</v>
      </c>
      <c r="F214" s="536">
        <f t="shared" ref="F214:F219" si="55">F213+1</f>
        <v>22</v>
      </c>
      <c r="G214" s="536"/>
      <c r="H214" s="536"/>
      <c r="I214" s="536" t="str">
        <f t="shared" si="52"/>
        <v>SUST4_4</v>
      </c>
      <c r="J214" s="536" t="str">
        <f t="shared" si="53"/>
        <v/>
      </c>
      <c r="R214" s="292"/>
      <c r="AK214" s="48"/>
    </row>
    <row r="215" spans="1:37" ht="20.25" customHeight="1">
      <c r="A215" s="558" t="str">
        <f t="shared" si="51"/>
        <v>BG.11_1</v>
      </c>
      <c r="B215" s="535">
        <f>IF(A215="","",MATCH(A215,tblIndicators!E$2:E$84,0))</f>
        <v>72</v>
      </c>
      <c r="C215" s="535" t="str">
        <f>REPT(" ",D215)&amp;IF($A215="","",INDEX(tblIndicators!AL$2:AL$84,$B215))</f>
        <v xml:space="preserve">   BG_1.1) Real GDP growth</v>
      </c>
      <c r="D215" s="535">
        <f>INDEX(tblIndicators!$G$2:$G$84,B215)</f>
        <v>3</v>
      </c>
      <c r="E215" s="535" t="str">
        <f>REPT(" ",D215)&amp;IF($A215="","",INDEX(tblIndicators!AM$2:AM$84,$B215))</f>
        <v xml:space="preserve">   BG_1.1) Real GDP growth</v>
      </c>
      <c r="F215" s="536">
        <f t="shared" si="55"/>
        <v>23</v>
      </c>
      <c r="G215" s="536"/>
      <c r="H215" s="536"/>
      <c r="I215" s="536" t="str">
        <f t="shared" si="52"/>
        <v>BG.11_1</v>
      </c>
      <c r="J215" s="536" t="str">
        <f t="shared" si="53"/>
        <v/>
      </c>
      <c r="R215" s="292"/>
      <c r="AK215" s="48"/>
    </row>
    <row r="216" spans="1:37" ht="20.25" customHeight="1">
      <c r="A216" s="558" t="str">
        <f t="shared" si="51"/>
        <v>BG.11_2</v>
      </c>
      <c r="B216" s="535">
        <f>IF(A216="","",MATCH(A216,tblIndicators!E$2:E$84,0))</f>
        <v>73</v>
      </c>
      <c r="C216" s="535" t="str">
        <f>REPT(" ",D216)&amp;IF($A216="","",INDEX(tblIndicators!AL$2:AL$84,$B216))</f>
        <v xml:space="preserve">   BG_1.2) Corruption</v>
      </c>
      <c r="D216" s="535">
        <f>INDEX(tblIndicators!$G$2:$G$84,B216)</f>
        <v>3</v>
      </c>
      <c r="E216" s="535" t="str">
        <f>REPT(" ",D216)&amp;IF($A216="","",INDEX(tblIndicators!AM$2:AM$84,$B216))</f>
        <v xml:space="preserve">   BG_1.2) Corruption</v>
      </c>
      <c r="F216" s="536">
        <f t="shared" si="55"/>
        <v>24</v>
      </c>
      <c r="G216" s="536"/>
      <c r="H216" s="536"/>
      <c r="I216" s="536" t="str">
        <f t="shared" si="52"/>
        <v>BG.11_2</v>
      </c>
      <c r="J216" s="536" t="str">
        <f t="shared" si="53"/>
        <v/>
      </c>
      <c r="R216" s="292"/>
      <c r="AK216" s="48"/>
    </row>
    <row r="217" spans="1:37" ht="20.25" customHeight="1">
      <c r="A217" s="558" t="str">
        <f t="shared" si="51"/>
        <v>BG.11_3</v>
      </c>
      <c r="B217" s="535">
        <f>IF(A217="","",MATCH(A217,tblIndicators!E$2:E$84,0))</f>
        <v>74</v>
      </c>
      <c r="C217" s="535" t="str">
        <f>REPT(" ",D217)&amp;IF($A217="","",INDEX(tblIndicators!AL$2:AL$84,$B217))</f>
        <v xml:space="preserve">   BG_1.3) Human Development Index</v>
      </c>
      <c r="D217" s="535">
        <f>INDEX(tblIndicators!$G$2:$G$84,B217)</f>
        <v>3</v>
      </c>
      <c r="E217" s="535" t="str">
        <f>REPT(" ",D217)&amp;IF($A217="","",INDEX(tblIndicators!AM$2:AM$84,$B217))</f>
        <v xml:space="preserve">   BG_1.3) Human Development Index</v>
      </c>
      <c r="F217" s="536">
        <f t="shared" si="55"/>
        <v>25</v>
      </c>
      <c r="G217" s="536"/>
      <c r="H217" s="536"/>
      <c r="I217" s="536" t="str">
        <f t="shared" si="52"/>
        <v>BG.11_3</v>
      </c>
      <c r="J217" s="536" t="str">
        <f t="shared" si="53"/>
        <v/>
      </c>
    </row>
    <row r="218" spans="1:37" ht="20.25" customHeight="1">
      <c r="A218" s="558" t="str">
        <f t="shared" si="51"/>
        <v>BG.11_4</v>
      </c>
      <c r="B218" s="535">
        <f>IF(A218="","",MATCH(A218,tblIndicators!E$2:E$84,0))</f>
        <v>75</v>
      </c>
      <c r="C218" s="535" t="str">
        <f>REPT(" ",D218)&amp;IF($A218="","",INDEX(tblIndicators!AL$2:AL$84,$B218))</f>
        <v xml:space="preserve">   BG_1.4) Gender Inequality Index</v>
      </c>
      <c r="D218" s="535">
        <f>INDEX(tblIndicators!$G$2:$G$84,B218)</f>
        <v>3</v>
      </c>
      <c r="E218" s="535" t="str">
        <f>REPT(" ",D218)&amp;IF($A218="","",INDEX(tblIndicators!AM$2:AM$84,$B218))</f>
        <v xml:space="preserve">   BG_1.4) Gender Inequality Index</v>
      </c>
      <c r="F218" s="536">
        <f t="shared" si="55"/>
        <v>26</v>
      </c>
      <c r="G218" s="536"/>
      <c r="H218" s="536"/>
      <c r="I218" s="536" t="str">
        <f t="shared" si="52"/>
        <v>BG.11_4</v>
      </c>
      <c r="J218" s="536" t="str">
        <f t="shared" si="53"/>
        <v/>
      </c>
    </row>
    <row r="219" spans="1:37" ht="20.25" customHeight="1">
      <c r="A219" s="558" t="str">
        <f t="shared" si="51"/>
        <v>BG.11_5</v>
      </c>
      <c r="B219" s="535">
        <f>IF(A219="","",MATCH(A219,tblIndicators!E$2:E$84,0))</f>
        <v>76</v>
      </c>
      <c r="C219" s="535" t="str">
        <f>REPT(" ",D219)&amp;IF($A219="","",INDEX(tblIndicators!AL$2:AL$84,$B219))</f>
        <v xml:space="preserve">   BG_1.5) Per capita income</v>
      </c>
      <c r="D219" s="535">
        <f>INDEX(tblIndicators!$G$2:$G$84,B219)</f>
        <v>3</v>
      </c>
      <c r="E219" s="535" t="str">
        <f>REPT(" ",D219)&amp;IF($A219="","",INDEX(tblIndicators!AM$2:AM$84,$B219))</f>
        <v xml:space="preserve">   BG_1.5) Per capita income</v>
      </c>
      <c r="F219" s="536">
        <f t="shared" si="55"/>
        <v>27</v>
      </c>
      <c r="G219" s="536"/>
      <c r="H219" s="536"/>
      <c r="I219" s="536" t="str">
        <f t="shared" si="52"/>
        <v>BG.11_5</v>
      </c>
      <c r="J219" s="536" t="str">
        <f t="shared" si="53"/>
        <v/>
      </c>
    </row>
    <row r="223" spans="1:37" ht="20.25" customHeight="1">
      <c r="A223" s="554" t="s">
        <v>183</v>
      </c>
    </row>
    <row r="224" spans="1:37" ht="20.25" customHeight="1">
      <c r="A224" s="534">
        <v>1</v>
      </c>
      <c r="B224" s="534">
        <f>uxb_works!O36</f>
        <v>27</v>
      </c>
      <c r="D224" s="535">
        <f>COUNT(D225:D251)</f>
        <v>27</v>
      </c>
      <c r="I224" s="536">
        <f>COUNTA(I225:I251)-COUNTBLANK(I225:I251)</f>
        <v>27</v>
      </c>
      <c r="J224" s="536">
        <f>COUNTA(J225:J251)-COUNTBLANK(J225:J251)</f>
        <v>27</v>
      </c>
    </row>
    <row r="225" spans="1:12" ht="20.25" customHeight="1">
      <c r="A225" s="559" t="str">
        <f t="shared" ref="A225:A251" si="56">INDEX(I225:J225,$A$224)</f>
        <v>OVERALL</v>
      </c>
      <c r="B225" s="535">
        <f>IF(A225="","",MATCH(A225,tblIndicators!E$2:E$84,0))</f>
        <v>1</v>
      </c>
      <c r="C225" s="535" t="str">
        <f>REPT(" ",D225)&amp;IF($A225="","",INDEX(tblIndicators!AL$2:AL$84,$B225))</f>
        <v>OVERALL SCORE</v>
      </c>
      <c r="D225" s="535">
        <f>INDEX(tblIndicators!$G$2:$G$84,B225)</f>
        <v>0</v>
      </c>
      <c r="E225" s="535" t="str">
        <f>REPT(" ",D225)&amp;IF($A225="","",INDEX(tblIndicators!AM$2:AM$84,$B225))</f>
        <v>OVERALL SCORE</v>
      </c>
      <c r="F225" s="535">
        <f t="shared" ref="F225:F244" si="57">F193</f>
        <v>1</v>
      </c>
      <c r="G225" s="535" t="str">
        <f>TRIM(E225)</f>
        <v>OVERALL SCORE</v>
      </c>
      <c r="I225" s="536" t="str">
        <f t="shared" ref="I225:I251" si="58">IF(S4="","",S4)</f>
        <v>OVERALL</v>
      </c>
      <c r="J225" s="536" t="str">
        <f t="shared" ref="J225:J243" si="59">P4</f>
        <v>BG.11_1</v>
      </c>
      <c r="K225" s="535">
        <f>IF(I225="","",MATCH(I225,tblIndicators!E$2:E$71,0))</f>
        <v>1</v>
      </c>
      <c r="L225" s="535" t="e">
        <f>IF(J225="","",MATCH(J225,tblIndicators!E$2:E$71,0))</f>
        <v>#N/A</v>
      </c>
    </row>
    <row r="226" spans="1:12" ht="20.25" customHeight="1">
      <c r="A226" s="559" t="str">
        <f t="shared" si="56"/>
        <v>CNTY</v>
      </c>
      <c r="B226" s="535">
        <f>IF(A226="","",MATCH(A226,tblIndicators!E$2:E$84,0))</f>
        <v>2</v>
      </c>
      <c r="C226" s="535" t="str">
        <f>REPT(" ",D226)&amp;IF($A226="","",INDEX(tblIndicators!AL$2:AL$84,$B226))</f>
        <v xml:space="preserve"> 1) CONNECTIVITY</v>
      </c>
      <c r="D226" s="535">
        <f>INDEX(tblIndicators!$G$2:$G$84,B226)</f>
        <v>1</v>
      </c>
      <c r="E226" s="535" t="str">
        <f>REPT(" ",D226)&amp;IF($A226="","",INDEX(tblIndicators!AM$2:AM$84,$B226))</f>
        <v xml:space="preserve"> 1) CONNECTIVITY</v>
      </c>
      <c r="F226" s="535">
        <f t="shared" si="57"/>
        <v>2</v>
      </c>
      <c r="G226" s="535" t="str">
        <f t="shared" ref="G226:G244" si="60">TRIM(E226)</f>
        <v>1) CONNECTIVITY</v>
      </c>
      <c r="I226" s="536" t="str">
        <f t="shared" si="58"/>
        <v>CNTY</v>
      </c>
      <c r="J226" s="536" t="str">
        <f t="shared" si="59"/>
        <v>BG.11_2</v>
      </c>
      <c r="K226" s="535">
        <f>IF(I226="","",MATCH(I226,tblIndicators!E$2:E$71,0))</f>
        <v>2</v>
      </c>
      <c r="L226" s="535" t="e">
        <f>IF(J226="","",MATCH(J226,tblIndicators!E$2:E$71,0))</f>
        <v>#N/A</v>
      </c>
    </row>
    <row r="227" spans="1:12" ht="20.25" customHeight="1">
      <c r="A227" s="559" t="str">
        <f t="shared" si="56"/>
        <v>CNTY1_1</v>
      </c>
      <c r="B227" s="535">
        <f>IF(A227="","",MATCH(A227,tblIndicators!E$2:E$84,0))</f>
        <v>3</v>
      </c>
      <c r="C227" s="535" t="str">
        <f>REPT(" ",D227)&amp;IF($A227="","",INDEX(tblIndicators!AL$2:AL$84,$B227))</f>
        <v xml:space="preserve">  1.1) Digital infrastructure</v>
      </c>
      <c r="D227" s="535">
        <f>INDEX(tblIndicators!$G$2:$G$84,B227)</f>
        <v>2</v>
      </c>
      <c r="E227" s="535" t="str">
        <f>REPT(" ",D227)&amp;IF($A227="","",INDEX(tblIndicators!AM$2:AM$84,$B227))</f>
        <v xml:space="preserve">  1.1) Digital infrastructure</v>
      </c>
      <c r="F227" s="535">
        <f t="shared" si="57"/>
        <v>3</v>
      </c>
      <c r="G227" s="535" t="str">
        <f t="shared" si="60"/>
        <v>1.1) Digital infrastructure</v>
      </c>
      <c r="I227" s="536" t="str">
        <f t="shared" si="58"/>
        <v>CNTY1_1</v>
      </c>
      <c r="J227" s="536" t="str">
        <f t="shared" si="59"/>
        <v>BG.11_3</v>
      </c>
      <c r="K227" s="535">
        <f>IF(I227="","",MATCH(I227,tblIndicators!E$2:E$71,0))</f>
        <v>3</v>
      </c>
      <c r="L227" s="535" t="e">
        <f>IF(J227="","",MATCH(J227,tblIndicators!E$2:E$71,0))</f>
        <v>#N/A</v>
      </c>
    </row>
    <row r="228" spans="1:12" ht="20.25" customHeight="1">
      <c r="A228" s="559" t="str">
        <f t="shared" si="56"/>
        <v>CNTY1_2</v>
      </c>
      <c r="B228" s="535">
        <f>IF(A228="","",MATCH(A228,tblIndicators!E$2:E$84,0))</f>
        <v>8</v>
      </c>
      <c r="C228" s="535" t="str">
        <f>REPT(" ",D228)&amp;IF($A228="","",INDEX(tblIndicators!AL$2:AL$84,$B228))</f>
        <v xml:space="preserve">  1.2) Quality</v>
      </c>
      <c r="D228" s="535">
        <f>INDEX(tblIndicators!$G$2:$G$84,B228)</f>
        <v>2</v>
      </c>
      <c r="E228" s="535" t="str">
        <f>REPT(" ",D228)&amp;IF($A228="","",INDEX(tblIndicators!AM$2:AM$84,$B228))</f>
        <v xml:space="preserve">  1.2) Quality</v>
      </c>
      <c r="F228" s="535">
        <f t="shared" si="57"/>
        <v>4</v>
      </c>
      <c r="G228" s="535" t="str">
        <f t="shared" si="60"/>
        <v>1.2) Quality</v>
      </c>
      <c r="I228" s="536" t="str">
        <f t="shared" si="58"/>
        <v>CNTY1_2</v>
      </c>
      <c r="J228" s="536" t="str">
        <f t="shared" si="59"/>
        <v>BG.11_4</v>
      </c>
      <c r="K228" s="535">
        <f>IF(I228="","",MATCH(I228,tblIndicators!E$2:E$71,0))</f>
        <v>8</v>
      </c>
      <c r="L228" s="535" t="e">
        <f>IF(J228="","",MATCH(J228,tblIndicators!E$2:E$71,0))</f>
        <v>#N/A</v>
      </c>
    </row>
    <row r="229" spans="1:12" ht="20.25" customHeight="1">
      <c r="A229" s="559" t="str">
        <f t="shared" si="56"/>
        <v>CNTY1_3</v>
      </c>
      <c r="B229" s="535">
        <f>IF(A229="","",MATCH(A229,tblIndicators!E$2:E$84,0))</f>
        <v>13</v>
      </c>
      <c r="C229" s="535" t="str">
        <f>REPT(" ",D229)&amp;IF($A229="","",INDEX(tblIndicators!AL$2:AL$84,$B229))</f>
        <v xml:space="preserve">  1.3) Affordability</v>
      </c>
      <c r="D229" s="535">
        <f>INDEX(tblIndicators!$G$2:$G$84,B229)</f>
        <v>2</v>
      </c>
      <c r="E229" s="535" t="str">
        <f>REPT(" ",D229)&amp;IF($A229="","",INDEX(tblIndicators!AM$2:AM$84,$B229))</f>
        <v xml:space="preserve">  1.3) Affordability</v>
      </c>
      <c r="F229" s="535">
        <f t="shared" si="57"/>
        <v>5</v>
      </c>
      <c r="G229" s="535" t="str">
        <f t="shared" si="60"/>
        <v>1.3) Affordability</v>
      </c>
      <c r="I229" s="536" t="str">
        <f t="shared" si="58"/>
        <v>CNTY1_3</v>
      </c>
      <c r="J229" s="536" t="str">
        <f t="shared" si="59"/>
        <v>BG.11_5</v>
      </c>
      <c r="K229" s="535">
        <f>IF(I229="","",MATCH(I229,tblIndicators!E$2:E$71,0))</f>
        <v>13</v>
      </c>
      <c r="L229" s="535" t="e">
        <f>IF(J229="","",MATCH(J229,tblIndicators!E$2:E$71,0))</f>
        <v>#N/A</v>
      </c>
    </row>
    <row r="230" spans="1:12" ht="20.25" customHeight="1">
      <c r="A230" s="559" t="str">
        <f t="shared" si="56"/>
        <v>SERV</v>
      </c>
      <c r="B230" s="535">
        <f>IF(A230="","",MATCH(A230,tblIndicators!E$2:E$84,0))</f>
        <v>16</v>
      </c>
      <c r="C230" s="535" t="str">
        <f>REPT(" ",D230)&amp;IF($A230="","",INDEX(tblIndicators!AL$2:AL$84,$B230))</f>
        <v xml:space="preserve"> 2) SERVICES</v>
      </c>
      <c r="D230" s="535">
        <f>INDEX(tblIndicators!$G$2:$G$84,B230)</f>
        <v>1</v>
      </c>
      <c r="E230" s="535" t="str">
        <f>REPT(" ",D230)&amp;IF($A230="","",INDEX(tblIndicators!AM$2:AM$84,$B230))</f>
        <v xml:space="preserve"> 2) SERVICES</v>
      </c>
      <c r="F230" s="535">
        <f t="shared" si="57"/>
        <v>6</v>
      </c>
      <c r="G230" s="535" t="str">
        <f t="shared" si="60"/>
        <v>2) SERVICES</v>
      </c>
      <c r="I230" s="536" t="str">
        <f t="shared" si="58"/>
        <v>SERV</v>
      </c>
      <c r="J230" s="536">
        <f t="shared" si="59"/>
        <v>0</v>
      </c>
      <c r="K230" s="535">
        <f>IF(I230="","",MATCH(I230,tblIndicators!E$2:E$71,0))</f>
        <v>16</v>
      </c>
      <c r="L230" s="535" t="e">
        <f>IF(J230="","",MATCH(J230,tblIndicators!E$2:E$71,0))</f>
        <v>#N/A</v>
      </c>
    </row>
    <row r="231" spans="1:12" ht="20.25" customHeight="1">
      <c r="A231" s="559" t="str">
        <f t="shared" si="56"/>
        <v>SERV2_1</v>
      </c>
      <c r="B231" s="535">
        <f>IF(A231="","",MATCH(A231,tblIndicators!E$2:E$84,0))</f>
        <v>17</v>
      </c>
      <c r="C231" s="535" t="str">
        <f>REPT(" ",D231)&amp;IF($A231="","",INDEX(tblIndicators!AL$2:AL$84,$B231))</f>
        <v xml:space="preserve">  2.1) E-gov services for residents &amp; businesses</v>
      </c>
      <c r="D231" s="535">
        <f>INDEX(tblIndicators!$G$2:$G$84,B231)</f>
        <v>2</v>
      </c>
      <c r="E231" s="535" t="str">
        <f>REPT(" ",D231)&amp;IF($A231="","",INDEX(tblIndicators!AM$2:AM$84,$B231))</f>
        <v xml:space="preserve">  2.1) E-gov services for residents &amp; businesses</v>
      </c>
      <c r="F231" s="535">
        <f t="shared" si="57"/>
        <v>7</v>
      </c>
      <c r="G231" s="535" t="str">
        <f t="shared" si="60"/>
        <v>2.1) E-gov services for residents &amp; businesses</v>
      </c>
      <c r="I231" s="536" t="str">
        <f t="shared" si="58"/>
        <v>SERV2_1</v>
      </c>
      <c r="J231" s="536">
        <f t="shared" si="59"/>
        <v>0</v>
      </c>
      <c r="K231" s="535">
        <f>IF(I231="","",MATCH(I231,tblIndicators!E$2:E$71,0))</f>
        <v>17</v>
      </c>
      <c r="L231" s="535" t="e">
        <f>IF(J231="","",MATCH(J231,tblIndicators!E$2:E$71,0))</f>
        <v>#N/A</v>
      </c>
    </row>
    <row r="232" spans="1:12" ht="20.25" customHeight="1">
      <c r="A232" s="559" t="str">
        <f t="shared" si="56"/>
        <v>SERV2_2</v>
      </c>
      <c r="B232" s="535">
        <f>IF(A232="","",MATCH(A232,tblIndicators!E$2:E$84,0))</f>
        <v>21</v>
      </c>
      <c r="C232" s="535" t="str">
        <f>REPT(" ",D232)&amp;IF($A232="","",INDEX(tblIndicators!AL$2:AL$84,$B232))</f>
        <v xml:space="preserve">  2.2) Digital finance</v>
      </c>
      <c r="D232" s="535">
        <f>INDEX(tblIndicators!$G$2:$G$84,B232)</f>
        <v>2</v>
      </c>
      <c r="E232" s="535" t="str">
        <f>REPT(" ",D232)&amp;IF($A232="","",INDEX(tblIndicators!AM$2:AM$84,$B232))</f>
        <v xml:space="preserve">  2.2) Digital finance</v>
      </c>
      <c r="F232" s="535">
        <f t="shared" si="57"/>
        <v>8</v>
      </c>
      <c r="G232" s="535" t="str">
        <f t="shared" si="60"/>
        <v>2.2) Digital finance</v>
      </c>
      <c r="I232" s="536" t="str">
        <f t="shared" si="58"/>
        <v>SERV2_2</v>
      </c>
      <c r="J232" s="536">
        <f t="shared" si="59"/>
        <v>0</v>
      </c>
      <c r="K232" s="535">
        <f>IF(I232="","",MATCH(I232,tblIndicators!E$2:E$71,0))</f>
        <v>21</v>
      </c>
      <c r="L232" s="535" t="e">
        <f>IF(J232="","",MATCH(J232,tblIndicators!E$2:E$71,0))</f>
        <v>#N/A</v>
      </c>
    </row>
    <row r="233" spans="1:12" ht="20.25" customHeight="1">
      <c r="A233" s="559" t="str">
        <f t="shared" si="56"/>
        <v>SERV2_3</v>
      </c>
      <c r="B233" s="535">
        <f>IF(A233="","",MATCH(A233,tblIndicators!E$2:E$84,0))</f>
        <v>25</v>
      </c>
      <c r="C233" s="535" t="str">
        <f>REPT(" ",D233)&amp;IF($A233="","",INDEX(tblIndicators!AL$2:AL$84,$B233))</f>
        <v xml:space="preserve">  2.3) Transportation</v>
      </c>
      <c r="D233" s="535">
        <f>INDEX(tblIndicators!$G$2:$G$84,B233)</f>
        <v>2</v>
      </c>
      <c r="E233" s="535" t="str">
        <f>REPT(" ",D233)&amp;IF($A233="","",INDEX(tblIndicators!AM$2:AM$84,$B233))</f>
        <v xml:space="preserve">  2.3) Transportation</v>
      </c>
      <c r="F233" s="535">
        <f t="shared" si="57"/>
        <v>9</v>
      </c>
      <c r="G233" s="535" t="str">
        <f t="shared" si="60"/>
        <v>2.3) Transportation</v>
      </c>
      <c r="I233" s="536" t="str">
        <f t="shared" si="58"/>
        <v>SERV2_3</v>
      </c>
      <c r="J233" s="536">
        <f t="shared" si="59"/>
        <v>0</v>
      </c>
      <c r="K233" s="535">
        <f>IF(I233="","",MATCH(I233,tblIndicators!E$2:E$71,0))</f>
        <v>25</v>
      </c>
      <c r="L233" s="535" t="e">
        <f>IF(J233="","",MATCH(J233,tblIndicators!E$2:E$71,0))</f>
        <v>#N/A</v>
      </c>
    </row>
    <row r="234" spans="1:12" ht="20.25" customHeight="1">
      <c r="A234" s="559" t="str">
        <f t="shared" si="56"/>
        <v>SERV2_4</v>
      </c>
      <c r="B234" s="535">
        <f>IF(A234="","",MATCH(A234,tblIndicators!E$2:E$84,0))</f>
        <v>28</v>
      </c>
      <c r="C234" s="535" t="str">
        <f>REPT(" ",D234)&amp;IF($A234="","",INDEX(tblIndicators!AL$2:AL$84,$B234))</f>
        <v xml:space="preserve">  2.4) Healthcare</v>
      </c>
      <c r="D234" s="535">
        <f>INDEX(tblIndicators!$G$2:$G$84,B234)</f>
        <v>2</v>
      </c>
      <c r="E234" s="535" t="str">
        <f>REPT(" ",D234)&amp;IF($A234="","",INDEX(tblIndicators!AM$2:AM$84,$B234))</f>
        <v xml:space="preserve">  2.4) Healthcare</v>
      </c>
      <c r="F234" s="535">
        <f t="shared" si="57"/>
        <v>10</v>
      </c>
      <c r="G234" s="535" t="str">
        <f t="shared" si="60"/>
        <v>2.4) Healthcare</v>
      </c>
      <c r="I234" s="536" t="str">
        <f t="shared" si="58"/>
        <v>SERV2_4</v>
      </c>
      <c r="J234" s="536">
        <f t="shared" si="59"/>
        <v>0</v>
      </c>
      <c r="K234" s="535">
        <f>IF(I234="","",MATCH(I234,tblIndicators!E$2:E$71,0))</f>
        <v>28</v>
      </c>
      <c r="L234" s="535" t="e">
        <f>IF(J234="","",MATCH(J234,tblIndicators!E$2:E$71,0))</f>
        <v>#N/A</v>
      </c>
    </row>
    <row r="235" spans="1:12" ht="20.25" customHeight="1">
      <c r="A235" s="559" t="str">
        <f t="shared" si="56"/>
        <v>SERV2_5</v>
      </c>
      <c r="B235" s="535">
        <f>IF(A235="","",MATCH(A235,tblIndicators!E$2:E$84,0))</f>
        <v>32</v>
      </c>
      <c r="C235" s="535" t="str">
        <f>REPT(" ",D235)&amp;IF($A235="","",INDEX(tblIndicators!AL$2:AL$84,$B235))</f>
        <v xml:space="preserve">  2.5) Education</v>
      </c>
      <c r="D235" s="535">
        <f>INDEX(tblIndicators!$G$2:$G$84,B235)</f>
        <v>2</v>
      </c>
      <c r="E235" s="535" t="str">
        <f>REPT(" ",D235)&amp;IF($A235="","",INDEX(tblIndicators!AM$2:AM$84,$B235))</f>
        <v xml:space="preserve">  2.5) Education</v>
      </c>
      <c r="F235" s="535">
        <f t="shared" si="57"/>
        <v>11</v>
      </c>
      <c r="G235" s="535" t="str">
        <f t="shared" si="60"/>
        <v>2.5) Education</v>
      </c>
      <c r="I235" s="536" t="str">
        <f t="shared" si="58"/>
        <v>SERV2_5</v>
      </c>
      <c r="J235" s="536">
        <f t="shared" si="59"/>
        <v>0</v>
      </c>
      <c r="K235" s="535">
        <f>IF(I235="","",MATCH(I235,tblIndicators!E$2:E$71,0))</f>
        <v>32</v>
      </c>
      <c r="L235" s="535" t="e">
        <f>IF(J235="","",MATCH(J235,tblIndicators!E$2:E$71,0))</f>
        <v>#N/A</v>
      </c>
    </row>
    <row r="236" spans="1:12" ht="20.25" customHeight="1">
      <c r="A236" s="559" t="str">
        <f t="shared" si="56"/>
        <v>SERV2_6</v>
      </c>
      <c r="B236" s="535">
        <f>IF(A236="","",MATCH(A236,tblIndicators!E$2:E$84,0))</f>
        <v>34</v>
      </c>
      <c r="C236" s="535" t="str">
        <f>REPT(" ",D236)&amp;IF($A236="","",INDEX(tblIndicators!AL$2:AL$84,$B236))</f>
        <v xml:space="preserve">  2.6) Retail and hospitality</v>
      </c>
      <c r="D236" s="535">
        <f>INDEX(tblIndicators!$G$2:$G$84,B236)</f>
        <v>2</v>
      </c>
      <c r="E236" s="535" t="str">
        <f>REPT(" ",D236)&amp;IF($A236="","",INDEX(tblIndicators!AM$2:AM$84,$B236))</f>
        <v xml:space="preserve">  2.6) Retail and hospitality</v>
      </c>
      <c r="F236" s="535">
        <f t="shared" si="57"/>
        <v>12</v>
      </c>
      <c r="G236" s="535" t="str">
        <f t="shared" si="60"/>
        <v>2.6) Retail and hospitality</v>
      </c>
      <c r="I236" s="536" t="str">
        <f t="shared" si="58"/>
        <v>SERV2_6</v>
      </c>
      <c r="J236" s="536">
        <f t="shared" si="59"/>
        <v>0</v>
      </c>
      <c r="K236" s="535">
        <f>IF(I236="","",MATCH(I236,tblIndicators!E$2:E$71,0))</f>
        <v>34</v>
      </c>
      <c r="L236" s="535" t="e">
        <f>IF(J236="","",MATCH(J236,tblIndicators!E$2:E$71,0))</f>
        <v>#N/A</v>
      </c>
    </row>
    <row r="237" spans="1:12" ht="20.25" customHeight="1">
      <c r="A237" s="559" t="str">
        <f t="shared" si="56"/>
        <v>CULT</v>
      </c>
      <c r="B237" s="535">
        <f>IF(A237="","",MATCH(A237,tblIndicators!E$2:E$84,0))</f>
        <v>37</v>
      </c>
      <c r="C237" s="535" t="str">
        <f>REPT(" ",D237)&amp;IF($A237="","",INDEX(tblIndicators!AL$2:AL$84,$B237))</f>
        <v xml:space="preserve"> 3) CULTURE</v>
      </c>
      <c r="D237" s="535">
        <f>INDEX(tblIndicators!$G$2:$G$84,B237)</f>
        <v>1</v>
      </c>
      <c r="E237" s="535" t="str">
        <f>REPT(" ",D237)&amp;IF($A237="","",INDEX(tblIndicators!AM$2:AM$84,$B237))</f>
        <v xml:space="preserve"> 3) CULTURE</v>
      </c>
      <c r="F237" s="535">
        <f t="shared" si="57"/>
        <v>13</v>
      </c>
      <c r="G237" s="535" t="str">
        <f t="shared" si="60"/>
        <v>3) CULTURE</v>
      </c>
      <c r="I237" s="536" t="str">
        <f t="shared" si="58"/>
        <v>CULT</v>
      </c>
      <c r="J237" s="536">
        <f t="shared" si="59"/>
        <v>0</v>
      </c>
      <c r="K237" s="535">
        <f>IF(I237="","",MATCH(I237,tblIndicators!E$2:E$71,0))</f>
        <v>37</v>
      </c>
      <c r="L237" s="535" t="e">
        <f>IF(J237="","",MATCH(J237,tblIndicators!E$2:E$71,0))</f>
        <v>#N/A</v>
      </c>
    </row>
    <row r="238" spans="1:12" ht="20.25" customHeight="1">
      <c r="A238" s="559" t="str">
        <f t="shared" si="56"/>
        <v>CULT3_1</v>
      </c>
      <c r="B238" s="535">
        <f>IF(A238="","",MATCH(A238,tblIndicators!E$2:E$84,0))</f>
        <v>38</v>
      </c>
      <c r="C238" s="535" t="str">
        <f>REPT(" ",D238)&amp;IF($A238="","",INDEX(tblIndicators!AL$2:AL$84,$B238))</f>
        <v xml:space="preserve">  3.1) Digital inclusion</v>
      </c>
      <c r="D238" s="535">
        <f>INDEX(tblIndicators!$G$2:$G$84,B238)</f>
        <v>2</v>
      </c>
      <c r="E238" s="535" t="str">
        <f>REPT(" ",D238)&amp;IF($A238="","",INDEX(tblIndicators!AM$2:AM$84,$B238))</f>
        <v xml:space="preserve">  3.1) Digital inclusion</v>
      </c>
      <c r="F238" s="535">
        <f t="shared" si="57"/>
        <v>14</v>
      </c>
      <c r="G238" s="535" t="str">
        <f t="shared" si="60"/>
        <v>3.1) Digital inclusion</v>
      </c>
      <c r="I238" s="536" t="str">
        <f t="shared" si="58"/>
        <v>CULT3_1</v>
      </c>
      <c r="J238" s="536">
        <f t="shared" si="59"/>
        <v>0</v>
      </c>
      <c r="K238" s="535">
        <f>IF(I238="","",MATCH(I238,tblIndicators!E$2:E$71,0))</f>
        <v>38</v>
      </c>
      <c r="L238" s="535" t="e">
        <f>IF(J238="","",MATCH(J238,tblIndicators!E$2:E$71,0))</f>
        <v>#N/A</v>
      </c>
    </row>
    <row r="239" spans="1:12" ht="20.25" customHeight="1">
      <c r="A239" s="559" t="str">
        <f t="shared" si="56"/>
        <v>CULT3_2</v>
      </c>
      <c r="B239" s="535">
        <f>IF(A239="","",MATCH(A239,tblIndicators!E$2:E$84,0))</f>
        <v>42</v>
      </c>
      <c r="C239" s="535" t="str">
        <f>REPT(" ",D239)&amp;IF($A239="","",INDEX(tblIndicators!AL$2:AL$84,$B239))</f>
        <v xml:space="preserve">  3.2) Government support</v>
      </c>
      <c r="D239" s="535">
        <f>INDEX(tblIndicators!$G$2:$G$84,B239)</f>
        <v>2</v>
      </c>
      <c r="E239" s="535" t="str">
        <f>REPT(" ",D239)&amp;IF($A239="","",INDEX(tblIndicators!AM$2:AM$84,$B239))</f>
        <v xml:space="preserve">  3.2) Government support</v>
      </c>
      <c r="F239" s="535">
        <f t="shared" si="57"/>
        <v>15</v>
      </c>
      <c r="G239" s="535" t="str">
        <f t="shared" si="60"/>
        <v>3.2) Government support</v>
      </c>
      <c r="I239" s="536" t="str">
        <f t="shared" si="58"/>
        <v>CULT3_2</v>
      </c>
      <c r="J239" s="536">
        <f t="shared" si="59"/>
        <v>0</v>
      </c>
      <c r="K239" s="535">
        <f>IF(I239="","",MATCH(I239,tblIndicators!E$2:E$71,0))</f>
        <v>42</v>
      </c>
      <c r="L239" s="535" t="e">
        <f>IF(J239="","",MATCH(J239,tblIndicators!E$2:E$71,0))</f>
        <v>#N/A</v>
      </c>
    </row>
    <row r="240" spans="1:12" ht="20.25" customHeight="1">
      <c r="A240" s="559" t="str">
        <f t="shared" si="56"/>
        <v>CULT3_3</v>
      </c>
      <c r="B240" s="535">
        <f>IF(A240="","",MATCH(A240,tblIndicators!E$2:E$84,0))</f>
        <v>48</v>
      </c>
      <c r="C240" s="535" t="str">
        <f>REPT(" ",D240)&amp;IF($A240="","",INDEX(tblIndicators!AL$2:AL$84,$B240))</f>
        <v xml:space="preserve">  3.3) Innovation ecosystem</v>
      </c>
      <c r="D240" s="535">
        <f>INDEX(tblIndicators!$G$2:$G$84,B240)</f>
        <v>2</v>
      </c>
      <c r="E240" s="535" t="str">
        <f>REPT(" ",D240)&amp;IF($A240="","",INDEX(tblIndicators!AM$2:AM$84,$B240))</f>
        <v xml:space="preserve">  3.3) Innovation ecosystem</v>
      </c>
      <c r="F240" s="535">
        <f t="shared" si="57"/>
        <v>16</v>
      </c>
      <c r="G240" s="535" t="str">
        <f t="shared" si="60"/>
        <v>3.3) Innovation ecosystem</v>
      </c>
      <c r="I240" s="536" t="str">
        <f t="shared" si="58"/>
        <v>CULT3_3</v>
      </c>
      <c r="J240" s="536">
        <f t="shared" si="59"/>
        <v>0</v>
      </c>
      <c r="K240" s="535">
        <f>IF(I240="","",MATCH(I240,tblIndicators!E$2:E$71,0))</f>
        <v>48</v>
      </c>
      <c r="L240" s="535" t="e">
        <f>IF(J240="","",MATCH(J240,tblIndicators!E$2:E$71,0))</f>
        <v>#N/A</v>
      </c>
    </row>
    <row r="241" spans="1:12" ht="20.25" customHeight="1">
      <c r="A241" s="559" t="str">
        <f t="shared" si="56"/>
        <v>CULT3_4</v>
      </c>
      <c r="B241" s="535">
        <f>IF(A241="","",MATCH(A241,tblIndicators!E$2:E$84,0))</f>
        <v>54</v>
      </c>
      <c r="C241" s="535" t="str">
        <f>REPT(" ",D241)&amp;IF($A241="","",INDEX(tblIndicators!AL$2:AL$84,$B241))</f>
        <v xml:space="preserve">  3.4) Public attitude and engagement</v>
      </c>
      <c r="D241" s="535">
        <f>INDEX(tblIndicators!$G$2:$G$84,B241)</f>
        <v>2</v>
      </c>
      <c r="E241" s="535" t="str">
        <f>REPT(" ",D241)&amp;IF($A241="","",INDEX(tblIndicators!AM$2:AM$84,$B241))</f>
        <v xml:space="preserve">  3.4) Public attitude and engagement</v>
      </c>
      <c r="F241" s="535">
        <f t="shared" si="57"/>
        <v>17</v>
      </c>
      <c r="G241" s="535" t="str">
        <f t="shared" si="60"/>
        <v>3.4) Public attitude and engagement</v>
      </c>
      <c r="I241" s="536" t="str">
        <f t="shared" si="58"/>
        <v>CULT3_4</v>
      </c>
      <c r="J241" s="536">
        <f t="shared" si="59"/>
        <v>0</v>
      </c>
      <c r="K241" s="535">
        <f>IF(I241="","",MATCH(I241,tblIndicators!E$2:E$71,0))</f>
        <v>54</v>
      </c>
      <c r="L241" s="535" t="e">
        <f>IF(J241="","",MATCH(J241,tblIndicators!E$2:E$71,0))</f>
        <v>#N/A</v>
      </c>
    </row>
    <row r="242" spans="1:12" ht="20.25" customHeight="1">
      <c r="A242" s="559" t="str">
        <f t="shared" si="56"/>
        <v>SUST</v>
      </c>
      <c r="B242" s="535">
        <f>IF(A242="","",MATCH(A242,tblIndicators!E$2:E$84,0))</f>
        <v>57</v>
      </c>
      <c r="C242" s="535" t="str">
        <f>REPT(" ",D242)&amp;IF($A242="","",INDEX(tblIndicators!AL$2:AL$84,$B242))</f>
        <v xml:space="preserve"> 4) SUSTAINABILITY</v>
      </c>
      <c r="D242" s="535">
        <f>INDEX(tblIndicators!$G$2:$G$84,B242)</f>
        <v>1</v>
      </c>
      <c r="E242" s="535" t="str">
        <f>REPT(" ",D242)&amp;IF($A242="","",INDEX(tblIndicators!AM$2:AM$84,$B242))</f>
        <v xml:space="preserve"> 4) SUSTAINABILITY</v>
      </c>
      <c r="F242" s="535">
        <f t="shared" si="57"/>
        <v>18</v>
      </c>
      <c r="G242" s="535" t="str">
        <f t="shared" si="60"/>
        <v>4) SUSTAINABILITY</v>
      </c>
      <c r="I242" s="536" t="str">
        <f t="shared" si="58"/>
        <v>SUST</v>
      </c>
      <c r="J242" s="536">
        <f t="shared" si="59"/>
        <v>0</v>
      </c>
      <c r="K242" s="535">
        <f>IF(I242="","",MATCH(I242,tblIndicators!E$2:E$71,0))</f>
        <v>57</v>
      </c>
      <c r="L242" s="535" t="e">
        <f>IF(J242="","",MATCH(J242,tblIndicators!E$2:E$71,0))</f>
        <v>#N/A</v>
      </c>
    </row>
    <row r="243" spans="1:12" ht="20.25" customHeight="1">
      <c r="A243" s="559" t="str">
        <f t="shared" si="56"/>
        <v>SUST4_1</v>
      </c>
      <c r="B243" s="535">
        <f>IF(A243="","",MATCH(A243,tblIndicators!E$2:E$84,0))</f>
        <v>58</v>
      </c>
      <c r="C243" s="535" t="str">
        <f>REPT(" ",D243)&amp;IF($A243="","",INDEX(tblIndicators!AL$2:AL$84,$B243))</f>
        <v xml:space="preserve">  4.1) Efficient resource management</v>
      </c>
      <c r="D243" s="535">
        <f>INDEX(tblIndicators!$G$2:$G$84,B243)</f>
        <v>2</v>
      </c>
      <c r="E243" s="535" t="str">
        <f>REPT(" ",D243)&amp;IF($A243="","",INDEX(tblIndicators!AM$2:AM$84,$B243))</f>
        <v xml:space="preserve">  4.1) Efficient resource management</v>
      </c>
      <c r="F243" s="535">
        <f t="shared" si="57"/>
        <v>19</v>
      </c>
      <c r="G243" s="535" t="str">
        <f t="shared" si="60"/>
        <v>4.1) Efficient resource management</v>
      </c>
      <c r="I243" s="536" t="str">
        <f t="shared" si="58"/>
        <v>SUST4_1</v>
      </c>
      <c r="J243" s="536">
        <f t="shared" si="59"/>
        <v>0</v>
      </c>
      <c r="K243" s="535">
        <f>IF(I243="","",MATCH(I243,tblIndicators!E$2:E$71,0))</f>
        <v>58</v>
      </c>
      <c r="L243" s="535" t="e">
        <f>IF(J243="","",MATCH(J243,tblIndicators!E$2:E$71,0))</f>
        <v>#N/A</v>
      </c>
    </row>
    <row r="244" spans="1:12" ht="20.25" customHeight="1">
      <c r="A244" s="559" t="str">
        <f t="shared" si="56"/>
        <v>SUST4_2</v>
      </c>
      <c r="B244" s="535">
        <f>IF(A244="","",MATCH(A244,tblIndicators!E$2:E$84,0))</f>
        <v>62</v>
      </c>
      <c r="C244" s="535" t="str">
        <f>REPT(" ",D244)&amp;IF($A244="","",INDEX(tblIndicators!AL$2:AL$84,$B244))</f>
        <v xml:space="preserve">  4.2) Emissions reduction</v>
      </c>
      <c r="D244" s="535">
        <f>INDEX(tblIndicators!$G$2:$G$84,B244)</f>
        <v>2</v>
      </c>
      <c r="E244" s="535" t="str">
        <f>REPT(" ",D244)&amp;IF($A244="","",INDEX(tblIndicators!AM$2:AM$84,$B244))</f>
        <v xml:space="preserve">  4.2) Emissions reduction</v>
      </c>
      <c r="F244" s="535">
        <f t="shared" si="57"/>
        <v>20</v>
      </c>
      <c r="G244" s="535" t="str">
        <f t="shared" si="60"/>
        <v>4.2) Emissions reduction</v>
      </c>
      <c r="I244" s="536" t="str">
        <f t="shared" si="58"/>
        <v>SUST4_2</v>
      </c>
      <c r="J244" s="536">
        <f t="shared" ref="J244:J251" si="61">P24</f>
        <v>0</v>
      </c>
      <c r="K244" s="535">
        <f>IF(I244="","",MATCH(I244,tblIndicators!E$2:E$71,0))</f>
        <v>62</v>
      </c>
      <c r="L244" s="535" t="e">
        <f>IF(J244="","",MATCH(J244,tblIndicators!E$2:E$71,0))</f>
        <v>#N/A</v>
      </c>
    </row>
    <row r="245" spans="1:12" ht="20.25" customHeight="1">
      <c r="A245" s="559" t="str">
        <f t="shared" si="56"/>
        <v>SUST4_3</v>
      </c>
      <c r="B245" s="535">
        <f>IF(A245="","",MATCH(A245,tblIndicators!E$2:E$84,0))</f>
        <v>66</v>
      </c>
      <c r="C245" s="535" t="str">
        <f>REPT(" ",D245)&amp;IF($A245="","",INDEX(tblIndicators!AL$2:AL$84,$B245))</f>
        <v xml:space="preserve">  4.3) Pollution</v>
      </c>
      <c r="D245" s="535">
        <f>INDEX(tblIndicators!$G$2:$G$84,B245)</f>
        <v>2</v>
      </c>
      <c r="E245" s="535" t="str">
        <f>REPT(" ",D245)&amp;IF($A245="","",INDEX(tblIndicators!AM$2:AM$84,$B245))</f>
        <v xml:space="preserve">  4.3) Pollution</v>
      </c>
      <c r="F245" s="535">
        <f t="shared" ref="F245:F251" si="62">F213</f>
        <v>21</v>
      </c>
      <c r="G245" s="535" t="str">
        <f t="shared" ref="G245:G251" si="63">TRIM(E245)</f>
        <v>4.3) Pollution</v>
      </c>
      <c r="I245" s="536" t="str">
        <f t="shared" si="58"/>
        <v>SUST4_3</v>
      </c>
      <c r="J245" s="536">
        <f t="shared" si="61"/>
        <v>0</v>
      </c>
      <c r="K245" s="535">
        <f>IF(I245="","",MATCH(I245,tblIndicators!E$2:E$71,0))</f>
        <v>66</v>
      </c>
      <c r="L245" s="535" t="e">
        <f>IF(J245="","",MATCH(J245,tblIndicators!E$2:E$71,0))</f>
        <v>#N/A</v>
      </c>
    </row>
    <row r="246" spans="1:12" ht="20.25" customHeight="1">
      <c r="A246" s="559" t="str">
        <f t="shared" si="56"/>
        <v>SUST4_4</v>
      </c>
      <c r="B246" s="535">
        <f>IF(A246="","",MATCH(A246,tblIndicators!E$2:E$84,0))</f>
        <v>68</v>
      </c>
      <c r="C246" s="535" t="str">
        <f>REPT(" ",D246)&amp;IF($A246="","",INDEX(tblIndicators!AL$2:AL$84,$B246))</f>
        <v xml:space="preserve">  4.4) Circular economy</v>
      </c>
      <c r="D246" s="535">
        <f>INDEX(tblIndicators!$G$2:$G$84,B246)</f>
        <v>2</v>
      </c>
      <c r="E246" s="535" t="str">
        <f>REPT(" ",D246)&amp;IF($A246="","",INDEX(tblIndicators!AM$2:AM$84,$B246))</f>
        <v xml:space="preserve">  4.4) Circular economy</v>
      </c>
      <c r="F246" s="535">
        <f t="shared" si="62"/>
        <v>22</v>
      </c>
      <c r="G246" s="535" t="str">
        <f t="shared" si="63"/>
        <v>4.4) Circular economy</v>
      </c>
      <c r="I246" s="536" t="str">
        <f t="shared" si="58"/>
        <v>SUST4_4</v>
      </c>
      <c r="J246" s="536">
        <f t="shared" si="61"/>
        <v>0</v>
      </c>
      <c r="K246" s="535">
        <f>IF(I246="","",MATCH(I246,tblIndicators!E$2:E$71,0))</f>
        <v>68</v>
      </c>
      <c r="L246" s="535" t="e">
        <f>IF(J246="","",MATCH(J246,tblIndicators!E$2:E$71,0))</f>
        <v>#N/A</v>
      </c>
    </row>
    <row r="247" spans="1:12" ht="20.25" customHeight="1">
      <c r="A247" s="559" t="str">
        <f t="shared" si="56"/>
        <v>BG.11_1</v>
      </c>
      <c r="B247" s="535">
        <f>IF(A247="","",MATCH(A247,tblIndicators!E$2:E$84,0))</f>
        <v>72</v>
      </c>
      <c r="C247" s="535" t="str">
        <f>REPT(" ",D247)&amp;IF($A247="","",INDEX(tblIndicators!AL$2:AL$84,$B247))</f>
        <v xml:space="preserve">   BG_1.1) Real GDP growth</v>
      </c>
      <c r="D247" s="535">
        <f>INDEX(tblIndicators!$G$2:$G$84,B247)</f>
        <v>3</v>
      </c>
      <c r="E247" s="535" t="str">
        <f>REPT(" ",D247)&amp;IF($A247="","",INDEX(tblIndicators!AM$2:AM$84,$B247))</f>
        <v xml:space="preserve">   BG_1.1) Real GDP growth</v>
      </c>
      <c r="F247" s="535">
        <f t="shared" si="62"/>
        <v>23</v>
      </c>
      <c r="G247" s="535" t="str">
        <f t="shared" si="63"/>
        <v>BG_1.1) Real GDP growth</v>
      </c>
      <c r="I247" s="536" t="str">
        <f t="shared" si="58"/>
        <v>BG.11_1</v>
      </c>
      <c r="J247" s="536">
        <f t="shared" si="61"/>
        <v>0</v>
      </c>
      <c r="K247" s="535" t="e">
        <f>IF(I247="","",MATCH(I247,tblIndicators!E$2:E$71,0))</f>
        <v>#N/A</v>
      </c>
      <c r="L247" s="535" t="e">
        <f>IF(J247="","",MATCH(J247,tblIndicators!E$2:E$71,0))</f>
        <v>#N/A</v>
      </c>
    </row>
    <row r="248" spans="1:12" ht="20.25" customHeight="1">
      <c r="A248" s="559" t="str">
        <f t="shared" si="56"/>
        <v>BG.11_2</v>
      </c>
      <c r="B248" s="535">
        <f>IF(A248="","",MATCH(A248,tblIndicators!E$2:E$84,0))</f>
        <v>73</v>
      </c>
      <c r="C248" s="535" t="str">
        <f>REPT(" ",D248)&amp;IF($A248="","",INDEX(tblIndicators!AL$2:AL$84,$B248))</f>
        <v xml:space="preserve">   BG_1.2) Corruption</v>
      </c>
      <c r="D248" s="535">
        <f>INDEX(tblIndicators!$G$2:$G$84,B248)</f>
        <v>3</v>
      </c>
      <c r="E248" s="535" t="str">
        <f>REPT(" ",D248)&amp;IF($A248="","",INDEX(tblIndicators!AM$2:AM$84,$B248))</f>
        <v xml:space="preserve">   BG_1.2) Corruption</v>
      </c>
      <c r="F248" s="535">
        <f t="shared" si="62"/>
        <v>24</v>
      </c>
      <c r="G248" s="535" t="str">
        <f t="shared" si="63"/>
        <v>BG_1.2) Corruption</v>
      </c>
      <c r="I248" s="536" t="str">
        <f t="shared" si="58"/>
        <v>BG.11_2</v>
      </c>
      <c r="J248" s="536">
        <f t="shared" si="61"/>
        <v>0</v>
      </c>
      <c r="K248" s="535" t="e">
        <f>IF(I248="","",MATCH(I248,tblIndicators!E$2:E$71,0))</f>
        <v>#N/A</v>
      </c>
      <c r="L248" s="535" t="e">
        <f>IF(J248="","",MATCH(J248,tblIndicators!E$2:E$71,0))</f>
        <v>#N/A</v>
      </c>
    </row>
    <row r="249" spans="1:12" ht="20.25" customHeight="1">
      <c r="A249" s="559" t="str">
        <f t="shared" si="56"/>
        <v>BG.11_3</v>
      </c>
      <c r="B249" s="535">
        <f>IF(A249="","",MATCH(A249,tblIndicators!E$2:E$84,0))</f>
        <v>74</v>
      </c>
      <c r="C249" s="535" t="str">
        <f>REPT(" ",D249)&amp;IF($A249="","",INDEX(tblIndicators!AL$2:AL$84,$B249))</f>
        <v xml:space="preserve">   BG_1.3) Human Development Index</v>
      </c>
      <c r="D249" s="535">
        <f>INDEX(tblIndicators!$G$2:$G$84,B249)</f>
        <v>3</v>
      </c>
      <c r="E249" s="535" t="str">
        <f>REPT(" ",D249)&amp;IF($A249="","",INDEX(tblIndicators!AM$2:AM$84,$B249))</f>
        <v xml:space="preserve">   BG_1.3) Human Development Index</v>
      </c>
      <c r="F249" s="535">
        <f t="shared" si="62"/>
        <v>25</v>
      </c>
      <c r="G249" s="535" t="str">
        <f t="shared" si="63"/>
        <v>BG_1.3) Human Development Index</v>
      </c>
      <c r="I249" s="536" t="str">
        <f t="shared" si="58"/>
        <v>BG.11_3</v>
      </c>
      <c r="J249" s="536">
        <f t="shared" si="61"/>
        <v>0</v>
      </c>
      <c r="K249" s="535" t="e">
        <f>IF(I249="","",MATCH(I249,tblIndicators!E$2:E$71,0))</f>
        <v>#N/A</v>
      </c>
      <c r="L249" s="535" t="e">
        <f>IF(J249="","",MATCH(J249,tblIndicators!E$2:E$71,0))</f>
        <v>#N/A</v>
      </c>
    </row>
    <row r="250" spans="1:12" ht="20.25" customHeight="1">
      <c r="A250" s="559" t="str">
        <f t="shared" si="56"/>
        <v>BG.11_4</v>
      </c>
      <c r="B250" s="535">
        <f>IF(A250="","",MATCH(A250,tblIndicators!E$2:E$84,0))</f>
        <v>75</v>
      </c>
      <c r="C250" s="535" t="str">
        <f>REPT(" ",D250)&amp;IF($A250="","",INDEX(tblIndicators!AL$2:AL$84,$B250))</f>
        <v xml:space="preserve">   BG_1.4) Gender Inequality Index</v>
      </c>
      <c r="D250" s="535">
        <f>INDEX(tblIndicators!$G$2:$G$84,B250)</f>
        <v>3</v>
      </c>
      <c r="E250" s="535" t="str">
        <f>REPT(" ",D250)&amp;IF($A250="","",INDEX(tblIndicators!AM$2:AM$84,$B250))</f>
        <v xml:space="preserve">   BG_1.4) Gender Inequality Index</v>
      </c>
      <c r="F250" s="535">
        <f t="shared" si="62"/>
        <v>26</v>
      </c>
      <c r="G250" s="535" t="str">
        <f t="shared" si="63"/>
        <v>BG_1.4) Gender Inequality Index</v>
      </c>
      <c r="I250" s="536" t="str">
        <f t="shared" si="58"/>
        <v>BG.11_4</v>
      </c>
      <c r="J250" s="536">
        <f t="shared" si="61"/>
        <v>0</v>
      </c>
      <c r="K250" s="535" t="e">
        <f>IF(I250="","",MATCH(I250,tblIndicators!E$2:E$71,0))</f>
        <v>#N/A</v>
      </c>
      <c r="L250" s="535" t="e">
        <f>IF(J250="","",MATCH(J250,tblIndicators!E$2:E$71,0))</f>
        <v>#N/A</v>
      </c>
    </row>
    <row r="251" spans="1:12" ht="20.25" customHeight="1">
      <c r="A251" s="559" t="str">
        <f t="shared" si="56"/>
        <v>BG.11_5</v>
      </c>
      <c r="B251" s="535">
        <f>IF(A251="","",MATCH(A251,tblIndicators!E$2:E$84,0))</f>
        <v>76</v>
      </c>
      <c r="C251" s="535" t="str">
        <f>REPT(" ",D251)&amp;IF($A251="","",INDEX(tblIndicators!AL$2:AL$84,$B251))</f>
        <v xml:space="preserve">   BG_1.5) Per capita income</v>
      </c>
      <c r="D251" s="535">
        <f>INDEX(tblIndicators!$G$2:$G$84,B251)</f>
        <v>3</v>
      </c>
      <c r="E251" s="535" t="str">
        <f>REPT(" ",D251)&amp;IF($A251="","",INDEX(tblIndicators!AM$2:AM$84,$B251))</f>
        <v xml:space="preserve">   BG_1.5) Per capita income</v>
      </c>
      <c r="F251" s="535">
        <f t="shared" si="62"/>
        <v>27</v>
      </c>
      <c r="G251" s="535" t="str">
        <f t="shared" si="63"/>
        <v>BG_1.5) Per capita income</v>
      </c>
      <c r="I251" s="536" t="str">
        <f t="shared" si="58"/>
        <v>BG.11_5</v>
      </c>
      <c r="J251" s="536">
        <f t="shared" si="61"/>
        <v>0</v>
      </c>
      <c r="K251" s="535" t="e">
        <f>IF(I251="","",MATCH(I251,tblIndicators!E$2:E$71,0))</f>
        <v>#N/A</v>
      </c>
      <c r="L251" s="535" t="e">
        <f>IF(J251="","",MATCH(J251,tblIndicators!E$2:E$71,0))</f>
        <v>#N/A</v>
      </c>
    </row>
    <row r="254" spans="1:12" ht="20.25" customHeight="1">
      <c r="A254" s="554" t="s">
        <v>191</v>
      </c>
      <c r="B254" s="535">
        <v>1</v>
      </c>
    </row>
    <row r="256" spans="1:12" ht="20.25" customHeight="1">
      <c r="B256" s="535" t="str">
        <f t="shared" ref="B256:B263" si="64">INDEX(C256:E256,$B$254)</f>
        <v>Economist Impact default</v>
      </c>
      <c r="C256" s="535" t="str">
        <f>iWeights1!A3</f>
        <v>Economist Impact default</v>
      </c>
    </row>
    <row r="257" spans="1:3" ht="20.25" customHeight="1">
      <c r="B257" s="535" t="str">
        <f t="shared" si="64"/>
        <v>Equal weighted categories</v>
      </c>
      <c r="C257" s="535" t="str">
        <f>iWeights1!A4</f>
        <v>Equal weighted categories</v>
      </c>
    </row>
    <row r="258" spans="1:3" ht="20.25" customHeight="1">
      <c r="B258" s="535" t="str">
        <f t="shared" si="64"/>
        <v>Spare#1</v>
      </c>
      <c r="C258" s="535" t="str">
        <f>iWeights1!A5</f>
        <v>Spare#1</v>
      </c>
    </row>
    <row r="259" spans="1:3" ht="20.25" customHeight="1">
      <c r="B259" s="535" t="str">
        <f t="shared" si="64"/>
        <v>Spare#2</v>
      </c>
      <c r="C259" s="535" t="str">
        <f>iWeights1!A6</f>
        <v>Spare#2</v>
      </c>
    </row>
    <row r="260" spans="1:3" ht="20.25" customHeight="1">
      <c r="B260" s="535" t="str">
        <f t="shared" si="64"/>
        <v>Spare#3</v>
      </c>
      <c r="C260" s="535" t="str">
        <f>iWeights1!A7</f>
        <v>Spare#3</v>
      </c>
    </row>
    <row r="261" spans="1:3" ht="20.25" customHeight="1">
      <c r="B261" s="535" t="str">
        <f t="shared" si="64"/>
        <v>Spare#4</v>
      </c>
      <c r="C261" s="535" t="str">
        <f>iWeights1!A8</f>
        <v>Spare#4</v>
      </c>
    </row>
    <row r="262" spans="1:3" ht="20.25" customHeight="1">
      <c r="B262" s="535" t="str">
        <f t="shared" si="64"/>
        <v>Spare#5</v>
      </c>
      <c r="C262" s="535" t="str">
        <f>iWeights1!A9</f>
        <v>Spare#5</v>
      </c>
    </row>
    <row r="263" spans="1:3" ht="20.25" customHeight="1">
      <c r="B263" s="535" t="str">
        <f t="shared" si="64"/>
        <v>Spare#6</v>
      </c>
      <c r="C263" s="535" t="str">
        <f>iWeights1!A10</f>
        <v>Spare#6</v>
      </c>
    </row>
    <row r="267" spans="1:3" ht="20.25" customHeight="1">
      <c r="B267" s="560"/>
    </row>
    <row r="268" spans="1:3" ht="20.25" customHeight="1">
      <c r="B268" s="536"/>
    </row>
    <row r="269" spans="1:3" ht="20.25" customHeight="1">
      <c r="A269" s="554" t="s">
        <v>179</v>
      </c>
    </row>
    <row r="271" spans="1:3" ht="20.25" customHeight="1">
      <c r="B271" s="535">
        <v>1</v>
      </c>
    </row>
    <row r="272" spans="1:3" ht="20.25" customHeight="1">
      <c r="B272" s="535">
        <v>2</v>
      </c>
    </row>
    <row r="273" spans="1:5" ht="20.25" customHeight="1">
      <c r="B273" s="535">
        <v>3</v>
      </c>
    </row>
    <row r="274" spans="1:5" ht="20.25" customHeight="1">
      <c r="B274" s="535">
        <v>4</v>
      </c>
    </row>
    <row r="275" spans="1:5" ht="20.25" customHeight="1">
      <c r="B275" s="535">
        <v>5</v>
      </c>
    </row>
    <row r="276" spans="1:5" ht="20.25" customHeight="1">
      <c r="B276" s="535">
        <v>6</v>
      </c>
    </row>
    <row r="277" spans="1:5" ht="20.25" customHeight="1">
      <c r="B277" s="535">
        <v>7</v>
      </c>
    </row>
    <row r="278" spans="1:5" ht="20.25" customHeight="1">
      <c r="B278" s="535">
        <v>8</v>
      </c>
    </row>
    <row r="280" spans="1:5" ht="20.25" customHeight="1">
      <c r="A280" s="554" t="s">
        <v>203</v>
      </c>
      <c r="C280" s="535">
        <f>uxb_works!B115</f>
        <v>1</v>
      </c>
    </row>
    <row r="281" spans="1:5" ht="20.25" customHeight="1">
      <c r="A281" s="554"/>
      <c r="C281" s="535">
        <f>SUM(B282:B290)</f>
        <v>9</v>
      </c>
    </row>
    <row r="282" spans="1:5" ht="20.25" customHeight="1">
      <c r="A282" s="534">
        <v>1</v>
      </c>
      <c r="B282" s="535">
        <f>IF(C282="",0,1)</f>
        <v>1</v>
      </c>
      <c r="C282" s="535" t="str">
        <f t="shared" ref="C282:C290" si="65">IF(INDEX($D$282:$I$290,A282,$C$280)="","",INDEX($D$282:$I$290,A282,$C$280))</f>
        <v>Description:</v>
      </c>
      <c r="D282" s="536" t="s">
        <v>244</v>
      </c>
      <c r="E282" s="536" t="s">
        <v>205</v>
      </c>
    </row>
    <row r="283" spans="1:5" ht="20.25" customHeight="1">
      <c r="A283" s="534">
        <v>2</v>
      </c>
      <c r="B283" s="535">
        <f t="shared" ref="B283:B290" si="66">IF(C283="",0,1)</f>
        <v>1</v>
      </c>
      <c r="C283" s="535" t="str">
        <f t="shared" si="65"/>
        <v>Polarity:</v>
      </c>
      <c r="D283" s="536" t="s">
        <v>418</v>
      </c>
      <c r="E283" s="536" t="s">
        <v>206</v>
      </c>
    </row>
    <row r="284" spans="1:5" ht="20.25" customHeight="1">
      <c r="A284" s="534">
        <v>3</v>
      </c>
      <c r="B284" s="535">
        <f t="shared" si="66"/>
        <v>1</v>
      </c>
      <c r="C284" s="535" t="str">
        <f t="shared" si="65"/>
        <v>Scoring guidelines:</v>
      </c>
      <c r="D284" s="536" t="s">
        <v>416</v>
      </c>
      <c r="E284" s="536" t="s">
        <v>207</v>
      </c>
    </row>
    <row r="285" spans="1:5" ht="20.25" customHeight="1">
      <c r="A285" s="534">
        <v>4</v>
      </c>
      <c r="B285" s="535">
        <f t="shared" si="66"/>
        <v>1</v>
      </c>
      <c r="C285" s="535" t="str">
        <f t="shared" si="65"/>
        <v>Source:</v>
      </c>
      <c r="D285" s="536" t="s">
        <v>204</v>
      </c>
      <c r="E285" s="536" t="s">
        <v>208</v>
      </c>
    </row>
    <row r="286" spans="1:5" ht="20.25" customHeight="1">
      <c r="A286" s="534">
        <v>5</v>
      </c>
      <c r="B286" s="535">
        <f t="shared" si="66"/>
        <v>1</v>
      </c>
      <c r="C286" s="535" t="str">
        <f t="shared" si="65"/>
        <v>Scoring Guidance:</v>
      </c>
      <c r="D286" s="536" t="s">
        <v>459</v>
      </c>
      <c r="E286" s="536" t="s">
        <v>209</v>
      </c>
    </row>
    <row r="287" spans="1:5" ht="20.25" customHeight="1">
      <c r="A287" s="534">
        <v>6</v>
      </c>
      <c r="B287" s="535">
        <f t="shared" si="66"/>
        <v>1</v>
      </c>
      <c r="C287" s="535" t="str">
        <f t="shared" si="65"/>
        <v>Year:</v>
      </c>
      <c r="D287" s="536" t="s">
        <v>276</v>
      </c>
      <c r="E287" s="536" t="s">
        <v>210</v>
      </c>
    </row>
    <row r="288" spans="1:5" ht="20.25" customHeight="1">
      <c r="A288" s="534">
        <v>7</v>
      </c>
      <c r="B288" s="535">
        <f t="shared" si="66"/>
        <v>1</v>
      </c>
      <c r="C288" s="535" t="str">
        <f t="shared" si="65"/>
        <v>Units:</v>
      </c>
      <c r="D288" s="536" t="s">
        <v>384</v>
      </c>
      <c r="E288" s="536" t="s">
        <v>211</v>
      </c>
    </row>
    <row r="289" spans="1:7" ht="20.25" customHeight="1">
      <c r="A289" s="534">
        <v>8</v>
      </c>
      <c r="B289" s="535">
        <f t="shared" si="66"/>
        <v>1</v>
      </c>
      <c r="C289" s="535" t="str">
        <f t="shared" si="65"/>
        <v>References:</v>
      </c>
      <c r="D289" s="536" t="s">
        <v>281</v>
      </c>
      <c r="E289" s="536" t="s">
        <v>212</v>
      </c>
    </row>
    <row r="290" spans="1:7" ht="20.25" customHeight="1">
      <c r="A290" s="534">
        <v>9</v>
      </c>
      <c r="B290" s="535">
        <f t="shared" si="66"/>
        <v>1</v>
      </c>
      <c r="C290" s="535" t="str">
        <f t="shared" si="65"/>
        <v>Notes:</v>
      </c>
      <c r="D290" s="536" t="s">
        <v>380</v>
      </c>
      <c r="E290" s="536" t="s">
        <v>213</v>
      </c>
    </row>
    <row r="293" spans="1:7" ht="20.25" customHeight="1">
      <c r="E293" s="536"/>
    </row>
    <row r="294" spans="1:7" ht="20.25" customHeight="1">
      <c r="A294" s="554" t="s">
        <v>294</v>
      </c>
      <c r="F294" s="536"/>
    </row>
    <row r="295" spans="1:7" ht="20.25" customHeight="1">
      <c r="F295" s="536"/>
    </row>
    <row r="296" spans="1:7" ht="20.25" customHeight="1">
      <c r="A296" s="561" t="str">
        <f t="shared" ref="A296:A322" si="67">S4</f>
        <v>OVERALL</v>
      </c>
      <c r="B296" s="535">
        <f>IF(A296="","",MATCH(A296,tblIndicators!E$2:E$84,0))</f>
        <v>1</v>
      </c>
      <c r="C296" s="535" t="str">
        <f>REPT(" ",D296)&amp;IF($A296="","",INDEX(tblIndicators!AL$2:AL$84,$B296))</f>
        <v>OVERALL SCORE</v>
      </c>
      <c r="D296" s="535">
        <f>INDEX(tblIndicators!$G$2:$G$84,B296)</f>
        <v>0</v>
      </c>
      <c r="E296" s="535" t="str">
        <f>REPT(" ",D296)&amp;IF($A296="","",INDEX(tblIndicators!AM$2:AM$84,$B296))</f>
        <v>OVERALL SCORE</v>
      </c>
      <c r="F296" s="536">
        <f>INDEX(tblIndicators!B$2:B$84,$B296)</f>
        <v>0</v>
      </c>
      <c r="G296" s="535" t="str">
        <f>TRIM(E296)</f>
        <v>OVERALL SCORE</v>
      </c>
    </row>
    <row r="297" spans="1:7" ht="20.25" customHeight="1">
      <c r="A297" s="561" t="str">
        <f t="shared" si="67"/>
        <v>CNTY</v>
      </c>
      <c r="B297" s="535">
        <f>IF(A297="","",MATCH(A297,tblIndicators!E$2:E$84,0))</f>
        <v>2</v>
      </c>
      <c r="C297" s="535" t="str">
        <f>REPT(" ",D297)&amp;IF($A297="","",INDEX(tblIndicators!AL$2:AL$84,$B297))</f>
        <v xml:space="preserve"> 1) CONNECTIVITY</v>
      </c>
      <c r="D297" s="535">
        <f>INDEX(tblIndicators!$G$2:$G$84,B297)</f>
        <v>1</v>
      </c>
      <c r="E297" s="535" t="str">
        <f>REPT(" ",D297)&amp;IF($A297="","",INDEX(tblIndicators!AM$2:AM$84,$B297))</f>
        <v xml:space="preserve"> 1) CONNECTIVITY</v>
      </c>
      <c r="F297" s="536">
        <f>INDEX(tblIndicators!B$2:B$84,$B297)</f>
        <v>0</v>
      </c>
      <c r="G297" s="535" t="str">
        <f t="shared" ref="G297:G299" si="68">TRIM(E297)</f>
        <v>1) CONNECTIVITY</v>
      </c>
    </row>
    <row r="298" spans="1:7" ht="20.25" customHeight="1">
      <c r="A298" s="561" t="str">
        <f t="shared" si="67"/>
        <v>CNTY1_1</v>
      </c>
      <c r="B298" s="535">
        <f>IF(A298="","",MATCH(A298,tblIndicators!E$2:E$84,0))</f>
        <v>3</v>
      </c>
      <c r="C298" s="535" t="str">
        <f>REPT(" ",D298)&amp;IF($A298="","",INDEX(tblIndicators!AL$2:AL$84,$B298))</f>
        <v xml:space="preserve">  1.1) Digital infrastructure</v>
      </c>
      <c r="D298" s="535">
        <f>INDEX(tblIndicators!$G$2:$G$84,B298)</f>
        <v>2</v>
      </c>
      <c r="E298" s="535" t="str">
        <f>REPT(" ",D298)&amp;IF($A298="","",INDEX(tblIndicators!AM$2:AM$84,$B298))</f>
        <v xml:space="preserve">  1.1) Digital infrastructure</v>
      </c>
      <c r="F298" s="536">
        <f>INDEX(tblIndicators!B$2:B$84,$B298)</f>
        <v>0</v>
      </c>
      <c r="G298" s="535" t="str">
        <f t="shared" si="68"/>
        <v>1.1) Digital infrastructure</v>
      </c>
    </row>
    <row r="299" spans="1:7" ht="20.25" customHeight="1">
      <c r="A299" s="561" t="str">
        <f t="shared" si="67"/>
        <v>CNTY1_2</v>
      </c>
      <c r="B299" s="535">
        <f>IF(A299="","",MATCH(A299,tblIndicators!E$2:E$84,0))</f>
        <v>8</v>
      </c>
      <c r="C299" s="535" t="str">
        <f>REPT(" ",D299)&amp;IF($A299="","",INDEX(tblIndicators!AL$2:AL$84,$B299))</f>
        <v xml:space="preserve">  1.2) Quality</v>
      </c>
      <c r="D299" s="535">
        <f>INDEX(tblIndicators!$G$2:$G$84,B299)</f>
        <v>2</v>
      </c>
      <c r="E299" s="535" t="str">
        <f>REPT(" ",D299)&amp;IF($A299="","",INDEX(tblIndicators!AM$2:AM$84,$B299))</f>
        <v xml:space="preserve">  1.2) Quality</v>
      </c>
      <c r="F299" s="536">
        <f>INDEX(tblIndicators!B$2:B$84,$B299)</f>
        <v>0</v>
      </c>
      <c r="G299" s="535" t="str">
        <f t="shared" si="68"/>
        <v>1.2) Quality</v>
      </c>
    </row>
    <row r="300" spans="1:7" ht="20.25" customHeight="1">
      <c r="A300" s="561" t="str">
        <f t="shared" si="67"/>
        <v>CNTY1_3</v>
      </c>
      <c r="B300" s="535">
        <f>IF(A300="","",MATCH(A300,tblIndicators!E$2:E$84,0))</f>
        <v>13</v>
      </c>
      <c r="C300" s="535" t="str">
        <f>REPT(" ",D300)&amp;IF($A300="","",INDEX(tblIndicators!AL$2:AL$84,$B300))</f>
        <v xml:space="preserve">  1.3) Affordability</v>
      </c>
      <c r="D300" s="535">
        <f>INDEX(tblIndicators!$G$2:$G$84,B300)</f>
        <v>2</v>
      </c>
      <c r="E300" s="535" t="str">
        <f>REPT(" ",D300)&amp;IF($A300="","",INDEX(tblIndicators!AM$2:AM$84,$B300))</f>
        <v xml:space="preserve">  1.3) Affordability</v>
      </c>
      <c r="F300" s="536">
        <f>INDEX(tblIndicators!B$2:B$84,$B300)</f>
        <v>0</v>
      </c>
      <c r="G300" s="535" t="str">
        <f t="shared" ref="G300:G322" si="69">TRIM(E300)</f>
        <v>1.3) Affordability</v>
      </c>
    </row>
    <row r="301" spans="1:7" ht="20.25" customHeight="1">
      <c r="A301" s="561" t="str">
        <f t="shared" si="67"/>
        <v>SERV</v>
      </c>
      <c r="B301" s="535">
        <f>IF(A301="","",MATCH(A301,tblIndicators!E$2:E$84,0))</f>
        <v>16</v>
      </c>
      <c r="C301" s="535" t="str">
        <f>REPT(" ",D301)&amp;IF($A301="","",INDEX(tblIndicators!AL$2:AL$84,$B301))</f>
        <v xml:space="preserve"> 2) SERVICES</v>
      </c>
      <c r="D301" s="535">
        <f>INDEX(tblIndicators!$G$2:$G$84,B301)</f>
        <v>1</v>
      </c>
      <c r="E301" s="535" t="str">
        <f>REPT(" ",D301)&amp;IF($A301="","",INDEX(tblIndicators!AM$2:AM$84,$B301))</f>
        <v xml:space="preserve"> 2) SERVICES</v>
      </c>
      <c r="F301" s="536">
        <f>INDEX(tblIndicators!B$2:B$84,$B301)</f>
        <v>0</v>
      </c>
      <c r="G301" s="535" t="str">
        <f t="shared" si="69"/>
        <v>2) SERVICES</v>
      </c>
    </row>
    <row r="302" spans="1:7" ht="20.25" customHeight="1">
      <c r="A302" s="561" t="str">
        <f t="shared" si="67"/>
        <v>SERV2_1</v>
      </c>
      <c r="B302" s="535">
        <f>IF(A302="","",MATCH(A302,tblIndicators!E$2:E$84,0))</f>
        <v>17</v>
      </c>
      <c r="C302" s="535" t="str">
        <f>REPT(" ",D302)&amp;IF($A302="","",INDEX(tblIndicators!AL$2:AL$84,$B302))</f>
        <v xml:space="preserve">  2.1) E-gov services for residents &amp; businesses</v>
      </c>
      <c r="D302" s="535">
        <f>INDEX(tblIndicators!$G$2:$G$84,B302)</f>
        <v>2</v>
      </c>
      <c r="E302" s="535" t="str">
        <f>REPT(" ",D302)&amp;IF($A302="","",INDEX(tblIndicators!AM$2:AM$84,$B302))</f>
        <v xml:space="preserve">  2.1) E-gov services for residents &amp; businesses</v>
      </c>
      <c r="F302" s="536">
        <f>INDEX(tblIndicators!B$2:B$84,$B302)</f>
        <v>0</v>
      </c>
      <c r="G302" s="535" t="str">
        <f t="shared" si="69"/>
        <v>2.1) E-gov services for residents &amp; businesses</v>
      </c>
    </row>
    <row r="303" spans="1:7" ht="20.25" customHeight="1">
      <c r="A303" s="561" t="str">
        <f t="shared" si="67"/>
        <v>SERV2_2</v>
      </c>
      <c r="B303" s="535">
        <f>IF(A303="","",MATCH(A303,tblIndicators!E$2:E$84,0))</f>
        <v>21</v>
      </c>
      <c r="C303" s="535" t="str">
        <f>REPT(" ",D303)&amp;IF($A303="","",INDEX(tblIndicators!AL$2:AL$84,$B303))</f>
        <v xml:space="preserve">  2.2) Digital finance</v>
      </c>
      <c r="D303" s="535">
        <f>INDEX(tblIndicators!$G$2:$G$84,B303)</f>
        <v>2</v>
      </c>
      <c r="E303" s="535" t="str">
        <f>REPT(" ",D303)&amp;IF($A303="","",INDEX(tblIndicators!AM$2:AM$84,$B303))</f>
        <v xml:space="preserve">  2.2) Digital finance</v>
      </c>
      <c r="F303" s="536">
        <f>INDEX(tblIndicators!B$2:B$84,$B303)</f>
        <v>0</v>
      </c>
      <c r="G303" s="535" t="str">
        <f t="shared" si="69"/>
        <v>2.2) Digital finance</v>
      </c>
    </row>
    <row r="304" spans="1:7" ht="20.25" customHeight="1">
      <c r="A304" s="561" t="str">
        <f t="shared" si="67"/>
        <v>SERV2_3</v>
      </c>
      <c r="B304" s="535">
        <f>IF(A304="","",MATCH(A304,tblIndicators!E$2:E$84,0))</f>
        <v>25</v>
      </c>
      <c r="C304" s="535" t="str">
        <f>REPT(" ",D304)&amp;IF($A304="","",INDEX(tblIndicators!AL$2:AL$84,$B304))</f>
        <v xml:space="preserve">  2.3) Transportation</v>
      </c>
      <c r="D304" s="535">
        <f>INDEX(tblIndicators!$G$2:$G$84,B304)</f>
        <v>2</v>
      </c>
      <c r="E304" s="535" t="str">
        <f>REPT(" ",D304)&amp;IF($A304="","",INDEX(tblIndicators!AM$2:AM$84,$B304))</f>
        <v xml:space="preserve">  2.3) Transportation</v>
      </c>
      <c r="F304" s="536">
        <f>INDEX(tblIndicators!B$2:B$84,$B304)</f>
        <v>0</v>
      </c>
      <c r="G304" s="535" t="str">
        <f t="shared" si="69"/>
        <v>2.3) Transportation</v>
      </c>
    </row>
    <row r="305" spans="1:7" ht="20.25" customHeight="1">
      <c r="A305" s="561" t="str">
        <f t="shared" si="67"/>
        <v>SERV2_4</v>
      </c>
      <c r="B305" s="535">
        <f>IF(A305="","",MATCH(A305,tblIndicators!E$2:E$84,0))</f>
        <v>28</v>
      </c>
      <c r="C305" s="535" t="str">
        <f>REPT(" ",D305)&amp;IF($A305="","",INDEX(tblIndicators!AL$2:AL$84,$B305))</f>
        <v xml:space="preserve">  2.4) Healthcare</v>
      </c>
      <c r="D305" s="535">
        <f>INDEX(tblIndicators!$G$2:$G$84,B305)</f>
        <v>2</v>
      </c>
      <c r="E305" s="535" t="str">
        <f>REPT(" ",D305)&amp;IF($A305="","",INDEX(tblIndicators!AM$2:AM$84,$B305))</f>
        <v xml:space="preserve">  2.4) Healthcare</v>
      </c>
      <c r="F305" s="536">
        <f>INDEX(tblIndicators!B$2:B$84,$B305)</f>
        <v>0</v>
      </c>
      <c r="G305" s="535" t="str">
        <f t="shared" si="69"/>
        <v>2.4) Healthcare</v>
      </c>
    </row>
    <row r="306" spans="1:7" ht="20.25" customHeight="1">
      <c r="A306" s="561" t="str">
        <f t="shared" si="67"/>
        <v>SERV2_5</v>
      </c>
      <c r="B306" s="535">
        <f>IF(A306="","",MATCH(A306,tblIndicators!E$2:E$84,0))</f>
        <v>32</v>
      </c>
      <c r="C306" s="535" t="str">
        <f>REPT(" ",D306)&amp;IF($A306="","",INDEX(tblIndicators!AL$2:AL$84,$B306))</f>
        <v xml:space="preserve">  2.5) Education</v>
      </c>
      <c r="D306" s="535">
        <f>INDEX(tblIndicators!$G$2:$G$84,B306)</f>
        <v>2</v>
      </c>
      <c r="E306" s="535" t="str">
        <f>REPT(" ",D306)&amp;IF($A306="","",INDEX(tblIndicators!AM$2:AM$84,$B306))</f>
        <v xml:space="preserve">  2.5) Education</v>
      </c>
      <c r="F306" s="536">
        <f>INDEX(tblIndicators!B$2:B$84,$B306)</f>
        <v>0</v>
      </c>
      <c r="G306" s="535" t="str">
        <f t="shared" si="69"/>
        <v>2.5) Education</v>
      </c>
    </row>
    <row r="307" spans="1:7" ht="20.25" customHeight="1">
      <c r="A307" s="561" t="str">
        <f t="shared" si="67"/>
        <v>SERV2_6</v>
      </c>
      <c r="B307" s="535">
        <f>IF(A307="","",MATCH(A307,tblIndicators!E$2:E$84,0))</f>
        <v>34</v>
      </c>
      <c r="C307" s="535" t="str">
        <f>REPT(" ",D307)&amp;IF($A307="","",INDEX(tblIndicators!AL$2:AL$84,$B307))</f>
        <v xml:space="preserve">  2.6) Retail and hospitality</v>
      </c>
      <c r="D307" s="535">
        <f>INDEX(tblIndicators!$G$2:$G$84,B307)</f>
        <v>2</v>
      </c>
      <c r="E307" s="535" t="str">
        <f>REPT(" ",D307)&amp;IF($A307="","",INDEX(tblIndicators!AM$2:AM$84,$B307))</f>
        <v xml:space="preserve">  2.6) Retail and hospitality</v>
      </c>
      <c r="F307" s="536">
        <f>INDEX(tblIndicators!B$2:B$84,$B307)</f>
        <v>0</v>
      </c>
      <c r="G307" s="535" t="str">
        <f t="shared" si="69"/>
        <v>2.6) Retail and hospitality</v>
      </c>
    </row>
    <row r="308" spans="1:7" ht="20.25" customHeight="1">
      <c r="A308" s="561" t="str">
        <f t="shared" si="67"/>
        <v>CULT</v>
      </c>
      <c r="B308" s="535">
        <f>IF(A308="","",MATCH(A308,tblIndicators!E$2:E$84,0))</f>
        <v>37</v>
      </c>
      <c r="C308" s="535" t="str">
        <f>REPT(" ",D308)&amp;IF($A308="","",INDEX(tblIndicators!AL$2:AL$84,$B308))</f>
        <v xml:space="preserve"> 3) CULTURE</v>
      </c>
      <c r="D308" s="535">
        <f>INDEX(tblIndicators!$G$2:$G$84,B308)</f>
        <v>1</v>
      </c>
      <c r="E308" s="535" t="str">
        <f>REPT(" ",D308)&amp;IF($A308="","",INDEX(tblIndicators!AM$2:AM$84,$B308))</f>
        <v xml:space="preserve"> 3) CULTURE</v>
      </c>
      <c r="F308" s="536">
        <f>INDEX(tblIndicators!B$2:B$84,$B308)</f>
        <v>0</v>
      </c>
      <c r="G308" s="535" t="str">
        <f t="shared" si="69"/>
        <v>3) CULTURE</v>
      </c>
    </row>
    <row r="309" spans="1:7" ht="20.25" customHeight="1">
      <c r="A309" s="561" t="str">
        <f t="shared" si="67"/>
        <v>CULT3_1</v>
      </c>
      <c r="B309" s="535">
        <f>IF(A309="","",MATCH(A309,tblIndicators!E$2:E$84,0))</f>
        <v>38</v>
      </c>
      <c r="C309" s="535" t="str">
        <f>REPT(" ",D309)&amp;IF($A309="","",INDEX(tblIndicators!AL$2:AL$84,$B309))</f>
        <v xml:space="preserve">  3.1) Digital inclusion</v>
      </c>
      <c r="D309" s="535">
        <f>INDEX(tblIndicators!$G$2:$G$84,B309)</f>
        <v>2</v>
      </c>
      <c r="E309" s="535" t="str">
        <f>REPT(" ",D309)&amp;IF($A309="","",INDEX(tblIndicators!AM$2:AM$84,$B309))</f>
        <v xml:space="preserve">  3.1) Digital inclusion</v>
      </c>
      <c r="F309" s="536">
        <f>INDEX(tblIndicators!B$2:B$84,$B309)</f>
        <v>0</v>
      </c>
      <c r="G309" s="535" t="str">
        <f t="shared" si="69"/>
        <v>3.1) Digital inclusion</v>
      </c>
    </row>
    <row r="310" spans="1:7" ht="20.25" customHeight="1">
      <c r="A310" s="561" t="str">
        <f t="shared" si="67"/>
        <v>CULT3_2</v>
      </c>
      <c r="B310" s="535">
        <f>IF(A310="","",MATCH(A310,tblIndicators!E$2:E$84,0))</f>
        <v>42</v>
      </c>
      <c r="C310" s="535" t="str">
        <f>REPT(" ",D310)&amp;IF($A310="","",INDEX(tblIndicators!AL$2:AL$84,$B310))</f>
        <v xml:space="preserve">  3.2) Government support</v>
      </c>
      <c r="D310" s="535">
        <f>INDEX(tblIndicators!$G$2:$G$84,B310)</f>
        <v>2</v>
      </c>
      <c r="E310" s="535" t="str">
        <f>REPT(" ",D310)&amp;IF($A310="","",INDEX(tblIndicators!AM$2:AM$84,$B310))</f>
        <v xml:space="preserve">  3.2) Government support</v>
      </c>
      <c r="F310" s="536">
        <f>INDEX(tblIndicators!B$2:B$84,$B310)</f>
        <v>0</v>
      </c>
      <c r="G310" s="535" t="str">
        <f t="shared" si="69"/>
        <v>3.2) Government support</v>
      </c>
    </row>
    <row r="311" spans="1:7" ht="20.25" customHeight="1">
      <c r="A311" s="561" t="str">
        <f t="shared" si="67"/>
        <v>CULT3_3</v>
      </c>
      <c r="B311" s="535">
        <f>IF(A311="","",MATCH(A311,tblIndicators!E$2:E$84,0))</f>
        <v>48</v>
      </c>
      <c r="C311" s="535" t="str">
        <f>REPT(" ",D311)&amp;IF($A311="","",INDEX(tblIndicators!AL$2:AL$84,$B311))</f>
        <v xml:space="preserve">  3.3) Innovation ecosystem</v>
      </c>
      <c r="D311" s="535">
        <f>INDEX(tblIndicators!$G$2:$G$84,B311)</f>
        <v>2</v>
      </c>
      <c r="E311" s="535" t="str">
        <f>REPT(" ",D311)&amp;IF($A311="","",INDEX(tblIndicators!AM$2:AM$84,$B311))</f>
        <v xml:space="preserve">  3.3) Innovation ecosystem</v>
      </c>
      <c r="F311" s="536">
        <f>INDEX(tblIndicators!B$2:B$84,$B311)</f>
        <v>0</v>
      </c>
      <c r="G311" s="535" t="str">
        <f t="shared" si="69"/>
        <v>3.3) Innovation ecosystem</v>
      </c>
    </row>
    <row r="312" spans="1:7" ht="20.25" customHeight="1">
      <c r="A312" s="561" t="str">
        <f t="shared" si="67"/>
        <v>CULT3_4</v>
      </c>
      <c r="B312" s="535">
        <f>IF(A312="","",MATCH(A312,tblIndicators!E$2:E$84,0))</f>
        <v>54</v>
      </c>
      <c r="C312" s="535" t="str">
        <f>REPT(" ",D312)&amp;IF($A312="","",INDEX(tblIndicators!AL$2:AL$84,$B312))</f>
        <v xml:space="preserve">  3.4) Public attitude and engagement</v>
      </c>
      <c r="D312" s="535">
        <f>INDEX(tblIndicators!$G$2:$G$84,B312)</f>
        <v>2</v>
      </c>
      <c r="E312" s="535" t="str">
        <f>REPT(" ",D312)&amp;IF($A312="","",INDEX(tblIndicators!AM$2:AM$84,$B312))</f>
        <v xml:space="preserve">  3.4) Public attitude and engagement</v>
      </c>
      <c r="F312" s="536">
        <f>INDEX(tblIndicators!B$2:B$84,$B312)</f>
        <v>0</v>
      </c>
      <c r="G312" s="535" t="str">
        <f t="shared" si="69"/>
        <v>3.4) Public attitude and engagement</v>
      </c>
    </row>
    <row r="313" spans="1:7" ht="20.25" customHeight="1">
      <c r="A313" s="561" t="str">
        <f t="shared" si="67"/>
        <v>SUST</v>
      </c>
      <c r="B313" s="535">
        <f>IF(A313="","",MATCH(A313,tblIndicators!E$2:E$84,0))</f>
        <v>57</v>
      </c>
      <c r="C313" s="535" t="str">
        <f>REPT(" ",D313)&amp;IF($A313="","",INDEX(tblIndicators!AL$2:AL$84,$B313))</f>
        <v xml:space="preserve"> 4) SUSTAINABILITY</v>
      </c>
      <c r="D313" s="535">
        <f>INDEX(tblIndicators!$G$2:$G$84,B313)</f>
        <v>1</v>
      </c>
      <c r="E313" s="535" t="str">
        <f>REPT(" ",D313)&amp;IF($A313="","",INDEX(tblIndicators!AM$2:AM$84,$B313))</f>
        <v xml:space="preserve"> 4) SUSTAINABILITY</v>
      </c>
      <c r="F313" s="536">
        <f>INDEX(tblIndicators!B$2:B$84,$B313)</f>
        <v>0</v>
      </c>
      <c r="G313" s="535" t="str">
        <f t="shared" si="69"/>
        <v>4) SUSTAINABILITY</v>
      </c>
    </row>
    <row r="314" spans="1:7" ht="20.25" customHeight="1">
      <c r="A314" s="561" t="str">
        <f t="shared" si="67"/>
        <v>SUST4_1</v>
      </c>
      <c r="B314" s="535">
        <f>IF(A314="","",MATCH(A314,tblIndicators!E$2:E$84,0))</f>
        <v>58</v>
      </c>
      <c r="C314" s="535" t="str">
        <f>REPT(" ",D314)&amp;IF($A314="","",INDEX(tblIndicators!AL$2:AL$84,$B314))</f>
        <v xml:space="preserve">  4.1) Efficient resource management</v>
      </c>
      <c r="D314" s="535">
        <f>INDEX(tblIndicators!$G$2:$G$84,B314)</f>
        <v>2</v>
      </c>
      <c r="E314" s="535" t="str">
        <f>REPT(" ",D314)&amp;IF($A314="","",INDEX(tblIndicators!AM$2:AM$84,$B314))</f>
        <v xml:space="preserve">  4.1) Efficient resource management</v>
      </c>
      <c r="F314" s="536">
        <f>INDEX(tblIndicators!B$2:B$84,$B314)</f>
        <v>0</v>
      </c>
      <c r="G314" s="535" t="str">
        <f t="shared" si="69"/>
        <v>4.1) Efficient resource management</v>
      </c>
    </row>
    <row r="315" spans="1:7" ht="20.25" customHeight="1">
      <c r="A315" s="561" t="str">
        <f t="shared" si="67"/>
        <v>SUST4_2</v>
      </c>
      <c r="B315" s="535">
        <f>IF(A315="","",MATCH(A315,tblIndicators!E$2:E$84,0))</f>
        <v>62</v>
      </c>
      <c r="C315" s="535" t="str">
        <f>REPT(" ",D315)&amp;IF($A315="","",INDEX(tblIndicators!AL$2:AL$84,$B315))</f>
        <v xml:space="preserve">  4.2) Emissions reduction</v>
      </c>
      <c r="D315" s="535">
        <f>INDEX(tblIndicators!$G$2:$G$84,B315)</f>
        <v>2</v>
      </c>
      <c r="E315" s="535" t="str">
        <f>REPT(" ",D315)&amp;IF($A315="","",INDEX(tblIndicators!AM$2:AM$84,$B315))</f>
        <v xml:space="preserve">  4.2) Emissions reduction</v>
      </c>
      <c r="F315" s="536">
        <f>INDEX(tblIndicators!B$2:B$84,$B315)</f>
        <v>0</v>
      </c>
      <c r="G315" s="535" t="str">
        <f t="shared" si="69"/>
        <v>4.2) Emissions reduction</v>
      </c>
    </row>
    <row r="316" spans="1:7" ht="20.25" customHeight="1">
      <c r="A316" s="561" t="str">
        <f t="shared" si="67"/>
        <v>SUST4_3</v>
      </c>
      <c r="B316" s="535">
        <f>IF(A316="","",MATCH(A316,tblIndicators!E$2:E$84,0))</f>
        <v>66</v>
      </c>
      <c r="C316" s="535" t="str">
        <f>REPT(" ",D316)&amp;IF($A316="","",INDEX(tblIndicators!AL$2:AL$84,$B316))</f>
        <v xml:space="preserve">  4.3) Pollution</v>
      </c>
      <c r="D316" s="535">
        <f>INDEX(tblIndicators!$G$2:$G$84,B316)</f>
        <v>2</v>
      </c>
      <c r="E316" s="535" t="str">
        <f>REPT(" ",D316)&amp;IF($A316="","",INDEX(tblIndicators!AM$2:AM$84,$B316))</f>
        <v xml:space="preserve">  4.3) Pollution</v>
      </c>
      <c r="F316" s="536">
        <f>INDEX(tblIndicators!B$2:B$84,$B316)</f>
        <v>0</v>
      </c>
      <c r="G316" s="535" t="str">
        <f t="shared" si="69"/>
        <v>4.3) Pollution</v>
      </c>
    </row>
    <row r="317" spans="1:7" ht="20.25" customHeight="1">
      <c r="A317" s="561" t="str">
        <f t="shared" si="67"/>
        <v>SUST4_4</v>
      </c>
      <c r="B317" s="535">
        <f>IF(A317="","",MATCH(A317,tblIndicators!E$2:E$84,0))</f>
        <v>68</v>
      </c>
      <c r="C317" s="535" t="str">
        <f>REPT(" ",D317)&amp;IF($A317="","",INDEX(tblIndicators!AL$2:AL$84,$B317))</f>
        <v xml:space="preserve">  4.4) Circular economy</v>
      </c>
      <c r="D317" s="535">
        <f>INDEX(tblIndicators!$G$2:$G$84,B317)</f>
        <v>2</v>
      </c>
      <c r="E317" s="535" t="str">
        <f>REPT(" ",D317)&amp;IF($A317="","",INDEX(tblIndicators!AM$2:AM$84,$B317))</f>
        <v xml:space="preserve">  4.4) Circular economy</v>
      </c>
      <c r="F317" s="536">
        <f>INDEX(tblIndicators!B$2:B$84,$B317)</f>
        <v>0</v>
      </c>
      <c r="G317" s="535" t="str">
        <f t="shared" si="69"/>
        <v>4.4) Circular economy</v>
      </c>
    </row>
    <row r="318" spans="1:7" ht="20.25" customHeight="1">
      <c r="A318" s="561" t="str">
        <f t="shared" si="67"/>
        <v>BG.11_1</v>
      </c>
      <c r="B318" s="535">
        <f>IF(A318="","",MATCH(A318,tblIndicators!E$2:E$84,0))</f>
        <v>72</v>
      </c>
      <c r="C318" s="535" t="str">
        <f>REPT(" ",D318)&amp;IF($A318="","",INDEX(tblIndicators!AL$2:AL$84,$B318))</f>
        <v xml:space="preserve">   BG_1.1) Real GDP growth</v>
      </c>
      <c r="D318" s="535">
        <f>INDEX(tblIndicators!$G$2:$G$84,B318)</f>
        <v>3</v>
      </c>
      <c r="E318" s="535" t="str">
        <f>REPT(" ",D318)&amp;IF($A318="","",INDEX(tblIndicators!AM$2:AM$84,$B318))</f>
        <v xml:space="preserve">   BG_1.1) Real GDP growth</v>
      </c>
      <c r="F318" s="536">
        <f>INDEX(tblIndicators!B$2:B$84,$B318)</f>
        <v>1</v>
      </c>
      <c r="G318" s="535" t="str">
        <f t="shared" si="69"/>
        <v>BG_1.1) Real GDP growth</v>
      </c>
    </row>
    <row r="319" spans="1:7" ht="20.25" customHeight="1">
      <c r="A319" s="561" t="str">
        <f t="shared" si="67"/>
        <v>BG.11_2</v>
      </c>
      <c r="B319" s="535">
        <f>IF(A319="","",MATCH(A319,tblIndicators!E$2:E$84,0))</f>
        <v>73</v>
      </c>
      <c r="C319" s="535" t="str">
        <f>REPT(" ",D319)&amp;IF($A319="","",INDEX(tblIndicators!AL$2:AL$84,$B319))</f>
        <v xml:space="preserve">   BG_1.2) Corruption</v>
      </c>
      <c r="D319" s="535">
        <f>INDEX(tblIndicators!$G$2:$G$84,B319)</f>
        <v>3</v>
      </c>
      <c r="E319" s="535" t="str">
        <f>REPT(" ",D319)&amp;IF($A319="","",INDEX(tblIndicators!AM$2:AM$84,$B319))</f>
        <v xml:space="preserve">   BG_1.2) Corruption</v>
      </c>
      <c r="F319" s="536">
        <f>INDEX(tblIndicators!B$2:B$84,$B319)</f>
        <v>1</v>
      </c>
      <c r="G319" s="535" t="str">
        <f t="shared" si="69"/>
        <v>BG_1.2) Corruption</v>
      </c>
    </row>
    <row r="320" spans="1:7" ht="20.25" customHeight="1">
      <c r="A320" s="561" t="str">
        <f t="shared" si="67"/>
        <v>BG.11_3</v>
      </c>
      <c r="B320" s="535">
        <f>IF(A320="","",MATCH(A320,tblIndicators!E$2:E$84,0))</f>
        <v>74</v>
      </c>
      <c r="C320" s="535" t="str">
        <f>REPT(" ",D320)&amp;IF($A320="","",INDEX(tblIndicators!AL$2:AL$84,$B320))</f>
        <v xml:space="preserve">   BG_1.3) Human Development Index</v>
      </c>
      <c r="D320" s="535">
        <f>INDEX(tblIndicators!$G$2:$G$84,B320)</f>
        <v>3</v>
      </c>
      <c r="E320" s="535" t="str">
        <f>REPT(" ",D320)&amp;IF($A320="","",INDEX(tblIndicators!AM$2:AM$84,$B320))</f>
        <v xml:space="preserve">   BG_1.3) Human Development Index</v>
      </c>
      <c r="F320" s="536">
        <f>INDEX(tblIndicators!B$2:B$84,$B320)</f>
        <v>1</v>
      </c>
      <c r="G320" s="535" t="str">
        <f t="shared" si="69"/>
        <v>BG_1.3) Human Development Index</v>
      </c>
    </row>
    <row r="321" spans="1:15" ht="20.25" customHeight="1">
      <c r="A321" s="561" t="str">
        <f t="shared" si="67"/>
        <v>BG.11_4</v>
      </c>
      <c r="B321" s="535">
        <f>IF(A321="","",MATCH(A321,tblIndicators!E$2:E$84,0))</f>
        <v>75</v>
      </c>
      <c r="C321" s="535" t="str">
        <f>REPT(" ",D321)&amp;IF($A321="","",INDEX(tblIndicators!AL$2:AL$84,$B321))</f>
        <v xml:space="preserve">   BG_1.4) Gender Inequality Index</v>
      </c>
      <c r="D321" s="535">
        <f>INDEX(tblIndicators!$G$2:$G$84,B321)</f>
        <v>3</v>
      </c>
      <c r="E321" s="535" t="str">
        <f>REPT(" ",D321)&amp;IF($A321="","",INDEX(tblIndicators!AM$2:AM$84,$B321))</f>
        <v xml:space="preserve">   BG_1.4) Gender Inequality Index</v>
      </c>
      <c r="F321" s="536">
        <f>INDEX(tblIndicators!B$2:B$84,$B321)</f>
        <v>1</v>
      </c>
      <c r="G321" s="535" t="str">
        <f t="shared" si="69"/>
        <v>BG_1.4) Gender Inequality Index</v>
      </c>
    </row>
    <row r="322" spans="1:15" ht="20.25" customHeight="1">
      <c r="A322" s="561" t="str">
        <f t="shared" si="67"/>
        <v>BG.11_5</v>
      </c>
      <c r="B322" s="535">
        <f>IF(A322="","",MATCH(A322,tblIndicators!E$2:E$84,0))</f>
        <v>76</v>
      </c>
      <c r="C322" s="535" t="str">
        <f>REPT(" ",D322)&amp;IF($A322="","",INDEX(tblIndicators!AL$2:AL$84,$B322))</f>
        <v xml:space="preserve">   BG_1.5) Per capita income</v>
      </c>
      <c r="D322" s="535">
        <f>INDEX(tblIndicators!$G$2:$G$84,B322)</f>
        <v>3</v>
      </c>
      <c r="E322" s="535" t="str">
        <f>REPT(" ",D322)&amp;IF($A322="","",INDEX(tblIndicators!AM$2:AM$84,$B322))</f>
        <v xml:space="preserve">   BG_1.5) Per capita income</v>
      </c>
      <c r="F322" s="536">
        <f>INDEX(tblIndicators!B$2:B$84,$B322)</f>
        <v>1</v>
      </c>
      <c r="G322" s="535" t="str">
        <f t="shared" si="69"/>
        <v>BG_1.5) Per capita income</v>
      </c>
    </row>
    <row r="323" spans="1:15" ht="20.25" customHeight="1">
      <c r="A323" s="520"/>
    </row>
    <row r="324" spans="1:15" ht="20.25" customHeight="1">
      <c r="A324" s="562"/>
      <c r="B324" s="563"/>
      <c r="C324" s="563"/>
      <c r="D324" s="563"/>
      <c r="E324" s="563"/>
    </row>
    <row r="326" spans="1:15" ht="20.25" customHeight="1">
      <c r="A326" s="554"/>
    </row>
    <row r="328" spans="1:15" ht="20.25" customHeight="1">
      <c r="A328" s="554"/>
    </row>
    <row r="329" spans="1:15" ht="20.25" customHeight="1">
      <c r="A329" s="554"/>
      <c r="O329" s="563"/>
    </row>
    <row r="330" spans="1:15" ht="20.25" customHeight="1">
      <c r="A330" s="554"/>
    </row>
    <row r="331" spans="1:15" ht="20.25" customHeight="1">
      <c r="A331" s="554"/>
    </row>
    <row r="336" spans="1:15" ht="20.25" customHeight="1">
      <c r="B336" s="564"/>
    </row>
    <row r="337" spans="2:2" ht="20.25" customHeight="1">
      <c r="B337" s="564"/>
    </row>
    <row r="338" spans="2:2" ht="20.25" customHeight="1">
      <c r="B338" s="564"/>
    </row>
  </sheetData>
  <phoneticPr fontId="4" type="noConversion"/>
  <pageMargins left="0.55118110236220474" right="0.55118110236220474" top="0.59055118110236227" bottom="0.78740157480314965" header="0.51181102362204722" footer="0.51181102362204722"/>
  <pageSetup paperSize="9" scale="10" orientation="landscape" r:id="rId1"/>
  <headerFooter alignWithMargins="0">
    <oddHeader>&amp;RCity Water Optimization Index: 2020</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000"/>
    <pageSetUpPr fitToPage="1"/>
  </sheetPr>
  <dimension ref="A1:CI56"/>
  <sheetViews>
    <sheetView showRowColHeaders="0" zoomScaleNormal="100" workbookViewId="0">
      <pane xSplit="4" ySplit="2" topLeftCell="E3" activePane="bottomRight" state="frozen"/>
      <selection activeCell="X1" sqref="X1"/>
      <selection pane="topRight" activeCell="X1" sqref="X1"/>
      <selection pane="bottomLeft" activeCell="X1" sqref="X1"/>
      <selection pane="bottomRight" activeCell="I4" sqref="I4"/>
    </sheetView>
  </sheetViews>
  <sheetFormatPr defaultColWidth="9.1796875" defaultRowHeight="16" customHeight="1"/>
  <cols>
    <col min="1" max="4" width="9.1796875" style="3"/>
    <col min="5" max="7" width="6" style="3" customWidth="1"/>
    <col min="8" max="8" width="12" style="3" bestFit="1" customWidth="1"/>
    <col min="9" max="12" width="6" style="3" customWidth="1"/>
    <col min="13" max="13" width="11.1796875" style="3" customWidth="1"/>
    <col min="14" max="14" width="6" style="3" customWidth="1"/>
    <col min="15" max="15" width="10.453125" style="3" customWidth="1"/>
    <col min="16" max="16" width="6" style="3" customWidth="1"/>
    <col min="17" max="17" width="40.1796875" style="3" customWidth="1"/>
    <col min="18" max="18" width="13.54296875" style="3" bestFit="1" customWidth="1"/>
    <col min="19" max="20" width="6" style="3" customWidth="1"/>
    <col min="21" max="21" width="23.453125" style="3" customWidth="1"/>
    <col min="22" max="22" width="6" style="3" customWidth="1"/>
    <col min="23" max="47" width="9.1796875" style="3"/>
    <col min="48" max="48" width="2.7265625" style="3" customWidth="1"/>
    <col min="49" max="50" width="9.1796875" style="3"/>
    <col min="51" max="51" width="3.7265625" style="3" customWidth="1"/>
    <col min="52" max="53" width="9.1796875" style="3"/>
    <col min="54" max="54" width="3.26953125" style="3" customWidth="1"/>
    <col min="55" max="56" width="9.1796875" style="3"/>
    <col min="57" max="57" width="3.26953125" style="3" customWidth="1"/>
    <col min="58" max="84" width="9.1796875" style="3"/>
    <col min="85" max="85" width="12.453125" style="3" bestFit="1" customWidth="1"/>
    <col min="86" max="86" width="11.7265625" style="3" bestFit="1" customWidth="1"/>
    <col min="87" max="16384" width="9.1796875" style="3"/>
  </cols>
  <sheetData>
    <row r="1" spans="1:87" ht="16" customHeight="1" thickBot="1">
      <c r="A1" s="3" t="str">
        <f>uxb_works!A20</f>
        <v>Indicator Ranking</v>
      </c>
      <c r="C1" s="3" t="str">
        <f>uxb_works!C20</f>
        <v>Indi Name</v>
      </c>
      <c r="D1" s="3" t="str">
        <f>uxb_works!D20</f>
        <v>Indi Level</v>
      </c>
      <c r="E1" s="3" t="str">
        <f>uxb_works!E20</f>
        <v>Format</v>
      </c>
      <c r="F1" s="3" t="str">
        <f>uxb_works!F20</f>
        <v>Child</v>
      </c>
      <c r="G1" s="3" t="str">
        <f>uxb_works!G20</f>
        <v>Parent</v>
      </c>
      <c r="H1" s="3" t="str">
        <f>uxb_works!H20</f>
        <v>Ref</v>
      </c>
      <c r="I1" s="3" t="str">
        <f>uxb_works!I20</f>
        <v>Qual_Or_Quant</v>
      </c>
      <c r="J1" s="3" t="s">
        <v>253</v>
      </c>
      <c r="L1" s="3" t="s">
        <v>164</v>
      </c>
      <c r="M1" s="3" t="s">
        <v>229</v>
      </c>
      <c r="N1" s="3" t="s">
        <v>60</v>
      </c>
      <c r="O1" s="3" t="s">
        <v>117</v>
      </c>
      <c r="P1" s="3" t="str">
        <f>uxb_works!Q20</f>
        <v>NORM_ID (1=sumproduct, 2=min max set by data values, 3=min max set by user here)</v>
      </c>
      <c r="Q1" s="3" t="s">
        <v>166</v>
      </c>
      <c r="R1" s="3" t="s">
        <v>447</v>
      </c>
      <c r="T1" s="3" t="s">
        <v>241</v>
      </c>
      <c r="U1" s="3" t="s">
        <v>180</v>
      </c>
      <c r="V1" s="3" t="s">
        <v>181</v>
      </c>
      <c r="X1" s="3">
        <v>1</v>
      </c>
      <c r="Y1" s="3">
        <v>2</v>
      </c>
      <c r="Z1" s="3">
        <v>3</v>
      </c>
      <c r="AA1" s="3">
        <v>4</v>
      </c>
      <c r="AB1" s="3">
        <v>5</v>
      </c>
      <c r="AD1" s="3" t="s">
        <v>448</v>
      </c>
      <c r="AJ1" s="3" t="s">
        <v>1030</v>
      </c>
      <c r="AK1" s="3" cm="1">
        <f t="array" ref="AK1">INDEX(tblIndicators!AK2:AK71,B2)</f>
        <v>0</v>
      </c>
      <c r="AM1" s="3" t="s">
        <v>169</v>
      </c>
      <c r="AN1" s="3" t="s">
        <v>176</v>
      </c>
      <c r="AO1" s="3" t="s">
        <v>177</v>
      </c>
      <c r="AT1" s="3">
        <f>I2</f>
        <v>4</v>
      </c>
      <c r="AU1" s="3">
        <f>IF($AN$2=1,0,AM4+1)-AK1</f>
        <v>0</v>
      </c>
      <c r="AX1" s="3">
        <f>IF($AN$2=1,0,AN4+1)-AK1</f>
        <v>0</v>
      </c>
      <c r="BA1" s="3" t="e">
        <f>IF(OR(AN2=1,AO4="-"),0,AO4+1)-AK1</f>
        <v>#VALUE!</v>
      </c>
      <c r="BD1" s="3" t="e">
        <f>IF(OR(AN2=1,AP4="-"),0,AP4+1)-AK1</f>
        <v>#VALUE!</v>
      </c>
      <c r="BG1" s="3" t="e">
        <f>IF(OR(AN2=1,AQ4="-"),0,AQ4+1)-AK1</f>
        <v>#VALUE!</v>
      </c>
      <c r="CE1" s="3" t="s">
        <v>379</v>
      </c>
    </row>
    <row r="2" spans="1:87" s="114" customFormat="1" ht="16" customHeight="1" thickBot="1">
      <c r="A2" s="114" t="str">
        <f>uxb_works!A21</f>
        <v>INDI_ID</v>
      </c>
      <c r="B2" s="114">
        <f>uxb_works!B21</f>
        <v>41</v>
      </c>
      <c r="C2" s="114" t="str">
        <f>uxb_works!C21</f>
        <v xml:space="preserve">   3.1.3) Digital skills</v>
      </c>
      <c r="D2" s="114">
        <f>uxb_works!D21</f>
        <v>3</v>
      </c>
      <c r="E2" s="114" t="str">
        <f>uxb_works!E21</f>
        <v>#,##0.0</v>
      </c>
      <c r="F2" s="114" t="str" cm="1">
        <f t="array" ref="F2">IF(B2=1,"",INDEX(tblIndicators!$AL$2:$AL$155,B2))</f>
        <v>3.1.3) Digital skills</v>
      </c>
      <c r="G2" s="114" t="str">
        <f>uxb_works!G21</f>
        <v>3.1) Digital inclusion</v>
      </c>
      <c r="H2" s="114" t="str">
        <f>uxb_works!H21</f>
        <v>3_1_3</v>
      </c>
      <c r="I2" s="114">
        <f>uxb_works!I21</f>
        <v>4</v>
      </c>
      <c r="J2" s="114" t="str">
        <f>IF(INDEX(tblIndicators!AA2:AA155,$B$2)="","","Year: "&amp;INDEX(tblIndicators!AA2:AA155,$B$2))</f>
        <v>Year: 2021</v>
      </c>
      <c r="K2" s="114">
        <f>IF(D2=4,2,1)</f>
        <v>1</v>
      </c>
      <c r="L2" s="114" t="str">
        <f>IF(INDEX(tblIndicators!O2:O155,$B$2)="","",INDEX(tblIndicators!O2:O155,$B$2))</f>
        <v>Digital skills can be defined as the ability to find, evaluate, use, share, and create content using digital devices, such as computers and smartphones. The indicator is a self assessment of digital skills by city residents, as captured in the Economist Impact survey.</v>
      </c>
      <c r="M2" s="114" t="str">
        <f>IF(OR(INDEX(tblIndicators!P2:P155,$B$2)="",INDEX(tblIndicators!P2:P155,$B$2)="-"),"","Scoring Guidance: 
"&amp;INDEX(tblIndicators!P2:P155,$B$2))</f>
        <v>Scoring Guidance: 
The score is calculated as the weighted average of the following digital skills self-assessed by city residents, where basic skills are assigned the lowest weight, and the advanced skills the highest:
Basic : 
- Using basic functions like calls, messaging etc. on your device (mobile, laptop, ipads etc.)
- Browsing online content (eg. send emails, browse websites, save and share content)
Intermediate: 
- Managing your online profile on various social media platforms 
- Creating digital content like videos, presentations
Upper-intermediate: 
- Understanding terms of service (copyright, licensing, ethical code of conduct) when creating digital content 
- Taking precautions (like changing passwords regularly, downloading anti-virus softwares) to protect your devices and personal data from cyber threats
Advanced: 
 - Resolving some complex issues (like lost files, hard drive failures) you encounter while using your personal device by troubleshooting or using online help and support pages 
- Having advanced digital competences such as coding or software development skills</v>
      </c>
      <c r="N2" s="114" t="str">
        <f>IF(OR(INDEX(tblIndicators!Z2:Z155,$B$2)="",INDEX(tblIndicators!Z2:Z155,$B$2)="-"),"","Units: 
"&amp;INDEX(tblIndicators!Z2:Z155,$B$2))</f>
        <v>Units: 
Scale (0-100)</v>
      </c>
      <c r="O2" s="114" t="str">
        <f>IF(OR(INDEX(tblIndicators!S2:S155,$B$2)="",INDEX(tblIndicators!S2:S155,$B$2)="-"),"","Source: "&amp;INDEX(tblIndicators!S2:S155,$B$2))</f>
        <v>Source: Economist Impact survey</v>
      </c>
      <c r="P2" s="114">
        <f>uxb_works!Q21</f>
        <v>2</v>
      </c>
      <c r="Q2" s="471" t="str">
        <f>INDEX(X2:AA2,W2)</f>
        <v>Digital skills can be defined as the ability to find, evaluate, use, share, and create content using digital devices, such as computers and smartphones. The indicator is a self assessment of digital skills by city residents, as captured in the Economist Impact survey.
Scoring Guidance: 
The score is calculated as the weighted average of the following digital skills self-assessed by city residents, where basic skills are assigned the lowest weight, and the advanced skills the highest:
Basic : 
- Using basic functions like calls, messaging etc. on your device (mobile, laptop, ipads etc.)
- Browsing online content (eg. send emails, browse websites, save and share content)
Intermediate: 
- Managing your online profile on various social media platforms 
- Creating digital content like videos, presentations
Upper-intermediate: 
- Understanding terms of service (copyright, licensing, ethical code of conduct) when creating digital content 
- Taking precautions (like changing passwords regularly, downloading anti-virus softwares) to protect your devices and personal data from cyber threats
Advanced: 
 - Resolving some complex issues (like lost files, hard drive failures) you encounter while using your personal device by troubleshooting or using online help and support pages 
- Having advanced digital competences such as coding or software development skills
Units: 
Scale (0-100)
Source: Economist Impact survey
Year: 2021</v>
      </c>
      <c r="R2" s="114">
        <v>20</v>
      </c>
      <c r="T2" s="114">
        <f>INDEX(tblIndicators!U2:U155,B2)</f>
        <v>0</v>
      </c>
      <c r="U2" s="114" t="str">
        <f>IF(uxb_works!$B$6=1,"Select city by clicking on name to the right to read notes",IF(INDEX(aRef,$B$2,uxb_works!$B$6-1)="","",INDEX(aRef,$B$2,uxb_works!$B$6-1)))</f>
        <v>Select city by clicking on name to the right to read notes</v>
      </c>
      <c r="W2" s="114">
        <f>INDEX(tblIndicators!$W$2:$W$155,B2)</f>
        <v>2</v>
      </c>
      <c r="X2" s="114" t="str">
        <f>""&amp;L2&amp;"
"&amp;O2&amp;""</f>
        <v>Digital skills can be defined as the ability to find, evaluate, use, share, and create content using digital devices, such as computers and smartphones. The indicator is a self assessment of digital skills by city residents, as captured in the Economist Impact survey.
Source: Economist Impact survey</v>
      </c>
      <c r="Y2" s="114" t="str">
        <f>""&amp;L2&amp;"
"&amp;M2&amp;"
"&amp;N2&amp;"
"&amp;O2&amp;"
"&amp;J2&amp;""</f>
        <v>Digital skills can be defined as the ability to find, evaluate, use, share, and create content using digital devices, such as computers and smartphones. The indicator is a self assessment of digital skills by city residents, as captured in the Economist Impact survey.
Scoring Guidance: 
The score is calculated as the weighted average of the following digital skills self-assessed by city residents, where basic skills are assigned the lowest weight, and the advanced skills the highest:
Basic : 
- Using basic functions like calls, messaging etc. on your device (mobile, laptop, ipads etc.)
- Browsing online content (eg. send emails, browse websites, save and share content)
Intermediate: 
- Managing your online profile on various social media platforms 
- Creating digital content like videos, presentations
Upper-intermediate: 
- Understanding terms of service (copyright, licensing, ethical code of conduct) when creating digital content 
- Taking precautions (like changing passwords regularly, downloading anti-virus softwares) to protect your devices and personal data from cyber threats
Advanced: 
 - Resolving some complex issues (like lost files, hard drive failures) you encounter while using your personal device by troubleshooting or using online help and support pages 
- Having advanced digital competences such as coding or software development skills
Units: 
Scale (0-100)
Source: Economist Impact survey
Year: 2021</v>
      </c>
      <c r="Z2" s="114" t="str">
        <f>""&amp;L2&amp;"
"&amp;M2&amp;"
"&amp;N2&amp;"
"&amp;U2&amp;""</f>
        <v>Digital skills can be defined as the ability to find, evaluate, use, share, and create content using digital devices, such as computers and smartphones. The indicator is a self assessment of digital skills by city residents, as captured in the Economist Impact survey.
Scoring Guidance: 
The score is calculated as the weighted average of the following digital skills self-assessed by city residents, where basic skills are assigned the lowest weight, and the advanced skills the highest:
Basic : 
- Using basic functions like calls, messaging etc. on your device (mobile, laptop, ipads etc.)
- Browsing online content (eg. send emails, browse websites, save and share content)
Intermediate: 
- Managing your online profile on various social media platforms 
- Creating digital content like videos, presentations
Upper-intermediate: 
- Understanding terms of service (copyright, licensing, ethical code of conduct) when creating digital content 
- Taking precautions (like changing passwords regularly, downloading anti-virus softwares) to protect your devices and personal data from cyber threats
Advanced: 
 - Resolving some complex issues (like lost files, hard drive failures) you encounter while using your personal device by troubleshooting or using online help and support pages 
- Having advanced digital competences such as coding or software development skills
Units: 
Scale (0-100)
Select city by clicking on name to the right to read notes</v>
      </c>
      <c r="AA2" s="114" t="str">
        <f>""&amp;L2&amp;"
"&amp;N2&amp;"
"&amp;O2&amp;"
"&amp;J2&amp;""</f>
        <v>Digital skills can be defined as the ability to find, evaluate, use, share, and create content using digital devices, such as computers and smartphones. The indicator is a self assessment of digital skills by city residents, as captured in the Economist Impact survey.
Units: 
Scale (0-100)
Source: Economist Impact survey
Year: 2021</v>
      </c>
      <c r="AD2" s="114" t="str">
        <f>"Rational: 
"&amp;INDEX(tblIndicators!$N$2:$N$155,B2)</f>
        <v xml:space="preserve">Rational: 
</v>
      </c>
      <c r="AM2" s="114">
        <f>INDEX(tblIndicators!$W$2:$W$71,iIndiRank!B2)</f>
        <v>2</v>
      </c>
      <c r="AN2" s="114">
        <f>uxb_works!J21</f>
        <v>1</v>
      </c>
      <c r="AO2" s="114">
        <f>INDEX(tblIndicators!$AF$2:$AF$71,iIndiRank!B2)</f>
        <v>0</v>
      </c>
      <c r="AR2" s="114">
        <f>INDEX(tblIndicators!$R$2:$R$71,B2)</f>
        <v>0</v>
      </c>
      <c r="AS2" s="114">
        <f>IF(AR2=0,0,1)</f>
        <v>0</v>
      </c>
      <c r="CG2" s="114">
        <f>INDEX(tblIndicators!$U$2:$U$71,B2)</f>
        <v>0</v>
      </c>
    </row>
    <row r="3" spans="1:87" ht="16" customHeight="1" thickBot="1">
      <c r="A3" s="3" t="s">
        <v>127</v>
      </c>
      <c r="G3" s="829" cm="1">
        <f t="array" ref="G3">INDEX(tblIndicators!$B$2:$B$77,B2)</f>
        <v>0</v>
      </c>
      <c r="H3" s="306" t="str">
        <f>IF(F3=0,"",RANK(G3,G$6:G$35,0)+COUNTIF(G3:G$6,G3)-1)</f>
        <v/>
      </c>
      <c r="I3" s="3">
        <f>IF(G3=0,0,IF(J3=2,0,J3))</f>
        <v>0</v>
      </c>
      <c r="J3" s="3" cm="1">
        <f t="array" ref="J3">INDEX(tblIndicators!$AF$2:$AF$77,B2)</f>
        <v>0</v>
      </c>
      <c r="K3" s="3" t="s">
        <v>719</v>
      </c>
      <c r="Q3" s="3">
        <f>LEN(Q2)</f>
        <v>1439</v>
      </c>
      <c r="R3" s="114"/>
      <c r="AD3" s="3" t="s">
        <v>449</v>
      </c>
      <c r="AM3" s="94"/>
      <c r="AN3" s="94">
        <v>3</v>
      </c>
      <c r="AO3" s="94"/>
      <c r="AU3" s="3" t="str">
        <f>INDEX(tblIndicators!$AT$2:$AX$71,iIndiRank!$B$2,iIndiRank!AU4+1)</f>
        <v/>
      </c>
      <c r="AX3" s="3" t="str">
        <f>INDEX(tblIndicators!$AT$2:$AX$71,iIndiRank!$B$2,iIndiRank!AX4+1)</f>
        <v/>
      </c>
      <c r="BA3" s="3" t="str">
        <f>INDEX(tblIndicators!$AT$2:$AX$71,iIndiRank!$B$2,iIndiRank!BA4+1)</f>
        <v/>
      </c>
      <c r="BD3" s="3" t="str">
        <f>INDEX(tblIndicators!$AT$2:$AX$71,iIndiRank!$B$2,iIndiRank!BD4+1)</f>
        <v/>
      </c>
      <c r="BG3" s="3" t="str">
        <f>INDEX(tblIndicators!$AT$2:$AX$71,iIndiRank!$B$2,iIndiRank!BG4+1)</f>
        <v/>
      </c>
    </row>
    <row r="4" spans="1:87" ht="16" customHeight="1">
      <c r="A4" s="3" t="s">
        <v>3</v>
      </c>
      <c r="B4" s="3" t="b">
        <f>IF(P2=1,FALSE,TRUE)</f>
        <v>1</v>
      </c>
      <c r="D4" s="3" t="str">
        <f>uxb_works!A6</f>
        <v>CITY_HIGHLIGHT_DD</v>
      </c>
      <c r="E4" s="3">
        <f>uxb_works!B6</f>
        <v>1</v>
      </c>
      <c r="F4" s="3" t="str">
        <f ca="1">uxb_works!C6</f>
        <v>&lt;none&gt;</v>
      </c>
      <c r="I4" s="3" t="s">
        <v>44</v>
      </c>
      <c r="J4" s="3">
        <f>uxb_works!B8</f>
        <v>1</v>
      </c>
      <c r="P4" s="3">
        <f>LEN(Q2)-LEN(SUBSTITUTE(Q2,CHAR(10),""))+1</f>
        <v>23</v>
      </c>
      <c r="Q4" s="3" t="str">
        <f>IF(ISERROR(RIGHT(Q2,LEN(Q2)-800)),"-",RIGHT(Q2,LEN(Q2)-800))</f>
        <v>presentations
Upper-intermediate: 
- Understanding terms of service (copyright, licensing, ethical code of conduct) when creating digital content 
- Taking precautions (like changing passwords regularly, downloading anti-virus softwares) to protect your devices and personal data from cyber threats
Advanced: 
 - Resolving some complex issues (like lost files, hard drive failures) you encounter while using your personal device by troubleshooting or using online help and support pages 
- Having advanced digital competences such as coding or software development skills
Units: 
Scale (0-100)
Source: Economist Impact survey
Year: 2021</v>
      </c>
      <c r="U4" s="3">
        <f>LEN(U2)-LEN(SUBSTITUTE(U2,CHAR(10),""))+1</f>
        <v>1</v>
      </c>
      <c r="V4" s="3">
        <f>LEN(V2)-LEN(SUBSTITUTE(V2,CHAR(10),""))+1</f>
        <v>1</v>
      </c>
      <c r="AA4" s="3" t="s">
        <v>156</v>
      </c>
      <c r="AD4" s="3" t="s">
        <v>157</v>
      </c>
      <c r="AM4" s="12" t="e">
        <f>CHOOSE(AN2,"",ABS(1-AO2),2,3,4,6)+AK1</f>
        <v>#VALUE!</v>
      </c>
      <c r="AN4" s="12" t="e">
        <f>CHOOSE($AN$2,"",ABS(0-AO2),1,2,3,5,6)+AK1</f>
        <v>#VALUE!</v>
      </c>
      <c r="AO4" s="12" t="e">
        <f>CHOOSE($AN$2,"","-",0,1,2)+AK1</f>
        <v>#VALUE!</v>
      </c>
      <c r="AP4" s="12" t="e">
        <f>CHOOSE($AN$2,"","-","-",0,1,1)+AK1</f>
        <v>#VALUE!</v>
      </c>
      <c r="AQ4" s="12" t="e">
        <f>CHOOSE($AN$2,"","-","-","-",0,1)+AK1</f>
        <v>#VALUE!</v>
      </c>
      <c r="AR4" s="94"/>
      <c r="AS4" s="94"/>
      <c r="AU4" s="12">
        <v>0</v>
      </c>
      <c r="AV4" s="12"/>
      <c r="AX4" s="12">
        <v>1</v>
      </c>
      <c r="AY4" s="12"/>
      <c r="BA4" s="12">
        <v>2</v>
      </c>
      <c r="BB4" s="12"/>
      <c r="BD4" s="12">
        <v>3</v>
      </c>
      <c r="BE4" s="12"/>
      <c r="BG4" s="12">
        <v>4</v>
      </c>
    </row>
    <row r="5" spans="1:87" ht="16" customHeight="1" thickBot="1">
      <c r="A5" s="3">
        <f>uxb_works!A57</f>
        <v>0</v>
      </c>
      <c r="B5" s="93">
        <f>uxb_works!B57</f>
        <v>1.25</v>
      </c>
      <c r="D5" s="3" t="s">
        <v>29</v>
      </c>
      <c r="E5" s="3" t="s">
        <v>28</v>
      </c>
      <c r="F5" s="3" t="s">
        <v>30</v>
      </c>
      <c r="G5" s="3" t="s">
        <v>158</v>
      </c>
      <c r="H5" s="3" t="s">
        <v>32</v>
      </c>
      <c r="I5" s="3" t="s">
        <v>33</v>
      </c>
      <c r="J5" s="3" t="s">
        <v>39</v>
      </c>
      <c r="K5" s="3" t="s">
        <v>34</v>
      </c>
      <c r="R5" s="18" t="s">
        <v>31</v>
      </c>
      <c r="S5" s="18" t="str">
        <f>IF($B$4,"Data","")</f>
        <v>Data</v>
      </c>
      <c r="T5" s="3" t="s">
        <v>0</v>
      </c>
      <c r="V5" s="3" t="s">
        <v>2</v>
      </c>
      <c r="W5" s="3" t="s">
        <v>1</v>
      </c>
      <c r="Y5" s="3" t="s">
        <v>159</v>
      </c>
      <c r="AH5" s="3" t="s">
        <v>128</v>
      </c>
      <c r="AI5" s="3" t="s">
        <v>162</v>
      </c>
      <c r="AM5" s="12">
        <v>0</v>
      </c>
      <c r="AN5" s="12">
        <v>0</v>
      </c>
      <c r="AO5" s="12">
        <v>0</v>
      </c>
      <c r="AP5" s="12">
        <v>0</v>
      </c>
      <c r="AQ5" s="12">
        <v>0</v>
      </c>
      <c r="AR5" s="94"/>
      <c r="AS5" s="94"/>
      <c r="AU5" s="12">
        <v>0</v>
      </c>
      <c r="AV5" s="12"/>
      <c r="AX5" s="12">
        <v>0</v>
      </c>
      <c r="AY5" s="12"/>
      <c r="BA5" s="12">
        <v>0</v>
      </c>
      <c r="BB5" s="12"/>
      <c r="BD5" s="12">
        <v>0</v>
      </c>
      <c r="BE5" s="12"/>
      <c r="BG5" s="12">
        <v>0</v>
      </c>
      <c r="CF5" s="3">
        <v>0</v>
      </c>
      <c r="CG5" s="3">
        <v>25</v>
      </c>
      <c r="CH5" s="3">
        <v>0</v>
      </c>
    </row>
    <row r="6" spans="1:87" ht="16" customHeight="1" thickBot="1">
      <c r="A6" s="3">
        <f>tblTerritories!A3</f>
        <v>1</v>
      </c>
      <c r="B6" s="3">
        <f>tblTerritories!B3</f>
        <v>0</v>
      </c>
      <c r="C6" s="3" t="str">
        <f>tblTerritories!C3</f>
        <v>Amsterdam</v>
      </c>
      <c r="D6" s="3">
        <f>tblTerritories!D3</f>
        <v>1</v>
      </c>
      <c r="F6" s="3">
        <f>tblTerritories!H3</f>
        <v>1</v>
      </c>
      <c r="G6" s="3">
        <f t="shared" ref="G6:G35" si="0">IF(F6=0,"",IF($J$3=2,1000-A6,IF($G$3=0,INDEX(aScoresRounded,$B$2,$A6),INDEX(aData,$B$2,$A6))))</f>
        <v>12.8</v>
      </c>
      <c r="H6" s="294">
        <f>IF(F6=0,"",RANK(G6,G$6:G$35,$I$3)+COUNTIF(G6:G$6,G6)-1)</f>
        <v>27</v>
      </c>
      <c r="I6" s="3">
        <f t="shared" ref="I6:I35" si="1">IF(ISERROR(MATCH($A6,H$6:H$35,0)),"",MATCH($A6,H$6:H$35,0))</f>
        <v>19</v>
      </c>
      <c r="J6" s="3">
        <f>IF(I6="","",1)</f>
        <v>1</v>
      </c>
      <c r="K6" s="19">
        <f t="shared" ref="K6:K35" si="2">IF(I6="","",RANK(R6,R$6:R$35,0))</f>
        <v>1</v>
      </c>
      <c r="L6" s="19">
        <f t="shared" ref="L6:L35" si="3">IF(I6="",0,INDEX($F$6:$F$35,I6))</f>
        <v>1</v>
      </c>
      <c r="M6" s="19">
        <f t="shared" ref="M6:M35" si="4">IF(J6="","",COUNTIF(R$6:R$35,R6))</f>
        <v>1</v>
      </c>
      <c r="N6" s="19"/>
      <c r="O6" s="19"/>
      <c r="P6" s="18">
        <f t="shared" ref="P6" si="5">IF(J6="","",IF(M6&gt;1,CONCATENATE("=",K6),K6))</f>
        <v>1</v>
      </c>
      <c r="Q6" s="3" t="str">
        <f t="shared" ref="Q6:Q35" si="6">IF(I6="","",INDEX($C$6:$C$35,I6))</f>
        <v>New Delhi</v>
      </c>
      <c r="R6" s="20">
        <f t="shared" ref="R6:R35" si="7">IF(I6="","",IF($G$3=0,INDEX(aScoresRounded,$B$2,I6),INDEX(aScores,$B$2,I6)))</f>
        <v>100</v>
      </c>
      <c r="S6" s="92">
        <f>IF(I6="","",IF($B$4=FALSE,"",INDEX(aData,$B$2,I6)))</f>
        <v>82.4</v>
      </c>
      <c r="T6" s="18">
        <f t="shared" ref="T6" si="8">IF(L6=0,"",IF($C$2=1,"-",R6))</f>
        <v>100</v>
      </c>
      <c r="U6" s="20"/>
      <c r="V6" s="3">
        <f t="shared" ref="V6" si="9">IF(ISNUMBER(R6),R6,NA())</f>
        <v>100</v>
      </c>
      <c r="W6" s="3">
        <f>1</f>
        <v>1</v>
      </c>
      <c r="Y6" s="3">
        <v>0</v>
      </c>
      <c r="Z6" s="3">
        <f>IF(Y6=1,tblTerritories!G3,0)</f>
        <v>0</v>
      </c>
      <c r="AA6" s="3" t="e">
        <f t="shared" ref="AA6" si="10">IF(L6=2,V6,NA())</f>
        <v>#N/A</v>
      </c>
      <c r="AB6" s="3" t="e">
        <f t="shared" ref="AB6" si="11">IF(L6=2,1,NA())</f>
        <v>#N/A</v>
      </c>
      <c r="AD6" s="3" t="e">
        <f t="shared" ref="AD6" si="12">IF(L6=3,V6,NA())</f>
        <v>#N/A</v>
      </c>
      <c r="AE6" s="3" t="e">
        <f t="shared" ref="AE6" si="13">IF(L6=3,1,NA())</f>
        <v>#N/A</v>
      </c>
      <c r="AH6" s="3">
        <f>IF(R6="","",IF(R6&lt;=uxb_works!$B$122,0,IF(R6&lt;=uxb_works!$B$121,1,IF(R6&lt;=uxb_works!$B$120,2,3))))</f>
        <v>3</v>
      </c>
      <c r="AI6" s="3">
        <f t="shared" ref="AI6:AI35" si="14">IF($I6="","",INDEX(aData,$B$2,$I6))</f>
        <v>82.4</v>
      </c>
      <c r="AM6" s="367" t="e">
        <f t="shared" ref="AM6:AM35" ca="1" si="15">AM5+MATCH(AM$4,OFFSET($AI$6:$AI$35,AM5,0),0)</f>
        <v>#VALUE!</v>
      </c>
      <c r="AN6" s="367" t="e">
        <f t="shared" ref="AN6:AN35" ca="1" si="16">AN5+MATCH(AN$4,OFFSET($AI$6:$AI$35,AN5,0),0)</f>
        <v>#VALUE!</v>
      </c>
      <c r="AO6" s="367" t="e">
        <f t="shared" ref="AO6:AO35" ca="1" si="17">AO5+MATCH(AO$4,OFFSET($AI$6:$AI$35,AO5,0),0)</f>
        <v>#VALUE!</v>
      </c>
      <c r="AP6" s="367" t="e">
        <f t="shared" ref="AP6:AP35" ca="1" si="18">AP5+MATCH(AP$4,OFFSET($AI$6:$AI$35,AP5,0),0)</f>
        <v>#VALUE!</v>
      </c>
      <c r="AQ6" s="367" t="e">
        <f t="shared" ref="AQ6:AQ35" ca="1" si="19">AQ5+MATCH(AQ$4,OFFSET($AI$6:$AI$35,AQ5,0),0)</f>
        <v>#VALUE!</v>
      </c>
      <c r="AR6" s="367"/>
      <c r="AS6" s="367"/>
      <c r="AT6" s="3">
        <f ca="1">IF(ISNUMBER(AM6),INDEX($L$6:$L$35,AM6),0)</f>
        <v>0</v>
      </c>
      <c r="AU6" s="3" t="str">
        <f t="shared" ref="AU6:AU35" ca="1" si="20">IF(ISNUMBER(AM6),INDEX($Q$6:$Q$35,AM6),"")</f>
        <v/>
      </c>
      <c r="AW6" s="3">
        <f t="shared" ref="AW6:AW35" ca="1" si="21">IF(ISNUMBER(AN6),INDEX($L$6:$L$35,AN6),0)</f>
        <v>0</v>
      </c>
      <c r="AX6" s="3" t="str">
        <f t="shared" ref="AX6:AX35" ca="1" si="22">IF(ISNUMBER(AN6),INDEX($Q$6:$Q$35,AN6),"")</f>
        <v/>
      </c>
      <c r="AZ6" s="3">
        <f t="shared" ref="AZ6:AZ35" ca="1" si="23">IF(ISNUMBER(AO6),INDEX($L$6:$L$35,AO6),0)</f>
        <v>0</v>
      </c>
      <c r="BA6" s="3" t="str">
        <f t="shared" ref="BA6:BA35" ca="1" si="24">IF(ISNUMBER(AO6),INDEX($Q$6:$Q$35,AO6),"")</f>
        <v/>
      </c>
      <c r="BC6" s="3">
        <f t="shared" ref="BC6:BC35" ca="1" si="25">IF(ISNUMBER(AP6),INDEX($L$6:$L$35,AP6),0)</f>
        <v>0</v>
      </c>
      <c r="BD6" s="3" t="str">
        <f t="shared" ref="BD6:BD35" ca="1" si="26">IF(ISNUMBER(AP6),INDEX($Q$6:$Q$35,AP6),"")</f>
        <v/>
      </c>
      <c r="BF6" s="3">
        <f t="shared" ref="BF6:BF35" ca="1" si="27">IF(ISNUMBER(AQ6),INDEX($L$6:$L$35,AQ6),0)</f>
        <v>0</v>
      </c>
      <c r="BG6" s="3" t="str">
        <f t="shared" ref="BG6:BG35" ca="1" si="28">IF(ISNUMBER(AQ6),INDEX($Q$6:$Q$35,AQ6),"")</f>
        <v/>
      </c>
      <c r="CE6" s="377">
        <f t="shared" ref="CE6" si="29">IF(INDEX(aScores,$B$2,A6)=-100,"",INDEX(aScores,$B$2,A6))</f>
        <v>12.810707456978959</v>
      </c>
      <c r="CF6" s="3">
        <v>0.33300000000000002</v>
      </c>
      <c r="CG6" s="376">
        <v>25</v>
      </c>
      <c r="CH6" s="376">
        <f t="shared" ref="CH6:CH35" si="30">PERCENTILE($CE$6:$CE$35,CF6)</f>
        <v>22.605544933078384</v>
      </c>
      <c r="CI6" s="3">
        <v>100</v>
      </c>
    </row>
    <row r="7" spans="1:87" ht="16" customHeight="1" thickBot="1">
      <c r="A7" s="3">
        <f>tblTerritories!A4</f>
        <v>2</v>
      </c>
      <c r="B7" s="3">
        <f>tblTerritories!B4</f>
        <v>0</v>
      </c>
      <c r="C7" s="3" t="str">
        <f>tblTerritories!C4</f>
        <v>Auckland</v>
      </c>
      <c r="D7" s="3">
        <f>tblTerritories!D4</f>
        <v>1</v>
      </c>
      <c r="F7" s="3">
        <f>tblTerritories!H4</f>
        <v>1</v>
      </c>
      <c r="G7" s="3">
        <f t="shared" si="0"/>
        <v>23.3</v>
      </c>
      <c r="H7" s="294">
        <f>IF(F7=0,"",RANK(G7,G$6:G$35,$I$3)+COUNTIF(G$6:G7,G7)-1)</f>
        <v>20</v>
      </c>
      <c r="I7" s="3">
        <f t="shared" si="1"/>
        <v>10</v>
      </c>
      <c r="J7" s="3">
        <f t="shared" ref="J7" si="31">IF(I7="","",1)</f>
        <v>1</v>
      </c>
      <c r="K7" s="19">
        <f t="shared" si="2"/>
        <v>2</v>
      </c>
      <c r="L7" s="19">
        <f>IF(I7="",0,INDEX($F$6:$F$35,I7))</f>
        <v>1</v>
      </c>
      <c r="M7" s="19">
        <f t="shared" si="4"/>
        <v>1</v>
      </c>
      <c r="N7" s="19"/>
      <c r="O7" s="19"/>
      <c r="P7" s="18">
        <f>IF(J7="","",IF(M7&gt;1,CONCATENATE("=",K7),K7))</f>
        <v>2</v>
      </c>
      <c r="Q7" s="3" t="str">
        <f t="shared" si="6"/>
        <v>Dubai</v>
      </c>
      <c r="R7" s="20">
        <f t="shared" si="7"/>
        <v>81.8</v>
      </c>
      <c r="S7" s="92">
        <f t="shared" ref="S7" si="32">IF(I7="","",IF($B$4=FALSE,"",INDEX(aData,$B$2,I7)))</f>
        <v>72.900000000000006</v>
      </c>
      <c r="T7" s="18">
        <f t="shared" ref="T7" si="33">IF(L7=0,"",IF($C$2=1,"-",R7))</f>
        <v>81.8</v>
      </c>
      <c r="U7" s="20"/>
      <c r="V7" s="3">
        <f t="shared" ref="V7" si="34">IF(ISNUMBER(R7),R7,NA())</f>
        <v>81.8</v>
      </c>
      <c r="W7" s="3">
        <f>1</f>
        <v>1</v>
      </c>
      <c r="Y7" s="3">
        <v>0</v>
      </c>
      <c r="Z7" s="3">
        <f>IF(Y7=1,tblTerritories!G4,0)</f>
        <v>0</v>
      </c>
      <c r="AA7" s="3" t="e">
        <f t="shared" ref="AA7" si="35">IF(L7=2,V7,NA())</f>
        <v>#N/A</v>
      </c>
      <c r="AB7" s="3" t="e">
        <f t="shared" ref="AB7" si="36">IF(L7=2,1,NA())</f>
        <v>#N/A</v>
      </c>
      <c r="AD7" s="3" t="e">
        <f t="shared" ref="AD7" si="37">IF(L7=3,V7,NA())</f>
        <v>#N/A</v>
      </c>
      <c r="AE7" s="3" t="e">
        <f t="shared" ref="AE7" si="38">IF(L7=3,1,NA())</f>
        <v>#N/A</v>
      </c>
      <c r="AH7" s="3">
        <f>IF(R7="","",IF(R7&lt;=uxb_works!$B$122,0,IF(R7&lt;=uxb_works!$B$121,1,IF(R7&lt;=uxb_works!$B$120,2,3))))</f>
        <v>3</v>
      </c>
      <c r="AI7" s="3">
        <f t="shared" si="14"/>
        <v>72.900000000000006</v>
      </c>
      <c r="AM7" s="367" t="e">
        <f t="shared" ca="1" si="15"/>
        <v>#VALUE!</v>
      </c>
      <c r="AN7" s="367" t="e">
        <f t="shared" ca="1" si="16"/>
        <v>#VALUE!</v>
      </c>
      <c r="AO7" s="367" t="e">
        <f t="shared" ca="1" si="17"/>
        <v>#VALUE!</v>
      </c>
      <c r="AP7" s="367" t="e">
        <f t="shared" ca="1" si="18"/>
        <v>#VALUE!</v>
      </c>
      <c r="AQ7" s="367" t="e">
        <f t="shared" ca="1" si="19"/>
        <v>#VALUE!</v>
      </c>
      <c r="AR7" s="367"/>
      <c r="AS7" s="367"/>
      <c r="AT7" s="3">
        <f t="shared" ref="AT7:AT35" ca="1" si="39">IF(ISNUMBER(AM7),INDEX($L$6:$L$35,AM7),0)</f>
        <v>0</v>
      </c>
      <c r="AU7" s="3" t="str">
        <f t="shared" ca="1" si="20"/>
        <v/>
      </c>
      <c r="AW7" s="3">
        <f t="shared" ca="1" si="21"/>
        <v>0</v>
      </c>
      <c r="AX7" s="3" t="str">
        <f t="shared" ca="1" si="22"/>
        <v/>
      </c>
      <c r="AZ7" s="3">
        <f t="shared" ca="1" si="23"/>
        <v>0</v>
      </c>
      <c r="BA7" s="3" t="str">
        <f t="shared" ca="1" si="24"/>
        <v/>
      </c>
      <c r="BC7" s="3">
        <f t="shared" ca="1" si="25"/>
        <v>0</v>
      </c>
      <c r="BD7" s="3" t="str">
        <f t="shared" ca="1" si="26"/>
        <v/>
      </c>
      <c r="BF7" s="3">
        <f t="shared" ca="1" si="27"/>
        <v>0</v>
      </c>
      <c r="BG7" s="3" t="str">
        <f t="shared" ca="1" si="28"/>
        <v/>
      </c>
      <c r="CE7" s="377">
        <f t="shared" ref="CE7" si="40">IF(INDEX(aScores,$B$2,A7)=-100,"",INDEX(aScores,$B$2,A7))</f>
        <v>23.326959847036317</v>
      </c>
      <c r="CF7" s="3">
        <v>0.33300000000000002</v>
      </c>
      <c r="CG7" s="376">
        <v>25</v>
      </c>
      <c r="CH7" s="376">
        <f t="shared" si="30"/>
        <v>22.605544933078384</v>
      </c>
      <c r="CI7" s="3">
        <v>100</v>
      </c>
    </row>
    <row r="8" spans="1:87" ht="16" customHeight="1" thickBot="1">
      <c r="A8" s="3">
        <f>tblTerritories!A5</f>
        <v>3</v>
      </c>
      <c r="B8" s="3">
        <f>tblTerritories!B5</f>
        <v>0</v>
      </c>
      <c r="C8" s="3" t="str">
        <f>tblTerritories!C5</f>
        <v>Bangkok</v>
      </c>
      <c r="D8" s="3">
        <f>tblTerritories!D5</f>
        <v>1</v>
      </c>
      <c r="F8" s="3">
        <f>tblTerritories!H5</f>
        <v>1</v>
      </c>
      <c r="G8" s="3">
        <f t="shared" si="0"/>
        <v>62.3</v>
      </c>
      <c r="H8" s="294">
        <f>IF(F8=0,"",RANK(G8,G$6:G$35,$I$3)+COUNTIF(G$6:G8,G8)-1)</f>
        <v>7</v>
      </c>
      <c r="I8" s="3">
        <f t="shared" si="1"/>
        <v>13</v>
      </c>
      <c r="J8" s="3">
        <f t="shared" ref="J8:J35" si="41">IF(I8="","",1)</f>
        <v>1</v>
      </c>
      <c r="K8" s="19">
        <f t="shared" si="2"/>
        <v>3</v>
      </c>
      <c r="L8" s="19">
        <f>IF(I8="",0,INDEX($F$6:$F$35,I8))</f>
        <v>1</v>
      </c>
      <c r="M8" s="19">
        <f t="shared" si="4"/>
        <v>1</v>
      </c>
      <c r="N8" s="19"/>
      <c r="O8" s="19"/>
      <c r="P8" s="18">
        <f t="shared" ref="P8:P35" si="42">IF(J8="","",IF(M8&gt;1,CONCATENATE("=",K8),K8))</f>
        <v>3</v>
      </c>
      <c r="Q8" s="3" t="str">
        <f>IF(I8="","",INDEX($C$6:$C$35,I8))</f>
        <v>Jakarta</v>
      </c>
      <c r="R8" s="20">
        <f t="shared" si="7"/>
        <v>80.5</v>
      </c>
      <c r="S8" s="92">
        <f t="shared" ref="S8:S35" si="43">IF(I8="","",IF($B$4=FALSE,"",INDEX(aData,$B$2,I8)))</f>
        <v>72.2</v>
      </c>
      <c r="T8" s="18">
        <f t="shared" ref="T8:T35" si="44">IF(L8=0,"",IF($C$2=1,"-",R8))</f>
        <v>80.5</v>
      </c>
      <c r="U8" s="20"/>
      <c r="V8" s="3">
        <f t="shared" ref="V8:V35" si="45">IF(ISNUMBER(R8),R8,NA())</f>
        <v>80.5</v>
      </c>
      <c r="W8" s="3">
        <f>1</f>
        <v>1</v>
      </c>
      <c r="Y8" s="3">
        <v>0</v>
      </c>
      <c r="Z8" s="3">
        <f>IF(Y8=1,tblTerritories!G5,0)</f>
        <v>0</v>
      </c>
      <c r="AA8" s="3" t="e">
        <f t="shared" ref="AA8:AA35" si="46">IF(L8=2,V8,NA())</f>
        <v>#N/A</v>
      </c>
      <c r="AB8" s="3" t="e">
        <f t="shared" ref="AB8:AB35" si="47">IF(L8=2,1,NA())</f>
        <v>#N/A</v>
      </c>
      <c r="AD8" s="3" t="e">
        <f t="shared" ref="AD8:AD35" si="48">IF(L8=3,V8,NA())</f>
        <v>#N/A</v>
      </c>
      <c r="AE8" s="3" t="e">
        <f t="shared" ref="AE8:AE35" si="49">IF(L8=3,1,NA())</f>
        <v>#N/A</v>
      </c>
      <c r="AH8" s="3">
        <f>IF(R8="","",IF(R8&lt;=uxb_works!$B$122,0,IF(R8&lt;=uxb_works!$B$121,1,IF(R8&lt;=uxb_works!$B$120,2,3))))</f>
        <v>3</v>
      </c>
      <c r="AI8" s="3">
        <f t="shared" si="14"/>
        <v>72.2</v>
      </c>
      <c r="AM8" s="367" t="e">
        <f t="shared" ca="1" si="15"/>
        <v>#VALUE!</v>
      </c>
      <c r="AN8" s="367" t="e">
        <f t="shared" ca="1" si="16"/>
        <v>#VALUE!</v>
      </c>
      <c r="AO8" s="367" t="e">
        <f t="shared" ca="1" si="17"/>
        <v>#VALUE!</v>
      </c>
      <c r="AP8" s="367" t="e">
        <f t="shared" ca="1" si="18"/>
        <v>#VALUE!</v>
      </c>
      <c r="AQ8" s="367" t="e">
        <f t="shared" ca="1" si="19"/>
        <v>#VALUE!</v>
      </c>
      <c r="AR8" s="367"/>
      <c r="AS8" s="367"/>
      <c r="AT8" s="3">
        <f t="shared" ca="1" si="39"/>
        <v>0</v>
      </c>
      <c r="AU8" s="3" t="str">
        <f t="shared" ca="1" si="20"/>
        <v/>
      </c>
      <c r="AW8" s="3">
        <f t="shared" ca="1" si="21"/>
        <v>0</v>
      </c>
      <c r="AX8" s="3" t="str">
        <f t="shared" ca="1" si="22"/>
        <v/>
      </c>
      <c r="AZ8" s="3">
        <f ca="1">IF(ISNUMBER(AO8),INDEX($L$6:$L$35,AO8),0)</f>
        <v>0</v>
      </c>
      <c r="BA8" s="3" t="str">
        <f t="shared" ca="1" si="24"/>
        <v/>
      </c>
      <c r="BC8" s="3">
        <f t="shared" ca="1" si="25"/>
        <v>0</v>
      </c>
      <c r="BD8" s="3" t="str">
        <f t="shared" ca="1" si="26"/>
        <v/>
      </c>
      <c r="BF8" s="3">
        <f t="shared" ca="1" si="27"/>
        <v>0</v>
      </c>
      <c r="BG8" s="3" t="str">
        <f t="shared" ca="1" si="28"/>
        <v/>
      </c>
      <c r="CE8" s="377">
        <f t="shared" ref="CE8:CE35" si="50">IF(INDEX(aScores,$B$2,A8)=-100,"",INDEX(aScores,$B$2,A8))</f>
        <v>62.332695984703633</v>
      </c>
      <c r="CF8" s="3">
        <v>0.33300000000000002</v>
      </c>
      <c r="CG8" s="376">
        <v>25</v>
      </c>
      <c r="CH8" s="376">
        <f t="shared" si="30"/>
        <v>22.605544933078384</v>
      </c>
      <c r="CI8" s="3">
        <v>100</v>
      </c>
    </row>
    <row r="9" spans="1:87" ht="16" customHeight="1" thickBot="1">
      <c r="A9" s="3">
        <f>tblTerritories!A6</f>
        <v>4</v>
      </c>
      <c r="B9" s="3">
        <f>tblTerritories!B6</f>
        <v>0</v>
      </c>
      <c r="C9" s="3" t="str">
        <f>tblTerritories!C6</f>
        <v>Barcelona</v>
      </c>
      <c r="D9" s="3">
        <f>tblTerritories!D6</f>
        <v>1</v>
      </c>
      <c r="F9" s="3">
        <f>tblTerritories!H6</f>
        <v>1</v>
      </c>
      <c r="G9" s="3">
        <f t="shared" si="0"/>
        <v>36.299999999999997</v>
      </c>
      <c r="H9" s="294">
        <f>IF(F9=0,"",RANK(G9,G$6:G$35,$I$3)+COUNTIF(G$6:G9,G9)-1)</f>
        <v>14</v>
      </c>
      <c r="I9" s="3">
        <f t="shared" si="1"/>
        <v>5</v>
      </c>
      <c r="J9" s="3">
        <f t="shared" si="41"/>
        <v>1</v>
      </c>
      <c r="K9" s="19">
        <f t="shared" si="2"/>
        <v>4</v>
      </c>
      <c r="L9" s="19">
        <f t="shared" si="3"/>
        <v>1</v>
      </c>
      <c r="M9" s="19">
        <f t="shared" si="4"/>
        <v>2</v>
      </c>
      <c r="N9" s="19"/>
      <c r="O9" s="19"/>
      <c r="P9" s="18" t="str">
        <f t="shared" si="42"/>
        <v>=4</v>
      </c>
      <c r="Q9" s="3" t="str">
        <f t="shared" si="6"/>
        <v>Beijing</v>
      </c>
      <c r="R9" s="20">
        <f t="shared" si="7"/>
        <v>64.599999999999994</v>
      </c>
      <c r="S9" s="92">
        <f t="shared" si="43"/>
        <v>63.9</v>
      </c>
      <c r="T9" s="18">
        <f t="shared" si="44"/>
        <v>64.599999999999994</v>
      </c>
      <c r="U9" s="20"/>
      <c r="V9" s="3">
        <f t="shared" si="45"/>
        <v>64.599999999999994</v>
      </c>
      <c r="W9" s="3">
        <f>1</f>
        <v>1</v>
      </c>
      <c r="Y9" s="3">
        <v>0</v>
      </c>
      <c r="Z9" s="3">
        <f>IF(Y9=1,tblTerritories!G6,0)</f>
        <v>0</v>
      </c>
      <c r="AA9" s="3" t="e">
        <f t="shared" si="46"/>
        <v>#N/A</v>
      </c>
      <c r="AB9" s="3" t="e">
        <f t="shared" si="47"/>
        <v>#N/A</v>
      </c>
      <c r="AD9" s="3" t="e">
        <f t="shared" si="48"/>
        <v>#N/A</v>
      </c>
      <c r="AE9" s="3" t="e">
        <f t="shared" si="49"/>
        <v>#N/A</v>
      </c>
      <c r="AH9" s="3">
        <f>IF(R9="","",IF(R9&lt;=uxb_works!$B$122,0,IF(R9&lt;=uxb_works!$B$121,1,IF(R9&lt;=uxb_works!$B$120,2,3))))</f>
        <v>2</v>
      </c>
      <c r="AI9" s="3">
        <f t="shared" si="14"/>
        <v>63.9</v>
      </c>
      <c r="AM9" s="367" t="e">
        <f t="shared" ca="1" si="15"/>
        <v>#VALUE!</v>
      </c>
      <c r="AN9" s="367" t="e">
        <f t="shared" ca="1" si="16"/>
        <v>#VALUE!</v>
      </c>
      <c r="AO9" s="367" t="e">
        <f t="shared" ca="1" si="17"/>
        <v>#VALUE!</v>
      </c>
      <c r="AP9" s="367" t="e">
        <f t="shared" ca="1" si="18"/>
        <v>#VALUE!</v>
      </c>
      <c r="AQ9" s="367" t="e">
        <f t="shared" ca="1" si="19"/>
        <v>#VALUE!</v>
      </c>
      <c r="AR9" s="367"/>
      <c r="AS9" s="367"/>
      <c r="AT9" s="3">
        <f t="shared" ca="1" si="39"/>
        <v>0</v>
      </c>
      <c r="AU9" s="3" t="str">
        <f t="shared" ca="1" si="20"/>
        <v/>
      </c>
      <c r="AW9" s="3">
        <f t="shared" ca="1" si="21"/>
        <v>0</v>
      </c>
      <c r="AX9" s="3" t="str">
        <f t="shared" ca="1" si="22"/>
        <v/>
      </c>
      <c r="AZ9" s="3">
        <f t="shared" ca="1" si="23"/>
        <v>0</v>
      </c>
      <c r="BA9" s="3" t="str">
        <f t="shared" ca="1" si="24"/>
        <v/>
      </c>
      <c r="BC9" s="3">
        <f t="shared" ca="1" si="25"/>
        <v>0</v>
      </c>
      <c r="BD9" s="3" t="str">
        <f t="shared" ca="1" si="26"/>
        <v/>
      </c>
      <c r="BF9" s="3">
        <f t="shared" ca="1" si="27"/>
        <v>0</v>
      </c>
      <c r="BG9" s="3" t="str">
        <f t="shared" ca="1" si="28"/>
        <v/>
      </c>
      <c r="CE9" s="377">
        <f t="shared" si="50"/>
        <v>36.328871892925427</v>
      </c>
      <c r="CF9" s="3">
        <v>0.33300000000000002</v>
      </c>
      <c r="CG9" s="376">
        <v>25</v>
      </c>
      <c r="CH9" s="376">
        <f t="shared" si="30"/>
        <v>22.605544933078384</v>
      </c>
    </row>
    <row r="10" spans="1:87" ht="16" customHeight="1" thickBot="1">
      <c r="A10" s="3">
        <f>tblTerritories!A7</f>
        <v>5</v>
      </c>
      <c r="B10" s="3">
        <f>tblTerritories!B7</f>
        <v>0</v>
      </c>
      <c r="C10" s="3" t="str">
        <f>tblTerritories!C7</f>
        <v>Beijing</v>
      </c>
      <c r="D10" s="3">
        <f>tblTerritories!D7</f>
        <v>1</v>
      </c>
      <c r="F10" s="3">
        <f>tblTerritories!H7</f>
        <v>1</v>
      </c>
      <c r="G10" s="3">
        <f t="shared" si="0"/>
        <v>64.599999999999994</v>
      </c>
      <c r="H10" s="294">
        <f>IF(F10=0,"",RANK(G10,G$6:G$35,$I$3)+COUNTIF(G$6:G10,G10)-1)</f>
        <v>4</v>
      </c>
      <c r="I10" s="3">
        <f t="shared" si="1"/>
        <v>18</v>
      </c>
      <c r="J10" s="3">
        <f t="shared" si="41"/>
        <v>1</v>
      </c>
      <c r="K10" s="19">
        <f t="shared" si="2"/>
        <v>4</v>
      </c>
      <c r="L10" s="19">
        <f t="shared" si="3"/>
        <v>1</v>
      </c>
      <c r="M10" s="19">
        <f t="shared" si="4"/>
        <v>2</v>
      </c>
      <c r="N10" s="19"/>
      <c r="O10" s="19"/>
      <c r="P10" s="18" t="str">
        <f t="shared" si="42"/>
        <v>=4</v>
      </c>
      <c r="Q10" s="3" t="str">
        <f t="shared" si="6"/>
        <v>Mexico City</v>
      </c>
      <c r="R10" s="20">
        <f t="shared" si="7"/>
        <v>64.599999999999994</v>
      </c>
      <c r="S10" s="92">
        <f t="shared" si="43"/>
        <v>63.9</v>
      </c>
      <c r="T10" s="18">
        <f t="shared" si="44"/>
        <v>64.599999999999994</v>
      </c>
      <c r="U10" s="20"/>
      <c r="V10" s="3">
        <f t="shared" si="45"/>
        <v>64.599999999999994</v>
      </c>
      <c r="W10" s="3">
        <f>1</f>
        <v>1</v>
      </c>
      <c r="Y10" s="3">
        <v>0</v>
      </c>
      <c r="Z10" s="3">
        <f>IF(Y10=1,tblTerritories!G7,0)</f>
        <v>0</v>
      </c>
      <c r="AA10" s="3" t="e">
        <f t="shared" si="46"/>
        <v>#N/A</v>
      </c>
      <c r="AB10" s="3" t="e">
        <f t="shared" si="47"/>
        <v>#N/A</v>
      </c>
      <c r="AD10" s="3" t="e">
        <f t="shared" si="48"/>
        <v>#N/A</v>
      </c>
      <c r="AE10" s="3" t="e">
        <f t="shared" si="49"/>
        <v>#N/A</v>
      </c>
      <c r="AH10" s="3">
        <f>IF(R10="","",IF(R10&lt;=uxb_works!$B$122,0,IF(R10&lt;=uxb_works!$B$121,1,IF(R10&lt;=uxb_works!$B$120,2,3))))</f>
        <v>2</v>
      </c>
      <c r="AI10" s="3">
        <f t="shared" si="14"/>
        <v>63.9</v>
      </c>
      <c r="AM10" s="367" t="e">
        <f t="shared" ca="1" si="15"/>
        <v>#VALUE!</v>
      </c>
      <c r="AN10" s="367" t="e">
        <f t="shared" ca="1" si="16"/>
        <v>#VALUE!</v>
      </c>
      <c r="AO10" s="367" t="e">
        <f t="shared" ca="1" si="17"/>
        <v>#VALUE!</v>
      </c>
      <c r="AP10" s="367" t="e">
        <f t="shared" ca="1" si="18"/>
        <v>#VALUE!</v>
      </c>
      <c r="AQ10" s="367" t="e">
        <f t="shared" ca="1" si="19"/>
        <v>#VALUE!</v>
      </c>
      <c r="AR10" s="367"/>
      <c r="AS10" s="367"/>
      <c r="AT10" s="3">
        <f t="shared" ca="1" si="39"/>
        <v>0</v>
      </c>
      <c r="AU10" s="3" t="str">
        <f t="shared" ca="1" si="20"/>
        <v/>
      </c>
      <c r="AW10" s="3">
        <f t="shared" ca="1" si="21"/>
        <v>0</v>
      </c>
      <c r="AX10" s="3" t="str">
        <f t="shared" ca="1" si="22"/>
        <v/>
      </c>
      <c r="AZ10" s="3">
        <f t="shared" ca="1" si="23"/>
        <v>0</v>
      </c>
      <c r="BA10" s="3" t="str">
        <f t="shared" ca="1" si="24"/>
        <v/>
      </c>
      <c r="BC10" s="3">
        <f t="shared" ca="1" si="25"/>
        <v>0</v>
      </c>
      <c r="BD10" s="3" t="str">
        <f t="shared" ca="1" si="26"/>
        <v/>
      </c>
      <c r="BF10" s="3">
        <f t="shared" ca="1" si="27"/>
        <v>0</v>
      </c>
      <c r="BG10" s="3" t="str">
        <f t="shared" ca="1" si="28"/>
        <v/>
      </c>
      <c r="CE10" s="377">
        <f t="shared" si="50"/>
        <v>64.627151051625233</v>
      </c>
      <c r="CF10" s="3">
        <v>0.33300000000000002</v>
      </c>
      <c r="CG10" s="376">
        <v>25</v>
      </c>
      <c r="CH10" s="376">
        <f t="shared" si="30"/>
        <v>22.605544933078384</v>
      </c>
    </row>
    <row r="11" spans="1:87" ht="16" customHeight="1" thickBot="1">
      <c r="A11" s="3">
        <f>tblTerritories!A8</f>
        <v>6</v>
      </c>
      <c r="B11" s="3">
        <f>tblTerritories!B8</f>
        <v>0</v>
      </c>
      <c r="C11" s="3" t="str">
        <f>tblTerritories!C8</f>
        <v>Berlin</v>
      </c>
      <c r="D11" s="3">
        <f>tblTerritories!D8</f>
        <v>1</v>
      </c>
      <c r="F11" s="3">
        <f>tblTerritories!H8</f>
        <v>1</v>
      </c>
      <c r="G11" s="3">
        <f t="shared" si="0"/>
        <v>13.2</v>
      </c>
      <c r="H11" s="294">
        <f>IF(F11=0,"",RANK(G11,G$6:G$35,$I$3)+COUNTIF(G$6:G11,G11)-1)</f>
        <v>26</v>
      </c>
      <c r="I11" s="3">
        <f t="shared" si="1"/>
        <v>17</v>
      </c>
      <c r="J11" s="3">
        <f t="shared" si="41"/>
        <v>1</v>
      </c>
      <c r="K11" s="19">
        <f t="shared" si="2"/>
        <v>6</v>
      </c>
      <c r="L11" s="19">
        <f t="shared" si="3"/>
        <v>1</v>
      </c>
      <c r="M11" s="19">
        <f t="shared" si="4"/>
        <v>1</v>
      </c>
      <c r="N11" s="19"/>
      <c r="O11" s="19"/>
      <c r="P11" s="18">
        <f t="shared" si="42"/>
        <v>6</v>
      </c>
      <c r="Q11" s="3" t="str">
        <f t="shared" si="6"/>
        <v>Manila</v>
      </c>
      <c r="R11" s="20">
        <f t="shared" si="7"/>
        <v>62.5</v>
      </c>
      <c r="S11" s="92">
        <f t="shared" si="43"/>
        <v>62.8</v>
      </c>
      <c r="T11" s="18">
        <f t="shared" si="44"/>
        <v>62.5</v>
      </c>
      <c r="U11" s="20"/>
      <c r="V11" s="3">
        <f t="shared" si="45"/>
        <v>62.5</v>
      </c>
      <c r="W11" s="3">
        <f>1</f>
        <v>1</v>
      </c>
      <c r="Y11" s="3">
        <v>0</v>
      </c>
      <c r="Z11" s="3">
        <f>IF(Y11=1,tblTerritories!G8,0)</f>
        <v>0</v>
      </c>
      <c r="AA11" s="3" t="e">
        <f t="shared" si="46"/>
        <v>#N/A</v>
      </c>
      <c r="AB11" s="3" t="e">
        <f t="shared" si="47"/>
        <v>#N/A</v>
      </c>
      <c r="AD11" s="3" t="e">
        <f t="shared" si="48"/>
        <v>#N/A</v>
      </c>
      <c r="AE11" s="3" t="e">
        <f t="shared" si="49"/>
        <v>#N/A</v>
      </c>
      <c r="AH11" s="3">
        <f>IF(R11="","",IF(R11&lt;=uxb_works!$B$122,0,IF(R11&lt;=uxb_works!$B$121,1,IF(R11&lt;=uxb_works!$B$120,2,3))))</f>
        <v>2</v>
      </c>
      <c r="AI11" s="3">
        <f t="shared" si="14"/>
        <v>62.8</v>
      </c>
      <c r="AM11" s="367" t="e">
        <f t="shared" ca="1" si="15"/>
        <v>#VALUE!</v>
      </c>
      <c r="AN11" s="367" t="e">
        <f t="shared" ca="1" si="16"/>
        <v>#VALUE!</v>
      </c>
      <c r="AO11" s="367" t="e">
        <f t="shared" ca="1" si="17"/>
        <v>#VALUE!</v>
      </c>
      <c r="AP11" s="367" t="e">
        <f t="shared" ca="1" si="18"/>
        <v>#VALUE!</v>
      </c>
      <c r="AQ11" s="367" t="e">
        <f t="shared" ca="1" si="19"/>
        <v>#VALUE!</v>
      </c>
      <c r="AR11" s="367"/>
      <c r="AS11" s="367"/>
      <c r="AT11" s="3">
        <f t="shared" ca="1" si="39"/>
        <v>0</v>
      </c>
      <c r="AU11" s="3" t="str">
        <f t="shared" ca="1" si="20"/>
        <v/>
      </c>
      <c r="AW11" s="3">
        <f t="shared" ca="1" si="21"/>
        <v>0</v>
      </c>
      <c r="AX11" s="3" t="str">
        <f t="shared" ca="1" si="22"/>
        <v/>
      </c>
      <c r="AZ11" s="3">
        <f t="shared" ca="1" si="23"/>
        <v>0</v>
      </c>
      <c r="BA11" s="3" t="str">
        <f t="shared" ca="1" si="24"/>
        <v/>
      </c>
      <c r="BC11" s="3">
        <f t="shared" ca="1" si="25"/>
        <v>0</v>
      </c>
      <c r="BD11" s="3" t="str">
        <f t="shared" ca="1" si="26"/>
        <v/>
      </c>
      <c r="BF11" s="3">
        <f t="shared" ca="1" si="27"/>
        <v>0</v>
      </c>
      <c r="BG11" s="3" t="str">
        <f t="shared" ca="1" si="28"/>
        <v/>
      </c>
      <c r="CE11" s="377">
        <f t="shared" si="50"/>
        <v>13.193116634799232</v>
      </c>
      <c r="CF11" s="3">
        <v>0.33300000000000002</v>
      </c>
      <c r="CG11" s="376">
        <v>25</v>
      </c>
      <c r="CH11" s="376">
        <f t="shared" si="30"/>
        <v>22.605544933078384</v>
      </c>
    </row>
    <row r="12" spans="1:87" ht="16" customHeight="1" thickBot="1">
      <c r="A12" s="3">
        <f>tblTerritories!A9</f>
        <v>7</v>
      </c>
      <c r="B12" s="3">
        <f>tblTerritories!B9</f>
        <v>0</v>
      </c>
      <c r="C12" s="3" t="str">
        <f>tblTerritories!C9</f>
        <v>Buenos Aires</v>
      </c>
      <c r="D12" s="3">
        <f>tblTerritories!D9</f>
        <v>1</v>
      </c>
      <c r="F12" s="3">
        <f>tblTerritories!H9</f>
        <v>1</v>
      </c>
      <c r="G12" s="3">
        <f t="shared" si="0"/>
        <v>51.2</v>
      </c>
      <c r="H12" s="294">
        <f>IF(F12=0,"",RANK(G12,G$6:G$35,$I$3)+COUNTIF(G$6:G12,G12)-1)</f>
        <v>10</v>
      </c>
      <c r="I12" s="3">
        <f t="shared" si="1"/>
        <v>3</v>
      </c>
      <c r="J12" s="3">
        <f t="shared" si="41"/>
        <v>1</v>
      </c>
      <c r="K12" s="19">
        <f t="shared" si="2"/>
        <v>7</v>
      </c>
      <c r="L12" s="19">
        <f t="shared" si="3"/>
        <v>1</v>
      </c>
      <c r="M12" s="19">
        <f t="shared" si="4"/>
        <v>1</v>
      </c>
      <c r="N12" s="19"/>
      <c r="O12" s="19"/>
      <c r="P12" s="18">
        <f t="shared" si="42"/>
        <v>7</v>
      </c>
      <c r="Q12" s="3" t="str">
        <f t="shared" si="6"/>
        <v>Bangkok</v>
      </c>
      <c r="R12" s="20">
        <f t="shared" si="7"/>
        <v>62.3</v>
      </c>
      <c r="S12" s="92">
        <f t="shared" si="43"/>
        <v>62.7</v>
      </c>
      <c r="T12" s="18">
        <f t="shared" si="44"/>
        <v>62.3</v>
      </c>
      <c r="U12" s="20"/>
      <c r="V12" s="3">
        <f t="shared" si="45"/>
        <v>62.3</v>
      </c>
      <c r="W12" s="3">
        <f>1</f>
        <v>1</v>
      </c>
      <c r="Y12" s="3">
        <v>0</v>
      </c>
      <c r="Z12" s="3">
        <f>IF(Y12=1,tblTerritories!G9,0)</f>
        <v>0</v>
      </c>
      <c r="AA12" s="3" t="e">
        <f t="shared" si="46"/>
        <v>#N/A</v>
      </c>
      <c r="AB12" s="3" t="e">
        <f t="shared" si="47"/>
        <v>#N/A</v>
      </c>
      <c r="AD12" s="3" t="e">
        <f t="shared" si="48"/>
        <v>#N/A</v>
      </c>
      <c r="AE12" s="3" t="e">
        <f t="shared" si="49"/>
        <v>#N/A</v>
      </c>
      <c r="AH12" s="3">
        <f>IF(R12="","",IF(R12&lt;=uxb_works!$B$122,0,IF(R12&lt;=uxb_works!$B$121,1,IF(R12&lt;=uxb_works!$B$120,2,3))))</f>
        <v>2</v>
      </c>
      <c r="AI12" s="3">
        <f t="shared" si="14"/>
        <v>62.7</v>
      </c>
      <c r="AM12" s="367" t="e">
        <f t="shared" ca="1" si="15"/>
        <v>#VALUE!</v>
      </c>
      <c r="AN12" s="367" t="e">
        <f t="shared" ca="1" si="16"/>
        <v>#VALUE!</v>
      </c>
      <c r="AO12" s="367" t="e">
        <f t="shared" ca="1" si="17"/>
        <v>#VALUE!</v>
      </c>
      <c r="AP12" s="367" t="e">
        <f t="shared" ca="1" si="18"/>
        <v>#VALUE!</v>
      </c>
      <c r="AQ12" s="367" t="e">
        <f t="shared" ca="1" si="19"/>
        <v>#VALUE!</v>
      </c>
      <c r="AR12" s="367"/>
      <c r="AS12" s="367"/>
      <c r="AT12" s="3">
        <f t="shared" ca="1" si="39"/>
        <v>0</v>
      </c>
      <c r="AU12" s="3" t="str">
        <f t="shared" ca="1" si="20"/>
        <v/>
      </c>
      <c r="AW12" s="3">
        <f t="shared" ca="1" si="21"/>
        <v>0</v>
      </c>
      <c r="AX12" s="3" t="str">
        <f t="shared" ca="1" si="22"/>
        <v/>
      </c>
      <c r="AZ12" s="3">
        <f t="shared" ca="1" si="23"/>
        <v>0</v>
      </c>
      <c r="BA12" s="3" t="str">
        <f t="shared" ca="1" si="24"/>
        <v/>
      </c>
      <c r="BC12" s="3">
        <f t="shared" ca="1" si="25"/>
        <v>0</v>
      </c>
      <c r="BD12" s="3" t="str">
        <f t="shared" ca="1" si="26"/>
        <v/>
      </c>
      <c r="BF12" s="3">
        <f t="shared" ca="1" si="27"/>
        <v>0</v>
      </c>
      <c r="BG12" s="3" t="str">
        <f t="shared" ca="1" si="28"/>
        <v/>
      </c>
      <c r="CE12" s="377">
        <f t="shared" si="50"/>
        <v>51.242829827915855</v>
      </c>
      <c r="CF12" s="3">
        <v>0.33300000000000002</v>
      </c>
      <c r="CG12" s="376">
        <v>25</v>
      </c>
      <c r="CH12" s="376">
        <f t="shared" si="30"/>
        <v>22.605544933078384</v>
      </c>
    </row>
    <row r="13" spans="1:87" ht="16" customHeight="1" thickBot="1">
      <c r="A13" s="3">
        <f>tblTerritories!A10</f>
        <v>8</v>
      </c>
      <c r="B13" s="3">
        <f>tblTerritories!B10</f>
        <v>0</v>
      </c>
      <c r="C13" s="3" t="str">
        <f>tblTerritories!C10</f>
        <v>Copenhagen</v>
      </c>
      <c r="D13" s="3">
        <f>tblTerritories!D10</f>
        <v>1</v>
      </c>
      <c r="F13" s="3">
        <f>tblTerritories!H10</f>
        <v>1</v>
      </c>
      <c r="G13" s="3">
        <f t="shared" si="0"/>
        <v>33.1</v>
      </c>
      <c r="H13" s="294">
        <f>IF(F13=0,"",RANK(G13,G$6:G$35,$I$3)+COUNTIF(G$6:G13,G13)-1)</f>
        <v>16</v>
      </c>
      <c r="I13" s="3">
        <f t="shared" si="1"/>
        <v>9</v>
      </c>
      <c r="J13" s="3">
        <f t="shared" si="41"/>
        <v>1</v>
      </c>
      <c r="K13" s="19">
        <f t="shared" si="2"/>
        <v>8</v>
      </c>
      <c r="L13" s="19">
        <f t="shared" si="3"/>
        <v>1</v>
      </c>
      <c r="M13" s="19">
        <f t="shared" si="4"/>
        <v>2</v>
      </c>
      <c r="N13" s="19"/>
      <c r="O13" s="19"/>
      <c r="P13" s="18" t="str">
        <f t="shared" si="42"/>
        <v>=8</v>
      </c>
      <c r="Q13" s="3" t="str">
        <f t="shared" si="6"/>
        <v>Dallas</v>
      </c>
      <c r="R13" s="20">
        <f t="shared" si="7"/>
        <v>52.8</v>
      </c>
      <c r="S13" s="92">
        <f t="shared" si="43"/>
        <v>57.7</v>
      </c>
      <c r="T13" s="18">
        <f t="shared" si="44"/>
        <v>52.8</v>
      </c>
      <c r="U13" s="20"/>
      <c r="V13" s="3">
        <f t="shared" si="45"/>
        <v>52.8</v>
      </c>
      <c r="W13" s="3">
        <f>1</f>
        <v>1</v>
      </c>
      <c r="Y13" s="3">
        <v>0</v>
      </c>
      <c r="Z13" s="3">
        <f>IF(Y13=1,tblTerritories!G10,0)</f>
        <v>0</v>
      </c>
      <c r="AA13" s="3" t="e">
        <f t="shared" si="46"/>
        <v>#N/A</v>
      </c>
      <c r="AB13" s="3" t="e">
        <f t="shared" si="47"/>
        <v>#N/A</v>
      </c>
      <c r="AD13" s="3" t="e">
        <f t="shared" si="48"/>
        <v>#N/A</v>
      </c>
      <c r="AE13" s="3" t="e">
        <f t="shared" si="49"/>
        <v>#N/A</v>
      </c>
      <c r="AH13" s="3">
        <f>IF(R13="","",IF(R13&lt;=uxb_works!$B$122,0,IF(R13&lt;=uxb_works!$B$121,1,IF(R13&lt;=uxb_works!$B$120,2,3))))</f>
        <v>2</v>
      </c>
      <c r="AI13" s="3">
        <f t="shared" si="14"/>
        <v>57.7</v>
      </c>
      <c r="AM13" s="367" t="e">
        <f t="shared" ca="1" si="15"/>
        <v>#VALUE!</v>
      </c>
      <c r="AN13" s="367" t="e">
        <f t="shared" ca="1" si="16"/>
        <v>#VALUE!</v>
      </c>
      <c r="AO13" s="367" t="e">
        <f t="shared" ca="1" si="17"/>
        <v>#VALUE!</v>
      </c>
      <c r="AP13" s="367" t="e">
        <f t="shared" ca="1" si="18"/>
        <v>#VALUE!</v>
      </c>
      <c r="AQ13" s="367" t="e">
        <f t="shared" ca="1" si="19"/>
        <v>#VALUE!</v>
      </c>
      <c r="AR13" s="367"/>
      <c r="AS13" s="367"/>
      <c r="AT13" s="3">
        <f t="shared" ca="1" si="39"/>
        <v>0</v>
      </c>
      <c r="AU13" s="3" t="str">
        <f t="shared" ca="1" si="20"/>
        <v/>
      </c>
      <c r="AW13" s="3">
        <f t="shared" ca="1" si="21"/>
        <v>0</v>
      </c>
      <c r="AX13" s="3" t="str">
        <f t="shared" ca="1" si="22"/>
        <v/>
      </c>
      <c r="AZ13" s="3">
        <f t="shared" ca="1" si="23"/>
        <v>0</v>
      </c>
      <c r="BA13" s="3" t="str">
        <f t="shared" ca="1" si="24"/>
        <v/>
      </c>
      <c r="BC13" s="3">
        <f t="shared" ca="1" si="25"/>
        <v>0</v>
      </c>
      <c r="BD13" s="3" t="str">
        <f t="shared" ca="1" si="26"/>
        <v/>
      </c>
      <c r="BF13" s="3">
        <f t="shared" ca="1" si="27"/>
        <v>0</v>
      </c>
      <c r="BG13" s="3" t="str">
        <f t="shared" ca="1" si="28"/>
        <v/>
      </c>
      <c r="CE13" s="377">
        <f t="shared" si="50"/>
        <v>33.078393881453145</v>
      </c>
      <c r="CF13" s="3">
        <v>0.33300000000000002</v>
      </c>
      <c r="CG13" s="376">
        <v>25</v>
      </c>
      <c r="CH13" s="376">
        <f t="shared" si="30"/>
        <v>22.605544933078384</v>
      </c>
    </row>
    <row r="14" spans="1:87" ht="16" customHeight="1" thickBot="1">
      <c r="A14" s="3">
        <f>tblTerritories!A11</f>
        <v>9</v>
      </c>
      <c r="B14" s="3">
        <f>tblTerritories!B11</f>
        <v>0</v>
      </c>
      <c r="C14" s="3" t="str">
        <f>tblTerritories!C11</f>
        <v>Dallas</v>
      </c>
      <c r="D14" s="3">
        <f>tblTerritories!D11</f>
        <v>1</v>
      </c>
      <c r="F14" s="3">
        <f>tblTerritories!H11</f>
        <v>1</v>
      </c>
      <c r="G14" s="3">
        <f t="shared" si="0"/>
        <v>52.8</v>
      </c>
      <c r="H14" s="294">
        <f>IF(F14=0,"",RANK(G14,G$6:G$35,$I$3)+COUNTIF(G$6:G14,G14)-1)</f>
        <v>8</v>
      </c>
      <c r="I14" s="3">
        <f t="shared" si="1"/>
        <v>23</v>
      </c>
      <c r="J14" s="3">
        <f t="shared" si="41"/>
        <v>1</v>
      </c>
      <c r="K14" s="19">
        <f t="shared" si="2"/>
        <v>8</v>
      </c>
      <c r="L14" s="19">
        <f t="shared" si="3"/>
        <v>1</v>
      </c>
      <c r="M14" s="19">
        <f t="shared" si="4"/>
        <v>2</v>
      </c>
      <c r="N14" s="19"/>
      <c r="O14" s="19"/>
      <c r="P14" s="18" t="str">
        <f t="shared" si="42"/>
        <v>=8</v>
      </c>
      <c r="Q14" s="3" t="str">
        <f t="shared" si="6"/>
        <v>Sao Paulo</v>
      </c>
      <c r="R14" s="20">
        <f t="shared" si="7"/>
        <v>52.8</v>
      </c>
      <c r="S14" s="92">
        <f t="shared" si="43"/>
        <v>57.7</v>
      </c>
      <c r="T14" s="18">
        <f t="shared" si="44"/>
        <v>52.8</v>
      </c>
      <c r="U14" s="20"/>
      <c r="V14" s="3">
        <f t="shared" si="45"/>
        <v>52.8</v>
      </c>
      <c r="W14" s="3">
        <f>1</f>
        <v>1</v>
      </c>
      <c r="Y14" s="3">
        <v>0</v>
      </c>
      <c r="Z14" s="3">
        <f>IF(Y14=1,tblTerritories!G11,0)</f>
        <v>0</v>
      </c>
      <c r="AA14" s="3" t="e">
        <f t="shared" si="46"/>
        <v>#N/A</v>
      </c>
      <c r="AB14" s="3" t="e">
        <f t="shared" si="47"/>
        <v>#N/A</v>
      </c>
      <c r="AD14" s="3" t="e">
        <f t="shared" si="48"/>
        <v>#N/A</v>
      </c>
      <c r="AE14" s="3" t="e">
        <f t="shared" si="49"/>
        <v>#N/A</v>
      </c>
      <c r="AH14" s="3">
        <f>IF(R14="","",IF(R14&lt;=uxb_works!$B$122,0,IF(R14&lt;=uxb_works!$B$121,1,IF(R14&lt;=uxb_works!$B$120,2,3))))</f>
        <v>2</v>
      </c>
      <c r="AI14" s="3">
        <f t="shared" si="14"/>
        <v>57.7</v>
      </c>
      <c r="AM14" s="367" t="e">
        <f t="shared" ca="1" si="15"/>
        <v>#VALUE!</v>
      </c>
      <c r="AN14" s="367" t="e">
        <f t="shared" ca="1" si="16"/>
        <v>#VALUE!</v>
      </c>
      <c r="AO14" s="367" t="e">
        <f t="shared" ca="1" si="17"/>
        <v>#VALUE!</v>
      </c>
      <c r="AP14" s="367" t="e">
        <f t="shared" ca="1" si="18"/>
        <v>#VALUE!</v>
      </c>
      <c r="AQ14" s="367" t="e">
        <f t="shared" ca="1" si="19"/>
        <v>#VALUE!</v>
      </c>
      <c r="AR14" s="367"/>
      <c r="AS14" s="367"/>
      <c r="AT14" s="3">
        <f t="shared" ca="1" si="39"/>
        <v>0</v>
      </c>
      <c r="AU14" s="3" t="str">
        <f t="shared" ca="1" si="20"/>
        <v/>
      </c>
      <c r="AW14" s="3">
        <f t="shared" ca="1" si="21"/>
        <v>0</v>
      </c>
      <c r="AX14" s="3" t="str">
        <f t="shared" ca="1" si="22"/>
        <v/>
      </c>
      <c r="AZ14" s="3">
        <f t="shared" ca="1" si="23"/>
        <v>0</v>
      </c>
      <c r="BA14" s="3" t="str">
        <f t="shared" ca="1" si="24"/>
        <v/>
      </c>
      <c r="BC14" s="3">
        <f t="shared" ca="1" si="25"/>
        <v>0</v>
      </c>
      <c r="BD14" s="3" t="str">
        <f t="shared" ca="1" si="26"/>
        <v/>
      </c>
      <c r="BF14" s="3">
        <f t="shared" ca="1" si="27"/>
        <v>0</v>
      </c>
      <c r="BG14" s="3" t="str">
        <f t="shared" ca="1" si="28"/>
        <v/>
      </c>
      <c r="CE14" s="377">
        <f t="shared" si="50"/>
        <v>52.772466539196941</v>
      </c>
      <c r="CF14" s="3">
        <v>0.33300000000000002</v>
      </c>
      <c r="CG14" s="376">
        <v>25</v>
      </c>
      <c r="CH14" s="376">
        <f t="shared" si="30"/>
        <v>22.605544933078384</v>
      </c>
    </row>
    <row r="15" spans="1:87" ht="16" customHeight="1" thickBot="1">
      <c r="A15" s="3">
        <f>tblTerritories!A12</f>
        <v>10</v>
      </c>
      <c r="B15" s="3">
        <f>tblTerritories!B12</f>
        <v>0</v>
      </c>
      <c r="C15" s="3" t="str">
        <f>tblTerritories!C12</f>
        <v>Dubai</v>
      </c>
      <c r="D15" s="3">
        <f>tblTerritories!D12</f>
        <v>1</v>
      </c>
      <c r="F15" s="3">
        <f>tblTerritories!H12</f>
        <v>1</v>
      </c>
      <c r="G15" s="3">
        <f t="shared" si="0"/>
        <v>81.8</v>
      </c>
      <c r="H15" s="294">
        <f>IF(F15=0,"",RANK(G15,G$6:G$35,$I$3)+COUNTIF(G$6:G15,G15)-1)</f>
        <v>2</v>
      </c>
      <c r="I15" s="3">
        <f t="shared" si="1"/>
        <v>7</v>
      </c>
      <c r="J15" s="3">
        <f t="shared" si="41"/>
        <v>1</v>
      </c>
      <c r="K15" s="19">
        <f t="shared" si="2"/>
        <v>10</v>
      </c>
      <c r="L15" s="19">
        <f t="shared" si="3"/>
        <v>1</v>
      </c>
      <c r="M15" s="19">
        <f t="shared" si="4"/>
        <v>1</v>
      </c>
      <c r="N15" s="19"/>
      <c r="O15" s="19"/>
      <c r="P15" s="18">
        <f t="shared" si="42"/>
        <v>10</v>
      </c>
      <c r="Q15" s="3" t="str">
        <f t="shared" si="6"/>
        <v>Buenos Aires</v>
      </c>
      <c r="R15" s="20">
        <f t="shared" si="7"/>
        <v>51.2</v>
      </c>
      <c r="S15" s="92">
        <f t="shared" si="43"/>
        <v>56.9</v>
      </c>
      <c r="T15" s="18">
        <f t="shared" si="44"/>
        <v>51.2</v>
      </c>
      <c r="U15" s="20"/>
      <c r="V15" s="3">
        <f t="shared" si="45"/>
        <v>51.2</v>
      </c>
      <c r="W15" s="3">
        <f>1</f>
        <v>1</v>
      </c>
      <c r="Y15" s="3">
        <v>0</v>
      </c>
      <c r="Z15" s="3">
        <f>IF(Y15=1,tblTerritories!G12,0)</f>
        <v>0</v>
      </c>
      <c r="AA15" s="3" t="e">
        <f t="shared" si="46"/>
        <v>#N/A</v>
      </c>
      <c r="AB15" s="3" t="e">
        <f t="shared" si="47"/>
        <v>#N/A</v>
      </c>
      <c r="AD15" s="3" t="e">
        <f t="shared" si="48"/>
        <v>#N/A</v>
      </c>
      <c r="AE15" s="3" t="e">
        <f t="shared" si="49"/>
        <v>#N/A</v>
      </c>
      <c r="AH15" s="3">
        <f>IF(R15="","",IF(R15&lt;=uxb_works!$B$122,0,IF(R15&lt;=uxb_works!$B$121,1,IF(R15&lt;=uxb_works!$B$120,2,3))))</f>
        <v>2</v>
      </c>
      <c r="AI15" s="3">
        <f t="shared" si="14"/>
        <v>56.9</v>
      </c>
      <c r="AM15" s="367" t="e">
        <f t="shared" ca="1" si="15"/>
        <v>#VALUE!</v>
      </c>
      <c r="AN15" s="367" t="e">
        <f t="shared" ca="1" si="16"/>
        <v>#VALUE!</v>
      </c>
      <c r="AO15" s="367" t="e">
        <f t="shared" ca="1" si="17"/>
        <v>#VALUE!</v>
      </c>
      <c r="AP15" s="367" t="e">
        <f t="shared" ca="1" si="18"/>
        <v>#VALUE!</v>
      </c>
      <c r="AQ15" s="367" t="e">
        <f t="shared" ca="1" si="19"/>
        <v>#VALUE!</v>
      </c>
      <c r="AR15" s="367"/>
      <c r="AS15" s="367"/>
      <c r="AT15" s="3">
        <f t="shared" ca="1" si="39"/>
        <v>0</v>
      </c>
      <c r="AU15" s="3" t="str">
        <f t="shared" ca="1" si="20"/>
        <v/>
      </c>
      <c r="AW15" s="3">
        <f t="shared" ca="1" si="21"/>
        <v>0</v>
      </c>
      <c r="AX15" s="3" t="str">
        <f t="shared" ca="1" si="22"/>
        <v/>
      </c>
      <c r="AZ15" s="3">
        <f t="shared" ca="1" si="23"/>
        <v>0</v>
      </c>
      <c r="BA15" s="3" t="str">
        <f t="shared" ca="1" si="24"/>
        <v/>
      </c>
      <c r="BC15" s="3">
        <f t="shared" ca="1" si="25"/>
        <v>0</v>
      </c>
      <c r="BD15" s="3" t="str">
        <f t="shared" ca="1" si="26"/>
        <v/>
      </c>
      <c r="BF15" s="3">
        <f t="shared" ca="1" si="27"/>
        <v>0</v>
      </c>
      <c r="BG15" s="3" t="str">
        <f t="shared" ca="1" si="28"/>
        <v/>
      </c>
      <c r="CE15" s="377">
        <f t="shared" si="50"/>
        <v>81.835564053537297</v>
      </c>
      <c r="CF15" s="3">
        <v>0.33300000000000002</v>
      </c>
      <c r="CG15" s="376">
        <v>25</v>
      </c>
      <c r="CH15" s="376">
        <f t="shared" si="30"/>
        <v>22.605544933078384</v>
      </c>
    </row>
    <row r="16" spans="1:87" ht="16" customHeight="1" thickBot="1">
      <c r="A16" s="3">
        <f>tblTerritories!A13</f>
        <v>11</v>
      </c>
      <c r="B16" s="3">
        <f>tblTerritories!B13</f>
        <v>0</v>
      </c>
      <c r="C16" s="3" t="str">
        <f>tblTerritories!C13</f>
        <v>Frankfurt</v>
      </c>
      <c r="D16" s="3">
        <f>tblTerritories!D13</f>
        <v>1</v>
      </c>
      <c r="F16" s="3">
        <f>tblTerritories!H13</f>
        <v>1</v>
      </c>
      <c r="G16" s="3">
        <f t="shared" si="0"/>
        <v>18</v>
      </c>
      <c r="H16" s="294">
        <f>IF(F16=0,"",RANK(G16,G$6:G$35,$I$3)+COUNTIF(G$6:G16,G16)-1)</f>
        <v>23</v>
      </c>
      <c r="I16" s="3">
        <f t="shared" si="1"/>
        <v>14</v>
      </c>
      <c r="J16" s="3">
        <f t="shared" si="41"/>
        <v>1</v>
      </c>
      <c r="K16" s="19">
        <f t="shared" si="2"/>
        <v>11</v>
      </c>
      <c r="L16" s="19">
        <f t="shared" si="3"/>
        <v>1</v>
      </c>
      <c r="M16" s="19">
        <f t="shared" si="4"/>
        <v>1</v>
      </c>
      <c r="N16" s="19"/>
      <c r="O16" s="19"/>
      <c r="P16" s="18">
        <f t="shared" si="42"/>
        <v>11</v>
      </c>
      <c r="Q16" s="3" t="str">
        <f t="shared" si="6"/>
        <v>Kuala Lumpur</v>
      </c>
      <c r="R16" s="20">
        <f t="shared" si="7"/>
        <v>42.3</v>
      </c>
      <c r="S16" s="92">
        <f t="shared" si="43"/>
        <v>52.2</v>
      </c>
      <c r="T16" s="18">
        <f t="shared" si="44"/>
        <v>42.3</v>
      </c>
      <c r="U16" s="20"/>
      <c r="V16" s="3">
        <f t="shared" si="45"/>
        <v>42.3</v>
      </c>
      <c r="W16" s="3">
        <f>1</f>
        <v>1</v>
      </c>
      <c r="Y16" s="3">
        <v>0</v>
      </c>
      <c r="Z16" s="3">
        <f>IF(Y16=1,tblTerritories!G13,0)</f>
        <v>0</v>
      </c>
      <c r="AA16" s="3" t="e">
        <f t="shared" si="46"/>
        <v>#N/A</v>
      </c>
      <c r="AB16" s="3" t="e">
        <f t="shared" si="47"/>
        <v>#N/A</v>
      </c>
      <c r="AD16" s="3" t="e">
        <f t="shared" si="48"/>
        <v>#N/A</v>
      </c>
      <c r="AE16" s="3" t="e">
        <f t="shared" si="49"/>
        <v>#N/A</v>
      </c>
      <c r="AH16" s="3">
        <f>IF(R16="","",IF(R16&lt;=uxb_works!$B$122,0,IF(R16&lt;=uxb_works!$B$121,1,IF(R16&lt;=uxb_works!$B$120,2,3))))</f>
        <v>1</v>
      </c>
      <c r="AI16" s="3">
        <f t="shared" si="14"/>
        <v>52.2</v>
      </c>
      <c r="AM16" s="367" t="e">
        <f t="shared" ca="1" si="15"/>
        <v>#VALUE!</v>
      </c>
      <c r="AN16" s="367" t="e">
        <f t="shared" ca="1" si="16"/>
        <v>#VALUE!</v>
      </c>
      <c r="AO16" s="367" t="e">
        <f t="shared" ca="1" si="17"/>
        <v>#VALUE!</v>
      </c>
      <c r="AP16" s="367" t="e">
        <f t="shared" ca="1" si="18"/>
        <v>#VALUE!</v>
      </c>
      <c r="AQ16" s="367" t="e">
        <f t="shared" ca="1" si="19"/>
        <v>#VALUE!</v>
      </c>
      <c r="AR16" s="367"/>
      <c r="AS16" s="367"/>
      <c r="AT16" s="3">
        <f t="shared" ca="1" si="39"/>
        <v>0</v>
      </c>
      <c r="AU16" s="3" t="str">
        <f t="shared" ca="1" si="20"/>
        <v/>
      </c>
      <c r="AW16" s="3">
        <f t="shared" ca="1" si="21"/>
        <v>0</v>
      </c>
      <c r="AX16" s="3" t="str">
        <f t="shared" ca="1" si="22"/>
        <v/>
      </c>
      <c r="AZ16" s="3">
        <f t="shared" ca="1" si="23"/>
        <v>0</v>
      </c>
      <c r="BA16" s="3" t="str">
        <f t="shared" ca="1" si="24"/>
        <v/>
      </c>
      <c r="BC16" s="3">
        <f t="shared" ca="1" si="25"/>
        <v>0</v>
      </c>
      <c r="BD16" s="3" t="str">
        <f t="shared" ca="1" si="26"/>
        <v/>
      </c>
      <c r="BF16" s="3">
        <f t="shared" ca="1" si="27"/>
        <v>0</v>
      </c>
      <c r="BG16" s="3" t="str">
        <f t="shared" ca="1" si="28"/>
        <v/>
      </c>
      <c r="CE16" s="377">
        <f t="shared" si="50"/>
        <v>17.973231357552578</v>
      </c>
      <c r="CF16" s="3">
        <v>0.33300000000000002</v>
      </c>
      <c r="CG16" s="376">
        <v>25</v>
      </c>
      <c r="CH16" s="376">
        <f t="shared" si="30"/>
        <v>22.605544933078384</v>
      </c>
    </row>
    <row r="17" spans="1:86" ht="16" customHeight="1" thickBot="1">
      <c r="A17" s="3">
        <f>tblTerritories!A14</f>
        <v>12</v>
      </c>
      <c r="B17" s="3">
        <f>tblTerritories!B14</f>
        <v>0</v>
      </c>
      <c r="C17" s="3" t="str">
        <f>tblTerritories!C14</f>
        <v>Hong Kong</v>
      </c>
      <c r="D17" s="3">
        <f>tblTerritories!D14</f>
        <v>1</v>
      </c>
      <c r="F17" s="3">
        <f>tblTerritories!H14</f>
        <v>1</v>
      </c>
      <c r="G17" s="3">
        <f t="shared" si="0"/>
        <v>20.5</v>
      </c>
      <c r="H17" s="294">
        <f>IF(F17=0,"",RANK(G17,G$6:G$35,$I$3)+COUNTIF(G$6:G17,G17)-1)</f>
        <v>22</v>
      </c>
      <c r="I17" s="3">
        <f t="shared" si="1"/>
        <v>16</v>
      </c>
      <c r="J17" s="3">
        <f t="shared" si="41"/>
        <v>1</v>
      </c>
      <c r="K17" s="19">
        <f t="shared" si="2"/>
        <v>12</v>
      </c>
      <c r="L17" s="19">
        <f t="shared" si="3"/>
        <v>1</v>
      </c>
      <c r="M17" s="19">
        <f t="shared" si="4"/>
        <v>1</v>
      </c>
      <c r="N17" s="19"/>
      <c r="O17" s="19"/>
      <c r="P17" s="18">
        <f t="shared" si="42"/>
        <v>12</v>
      </c>
      <c r="Q17" s="3" t="str">
        <f t="shared" si="6"/>
        <v>Madrid</v>
      </c>
      <c r="R17" s="20">
        <f t="shared" si="7"/>
        <v>41.3</v>
      </c>
      <c r="S17" s="92">
        <f t="shared" si="43"/>
        <v>51.7</v>
      </c>
      <c r="T17" s="18">
        <f t="shared" si="44"/>
        <v>41.3</v>
      </c>
      <c r="U17" s="20"/>
      <c r="V17" s="3">
        <f t="shared" si="45"/>
        <v>41.3</v>
      </c>
      <c r="W17" s="3">
        <f>1</f>
        <v>1</v>
      </c>
      <c r="Y17" s="3">
        <v>0</v>
      </c>
      <c r="Z17" s="3">
        <f>IF(Y17=1,tblTerritories!G14,0)</f>
        <v>0</v>
      </c>
      <c r="AA17" s="3" t="e">
        <f t="shared" si="46"/>
        <v>#N/A</v>
      </c>
      <c r="AB17" s="3" t="e">
        <f t="shared" si="47"/>
        <v>#N/A</v>
      </c>
      <c r="AD17" s="3" t="e">
        <f t="shared" si="48"/>
        <v>#N/A</v>
      </c>
      <c r="AE17" s="3" t="e">
        <f t="shared" si="49"/>
        <v>#N/A</v>
      </c>
      <c r="AH17" s="3">
        <f>IF(R17="","",IF(R17&lt;=uxb_works!$B$122,0,IF(R17&lt;=uxb_works!$B$121,1,IF(R17&lt;=uxb_works!$B$120,2,3))))</f>
        <v>1</v>
      </c>
      <c r="AI17" s="3">
        <f t="shared" si="14"/>
        <v>51.7</v>
      </c>
      <c r="AM17" s="367" t="e">
        <f t="shared" ca="1" si="15"/>
        <v>#VALUE!</v>
      </c>
      <c r="AN17" s="367" t="e">
        <f t="shared" ca="1" si="16"/>
        <v>#VALUE!</v>
      </c>
      <c r="AO17" s="367" t="e">
        <f t="shared" ca="1" si="17"/>
        <v>#VALUE!</v>
      </c>
      <c r="AP17" s="367" t="e">
        <f t="shared" ca="1" si="18"/>
        <v>#VALUE!</v>
      </c>
      <c r="AQ17" s="367" t="e">
        <f t="shared" ca="1" si="19"/>
        <v>#VALUE!</v>
      </c>
      <c r="AR17" s="367"/>
      <c r="AS17" s="367"/>
      <c r="AT17" s="3">
        <f t="shared" ca="1" si="39"/>
        <v>0</v>
      </c>
      <c r="AU17" s="3" t="str">
        <f t="shared" ca="1" si="20"/>
        <v/>
      </c>
      <c r="AW17" s="3">
        <f t="shared" ca="1" si="21"/>
        <v>0</v>
      </c>
      <c r="AX17" s="3" t="str">
        <f t="shared" ca="1" si="22"/>
        <v/>
      </c>
      <c r="AZ17" s="3">
        <f t="shared" ca="1" si="23"/>
        <v>0</v>
      </c>
      <c r="BA17" s="3" t="str">
        <f t="shared" ca="1" si="24"/>
        <v/>
      </c>
      <c r="BC17" s="3">
        <f t="shared" ca="1" si="25"/>
        <v>0</v>
      </c>
      <c r="BD17" s="3" t="str">
        <f t="shared" ca="1" si="26"/>
        <v/>
      </c>
      <c r="BF17" s="3">
        <f t="shared" ca="1" si="27"/>
        <v>0</v>
      </c>
      <c r="BG17" s="3" t="str">
        <f t="shared" ca="1" si="28"/>
        <v/>
      </c>
      <c r="CE17" s="377">
        <f t="shared" si="50"/>
        <v>20.45889101338431</v>
      </c>
      <c r="CF17" s="3">
        <v>0.33300000000000002</v>
      </c>
      <c r="CG17" s="376">
        <v>25</v>
      </c>
      <c r="CH17" s="376">
        <f t="shared" si="30"/>
        <v>22.605544933078384</v>
      </c>
    </row>
    <row r="18" spans="1:86" ht="16" customHeight="1" thickBot="1">
      <c r="A18" s="3">
        <f>tblTerritories!A15</f>
        <v>13</v>
      </c>
      <c r="B18" s="3">
        <f>tblTerritories!B15</f>
        <v>0</v>
      </c>
      <c r="C18" s="3" t="str">
        <f>tblTerritories!C15</f>
        <v>Jakarta</v>
      </c>
      <c r="D18" s="3">
        <f>tblTerritories!D15</f>
        <v>1</v>
      </c>
      <c r="F18" s="3">
        <f>tblTerritories!H15</f>
        <v>1</v>
      </c>
      <c r="G18" s="3">
        <f t="shared" si="0"/>
        <v>80.5</v>
      </c>
      <c r="H18" s="294">
        <f>IF(F18=0,"",RANK(G18,G$6:G$35,$I$3)+COUNTIF(G$6:G18,G18)-1)</f>
        <v>3</v>
      </c>
      <c r="I18" s="3">
        <f t="shared" si="1"/>
        <v>22</v>
      </c>
      <c r="J18" s="3">
        <f t="shared" si="41"/>
        <v>1</v>
      </c>
      <c r="K18" s="19">
        <f t="shared" si="2"/>
        <v>13</v>
      </c>
      <c r="L18" s="19">
        <f t="shared" si="3"/>
        <v>1</v>
      </c>
      <c r="M18" s="19">
        <f t="shared" si="4"/>
        <v>1</v>
      </c>
      <c r="N18" s="19"/>
      <c r="O18" s="19"/>
      <c r="P18" s="18">
        <f t="shared" si="42"/>
        <v>13</v>
      </c>
      <c r="Q18" s="3" t="str">
        <f t="shared" si="6"/>
        <v>Rome</v>
      </c>
      <c r="R18" s="20">
        <f t="shared" si="7"/>
        <v>40.5</v>
      </c>
      <c r="S18" s="92">
        <f t="shared" si="43"/>
        <v>51.3</v>
      </c>
      <c r="T18" s="18">
        <f t="shared" si="44"/>
        <v>40.5</v>
      </c>
      <c r="U18" s="20"/>
      <c r="V18" s="3">
        <f t="shared" si="45"/>
        <v>40.5</v>
      </c>
      <c r="W18" s="3">
        <f>1</f>
        <v>1</v>
      </c>
      <c r="Y18" s="3">
        <v>0</v>
      </c>
      <c r="Z18" s="3">
        <f>IF(Y18=1,tblTerritories!G15,0)</f>
        <v>0</v>
      </c>
      <c r="AA18" s="3" t="e">
        <f t="shared" si="46"/>
        <v>#N/A</v>
      </c>
      <c r="AB18" s="3" t="e">
        <f t="shared" si="47"/>
        <v>#N/A</v>
      </c>
      <c r="AD18" s="3" t="e">
        <f t="shared" si="48"/>
        <v>#N/A</v>
      </c>
      <c r="AE18" s="3" t="e">
        <f t="shared" si="49"/>
        <v>#N/A</v>
      </c>
      <c r="AH18" s="3">
        <f>IF(R18="","",IF(R18&lt;=uxb_works!$B$122,0,IF(R18&lt;=uxb_works!$B$121,1,IF(R18&lt;=uxb_works!$B$120,2,3))))</f>
        <v>1</v>
      </c>
      <c r="AI18" s="3">
        <f t="shared" si="14"/>
        <v>51.3</v>
      </c>
      <c r="AM18" s="367" t="e">
        <f t="shared" ca="1" si="15"/>
        <v>#VALUE!</v>
      </c>
      <c r="AN18" s="367" t="e">
        <f t="shared" ca="1" si="16"/>
        <v>#VALUE!</v>
      </c>
      <c r="AO18" s="367" t="e">
        <f t="shared" ca="1" si="17"/>
        <v>#VALUE!</v>
      </c>
      <c r="AP18" s="367" t="e">
        <f t="shared" ca="1" si="18"/>
        <v>#VALUE!</v>
      </c>
      <c r="AQ18" s="367" t="e">
        <f t="shared" ca="1" si="19"/>
        <v>#VALUE!</v>
      </c>
      <c r="AR18" s="367"/>
      <c r="AS18" s="367"/>
      <c r="AT18" s="3">
        <f t="shared" ca="1" si="39"/>
        <v>0</v>
      </c>
      <c r="AU18" s="3" t="str">
        <f t="shared" ca="1" si="20"/>
        <v/>
      </c>
      <c r="AW18" s="3">
        <f t="shared" ca="1" si="21"/>
        <v>0</v>
      </c>
      <c r="AX18" s="3" t="str">
        <f t="shared" ca="1" si="22"/>
        <v/>
      </c>
      <c r="AZ18" s="3">
        <f t="shared" ca="1" si="23"/>
        <v>0</v>
      </c>
      <c r="BA18" s="3" t="str">
        <f t="shared" ca="1" si="24"/>
        <v/>
      </c>
      <c r="BC18" s="3">
        <f t="shared" ca="1" si="25"/>
        <v>0</v>
      </c>
      <c r="BD18" s="3" t="str">
        <f t="shared" ca="1" si="26"/>
        <v/>
      </c>
      <c r="BF18" s="3">
        <f t="shared" ca="1" si="27"/>
        <v>0</v>
      </c>
      <c r="BG18" s="3" t="str">
        <f t="shared" ca="1" si="28"/>
        <v/>
      </c>
      <c r="CE18" s="377">
        <f t="shared" si="50"/>
        <v>80.497131931166336</v>
      </c>
      <c r="CF18" s="3">
        <v>0.33300000000000002</v>
      </c>
      <c r="CG18" s="376">
        <v>25</v>
      </c>
      <c r="CH18" s="376">
        <f t="shared" si="30"/>
        <v>22.605544933078384</v>
      </c>
    </row>
    <row r="19" spans="1:86" ht="16" customHeight="1" thickBot="1">
      <c r="A19" s="3">
        <f>tblTerritories!A16</f>
        <v>14</v>
      </c>
      <c r="B19" s="3">
        <f>tblTerritories!B16</f>
        <v>0</v>
      </c>
      <c r="C19" s="3" t="str">
        <f>tblTerritories!C16</f>
        <v>Kuala Lumpur</v>
      </c>
      <c r="D19" s="3">
        <f>tblTerritories!D16</f>
        <v>1</v>
      </c>
      <c r="F19" s="3">
        <f>tblTerritories!H16</f>
        <v>1</v>
      </c>
      <c r="G19" s="3">
        <f t="shared" si="0"/>
        <v>42.3</v>
      </c>
      <c r="H19" s="294">
        <f>IF(F19=0,"",RANK(G19,G$6:G$35,$I$3)+COUNTIF(G$6:G19,G19)-1)</f>
        <v>11</v>
      </c>
      <c r="I19" s="3">
        <f t="shared" si="1"/>
        <v>4</v>
      </c>
      <c r="J19" s="3">
        <f t="shared" si="41"/>
        <v>1</v>
      </c>
      <c r="K19" s="19">
        <f t="shared" si="2"/>
        <v>14</v>
      </c>
      <c r="L19" s="19">
        <f t="shared" si="3"/>
        <v>1</v>
      </c>
      <c r="M19" s="19">
        <f t="shared" si="4"/>
        <v>1</v>
      </c>
      <c r="N19" s="19"/>
      <c r="O19" s="19"/>
      <c r="P19" s="18">
        <f t="shared" si="42"/>
        <v>14</v>
      </c>
      <c r="Q19" s="3" t="str">
        <f t="shared" si="6"/>
        <v>Barcelona</v>
      </c>
      <c r="R19" s="20">
        <f t="shared" si="7"/>
        <v>36.299999999999997</v>
      </c>
      <c r="S19" s="92">
        <f t="shared" si="43"/>
        <v>49.1</v>
      </c>
      <c r="T19" s="18">
        <f t="shared" si="44"/>
        <v>36.299999999999997</v>
      </c>
      <c r="U19" s="20"/>
      <c r="V19" s="3">
        <f t="shared" si="45"/>
        <v>36.299999999999997</v>
      </c>
      <c r="W19" s="3">
        <f>1</f>
        <v>1</v>
      </c>
      <c r="Y19" s="3">
        <v>0</v>
      </c>
      <c r="Z19" s="3">
        <f>IF(Y19=1,tblTerritories!G16,0)</f>
        <v>0</v>
      </c>
      <c r="AA19" s="3" t="e">
        <f t="shared" si="46"/>
        <v>#N/A</v>
      </c>
      <c r="AB19" s="3" t="e">
        <f t="shared" si="47"/>
        <v>#N/A</v>
      </c>
      <c r="AD19" s="3" t="e">
        <f t="shared" si="48"/>
        <v>#N/A</v>
      </c>
      <c r="AE19" s="3" t="e">
        <f t="shared" si="49"/>
        <v>#N/A</v>
      </c>
      <c r="AH19" s="3">
        <f>IF(R19="","",IF(R19&lt;=uxb_works!$B$122,0,IF(R19&lt;=uxb_works!$B$121,1,IF(R19&lt;=uxb_works!$B$120,2,3))))</f>
        <v>1</v>
      </c>
      <c r="AI19" s="3">
        <f t="shared" si="14"/>
        <v>49.1</v>
      </c>
      <c r="AM19" s="367" t="e">
        <f t="shared" ca="1" si="15"/>
        <v>#VALUE!</v>
      </c>
      <c r="AN19" s="367" t="e">
        <f t="shared" ca="1" si="16"/>
        <v>#VALUE!</v>
      </c>
      <c r="AO19" s="367" t="e">
        <f t="shared" ca="1" si="17"/>
        <v>#VALUE!</v>
      </c>
      <c r="AP19" s="367" t="e">
        <f t="shared" ca="1" si="18"/>
        <v>#VALUE!</v>
      </c>
      <c r="AQ19" s="367" t="e">
        <f t="shared" ca="1" si="19"/>
        <v>#VALUE!</v>
      </c>
      <c r="AR19" s="367"/>
      <c r="AS19" s="367"/>
      <c r="AT19" s="3">
        <f t="shared" ca="1" si="39"/>
        <v>0</v>
      </c>
      <c r="AU19" s="3" t="str">
        <f t="shared" ca="1" si="20"/>
        <v/>
      </c>
      <c r="AW19" s="3">
        <f t="shared" ca="1" si="21"/>
        <v>0</v>
      </c>
      <c r="AX19" s="3" t="str">
        <f t="shared" ca="1" si="22"/>
        <v/>
      </c>
      <c r="AZ19" s="3">
        <f t="shared" ca="1" si="23"/>
        <v>0</v>
      </c>
      <c r="BA19" s="3" t="str">
        <f t="shared" ca="1" si="24"/>
        <v/>
      </c>
      <c r="BC19" s="3">
        <f t="shared" ca="1" si="25"/>
        <v>0</v>
      </c>
      <c r="BD19" s="3" t="str">
        <f t="shared" ca="1" si="26"/>
        <v/>
      </c>
      <c r="BF19" s="3">
        <f t="shared" ca="1" si="27"/>
        <v>0</v>
      </c>
      <c r="BG19" s="3" t="str">
        <f t="shared" ca="1" si="28"/>
        <v/>
      </c>
      <c r="CE19" s="377">
        <f t="shared" si="50"/>
        <v>42.256214149139574</v>
      </c>
      <c r="CF19" s="3">
        <v>0.33300000000000002</v>
      </c>
      <c r="CG19" s="376">
        <v>25</v>
      </c>
      <c r="CH19" s="376">
        <f t="shared" si="30"/>
        <v>22.605544933078384</v>
      </c>
    </row>
    <row r="20" spans="1:86" ht="16" customHeight="1" thickBot="1">
      <c r="A20" s="3">
        <f>tblTerritories!A17</f>
        <v>15</v>
      </c>
      <c r="B20" s="3">
        <f>tblTerritories!B17</f>
        <v>0</v>
      </c>
      <c r="C20" s="3" t="str">
        <f>tblTerritories!C17</f>
        <v>London</v>
      </c>
      <c r="D20" s="3">
        <f>tblTerritories!D17</f>
        <v>1</v>
      </c>
      <c r="F20" s="3">
        <f>tblTerritories!H17</f>
        <v>1</v>
      </c>
      <c r="G20" s="3">
        <f t="shared" si="0"/>
        <v>8.8000000000000007</v>
      </c>
      <c r="H20" s="294">
        <f>IF(F20=0,"",RANK(G20,G$6:G$35,$I$3)+COUNTIF(G$6:G20,G20)-1)</f>
        <v>28</v>
      </c>
      <c r="I20" s="3">
        <f t="shared" si="1"/>
        <v>24</v>
      </c>
      <c r="J20" s="3">
        <f t="shared" si="41"/>
        <v>1</v>
      </c>
      <c r="K20" s="19">
        <f t="shared" si="2"/>
        <v>15</v>
      </c>
      <c r="L20" s="19">
        <f t="shared" si="3"/>
        <v>1</v>
      </c>
      <c r="M20" s="19">
        <f t="shared" si="4"/>
        <v>1</v>
      </c>
      <c r="N20" s="19"/>
      <c r="O20" s="19"/>
      <c r="P20" s="18">
        <f t="shared" si="42"/>
        <v>15</v>
      </c>
      <c r="Q20" s="3" t="str">
        <f t="shared" si="6"/>
        <v>Seoul</v>
      </c>
      <c r="R20" s="20">
        <f t="shared" si="7"/>
        <v>34</v>
      </c>
      <c r="S20" s="92">
        <f t="shared" si="43"/>
        <v>47.9</v>
      </c>
      <c r="T20" s="18">
        <f t="shared" si="44"/>
        <v>34</v>
      </c>
      <c r="U20" s="20"/>
      <c r="V20" s="3">
        <f t="shared" si="45"/>
        <v>34</v>
      </c>
      <c r="W20" s="3">
        <f>1</f>
        <v>1</v>
      </c>
      <c r="Y20" s="3">
        <v>0</v>
      </c>
      <c r="Z20" s="3">
        <f>IF(Y20=1,tblTerritories!G17,0)</f>
        <v>0</v>
      </c>
      <c r="AA20" s="3" t="e">
        <f t="shared" si="46"/>
        <v>#N/A</v>
      </c>
      <c r="AB20" s="3" t="e">
        <f t="shared" si="47"/>
        <v>#N/A</v>
      </c>
      <c r="AD20" s="3" t="e">
        <f t="shared" si="48"/>
        <v>#N/A</v>
      </c>
      <c r="AE20" s="3" t="e">
        <f t="shared" si="49"/>
        <v>#N/A</v>
      </c>
      <c r="AH20" s="3">
        <f>IF(R20="","",IF(R20&lt;=uxb_works!$B$122,0,IF(R20&lt;=uxb_works!$B$121,1,IF(R20&lt;=uxb_works!$B$120,2,3))))</f>
        <v>1</v>
      </c>
      <c r="AI20" s="3">
        <f t="shared" si="14"/>
        <v>47.9</v>
      </c>
      <c r="AM20" s="367" t="e">
        <f t="shared" ca="1" si="15"/>
        <v>#VALUE!</v>
      </c>
      <c r="AN20" s="367" t="e">
        <f t="shared" ca="1" si="16"/>
        <v>#VALUE!</v>
      </c>
      <c r="AO20" s="367" t="e">
        <f t="shared" ca="1" si="17"/>
        <v>#VALUE!</v>
      </c>
      <c r="AP20" s="367" t="e">
        <f t="shared" ca="1" si="18"/>
        <v>#VALUE!</v>
      </c>
      <c r="AQ20" s="367" t="e">
        <f t="shared" ca="1" si="19"/>
        <v>#VALUE!</v>
      </c>
      <c r="AR20" s="367"/>
      <c r="AS20" s="367"/>
      <c r="AT20" s="3">
        <f t="shared" ca="1" si="39"/>
        <v>0</v>
      </c>
      <c r="AU20" s="3" t="str">
        <f t="shared" ca="1" si="20"/>
        <v/>
      </c>
      <c r="AW20" s="3">
        <f t="shared" ca="1" si="21"/>
        <v>0</v>
      </c>
      <c r="AX20" s="3" t="str">
        <f t="shared" ca="1" si="22"/>
        <v/>
      </c>
      <c r="AZ20" s="3">
        <f t="shared" ca="1" si="23"/>
        <v>0</v>
      </c>
      <c r="BA20" s="3" t="str">
        <f t="shared" ca="1" si="24"/>
        <v/>
      </c>
      <c r="BC20" s="3">
        <f t="shared" ca="1" si="25"/>
        <v>0</v>
      </c>
      <c r="BD20" s="3" t="str">
        <f t="shared" ca="1" si="26"/>
        <v/>
      </c>
      <c r="BF20" s="3">
        <f t="shared" ca="1" si="27"/>
        <v>0</v>
      </c>
      <c r="BG20" s="3" t="str">
        <f t="shared" ca="1" si="28"/>
        <v/>
      </c>
      <c r="CE20" s="377">
        <f t="shared" si="50"/>
        <v>8.7954110898661586</v>
      </c>
      <c r="CF20" s="3">
        <v>0.33300000000000002</v>
      </c>
      <c r="CG20" s="376">
        <v>25</v>
      </c>
      <c r="CH20" s="376">
        <f t="shared" si="30"/>
        <v>22.605544933078384</v>
      </c>
    </row>
    <row r="21" spans="1:86" ht="16" customHeight="1" thickBot="1">
      <c r="A21" s="3">
        <f>tblTerritories!A18</f>
        <v>16</v>
      </c>
      <c r="B21" s="3">
        <f>tblTerritories!B18</f>
        <v>0</v>
      </c>
      <c r="C21" s="3" t="str">
        <f>tblTerritories!C18</f>
        <v>Madrid</v>
      </c>
      <c r="D21" s="3">
        <f>tblTerritories!D18</f>
        <v>1</v>
      </c>
      <c r="F21" s="3">
        <f>tblTerritories!H18</f>
        <v>1</v>
      </c>
      <c r="G21" s="3">
        <f t="shared" si="0"/>
        <v>41.3</v>
      </c>
      <c r="H21" s="294">
        <f>IF(F21=0,"",RANK(G21,G$6:G$35,$I$3)+COUNTIF(G$6:G21,G21)-1)</f>
        <v>12</v>
      </c>
      <c r="I21" s="3">
        <f t="shared" si="1"/>
        <v>8</v>
      </c>
      <c r="J21" s="3">
        <f t="shared" si="41"/>
        <v>1</v>
      </c>
      <c r="K21" s="19">
        <f t="shared" si="2"/>
        <v>16</v>
      </c>
      <c r="L21" s="19">
        <f t="shared" si="3"/>
        <v>1</v>
      </c>
      <c r="M21" s="19">
        <f t="shared" si="4"/>
        <v>1</v>
      </c>
      <c r="N21" s="19"/>
      <c r="O21" s="19"/>
      <c r="P21" s="18">
        <f t="shared" si="42"/>
        <v>16</v>
      </c>
      <c r="Q21" s="3" t="str">
        <f t="shared" si="6"/>
        <v>Copenhagen</v>
      </c>
      <c r="R21" s="20">
        <f t="shared" si="7"/>
        <v>33.1</v>
      </c>
      <c r="S21" s="92">
        <f t="shared" si="43"/>
        <v>47.4</v>
      </c>
      <c r="T21" s="18">
        <f t="shared" si="44"/>
        <v>33.1</v>
      </c>
      <c r="U21" s="20"/>
      <c r="V21" s="3">
        <f t="shared" si="45"/>
        <v>33.1</v>
      </c>
      <c r="W21" s="3">
        <f>1</f>
        <v>1</v>
      </c>
      <c r="Y21" s="3">
        <v>0</v>
      </c>
      <c r="Z21" s="3">
        <f>IF(Y21=1,tblTerritories!G18,0)</f>
        <v>0</v>
      </c>
      <c r="AA21" s="3" t="e">
        <f t="shared" si="46"/>
        <v>#N/A</v>
      </c>
      <c r="AB21" s="3" t="e">
        <f t="shared" si="47"/>
        <v>#N/A</v>
      </c>
      <c r="AD21" s="3" t="e">
        <f t="shared" si="48"/>
        <v>#N/A</v>
      </c>
      <c r="AE21" s="3" t="e">
        <f t="shared" si="49"/>
        <v>#N/A</v>
      </c>
      <c r="AH21" s="3">
        <f>IF(R21="","",IF(R21&lt;=uxb_works!$B$122,0,IF(R21&lt;=uxb_works!$B$121,1,IF(R21&lt;=uxb_works!$B$120,2,3))))</f>
        <v>1</v>
      </c>
      <c r="AI21" s="3">
        <f t="shared" si="14"/>
        <v>47.4</v>
      </c>
      <c r="AM21" s="367" t="e">
        <f t="shared" ca="1" si="15"/>
        <v>#VALUE!</v>
      </c>
      <c r="AN21" s="367" t="e">
        <f t="shared" ca="1" si="16"/>
        <v>#VALUE!</v>
      </c>
      <c r="AO21" s="367" t="e">
        <f t="shared" ca="1" si="17"/>
        <v>#VALUE!</v>
      </c>
      <c r="AP21" s="367" t="e">
        <f t="shared" ca="1" si="18"/>
        <v>#VALUE!</v>
      </c>
      <c r="AQ21" s="367" t="e">
        <f t="shared" ca="1" si="19"/>
        <v>#VALUE!</v>
      </c>
      <c r="AR21" s="367"/>
      <c r="AS21" s="367"/>
      <c r="AT21" s="3">
        <f t="shared" ca="1" si="39"/>
        <v>0</v>
      </c>
      <c r="AU21" s="3" t="str">
        <f t="shared" ca="1" si="20"/>
        <v/>
      </c>
      <c r="AW21" s="3">
        <f t="shared" ca="1" si="21"/>
        <v>0</v>
      </c>
      <c r="AX21" s="3" t="str">
        <f t="shared" ca="1" si="22"/>
        <v/>
      </c>
      <c r="AZ21" s="3">
        <f t="shared" ca="1" si="23"/>
        <v>0</v>
      </c>
      <c r="BA21" s="3" t="str">
        <f t="shared" ca="1" si="24"/>
        <v/>
      </c>
      <c r="BC21" s="3">
        <f t="shared" ca="1" si="25"/>
        <v>0</v>
      </c>
      <c r="BD21" s="3" t="str">
        <f t="shared" ca="1" si="26"/>
        <v/>
      </c>
      <c r="BF21" s="3">
        <f t="shared" ca="1" si="27"/>
        <v>0</v>
      </c>
      <c r="BG21" s="3" t="str">
        <f t="shared" ca="1" si="28"/>
        <v/>
      </c>
      <c r="CE21" s="377">
        <f t="shared" si="50"/>
        <v>41.300191204588913</v>
      </c>
      <c r="CF21" s="3">
        <v>0.33300000000000002</v>
      </c>
      <c r="CG21" s="376">
        <v>25</v>
      </c>
      <c r="CH21" s="376">
        <f t="shared" si="30"/>
        <v>22.605544933078384</v>
      </c>
    </row>
    <row r="22" spans="1:86" ht="16" customHeight="1" thickBot="1">
      <c r="A22" s="3">
        <f>tblTerritories!A19</f>
        <v>17</v>
      </c>
      <c r="B22" s="3">
        <f>tblTerritories!B19</f>
        <v>0</v>
      </c>
      <c r="C22" s="3" t="str">
        <f>tblTerritories!C19</f>
        <v>Manila</v>
      </c>
      <c r="D22" s="3">
        <f>tblTerritories!D19</f>
        <v>1</v>
      </c>
      <c r="F22" s="3">
        <f>tblTerritories!H19</f>
        <v>1</v>
      </c>
      <c r="G22" s="3">
        <f t="shared" si="0"/>
        <v>62.5</v>
      </c>
      <c r="H22" s="294">
        <f>IF(F22=0,"",RANK(G22,G$6:G$35,$I$3)+COUNTIF(G$6:G22,G22)-1)</f>
        <v>6</v>
      </c>
      <c r="I22" s="3">
        <f t="shared" si="1"/>
        <v>29</v>
      </c>
      <c r="J22" s="3">
        <f t="shared" si="41"/>
        <v>1</v>
      </c>
      <c r="K22" s="19">
        <f t="shared" si="2"/>
        <v>17</v>
      </c>
      <c r="L22" s="19">
        <f t="shared" si="3"/>
        <v>1</v>
      </c>
      <c r="M22" s="19">
        <f t="shared" si="4"/>
        <v>1</v>
      </c>
      <c r="N22" s="19"/>
      <c r="O22" s="19"/>
      <c r="P22" s="18">
        <f t="shared" si="42"/>
        <v>17</v>
      </c>
      <c r="Q22" s="3" t="str">
        <f t="shared" si="6"/>
        <v>Washington DC</v>
      </c>
      <c r="R22" s="20">
        <f t="shared" si="7"/>
        <v>29.4</v>
      </c>
      <c r="S22" s="92">
        <f t="shared" si="43"/>
        <v>45.5</v>
      </c>
      <c r="T22" s="18">
        <f t="shared" si="44"/>
        <v>29.4</v>
      </c>
      <c r="U22" s="20"/>
      <c r="V22" s="3">
        <f t="shared" si="45"/>
        <v>29.4</v>
      </c>
      <c r="W22" s="3">
        <f>1</f>
        <v>1</v>
      </c>
      <c r="Y22" s="3">
        <v>0</v>
      </c>
      <c r="Z22" s="3">
        <f>IF(Y22=1,tblTerritories!G19,0)</f>
        <v>0</v>
      </c>
      <c r="AA22" s="3" t="e">
        <f t="shared" si="46"/>
        <v>#N/A</v>
      </c>
      <c r="AB22" s="3" t="e">
        <f t="shared" si="47"/>
        <v>#N/A</v>
      </c>
      <c r="AD22" s="3" t="e">
        <f t="shared" si="48"/>
        <v>#N/A</v>
      </c>
      <c r="AE22" s="3" t="e">
        <f t="shared" si="49"/>
        <v>#N/A</v>
      </c>
      <c r="AH22" s="3">
        <f>IF(R22="","",IF(R22&lt;=uxb_works!$B$122,0,IF(R22&lt;=uxb_works!$B$121,1,IF(R22&lt;=uxb_works!$B$120,2,3))))</f>
        <v>1</v>
      </c>
      <c r="AI22" s="3">
        <f t="shared" si="14"/>
        <v>45.5</v>
      </c>
      <c r="AM22" s="367" t="e">
        <f t="shared" ca="1" si="15"/>
        <v>#VALUE!</v>
      </c>
      <c r="AN22" s="367" t="e">
        <f t="shared" ca="1" si="16"/>
        <v>#VALUE!</v>
      </c>
      <c r="AO22" s="367" t="e">
        <f t="shared" ca="1" si="17"/>
        <v>#VALUE!</v>
      </c>
      <c r="AP22" s="367" t="e">
        <f t="shared" ca="1" si="18"/>
        <v>#VALUE!</v>
      </c>
      <c r="AQ22" s="367" t="e">
        <f t="shared" ca="1" si="19"/>
        <v>#VALUE!</v>
      </c>
      <c r="AR22" s="367"/>
      <c r="AS22" s="367"/>
      <c r="AT22" s="3">
        <f t="shared" ca="1" si="39"/>
        <v>0</v>
      </c>
      <c r="AU22" s="3" t="str">
        <f t="shared" ca="1" si="20"/>
        <v/>
      </c>
      <c r="AW22" s="3">
        <f t="shared" ca="1" si="21"/>
        <v>0</v>
      </c>
      <c r="AX22" s="3" t="str">
        <f t="shared" ca="1" si="22"/>
        <v/>
      </c>
      <c r="AZ22" s="3">
        <f t="shared" ca="1" si="23"/>
        <v>0</v>
      </c>
      <c r="BA22" s="3" t="str">
        <f t="shared" ca="1" si="24"/>
        <v/>
      </c>
      <c r="BC22" s="3">
        <f t="shared" ca="1" si="25"/>
        <v>0</v>
      </c>
      <c r="BD22" s="3" t="str">
        <f t="shared" ca="1" si="26"/>
        <v/>
      </c>
      <c r="BF22" s="3">
        <f t="shared" ca="1" si="27"/>
        <v>0</v>
      </c>
      <c r="BG22" s="3" t="str">
        <f t="shared" ca="1" si="28"/>
        <v/>
      </c>
      <c r="CE22" s="377">
        <f t="shared" si="50"/>
        <v>62.523900573613759</v>
      </c>
      <c r="CF22" s="3">
        <v>0.33300000000000002</v>
      </c>
      <c r="CG22" s="376">
        <v>25</v>
      </c>
      <c r="CH22" s="376">
        <f t="shared" si="30"/>
        <v>22.605544933078384</v>
      </c>
    </row>
    <row r="23" spans="1:86" ht="16" customHeight="1" thickBot="1">
      <c r="A23" s="3">
        <f>tblTerritories!A20</f>
        <v>18</v>
      </c>
      <c r="B23" s="3">
        <f>tblTerritories!B20</f>
        <v>0</v>
      </c>
      <c r="C23" s="3" t="str">
        <f>tblTerritories!C20</f>
        <v>Mexico City</v>
      </c>
      <c r="D23" s="3">
        <f>tblTerritories!D20</f>
        <v>1</v>
      </c>
      <c r="F23" s="3">
        <f>tblTerritories!H20</f>
        <v>1</v>
      </c>
      <c r="G23" s="3">
        <f t="shared" si="0"/>
        <v>64.599999999999994</v>
      </c>
      <c r="H23" s="294">
        <f>IF(F23=0,"",RANK(G23,G$6:G$35,$I$3)+COUNTIF(G$6:G23,G23)-1)</f>
        <v>5</v>
      </c>
      <c r="I23" s="3">
        <f t="shared" si="1"/>
        <v>20</v>
      </c>
      <c r="J23" s="3">
        <f t="shared" si="41"/>
        <v>1</v>
      </c>
      <c r="K23" s="19">
        <f t="shared" si="2"/>
        <v>18</v>
      </c>
      <c r="L23" s="19">
        <f t="shared" si="3"/>
        <v>1</v>
      </c>
      <c r="M23" s="19">
        <f t="shared" si="4"/>
        <v>1</v>
      </c>
      <c r="N23" s="19"/>
      <c r="O23" s="19"/>
      <c r="P23" s="18">
        <f t="shared" si="42"/>
        <v>18</v>
      </c>
      <c r="Q23" s="3" t="str">
        <f t="shared" si="6"/>
        <v>New York</v>
      </c>
      <c r="R23" s="20">
        <f t="shared" si="7"/>
        <v>28.9</v>
      </c>
      <c r="S23" s="92">
        <f t="shared" si="43"/>
        <v>45.2</v>
      </c>
      <c r="T23" s="18">
        <f t="shared" si="44"/>
        <v>28.9</v>
      </c>
      <c r="U23" s="20"/>
      <c r="V23" s="3">
        <f t="shared" si="45"/>
        <v>28.9</v>
      </c>
      <c r="W23" s="3">
        <f>1</f>
        <v>1</v>
      </c>
      <c r="Y23" s="3">
        <v>0</v>
      </c>
      <c r="Z23" s="3">
        <f>IF(Y23=1,tblTerritories!G20,0)</f>
        <v>0</v>
      </c>
      <c r="AA23" s="3" t="e">
        <f t="shared" si="46"/>
        <v>#N/A</v>
      </c>
      <c r="AB23" s="3" t="e">
        <f t="shared" si="47"/>
        <v>#N/A</v>
      </c>
      <c r="AD23" s="3" t="e">
        <f t="shared" si="48"/>
        <v>#N/A</v>
      </c>
      <c r="AE23" s="3" t="e">
        <f t="shared" si="49"/>
        <v>#N/A</v>
      </c>
      <c r="AH23" s="3">
        <f>IF(R23="","",IF(R23&lt;=uxb_works!$B$122,0,IF(R23&lt;=uxb_works!$B$121,1,IF(R23&lt;=uxb_works!$B$120,2,3))))</f>
        <v>1</v>
      </c>
      <c r="AI23" s="3">
        <f t="shared" si="14"/>
        <v>45.2</v>
      </c>
      <c r="AM23" s="367" t="e">
        <f t="shared" ca="1" si="15"/>
        <v>#VALUE!</v>
      </c>
      <c r="AN23" s="367" t="e">
        <f t="shared" ca="1" si="16"/>
        <v>#VALUE!</v>
      </c>
      <c r="AO23" s="367" t="e">
        <f t="shared" ca="1" si="17"/>
        <v>#VALUE!</v>
      </c>
      <c r="AP23" s="367" t="e">
        <f t="shared" ca="1" si="18"/>
        <v>#VALUE!</v>
      </c>
      <c r="AQ23" s="367" t="e">
        <f t="shared" ca="1" si="19"/>
        <v>#VALUE!</v>
      </c>
      <c r="AR23" s="367"/>
      <c r="AS23" s="367"/>
      <c r="AT23" s="3">
        <f t="shared" ca="1" si="39"/>
        <v>0</v>
      </c>
      <c r="AU23" s="3" t="str">
        <f t="shared" ca="1" si="20"/>
        <v/>
      </c>
      <c r="AW23" s="3">
        <f t="shared" ca="1" si="21"/>
        <v>0</v>
      </c>
      <c r="AX23" s="3" t="str">
        <f t="shared" ca="1" si="22"/>
        <v/>
      </c>
      <c r="AZ23" s="3">
        <f t="shared" ca="1" si="23"/>
        <v>0</v>
      </c>
      <c r="BA23" s="3" t="str">
        <f t="shared" ca="1" si="24"/>
        <v/>
      </c>
      <c r="BC23" s="3">
        <f t="shared" ca="1" si="25"/>
        <v>0</v>
      </c>
      <c r="BD23" s="3" t="str">
        <f t="shared" ca="1" si="26"/>
        <v/>
      </c>
      <c r="BF23" s="3">
        <f t="shared" ca="1" si="27"/>
        <v>0</v>
      </c>
      <c r="BG23" s="3" t="str">
        <f t="shared" ca="1" si="28"/>
        <v/>
      </c>
      <c r="CE23" s="377">
        <f t="shared" si="50"/>
        <v>64.627151051625233</v>
      </c>
      <c r="CF23" s="3">
        <v>0.33300000000000002</v>
      </c>
      <c r="CG23" s="376">
        <v>25</v>
      </c>
      <c r="CH23" s="376">
        <f t="shared" si="30"/>
        <v>22.605544933078384</v>
      </c>
    </row>
    <row r="24" spans="1:86" ht="16" customHeight="1" thickBot="1">
      <c r="A24" s="3">
        <f>tblTerritories!A21</f>
        <v>19</v>
      </c>
      <c r="B24" s="3">
        <f>tblTerritories!B21</f>
        <v>0</v>
      </c>
      <c r="C24" s="3" t="str">
        <f>tblTerritories!C21</f>
        <v>New Delhi</v>
      </c>
      <c r="D24" s="3">
        <f>tblTerritories!D21</f>
        <v>1</v>
      </c>
      <c r="F24" s="3">
        <f>tblTerritories!H21</f>
        <v>1</v>
      </c>
      <c r="G24" s="3">
        <f t="shared" si="0"/>
        <v>100</v>
      </c>
      <c r="H24" s="294">
        <f>IF(F24=0,"",RANK(G24,G$6:G$35,$I$3)+COUNTIF(G$6:G24,G24)-1)</f>
        <v>1</v>
      </c>
      <c r="I24" s="3">
        <f t="shared" si="1"/>
        <v>25</v>
      </c>
      <c r="J24" s="3">
        <f t="shared" si="41"/>
        <v>1</v>
      </c>
      <c r="K24" s="19">
        <f t="shared" si="2"/>
        <v>19</v>
      </c>
      <c r="L24" s="19">
        <f t="shared" si="3"/>
        <v>1</v>
      </c>
      <c r="M24" s="19">
        <f t="shared" si="4"/>
        <v>1</v>
      </c>
      <c r="N24" s="19"/>
      <c r="O24" s="19"/>
      <c r="P24" s="18">
        <f t="shared" si="42"/>
        <v>19</v>
      </c>
      <c r="Q24" s="3" t="str">
        <f t="shared" si="6"/>
        <v>Singapore</v>
      </c>
      <c r="R24" s="20">
        <f t="shared" si="7"/>
        <v>27.9</v>
      </c>
      <c r="S24" s="92">
        <f t="shared" si="43"/>
        <v>44.7</v>
      </c>
      <c r="T24" s="18">
        <f t="shared" si="44"/>
        <v>27.9</v>
      </c>
      <c r="U24" s="20"/>
      <c r="V24" s="3">
        <f t="shared" si="45"/>
        <v>27.9</v>
      </c>
      <c r="W24" s="3">
        <f>1</f>
        <v>1</v>
      </c>
      <c r="Y24" s="3">
        <v>0</v>
      </c>
      <c r="Z24" s="3">
        <f>IF(Y24=1,tblTerritories!G21,0)</f>
        <v>0</v>
      </c>
      <c r="AA24" s="3" t="e">
        <f t="shared" si="46"/>
        <v>#N/A</v>
      </c>
      <c r="AB24" s="3" t="e">
        <f t="shared" si="47"/>
        <v>#N/A</v>
      </c>
      <c r="AD24" s="3" t="e">
        <f t="shared" si="48"/>
        <v>#N/A</v>
      </c>
      <c r="AE24" s="3" t="e">
        <f t="shared" si="49"/>
        <v>#N/A</v>
      </c>
      <c r="AH24" s="3">
        <f>IF(R24="","",IF(R24&lt;=uxb_works!$B$122,0,IF(R24&lt;=uxb_works!$B$121,1,IF(R24&lt;=uxb_works!$B$120,2,3))))</f>
        <v>1</v>
      </c>
      <c r="AI24" s="3">
        <f t="shared" si="14"/>
        <v>44.7</v>
      </c>
      <c r="AM24" s="367" t="e">
        <f t="shared" ca="1" si="15"/>
        <v>#VALUE!</v>
      </c>
      <c r="AN24" s="367" t="e">
        <f t="shared" ca="1" si="16"/>
        <v>#VALUE!</v>
      </c>
      <c r="AO24" s="367" t="e">
        <f t="shared" ca="1" si="17"/>
        <v>#VALUE!</v>
      </c>
      <c r="AP24" s="367" t="e">
        <f t="shared" ca="1" si="18"/>
        <v>#VALUE!</v>
      </c>
      <c r="AQ24" s="367" t="e">
        <f t="shared" ca="1" si="19"/>
        <v>#VALUE!</v>
      </c>
      <c r="AR24" s="367"/>
      <c r="AS24" s="367"/>
      <c r="AT24" s="3">
        <f t="shared" ca="1" si="39"/>
        <v>0</v>
      </c>
      <c r="AU24" s="3" t="str">
        <f t="shared" ca="1" si="20"/>
        <v/>
      </c>
      <c r="AW24" s="3">
        <f t="shared" ca="1" si="21"/>
        <v>0</v>
      </c>
      <c r="AX24" s="3" t="str">
        <f t="shared" ca="1" si="22"/>
        <v/>
      </c>
      <c r="AZ24" s="3">
        <f t="shared" ca="1" si="23"/>
        <v>0</v>
      </c>
      <c r="BA24" s="3" t="str">
        <f t="shared" ca="1" si="24"/>
        <v/>
      </c>
      <c r="BC24" s="3">
        <f t="shared" ca="1" si="25"/>
        <v>0</v>
      </c>
      <c r="BD24" s="3" t="str">
        <f t="shared" ca="1" si="26"/>
        <v/>
      </c>
      <c r="BF24" s="3">
        <f t="shared" ca="1" si="27"/>
        <v>0</v>
      </c>
      <c r="BG24" s="3" t="str">
        <f t="shared" ca="1" si="28"/>
        <v/>
      </c>
      <c r="CE24" s="377">
        <f t="shared" si="50"/>
        <v>100</v>
      </c>
      <c r="CF24" s="3">
        <v>0.33300000000000002</v>
      </c>
      <c r="CG24" s="376">
        <v>25</v>
      </c>
      <c r="CH24" s="376">
        <f t="shared" si="30"/>
        <v>22.605544933078384</v>
      </c>
    </row>
    <row r="25" spans="1:86" ht="16" customHeight="1" thickBot="1">
      <c r="A25" s="3">
        <f>tblTerritories!A22</f>
        <v>20</v>
      </c>
      <c r="B25" s="3">
        <f>tblTerritories!B22</f>
        <v>0</v>
      </c>
      <c r="C25" s="3" t="str">
        <f>tblTerritories!C22</f>
        <v>New York</v>
      </c>
      <c r="D25" s="3">
        <f>tblTerritories!D22</f>
        <v>1</v>
      </c>
      <c r="F25" s="3">
        <f>tblTerritories!H22</f>
        <v>1</v>
      </c>
      <c r="G25" s="3">
        <f t="shared" si="0"/>
        <v>28.9</v>
      </c>
      <c r="H25" s="294">
        <f>IF(F25=0,"",RANK(G25,G$6:G$35,$I$3)+COUNTIF(G$6:G25,G25)-1)</f>
        <v>18</v>
      </c>
      <c r="I25" s="3">
        <f t="shared" si="1"/>
        <v>2</v>
      </c>
      <c r="J25" s="3">
        <f t="shared" si="41"/>
        <v>1</v>
      </c>
      <c r="K25" s="19">
        <f t="shared" si="2"/>
        <v>20</v>
      </c>
      <c r="L25" s="19">
        <f t="shared" si="3"/>
        <v>1</v>
      </c>
      <c r="M25" s="19">
        <f t="shared" si="4"/>
        <v>1</v>
      </c>
      <c r="N25" s="19"/>
      <c r="O25" s="19"/>
      <c r="P25" s="18">
        <f t="shared" si="42"/>
        <v>20</v>
      </c>
      <c r="Q25" s="3" t="str">
        <f t="shared" si="6"/>
        <v>Auckland</v>
      </c>
      <c r="R25" s="20">
        <f t="shared" si="7"/>
        <v>23.3</v>
      </c>
      <c r="S25" s="92">
        <f t="shared" si="43"/>
        <v>42.3</v>
      </c>
      <c r="T25" s="18">
        <f t="shared" si="44"/>
        <v>23.3</v>
      </c>
      <c r="U25" s="20"/>
      <c r="V25" s="3">
        <f t="shared" si="45"/>
        <v>23.3</v>
      </c>
      <c r="W25" s="3">
        <f>1</f>
        <v>1</v>
      </c>
      <c r="Y25" s="3">
        <v>0</v>
      </c>
      <c r="Z25" s="3">
        <f>IF(Y25=1,tblTerritories!G22,0)</f>
        <v>0</v>
      </c>
      <c r="AA25" s="3" t="e">
        <f t="shared" si="46"/>
        <v>#N/A</v>
      </c>
      <c r="AB25" s="3" t="e">
        <f t="shared" si="47"/>
        <v>#N/A</v>
      </c>
      <c r="AD25" s="3" t="e">
        <f t="shared" si="48"/>
        <v>#N/A</v>
      </c>
      <c r="AE25" s="3" t="e">
        <f t="shared" si="49"/>
        <v>#N/A</v>
      </c>
      <c r="AH25" s="3">
        <f>IF(R25="","",IF(R25&lt;=uxb_works!$B$122,0,IF(R25&lt;=uxb_works!$B$121,1,IF(R25&lt;=uxb_works!$B$120,2,3))))</f>
        <v>0</v>
      </c>
      <c r="AI25" s="3">
        <f t="shared" si="14"/>
        <v>42.3</v>
      </c>
      <c r="AM25" s="367" t="e">
        <f t="shared" ca="1" si="15"/>
        <v>#VALUE!</v>
      </c>
      <c r="AN25" s="367" t="e">
        <f t="shared" ca="1" si="16"/>
        <v>#VALUE!</v>
      </c>
      <c r="AO25" s="367" t="e">
        <f t="shared" ca="1" si="17"/>
        <v>#VALUE!</v>
      </c>
      <c r="AP25" s="367" t="e">
        <f t="shared" ca="1" si="18"/>
        <v>#VALUE!</v>
      </c>
      <c r="AQ25" s="367" t="e">
        <f t="shared" ca="1" si="19"/>
        <v>#VALUE!</v>
      </c>
      <c r="AR25" s="367"/>
      <c r="AS25" s="367"/>
      <c r="AT25" s="3">
        <f t="shared" ca="1" si="39"/>
        <v>0</v>
      </c>
      <c r="AU25" s="3" t="str">
        <f t="shared" ca="1" si="20"/>
        <v/>
      </c>
      <c r="AW25" s="3">
        <f t="shared" ca="1" si="21"/>
        <v>0</v>
      </c>
      <c r="AX25" s="3" t="str">
        <f t="shared" ca="1" si="22"/>
        <v/>
      </c>
      <c r="AZ25" s="3">
        <f t="shared" ca="1" si="23"/>
        <v>0</v>
      </c>
      <c r="BA25" s="3" t="str">
        <f t="shared" ca="1" si="24"/>
        <v/>
      </c>
      <c r="BC25" s="3">
        <f t="shared" ca="1" si="25"/>
        <v>0</v>
      </c>
      <c r="BD25" s="3" t="str">
        <f t="shared" ca="1" si="26"/>
        <v/>
      </c>
      <c r="BF25" s="3">
        <f t="shared" ca="1" si="27"/>
        <v>0</v>
      </c>
      <c r="BG25" s="3" t="str">
        <f t="shared" ca="1" si="28"/>
        <v/>
      </c>
      <c r="CE25" s="377">
        <f t="shared" si="50"/>
        <v>28.87189292543021</v>
      </c>
      <c r="CF25" s="3">
        <v>0.33300000000000002</v>
      </c>
      <c r="CG25" s="376">
        <v>25</v>
      </c>
      <c r="CH25" s="376">
        <f t="shared" si="30"/>
        <v>22.605544933078384</v>
      </c>
    </row>
    <row r="26" spans="1:86" ht="16" customHeight="1" thickBot="1">
      <c r="A26" s="3">
        <f>tblTerritories!A23</f>
        <v>21</v>
      </c>
      <c r="B26" s="3">
        <f>tblTerritories!B23</f>
        <v>0</v>
      </c>
      <c r="C26" s="3" t="str">
        <f>tblTerritories!C23</f>
        <v>Paris</v>
      </c>
      <c r="D26" s="3">
        <f>tblTerritories!D23</f>
        <v>1</v>
      </c>
      <c r="F26" s="3">
        <f>tblTerritories!H23</f>
        <v>1</v>
      </c>
      <c r="G26" s="3">
        <f t="shared" si="0"/>
        <v>15.9</v>
      </c>
      <c r="H26" s="294">
        <f>IF(F26=0,"",RANK(G26,G$6:G$35,$I$3)+COUNTIF(G$6:G26,G26)-1)</f>
        <v>24</v>
      </c>
      <c r="I26" s="3">
        <f t="shared" si="1"/>
        <v>28</v>
      </c>
      <c r="J26" s="3">
        <f t="shared" si="41"/>
        <v>1</v>
      </c>
      <c r="K26" s="19">
        <f t="shared" si="2"/>
        <v>21</v>
      </c>
      <c r="L26" s="19">
        <f t="shared" si="3"/>
        <v>1</v>
      </c>
      <c r="M26" s="19">
        <f t="shared" si="4"/>
        <v>1</v>
      </c>
      <c r="N26" s="19"/>
      <c r="O26" s="19"/>
      <c r="P26" s="18">
        <f t="shared" si="42"/>
        <v>21</v>
      </c>
      <c r="Q26" s="3" t="str">
        <f t="shared" si="6"/>
        <v>Toronto</v>
      </c>
      <c r="R26" s="20">
        <f t="shared" si="7"/>
        <v>21.2</v>
      </c>
      <c r="S26" s="92">
        <f t="shared" si="43"/>
        <v>41.2</v>
      </c>
      <c r="T26" s="18">
        <f t="shared" si="44"/>
        <v>21.2</v>
      </c>
      <c r="U26" s="20"/>
      <c r="V26" s="3">
        <f t="shared" si="45"/>
        <v>21.2</v>
      </c>
      <c r="W26" s="3">
        <f>1</f>
        <v>1</v>
      </c>
      <c r="Y26" s="3">
        <v>0</v>
      </c>
      <c r="Z26" s="3">
        <f>IF(Y26=1,tblTerritories!G23,0)</f>
        <v>0</v>
      </c>
      <c r="AA26" s="3" t="e">
        <f t="shared" si="46"/>
        <v>#N/A</v>
      </c>
      <c r="AB26" s="3" t="e">
        <f t="shared" si="47"/>
        <v>#N/A</v>
      </c>
      <c r="AD26" s="3" t="e">
        <f t="shared" si="48"/>
        <v>#N/A</v>
      </c>
      <c r="AE26" s="3" t="e">
        <f t="shared" si="49"/>
        <v>#N/A</v>
      </c>
      <c r="AH26" s="3">
        <f>IF(R26="","",IF(R26&lt;=uxb_works!$B$122,0,IF(R26&lt;=uxb_works!$B$121,1,IF(R26&lt;=uxb_works!$B$120,2,3))))</f>
        <v>0</v>
      </c>
      <c r="AI26" s="3">
        <f t="shared" si="14"/>
        <v>41.2</v>
      </c>
      <c r="AM26" s="367" t="e">
        <f t="shared" ca="1" si="15"/>
        <v>#VALUE!</v>
      </c>
      <c r="AN26" s="367" t="e">
        <f t="shared" ca="1" si="16"/>
        <v>#VALUE!</v>
      </c>
      <c r="AO26" s="367" t="e">
        <f t="shared" ca="1" si="17"/>
        <v>#VALUE!</v>
      </c>
      <c r="AP26" s="367" t="e">
        <f t="shared" ca="1" si="18"/>
        <v>#VALUE!</v>
      </c>
      <c r="AQ26" s="367" t="e">
        <f t="shared" ca="1" si="19"/>
        <v>#VALUE!</v>
      </c>
      <c r="AR26" s="367"/>
      <c r="AS26" s="367"/>
      <c r="AT26" s="3">
        <f t="shared" ca="1" si="39"/>
        <v>0</v>
      </c>
      <c r="AU26" s="3" t="str">
        <f t="shared" ca="1" si="20"/>
        <v/>
      </c>
      <c r="AW26" s="3">
        <f t="shared" ca="1" si="21"/>
        <v>0</v>
      </c>
      <c r="AX26" s="3" t="str">
        <f t="shared" ca="1" si="22"/>
        <v/>
      </c>
      <c r="AZ26" s="3">
        <f t="shared" ca="1" si="23"/>
        <v>0</v>
      </c>
      <c r="BA26" s="3" t="str">
        <f t="shared" ca="1" si="24"/>
        <v/>
      </c>
      <c r="BC26" s="3">
        <f t="shared" ca="1" si="25"/>
        <v>0</v>
      </c>
      <c r="BD26" s="3" t="str">
        <f t="shared" ca="1" si="26"/>
        <v/>
      </c>
      <c r="BF26" s="3">
        <f t="shared" ca="1" si="27"/>
        <v>0</v>
      </c>
      <c r="BG26" s="3" t="str">
        <f t="shared" ca="1" si="28"/>
        <v/>
      </c>
      <c r="CE26" s="377">
        <f t="shared" si="50"/>
        <v>15.869980879541101</v>
      </c>
      <c r="CF26" s="3">
        <v>0.33300000000000002</v>
      </c>
      <c r="CG26" s="376">
        <v>25</v>
      </c>
      <c r="CH26" s="376">
        <f t="shared" si="30"/>
        <v>22.605544933078384</v>
      </c>
    </row>
    <row r="27" spans="1:86" ht="16" customHeight="1" thickBot="1">
      <c r="A27" s="3">
        <f>tblTerritories!A24</f>
        <v>22</v>
      </c>
      <c r="B27" s="3">
        <f>tblTerritories!B24</f>
        <v>0</v>
      </c>
      <c r="C27" s="3" t="str">
        <f>tblTerritories!C24</f>
        <v>Rome</v>
      </c>
      <c r="D27" s="3">
        <f>tblTerritories!D24</f>
        <v>1</v>
      </c>
      <c r="F27" s="3">
        <f>tblTerritories!H24</f>
        <v>1</v>
      </c>
      <c r="G27" s="3">
        <f t="shared" si="0"/>
        <v>40.5</v>
      </c>
      <c r="H27" s="294">
        <f>IF(F27=0,"",RANK(G27,G$6:G$35,$I$3)+COUNTIF(G$6:G27,G27)-1)</f>
        <v>13</v>
      </c>
      <c r="I27" s="3">
        <f t="shared" si="1"/>
        <v>12</v>
      </c>
      <c r="J27" s="3">
        <f t="shared" si="41"/>
        <v>1</v>
      </c>
      <c r="K27" s="19">
        <f t="shared" si="2"/>
        <v>22</v>
      </c>
      <c r="L27" s="19">
        <f t="shared" si="3"/>
        <v>1</v>
      </c>
      <c r="M27" s="19">
        <f t="shared" si="4"/>
        <v>1</v>
      </c>
      <c r="N27" s="19"/>
      <c r="O27" s="19"/>
      <c r="P27" s="18">
        <f t="shared" si="42"/>
        <v>22</v>
      </c>
      <c r="Q27" s="3" t="str">
        <f t="shared" si="6"/>
        <v>Hong Kong</v>
      </c>
      <c r="R27" s="20">
        <f t="shared" si="7"/>
        <v>20.5</v>
      </c>
      <c r="S27" s="92">
        <f t="shared" si="43"/>
        <v>40.799999999999997</v>
      </c>
      <c r="T27" s="18">
        <f t="shared" si="44"/>
        <v>20.5</v>
      </c>
      <c r="U27" s="20"/>
      <c r="V27" s="3">
        <f t="shared" si="45"/>
        <v>20.5</v>
      </c>
      <c r="W27" s="3">
        <f>1</f>
        <v>1</v>
      </c>
      <c r="Y27" s="3">
        <v>0</v>
      </c>
      <c r="Z27" s="3">
        <f>IF(Y27=1,tblTerritories!G24,0)</f>
        <v>0</v>
      </c>
      <c r="AA27" s="3" t="e">
        <f t="shared" si="46"/>
        <v>#N/A</v>
      </c>
      <c r="AB27" s="3" t="e">
        <f t="shared" si="47"/>
        <v>#N/A</v>
      </c>
      <c r="AD27" s="3" t="e">
        <f t="shared" si="48"/>
        <v>#N/A</v>
      </c>
      <c r="AE27" s="3" t="e">
        <f t="shared" si="49"/>
        <v>#N/A</v>
      </c>
      <c r="AH27" s="3">
        <f>IF(R27="","",IF(R27&lt;=uxb_works!$B$122,0,IF(R27&lt;=uxb_works!$B$121,1,IF(R27&lt;=uxb_works!$B$120,2,3))))</f>
        <v>0</v>
      </c>
      <c r="AI27" s="3">
        <f t="shared" si="14"/>
        <v>40.799999999999997</v>
      </c>
      <c r="AM27" s="367" t="e">
        <f t="shared" ca="1" si="15"/>
        <v>#VALUE!</v>
      </c>
      <c r="AN27" s="367" t="e">
        <f t="shared" ca="1" si="16"/>
        <v>#VALUE!</v>
      </c>
      <c r="AO27" s="367" t="e">
        <f t="shared" ca="1" si="17"/>
        <v>#VALUE!</v>
      </c>
      <c r="AP27" s="367" t="e">
        <f t="shared" ca="1" si="18"/>
        <v>#VALUE!</v>
      </c>
      <c r="AQ27" s="367" t="e">
        <f t="shared" ca="1" si="19"/>
        <v>#VALUE!</v>
      </c>
      <c r="AR27" s="367"/>
      <c r="AS27" s="367"/>
      <c r="AT27" s="3">
        <f t="shared" ca="1" si="39"/>
        <v>0</v>
      </c>
      <c r="AU27" s="3" t="str">
        <f t="shared" ca="1" si="20"/>
        <v/>
      </c>
      <c r="AW27" s="3">
        <f t="shared" ca="1" si="21"/>
        <v>0</v>
      </c>
      <c r="AX27" s="3" t="str">
        <f t="shared" ca="1" si="22"/>
        <v/>
      </c>
      <c r="AZ27" s="3">
        <f t="shared" ca="1" si="23"/>
        <v>0</v>
      </c>
      <c r="BA27" s="3" t="str">
        <f t="shared" ca="1" si="24"/>
        <v/>
      </c>
      <c r="BC27" s="3">
        <f t="shared" ca="1" si="25"/>
        <v>0</v>
      </c>
      <c r="BD27" s="3" t="str">
        <f t="shared" ca="1" si="26"/>
        <v/>
      </c>
      <c r="BF27" s="3">
        <f t="shared" ca="1" si="27"/>
        <v>0</v>
      </c>
      <c r="BG27" s="3" t="str">
        <f t="shared" ca="1" si="28"/>
        <v/>
      </c>
      <c r="CE27" s="377">
        <f t="shared" si="50"/>
        <v>40.535372848948363</v>
      </c>
      <c r="CF27" s="3">
        <v>0.33300000000000002</v>
      </c>
      <c r="CG27" s="376">
        <v>25</v>
      </c>
      <c r="CH27" s="376">
        <f t="shared" si="30"/>
        <v>22.605544933078384</v>
      </c>
    </row>
    <row r="28" spans="1:86" ht="16" customHeight="1" thickBot="1">
      <c r="A28" s="3">
        <f>tblTerritories!A25</f>
        <v>23</v>
      </c>
      <c r="B28" s="3">
        <f>tblTerritories!B25</f>
        <v>0</v>
      </c>
      <c r="C28" s="3" t="str">
        <f>tblTerritories!C25</f>
        <v>Sao Paulo</v>
      </c>
      <c r="D28" s="3">
        <f>tblTerritories!D25</f>
        <v>1</v>
      </c>
      <c r="F28" s="3">
        <f>tblTerritories!H25</f>
        <v>1</v>
      </c>
      <c r="G28" s="3">
        <f t="shared" si="0"/>
        <v>52.8</v>
      </c>
      <c r="H28" s="294">
        <f>IF(F28=0,"",RANK(G28,G$6:G$35,$I$3)+COUNTIF(G$6:G28,G28)-1)</f>
        <v>9</v>
      </c>
      <c r="I28" s="3">
        <f t="shared" si="1"/>
        <v>11</v>
      </c>
      <c r="J28" s="3">
        <f t="shared" si="41"/>
        <v>1</v>
      </c>
      <c r="K28" s="19">
        <f t="shared" si="2"/>
        <v>23</v>
      </c>
      <c r="L28" s="19">
        <f t="shared" si="3"/>
        <v>1</v>
      </c>
      <c r="M28" s="19">
        <f t="shared" si="4"/>
        <v>1</v>
      </c>
      <c r="N28" s="19"/>
      <c r="O28" s="19"/>
      <c r="P28" s="18">
        <f t="shared" si="42"/>
        <v>23</v>
      </c>
      <c r="Q28" s="3" t="str">
        <f t="shared" si="6"/>
        <v>Frankfurt</v>
      </c>
      <c r="R28" s="20">
        <f t="shared" si="7"/>
        <v>18</v>
      </c>
      <c r="S28" s="92">
        <f t="shared" si="43"/>
        <v>39.5</v>
      </c>
      <c r="T28" s="18">
        <f t="shared" si="44"/>
        <v>18</v>
      </c>
      <c r="U28" s="20"/>
      <c r="V28" s="3">
        <f t="shared" si="45"/>
        <v>18</v>
      </c>
      <c r="W28" s="3">
        <f>1</f>
        <v>1</v>
      </c>
      <c r="Y28" s="3">
        <v>0</v>
      </c>
      <c r="Z28" s="3">
        <f>IF(Y28=1,tblTerritories!G25,0)</f>
        <v>0</v>
      </c>
      <c r="AA28" s="3" t="e">
        <f t="shared" si="46"/>
        <v>#N/A</v>
      </c>
      <c r="AB28" s="3" t="e">
        <f t="shared" si="47"/>
        <v>#N/A</v>
      </c>
      <c r="AD28" s="3" t="e">
        <f t="shared" si="48"/>
        <v>#N/A</v>
      </c>
      <c r="AE28" s="3" t="e">
        <f t="shared" si="49"/>
        <v>#N/A</v>
      </c>
      <c r="AH28" s="3">
        <f>IF(R28="","",IF(R28&lt;=uxb_works!$B$122,0,IF(R28&lt;=uxb_works!$B$121,1,IF(R28&lt;=uxb_works!$B$120,2,3))))</f>
        <v>0</v>
      </c>
      <c r="AI28" s="3">
        <f t="shared" si="14"/>
        <v>39.5</v>
      </c>
      <c r="AM28" s="367" t="e">
        <f t="shared" ca="1" si="15"/>
        <v>#VALUE!</v>
      </c>
      <c r="AN28" s="367" t="e">
        <f t="shared" ca="1" si="16"/>
        <v>#VALUE!</v>
      </c>
      <c r="AO28" s="367" t="e">
        <f t="shared" ca="1" si="17"/>
        <v>#VALUE!</v>
      </c>
      <c r="AP28" s="367" t="e">
        <f t="shared" ca="1" si="18"/>
        <v>#VALUE!</v>
      </c>
      <c r="AQ28" s="367" t="e">
        <f t="shared" ca="1" si="19"/>
        <v>#VALUE!</v>
      </c>
      <c r="AR28" s="367"/>
      <c r="AS28" s="367"/>
      <c r="AT28" s="3">
        <f t="shared" ca="1" si="39"/>
        <v>0</v>
      </c>
      <c r="AU28" s="3" t="str">
        <f t="shared" ca="1" si="20"/>
        <v/>
      </c>
      <c r="AW28" s="3">
        <f t="shared" ca="1" si="21"/>
        <v>0</v>
      </c>
      <c r="AX28" s="3" t="str">
        <f t="shared" ca="1" si="22"/>
        <v/>
      </c>
      <c r="AZ28" s="3">
        <f t="shared" ca="1" si="23"/>
        <v>0</v>
      </c>
      <c r="BA28" s="3" t="str">
        <f t="shared" ca="1" si="24"/>
        <v/>
      </c>
      <c r="BC28" s="3">
        <f t="shared" ca="1" si="25"/>
        <v>0</v>
      </c>
      <c r="BD28" s="3" t="str">
        <f t="shared" ca="1" si="26"/>
        <v/>
      </c>
      <c r="BF28" s="3">
        <f t="shared" ca="1" si="27"/>
        <v>0</v>
      </c>
      <c r="BG28" s="3" t="str">
        <f t="shared" ca="1" si="28"/>
        <v/>
      </c>
      <c r="CE28" s="377">
        <f t="shared" si="50"/>
        <v>52.772466539196941</v>
      </c>
      <c r="CF28" s="3">
        <v>0.33300000000000002</v>
      </c>
      <c r="CG28" s="376">
        <v>25</v>
      </c>
      <c r="CH28" s="376">
        <f t="shared" si="30"/>
        <v>22.605544933078384</v>
      </c>
    </row>
    <row r="29" spans="1:86" ht="16" customHeight="1" thickBot="1">
      <c r="A29" s="3">
        <f>tblTerritories!A26</f>
        <v>24</v>
      </c>
      <c r="B29" s="3">
        <f>tblTerritories!B26</f>
        <v>0</v>
      </c>
      <c r="C29" s="3" t="str">
        <f>tblTerritories!C26</f>
        <v>Seoul</v>
      </c>
      <c r="D29" s="3">
        <f>tblTerritories!D26</f>
        <v>1</v>
      </c>
      <c r="F29" s="3">
        <f>tblTerritories!H26</f>
        <v>1</v>
      </c>
      <c r="G29" s="3">
        <f t="shared" si="0"/>
        <v>34</v>
      </c>
      <c r="H29" s="294">
        <f>IF(F29=0,"",RANK(G29,G$6:G$35,$I$3)+COUNTIF(G$6:G29,G29)-1)</f>
        <v>15</v>
      </c>
      <c r="I29" s="3">
        <f t="shared" si="1"/>
        <v>21</v>
      </c>
      <c r="J29" s="3">
        <f t="shared" si="41"/>
        <v>1</v>
      </c>
      <c r="K29" s="19">
        <f t="shared" si="2"/>
        <v>24</v>
      </c>
      <c r="L29" s="19">
        <f t="shared" si="3"/>
        <v>1</v>
      </c>
      <c r="M29" s="19">
        <f t="shared" si="4"/>
        <v>1</v>
      </c>
      <c r="N29" s="19"/>
      <c r="O29" s="19"/>
      <c r="P29" s="18">
        <f t="shared" si="42"/>
        <v>24</v>
      </c>
      <c r="Q29" s="3" t="str">
        <f t="shared" si="6"/>
        <v>Paris</v>
      </c>
      <c r="R29" s="20">
        <f t="shared" si="7"/>
        <v>15.9</v>
      </c>
      <c r="S29" s="92">
        <f t="shared" si="43"/>
        <v>38.4</v>
      </c>
      <c r="T29" s="18">
        <f t="shared" si="44"/>
        <v>15.9</v>
      </c>
      <c r="U29" s="20"/>
      <c r="V29" s="3">
        <f t="shared" si="45"/>
        <v>15.9</v>
      </c>
      <c r="W29" s="3">
        <f>1</f>
        <v>1</v>
      </c>
      <c r="Y29" s="3">
        <v>0</v>
      </c>
      <c r="Z29" s="3">
        <f>IF(Y29=1,tblTerritories!G26,0)</f>
        <v>0</v>
      </c>
      <c r="AA29" s="3" t="e">
        <f t="shared" si="46"/>
        <v>#N/A</v>
      </c>
      <c r="AB29" s="3" t="e">
        <f t="shared" si="47"/>
        <v>#N/A</v>
      </c>
      <c r="AD29" s="3" t="e">
        <f t="shared" si="48"/>
        <v>#N/A</v>
      </c>
      <c r="AE29" s="3" t="e">
        <f t="shared" si="49"/>
        <v>#N/A</v>
      </c>
      <c r="AH29" s="3">
        <f>IF(R29="","",IF(R29&lt;=uxb_works!$B$122,0,IF(R29&lt;=uxb_works!$B$121,1,IF(R29&lt;=uxb_works!$B$120,2,3))))</f>
        <v>0</v>
      </c>
      <c r="AI29" s="3">
        <f t="shared" si="14"/>
        <v>38.4</v>
      </c>
      <c r="AM29" s="367" t="e">
        <f t="shared" ca="1" si="15"/>
        <v>#VALUE!</v>
      </c>
      <c r="AN29" s="367" t="e">
        <f t="shared" ca="1" si="16"/>
        <v>#VALUE!</v>
      </c>
      <c r="AO29" s="367" t="e">
        <f t="shared" ca="1" si="17"/>
        <v>#VALUE!</v>
      </c>
      <c r="AP29" s="367" t="e">
        <f t="shared" ca="1" si="18"/>
        <v>#VALUE!</v>
      </c>
      <c r="AQ29" s="367" t="e">
        <f t="shared" ca="1" si="19"/>
        <v>#VALUE!</v>
      </c>
      <c r="AR29" s="367"/>
      <c r="AS29" s="367"/>
      <c r="AT29" s="3">
        <f t="shared" ca="1" si="39"/>
        <v>0</v>
      </c>
      <c r="AU29" s="3" t="str">
        <f t="shared" ca="1" si="20"/>
        <v/>
      </c>
      <c r="AW29" s="3">
        <f t="shared" ca="1" si="21"/>
        <v>0</v>
      </c>
      <c r="AX29" s="3" t="str">
        <f t="shared" ca="1" si="22"/>
        <v/>
      </c>
      <c r="AZ29" s="3">
        <f t="shared" ca="1" si="23"/>
        <v>0</v>
      </c>
      <c r="BA29" s="3" t="str">
        <f t="shared" ca="1" si="24"/>
        <v/>
      </c>
      <c r="BC29" s="3">
        <f t="shared" ca="1" si="25"/>
        <v>0</v>
      </c>
      <c r="BD29" s="3" t="str">
        <f t="shared" ca="1" si="26"/>
        <v/>
      </c>
      <c r="BF29" s="3">
        <f t="shared" ca="1" si="27"/>
        <v>0</v>
      </c>
      <c r="BG29" s="3" t="str">
        <f t="shared" ca="1" si="28"/>
        <v/>
      </c>
      <c r="CE29" s="377">
        <f t="shared" si="50"/>
        <v>34.034416826003813</v>
      </c>
      <c r="CF29" s="3">
        <v>0.33300000000000002</v>
      </c>
      <c r="CG29" s="376">
        <v>25</v>
      </c>
      <c r="CH29" s="376">
        <f t="shared" si="30"/>
        <v>22.605544933078384</v>
      </c>
    </row>
    <row r="30" spans="1:86" ht="16" customHeight="1" thickBot="1">
      <c r="A30" s="3">
        <f>tblTerritories!A27</f>
        <v>25</v>
      </c>
      <c r="B30" s="3">
        <f>tblTerritories!B27</f>
        <v>0</v>
      </c>
      <c r="C30" s="3" t="str">
        <f>tblTerritories!C27</f>
        <v>Singapore</v>
      </c>
      <c r="D30" s="3">
        <f>tblTerritories!D27</f>
        <v>1</v>
      </c>
      <c r="F30" s="3">
        <f>tblTerritories!H27</f>
        <v>1</v>
      </c>
      <c r="G30" s="3">
        <f t="shared" si="0"/>
        <v>27.9</v>
      </c>
      <c r="H30" s="294">
        <f>IF(F30=0,"",RANK(G30,G$6:G$35,$I$3)+COUNTIF(G$6:G30,G30)-1)</f>
        <v>19</v>
      </c>
      <c r="I30" s="3">
        <f t="shared" si="1"/>
        <v>30</v>
      </c>
      <c r="J30" s="3">
        <f t="shared" si="41"/>
        <v>1</v>
      </c>
      <c r="K30" s="19">
        <f t="shared" si="2"/>
        <v>25</v>
      </c>
      <c r="L30" s="19">
        <f t="shared" si="3"/>
        <v>1</v>
      </c>
      <c r="M30" s="19">
        <f t="shared" si="4"/>
        <v>1</v>
      </c>
      <c r="N30" s="19"/>
      <c r="O30" s="19"/>
      <c r="P30" s="18">
        <f t="shared" si="42"/>
        <v>25</v>
      </c>
      <c r="Q30" s="3" t="str">
        <f t="shared" si="6"/>
        <v>Zurich</v>
      </c>
      <c r="R30" s="20">
        <f t="shared" si="7"/>
        <v>14.7</v>
      </c>
      <c r="S30" s="92">
        <f t="shared" si="43"/>
        <v>37.799999999999997</v>
      </c>
      <c r="T30" s="18">
        <f t="shared" si="44"/>
        <v>14.7</v>
      </c>
      <c r="U30" s="20"/>
      <c r="V30" s="3">
        <f t="shared" si="45"/>
        <v>14.7</v>
      </c>
      <c r="W30" s="3">
        <f>1</f>
        <v>1</v>
      </c>
      <c r="Y30" s="3">
        <v>0</v>
      </c>
      <c r="Z30" s="3">
        <f>IF(Y30=1,tblTerritories!G27,0)</f>
        <v>0</v>
      </c>
      <c r="AA30" s="3" t="e">
        <f t="shared" si="46"/>
        <v>#N/A</v>
      </c>
      <c r="AB30" s="3" t="e">
        <f t="shared" si="47"/>
        <v>#N/A</v>
      </c>
      <c r="AD30" s="3" t="e">
        <f t="shared" si="48"/>
        <v>#N/A</v>
      </c>
      <c r="AE30" s="3" t="e">
        <f t="shared" si="49"/>
        <v>#N/A</v>
      </c>
      <c r="AH30" s="3">
        <f>IF(R30="","",IF(R30&lt;=uxb_works!$B$122,0,IF(R30&lt;=uxb_works!$B$121,1,IF(R30&lt;=uxb_works!$B$120,2,3))))</f>
        <v>0</v>
      </c>
      <c r="AI30" s="3">
        <f t="shared" si="14"/>
        <v>37.799999999999997</v>
      </c>
      <c r="AM30" s="367" t="e">
        <f t="shared" ca="1" si="15"/>
        <v>#VALUE!</v>
      </c>
      <c r="AN30" s="367" t="e">
        <f t="shared" ca="1" si="16"/>
        <v>#VALUE!</v>
      </c>
      <c r="AO30" s="367" t="e">
        <f t="shared" ca="1" si="17"/>
        <v>#VALUE!</v>
      </c>
      <c r="AP30" s="367" t="e">
        <f t="shared" ca="1" si="18"/>
        <v>#VALUE!</v>
      </c>
      <c r="AQ30" s="367" t="e">
        <f t="shared" ca="1" si="19"/>
        <v>#VALUE!</v>
      </c>
      <c r="AR30" s="367"/>
      <c r="AS30" s="367"/>
      <c r="AT30" s="3">
        <f t="shared" ca="1" si="39"/>
        <v>0</v>
      </c>
      <c r="AU30" s="3" t="str">
        <f t="shared" ca="1" si="20"/>
        <v/>
      </c>
      <c r="AW30" s="3">
        <f t="shared" ca="1" si="21"/>
        <v>0</v>
      </c>
      <c r="AX30" s="3" t="str">
        <f t="shared" ca="1" si="22"/>
        <v/>
      </c>
      <c r="AZ30" s="3">
        <f t="shared" ca="1" si="23"/>
        <v>0</v>
      </c>
      <c r="BA30" s="3" t="str">
        <f t="shared" ca="1" si="24"/>
        <v/>
      </c>
      <c r="BC30" s="3">
        <f t="shared" ca="1" si="25"/>
        <v>0</v>
      </c>
      <c r="BD30" s="3" t="str">
        <f t="shared" ca="1" si="26"/>
        <v/>
      </c>
      <c r="BF30" s="3">
        <f t="shared" ca="1" si="27"/>
        <v>0</v>
      </c>
      <c r="BG30" s="3" t="str">
        <f t="shared" ca="1" si="28"/>
        <v/>
      </c>
      <c r="CE30" s="377">
        <f t="shared" si="50"/>
        <v>27.915869980879542</v>
      </c>
      <c r="CF30" s="3">
        <v>0.33300000000000002</v>
      </c>
      <c r="CG30" s="376">
        <v>25</v>
      </c>
      <c r="CH30" s="376">
        <f t="shared" si="30"/>
        <v>22.605544933078384</v>
      </c>
    </row>
    <row r="31" spans="1:86" ht="16" customHeight="1" thickBot="1">
      <c r="A31" s="3">
        <f>tblTerritories!A28</f>
        <v>26</v>
      </c>
      <c r="B31" s="3">
        <f>tblTerritories!B28</f>
        <v>0</v>
      </c>
      <c r="C31" s="3" t="str">
        <f>tblTerritories!C28</f>
        <v>Sydney</v>
      </c>
      <c r="D31" s="3">
        <f>tblTerritories!D28</f>
        <v>1</v>
      </c>
      <c r="F31" s="3">
        <f>tblTerritories!H28</f>
        <v>1</v>
      </c>
      <c r="G31" s="3">
        <f t="shared" si="0"/>
        <v>0</v>
      </c>
      <c r="H31" s="294">
        <f>IF(F31=0,"",RANK(G31,G$6:G$35,$I$3)+COUNTIF(G$6:G31,G31)-1)</f>
        <v>30</v>
      </c>
      <c r="I31" s="3">
        <f t="shared" si="1"/>
        <v>6</v>
      </c>
      <c r="J31" s="3">
        <f t="shared" si="41"/>
        <v>1</v>
      </c>
      <c r="K31" s="19">
        <f t="shared" si="2"/>
        <v>26</v>
      </c>
      <c r="L31" s="19">
        <f t="shared" si="3"/>
        <v>1</v>
      </c>
      <c r="M31" s="19">
        <f t="shared" si="4"/>
        <v>1</v>
      </c>
      <c r="N31" s="19"/>
      <c r="O31" s="19"/>
      <c r="P31" s="18">
        <f t="shared" si="42"/>
        <v>26</v>
      </c>
      <c r="Q31" s="3" t="str">
        <f t="shared" si="6"/>
        <v>Berlin</v>
      </c>
      <c r="R31" s="20">
        <f t="shared" si="7"/>
        <v>13.2</v>
      </c>
      <c r="S31" s="92">
        <f t="shared" si="43"/>
        <v>37</v>
      </c>
      <c r="T31" s="18">
        <f t="shared" si="44"/>
        <v>13.2</v>
      </c>
      <c r="U31" s="20"/>
      <c r="V31" s="3">
        <f t="shared" si="45"/>
        <v>13.2</v>
      </c>
      <c r="W31" s="3">
        <f>1</f>
        <v>1</v>
      </c>
      <c r="Y31" s="3">
        <v>0</v>
      </c>
      <c r="Z31" s="3">
        <f>IF(Y31=1,tblTerritories!G28,0)</f>
        <v>0</v>
      </c>
      <c r="AA31" s="3" t="e">
        <f t="shared" si="46"/>
        <v>#N/A</v>
      </c>
      <c r="AB31" s="3" t="e">
        <f t="shared" si="47"/>
        <v>#N/A</v>
      </c>
      <c r="AD31" s="3" t="e">
        <f t="shared" si="48"/>
        <v>#N/A</v>
      </c>
      <c r="AE31" s="3" t="e">
        <f t="shared" si="49"/>
        <v>#N/A</v>
      </c>
      <c r="AH31" s="3">
        <f>IF(R31="","",IF(R31&lt;=uxb_works!$B$122,0,IF(R31&lt;=uxb_works!$B$121,1,IF(R31&lt;=uxb_works!$B$120,2,3))))</f>
        <v>0</v>
      </c>
      <c r="AI31" s="3">
        <f t="shared" si="14"/>
        <v>37</v>
      </c>
      <c r="AM31" s="367" t="e">
        <f t="shared" ca="1" si="15"/>
        <v>#VALUE!</v>
      </c>
      <c r="AN31" s="367" t="e">
        <f t="shared" ca="1" si="16"/>
        <v>#VALUE!</v>
      </c>
      <c r="AO31" s="367" t="e">
        <f t="shared" ca="1" si="17"/>
        <v>#VALUE!</v>
      </c>
      <c r="AP31" s="367" t="e">
        <f t="shared" ca="1" si="18"/>
        <v>#VALUE!</v>
      </c>
      <c r="AQ31" s="367" t="e">
        <f t="shared" ca="1" si="19"/>
        <v>#VALUE!</v>
      </c>
      <c r="AR31" s="367"/>
      <c r="AS31" s="367"/>
      <c r="AT31" s="3">
        <f t="shared" ca="1" si="39"/>
        <v>0</v>
      </c>
      <c r="AU31" s="3" t="str">
        <f t="shared" ca="1" si="20"/>
        <v/>
      </c>
      <c r="AW31" s="3">
        <f t="shared" ca="1" si="21"/>
        <v>0</v>
      </c>
      <c r="AX31" s="3" t="str">
        <f t="shared" ca="1" si="22"/>
        <v/>
      </c>
      <c r="AZ31" s="3">
        <f t="shared" ca="1" si="23"/>
        <v>0</v>
      </c>
      <c r="BA31" s="3" t="str">
        <f t="shared" ca="1" si="24"/>
        <v/>
      </c>
      <c r="BC31" s="3">
        <f t="shared" ca="1" si="25"/>
        <v>0</v>
      </c>
      <c r="BD31" s="3" t="str">
        <f t="shared" ca="1" si="26"/>
        <v/>
      </c>
      <c r="BF31" s="3">
        <f t="shared" ca="1" si="27"/>
        <v>0</v>
      </c>
      <c r="BG31" s="3" t="str">
        <f t="shared" ca="1" si="28"/>
        <v/>
      </c>
      <c r="CE31" s="377">
        <f t="shared" si="50"/>
        <v>0</v>
      </c>
      <c r="CF31" s="3">
        <v>0.33300000000000002</v>
      </c>
      <c r="CG31" s="376">
        <v>25</v>
      </c>
      <c r="CH31" s="376">
        <f t="shared" si="30"/>
        <v>22.605544933078384</v>
      </c>
    </row>
    <row r="32" spans="1:86" ht="16" customHeight="1" thickBot="1">
      <c r="A32" s="3">
        <f>tblTerritories!A29</f>
        <v>27</v>
      </c>
      <c r="B32" s="3">
        <f>tblTerritories!B29</f>
        <v>0</v>
      </c>
      <c r="C32" s="3" t="str">
        <f>tblTerritories!C29</f>
        <v>Tokyo</v>
      </c>
      <c r="D32" s="3">
        <f>tblTerritories!D29</f>
        <v>1</v>
      </c>
      <c r="F32" s="3">
        <f>tblTerritories!H29</f>
        <v>1</v>
      </c>
      <c r="G32" s="3">
        <f t="shared" si="0"/>
        <v>8</v>
      </c>
      <c r="H32" s="294">
        <f>IF(F32=0,"",RANK(G32,G$6:G$35,$I$3)+COUNTIF(G$6:G32,G32)-1)</f>
        <v>29</v>
      </c>
      <c r="I32" s="3">
        <f t="shared" si="1"/>
        <v>1</v>
      </c>
      <c r="J32" s="3">
        <f t="shared" si="41"/>
        <v>1</v>
      </c>
      <c r="K32" s="19">
        <f t="shared" si="2"/>
        <v>27</v>
      </c>
      <c r="L32" s="19">
        <f t="shared" si="3"/>
        <v>1</v>
      </c>
      <c r="M32" s="19">
        <f t="shared" si="4"/>
        <v>1</v>
      </c>
      <c r="N32" s="19"/>
      <c r="O32" s="19"/>
      <c r="P32" s="18">
        <f t="shared" si="42"/>
        <v>27</v>
      </c>
      <c r="Q32" s="3" t="str">
        <f t="shared" si="6"/>
        <v>Amsterdam</v>
      </c>
      <c r="R32" s="20">
        <f t="shared" si="7"/>
        <v>12.8</v>
      </c>
      <c r="S32" s="92">
        <f t="shared" si="43"/>
        <v>36.799999999999997</v>
      </c>
      <c r="T32" s="18">
        <f t="shared" si="44"/>
        <v>12.8</v>
      </c>
      <c r="U32" s="20"/>
      <c r="V32" s="3">
        <f t="shared" si="45"/>
        <v>12.8</v>
      </c>
      <c r="W32" s="3">
        <f>1</f>
        <v>1</v>
      </c>
      <c r="Y32" s="3">
        <v>0</v>
      </c>
      <c r="Z32" s="3">
        <f>IF(Y32=1,tblTerritories!G29,0)</f>
        <v>0</v>
      </c>
      <c r="AA32" s="3" t="e">
        <f t="shared" si="46"/>
        <v>#N/A</v>
      </c>
      <c r="AB32" s="3" t="e">
        <f t="shared" si="47"/>
        <v>#N/A</v>
      </c>
      <c r="AD32" s="3" t="e">
        <f t="shared" si="48"/>
        <v>#N/A</v>
      </c>
      <c r="AE32" s="3" t="e">
        <f t="shared" si="49"/>
        <v>#N/A</v>
      </c>
      <c r="AH32" s="3">
        <f>IF(R32="","",IF(R32&lt;=uxb_works!$B$122,0,IF(R32&lt;=uxb_works!$B$121,1,IF(R32&lt;=uxb_works!$B$120,2,3))))</f>
        <v>0</v>
      </c>
      <c r="AI32" s="3">
        <f t="shared" si="14"/>
        <v>36.799999999999997</v>
      </c>
      <c r="AM32" s="367" t="e">
        <f t="shared" ca="1" si="15"/>
        <v>#VALUE!</v>
      </c>
      <c r="AN32" s="367" t="e">
        <f t="shared" ca="1" si="16"/>
        <v>#VALUE!</v>
      </c>
      <c r="AO32" s="367" t="e">
        <f t="shared" ca="1" si="17"/>
        <v>#VALUE!</v>
      </c>
      <c r="AP32" s="367" t="e">
        <f t="shared" ca="1" si="18"/>
        <v>#VALUE!</v>
      </c>
      <c r="AQ32" s="367" t="e">
        <f t="shared" ca="1" si="19"/>
        <v>#VALUE!</v>
      </c>
      <c r="AR32" s="367"/>
      <c r="AS32" s="367"/>
      <c r="AT32" s="3">
        <f t="shared" ca="1" si="39"/>
        <v>0</v>
      </c>
      <c r="AU32" s="3" t="str">
        <f t="shared" ca="1" si="20"/>
        <v/>
      </c>
      <c r="AW32" s="3">
        <f t="shared" ca="1" si="21"/>
        <v>0</v>
      </c>
      <c r="AX32" s="3" t="str">
        <f t="shared" ca="1" si="22"/>
        <v/>
      </c>
      <c r="AZ32" s="3">
        <f t="shared" ca="1" si="23"/>
        <v>0</v>
      </c>
      <c r="BA32" s="3" t="str">
        <f t="shared" ca="1" si="24"/>
        <v/>
      </c>
      <c r="BC32" s="3">
        <f t="shared" ca="1" si="25"/>
        <v>0</v>
      </c>
      <c r="BD32" s="3" t="str">
        <f t="shared" ca="1" si="26"/>
        <v/>
      </c>
      <c r="BF32" s="3">
        <f t="shared" ca="1" si="27"/>
        <v>0</v>
      </c>
      <c r="BG32" s="3" t="str">
        <f t="shared" ca="1" si="28"/>
        <v/>
      </c>
      <c r="CE32" s="377">
        <f t="shared" si="50"/>
        <v>8.0305927342256123</v>
      </c>
      <c r="CF32" s="3">
        <v>0.33300000000000002</v>
      </c>
      <c r="CG32" s="376">
        <v>25</v>
      </c>
      <c r="CH32" s="376">
        <f t="shared" si="30"/>
        <v>22.605544933078384</v>
      </c>
    </row>
    <row r="33" spans="1:86" ht="16" customHeight="1" thickBot="1">
      <c r="A33" s="3">
        <f>tblTerritories!A30</f>
        <v>28</v>
      </c>
      <c r="B33" s="3">
        <f>tblTerritories!B30</f>
        <v>0</v>
      </c>
      <c r="C33" s="3" t="str">
        <f>tblTerritories!C30</f>
        <v>Toronto</v>
      </c>
      <c r="D33" s="3">
        <f>tblTerritories!D30</f>
        <v>1</v>
      </c>
      <c r="F33" s="3">
        <f>tblTerritories!H30</f>
        <v>1</v>
      </c>
      <c r="G33" s="3">
        <f t="shared" si="0"/>
        <v>21.2</v>
      </c>
      <c r="H33" s="294">
        <f>IF(F33=0,"",RANK(G33,G$6:G$35,$I$3)+COUNTIF(G$6:G33,G33)-1)</f>
        <v>21</v>
      </c>
      <c r="I33" s="3">
        <f t="shared" si="1"/>
        <v>15</v>
      </c>
      <c r="J33" s="3">
        <f t="shared" si="41"/>
        <v>1</v>
      </c>
      <c r="K33" s="19">
        <f t="shared" si="2"/>
        <v>28</v>
      </c>
      <c r="L33" s="19">
        <f t="shared" si="3"/>
        <v>1</v>
      </c>
      <c r="M33" s="19">
        <f t="shared" si="4"/>
        <v>1</v>
      </c>
      <c r="N33" s="19"/>
      <c r="O33" s="19"/>
      <c r="P33" s="18">
        <f t="shared" si="42"/>
        <v>28</v>
      </c>
      <c r="Q33" s="3" t="str">
        <f t="shared" si="6"/>
        <v>London</v>
      </c>
      <c r="R33" s="20">
        <f t="shared" si="7"/>
        <v>8.8000000000000007</v>
      </c>
      <c r="S33" s="92">
        <f t="shared" si="43"/>
        <v>34.700000000000003</v>
      </c>
      <c r="T33" s="18">
        <f t="shared" si="44"/>
        <v>8.8000000000000007</v>
      </c>
      <c r="U33" s="20"/>
      <c r="V33" s="3">
        <f t="shared" si="45"/>
        <v>8.8000000000000007</v>
      </c>
      <c r="W33" s="3">
        <f>1</f>
        <v>1</v>
      </c>
      <c r="Y33" s="3">
        <v>0</v>
      </c>
      <c r="Z33" s="3">
        <f>IF(Y33=1,tblTerritories!G30,0)</f>
        <v>0</v>
      </c>
      <c r="AA33" s="3" t="e">
        <f t="shared" si="46"/>
        <v>#N/A</v>
      </c>
      <c r="AB33" s="3" t="e">
        <f t="shared" si="47"/>
        <v>#N/A</v>
      </c>
      <c r="AD33" s="3" t="e">
        <f t="shared" si="48"/>
        <v>#N/A</v>
      </c>
      <c r="AE33" s="3" t="e">
        <f t="shared" si="49"/>
        <v>#N/A</v>
      </c>
      <c r="AH33" s="3">
        <f>IF(R33="","",IF(R33&lt;=uxb_works!$B$122,0,IF(R33&lt;=uxb_works!$B$121,1,IF(R33&lt;=uxb_works!$B$120,2,3))))</f>
        <v>0</v>
      </c>
      <c r="AI33" s="3">
        <f t="shared" si="14"/>
        <v>34.700000000000003</v>
      </c>
      <c r="AM33" s="367" t="e">
        <f t="shared" ca="1" si="15"/>
        <v>#VALUE!</v>
      </c>
      <c r="AN33" s="367" t="e">
        <f t="shared" ca="1" si="16"/>
        <v>#VALUE!</v>
      </c>
      <c r="AO33" s="367" t="e">
        <f t="shared" ca="1" si="17"/>
        <v>#VALUE!</v>
      </c>
      <c r="AP33" s="367" t="e">
        <f t="shared" ca="1" si="18"/>
        <v>#VALUE!</v>
      </c>
      <c r="AQ33" s="367" t="e">
        <f t="shared" ca="1" si="19"/>
        <v>#VALUE!</v>
      </c>
      <c r="AR33" s="367"/>
      <c r="AS33" s="367"/>
      <c r="AT33" s="3">
        <f t="shared" ca="1" si="39"/>
        <v>0</v>
      </c>
      <c r="AU33" s="3" t="str">
        <f t="shared" ca="1" si="20"/>
        <v/>
      </c>
      <c r="AW33" s="3">
        <f t="shared" ca="1" si="21"/>
        <v>0</v>
      </c>
      <c r="AX33" s="3" t="str">
        <f t="shared" ca="1" si="22"/>
        <v/>
      </c>
      <c r="AZ33" s="3">
        <f t="shared" ca="1" si="23"/>
        <v>0</v>
      </c>
      <c r="BA33" s="3" t="str">
        <f t="shared" ca="1" si="24"/>
        <v/>
      </c>
      <c r="BC33" s="3">
        <f t="shared" ca="1" si="25"/>
        <v>0</v>
      </c>
      <c r="BD33" s="3" t="str">
        <f t="shared" ca="1" si="26"/>
        <v/>
      </c>
      <c r="BF33" s="3">
        <f t="shared" ca="1" si="27"/>
        <v>0</v>
      </c>
      <c r="BG33" s="3" t="str">
        <f t="shared" ca="1" si="28"/>
        <v/>
      </c>
      <c r="CE33" s="377">
        <f t="shared" si="50"/>
        <v>21.223709369024856</v>
      </c>
      <c r="CF33" s="3">
        <v>0.33300000000000002</v>
      </c>
      <c r="CG33" s="376">
        <v>25</v>
      </c>
      <c r="CH33" s="376">
        <f t="shared" si="30"/>
        <v>22.605544933078384</v>
      </c>
    </row>
    <row r="34" spans="1:86" ht="16" customHeight="1" thickBot="1">
      <c r="A34" s="3">
        <f>tblTerritories!A31</f>
        <v>29</v>
      </c>
      <c r="B34" s="3">
        <f>tblTerritories!B31</f>
        <v>0</v>
      </c>
      <c r="C34" s="3" t="str">
        <f>tblTerritories!C31</f>
        <v>Washington DC</v>
      </c>
      <c r="D34" s="3">
        <f>tblTerritories!D31</f>
        <v>1</v>
      </c>
      <c r="F34" s="3">
        <f>tblTerritories!H31</f>
        <v>1</v>
      </c>
      <c r="G34" s="3">
        <f t="shared" si="0"/>
        <v>29.4</v>
      </c>
      <c r="H34" s="294">
        <f>IF(F34=0,"",RANK(G34,G$6:G$35,$I$3)+COUNTIF(G$6:G34,G34)-1)</f>
        <v>17</v>
      </c>
      <c r="I34" s="3">
        <f t="shared" si="1"/>
        <v>27</v>
      </c>
      <c r="J34" s="3">
        <f t="shared" si="41"/>
        <v>1</v>
      </c>
      <c r="K34" s="19">
        <f t="shared" si="2"/>
        <v>29</v>
      </c>
      <c r="L34" s="19">
        <f t="shared" si="3"/>
        <v>1</v>
      </c>
      <c r="M34" s="19">
        <f t="shared" si="4"/>
        <v>1</v>
      </c>
      <c r="N34" s="19"/>
      <c r="O34" s="19"/>
      <c r="P34" s="18">
        <f t="shared" si="42"/>
        <v>29</v>
      </c>
      <c r="Q34" s="3" t="str">
        <f t="shared" si="6"/>
        <v>Tokyo</v>
      </c>
      <c r="R34" s="20">
        <f t="shared" si="7"/>
        <v>8</v>
      </c>
      <c r="S34" s="92">
        <f t="shared" si="43"/>
        <v>34.299999999999997</v>
      </c>
      <c r="T34" s="18">
        <f t="shared" si="44"/>
        <v>8</v>
      </c>
      <c r="U34" s="20"/>
      <c r="V34" s="3">
        <f t="shared" si="45"/>
        <v>8</v>
      </c>
      <c r="W34" s="3">
        <f>1</f>
        <v>1</v>
      </c>
      <c r="Y34" s="3">
        <v>0</v>
      </c>
      <c r="Z34" s="3">
        <f>IF(Y34=1,tblTerritories!G31,0)</f>
        <v>0</v>
      </c>
      <c r="AA34" s="3" t="e">
        <f t="shared" si="46"/>
        <v>#N/A</v>
      </c>
      <c r="AB34" s="3" t="e">
        <f t="shared" si="47"/>
        <v>#N/A</v>
      </c>
      <c r="AD34" s="3" t="e">
        <f t="shared" si="48"/>
        <v>#N/A</v>
      </c>
      <c r="AE34" s="3" t="e">
        <f t="shared" si="49"/>
        <v>#N/A</v>
      </c>
      <c r="AH34" s="3">
        <f>IF(R34="","",IF(R34&lt;=uxb_works!$B$122,0,IF(R34&lt;=uxb_works!$B$121,1,IF(R34&lt;=uxb_works!$B$120,2,3))))</f>
        <v>0</v>
      </c>
      <c r="AI34" s="3">
        <f t="shared" si="14"/>
        <v>34.299999999999997</v>
      </c>
      <c r="AM34" s="367" t="e">
        <f t="shared" ca="1" si="15"/>
        <v>#VALUE!</v>
      </c>
      <c r="AN34" s="367" t="e">
        <f t="shared" ca="1" si="16"/>
        <v>#VALUE!</v>
      </c>
      <c r="AO34" s="367" t="e">
        <f t="shared" ca="1" si="17"/>
        <v>#VALUE!</v>
      </c>
      <c r="AP34" s="367" t="e">
        <f t="shared" ca="1" si="18"/>
        <v>#VALUE!</v>
      </c>
      <c r="AQ34" s="367" t="e">
        <f t="shared" ca="1" si="19"/>
        <v>#VALUE!</v>
      </c>
      <c r="AR34" s="367"/>
      <c r="AS34" s="367"/>
      <c r="AT34" s="3">
        <f t="shared" ca="1" si="39"/>
        <v>0</v>
      </c>
      <c r="AU34" s="3" t="str">
        <f t="shared" ca="1" si="20"/>
        <v/>
      </c>
      <c r="AW34" s="3">
        <f t="shared" ca="1" si="21"/>
        <v>0</v>
      </c>
      <c r="AX34" s="3" t="str">
        <f t="shared" ca="1" si="22"/>
        <v/>
      </c>
      <c r="AZ34" s="3">
        <f t="shared" ca="1" si="23"/>
        <v>0</v>
      </c>
      <c r="BA34" s="3" t="str">
        <f t="shared" ca="1" si="24"/>
        <v/>
      </c>
      <c r="BC34" s="3">
        <f t="shared" ca="1" si="25"/>
        <v>0</v>
      </c>
      <c r="BD34" s="3" t="str">
        <f t="shared" ca="1" si="26"/>
        <v/>
      </c>
      <c r="BF34" s="3">
        <f t="shared" ca="1" si="27"/>
        <v>0</v>
      </c>
      <c r="BG34" s="3" t="str">
        <f t="shared" ca="1" si="28"/>
        <v/>
      </c>
      <c r="CE34" s="377">
        <f t="shared" si="50"/>
        <v>29.445506692160606</v>
      </c>
      <c r="CF34" s="3">
        <v>0.33300000000000002</v>
      </c>
      <c r="CG34" s="376">
        <v>25</v>
      </c>
      <c r="CH34" s="376">
        <f t="shared" si="30"/>
        <v>22.605544933078384</v>
      </c>
    </row>
    <row r="35" spans="1:86" ht="16" customHeight="1">
      <c r="A35" s="3">
        <f>tblTerritories!A32</f>
        <v>30</v>
      </c>
      <c r="B35" s="3">
        <f>tblTerritories!B32</f>
        <v>0</v>
      </c>
      <c r="C35" s="3" t="str">
        <f>tblTerritories!C32</f>
        <v>Zurich</v>
      </c>
      <c r="D35" s="3">
        <f>tblTerritories!D32</f>
        <v>1</v>
      </c>
      <c r="F35" s="3">
        <f>tblTerritories!H32</f>
        <v>1</v>
      </c>
      <c r="G35" s="3">
        <f t="shared" si="0"/>
        <v>14.7</v>
      </c>
      <c r="H35" s="294">
        <f>IF(F35=0,"",RANK(G35,G$6:G$35,$I$3)+COUNTIF(G$6:G35,G35)-1)</f>
        <v>25</v>
      </c>
      <c r="I35" s="3">
        <f t="shared" si="1"/>
        <v>26</v>
      </c>
      <c r="J35" s="3">
        <f t="shared" si="41"/>
        <v>1</v>
      </c>
      <c r="K35" s="19">
        <f t="shared" si="2"/>
        <v>30</v>
      </c>
      <c r="L35" s="19">
        <f t="shared" si="3"/>
        <v>1</v>
      </c>
      <c r="M35" s="19">
        <f t="shared" si="4"/>
        <v>1</v>
      </c>
      <c r="N35" s="19"/>
      <c r="O35" s="19"/>
      <c r="P35" s="18">
        <f t="shared" si="42"/>
        <v>30</v>
      </c>
      <c r="Q35" s="3" t="str">
        <f t="shared" si="6"/>
        <v>Sydney</v>
      </c>
      <c r="R35" s="20">
        <f t="shared" si="7"/>
        <v>0</v>
      </c>
      <c r="S35" s="92">
        <f t="shared" si="43"/>
        <v>30.1</v>
      </c>
      <c r="T35" s="18">
        <f t="shared" si="44"/>
        <v>0</v>
      </c>
      <c r="U35" s="20"/>
      <c r="V35" s="3">
        <f t="shared" si="45"/>
        <v>0</v>
      </c>
      <c r="W35" s="3">
        <f>1</f>
        <v>1</v>
      </c>
      <c r="Y35" s="3">
        <v>0</v>
      </c>
      <c r="Z35" s="3">
        <f>IF(Y35=1,tblTerritories!G32,0)</f>
        <v>0</v>
      </c>
      <c r="AA35" s="3" t="e">
        <f t="shared" si="46"/>
        <v>#N/A</v>
      </c>
      <c r="AB35" s="3" t="e">
        <f t="shared" si="47"/>
        <v>#N/A</v>
      </c>
      <c r="AD35" s="3" t="e">
        <f t="shared" si="48"/>
        <v>#N/A</v>
      </c>
      <c r="AE35" s="3" t="e">
        <f t="shared" si="49"/>
        <v>#N/A</v>
      </c>
      <c r="AH35" s="3">
        <f>IF(R35="","",IF(R35&lt;=uxb_works!$B$122,0,IF(R35&lt;=uxb_works!$B$121,1,IF(R35&lt;=uxb_works!$B$120,2,3))))</f>
        <v>0</v>
      </c>
      <c r="AI35" s="3">
        <f t="shared" si="14"/>
        <v>30.1</v>
      </c>
      <c r="AM35" s="367" t="e">
        <f t="shared" ca="1" si="15"/>
        <v>#VALUE!</v>
      </c>
      <c r="AN35" s="367" t="e">
        <f t="shared" ca="1" si="16"/>
        <v>#VALUE!</v>
      </c>
      <c r="AO35" s="367" t="e">
        <f t="shared" ca="1" si="17"/>
        <v>#VALUE!</v>
      </c>
      <c r="AP35" s="367" t="e">
        <f t="shared" ca="1" si="18"/>
        <v>#VALUE!</v>
      </c>
      <c r="AQ35" s="367" t="e">
        <f t="shared" ca="1" si="19"/>
        <v>#VALUE!</v>
      </c>
      <c r="AR35" s="367"/>
      <c r="AS35" s="367"/>
      <c r="AT35" s="3">
        <f t="shared" ca="1" si="39"/>
        <v>0</v>
      </c>
      <c r="AU35" s="3" t="str">
        <f t="shared" ca="1" si="20"/>
        <v/>
      </c>
      <c r="AW35" s="3">
        <f t="shared" ca="1" si="21"/>
        <v>0</v>
      </c>
      <c r="AX35" s="3" t="str">
        <f t="shared" ca="1" si="22"/>
        <v/>
      </c>
      <c r="AZ35" s="3">
        <f t="shared" ca="1" si="23"/>
        <v>0</v>
      </c>
      <c r="BA35" s="3" t="str">
        <f t="shared" ca="1" si="24"/>
        <v/>
      </c>
      <c r="BC35" s="3">
        <f t="shared" ca="1" si="25"/>
        <v>0</v>
      </c>
      <c r="BD35" s="3" t="str">
        <f t="shared" ca="1" si="26"/>
        <v/>
      </c>
      <c r="BF35" s="3">
        <f t="shared" ca="1" si="27"/>
        <v>0</v>
      </c>
      <c r="BG35" s="3" t="str">
        <f t="shared" ca="1" si="28"/>
        <v/>
      </c>
      <c r="CE35" s="377">
        <f t="shared" si="50"/>
        <v>14.722753346080298</v>
      </c>
      <c r="CF35" s="3">
        <v>0.33300000000000002</v>
      </c>
      <c r="CG35" s="376">
        <v>25</v>
      </c>
      <c r="CH35" s="376">
        <f t="shared" si="30"/>
        <v>22.605544933078384</v>
      </c>
    </row>
    <row r="36" spans="1:86" ht="16" customHeight="1">
      <c r="K36" s="19"/>
      <c r="L36" s="19"/>
      <c r="M36" s="19"/>
      <c r="N36" s="19"/>
      <c r="O36" s="19"/>
      <c r="P36" s="18"/>
      <c r="R36" s="20"/>
      <c r="S36" s="92"/>
      <c r="T36" s="18"/>
      <c r="U36" s="18"/>
      <c r="AM36" s="367"/>
      <c r="AN36" s="367"/>
      <c r="AO36" s="367"/>
      <c r="CG36" s="3">
        <v>25</v>
      </c>
    </row>
    <row r="37" spans="1:86" ht="16" customHeight="1">
      <c r="A37" s="3" t="s">
        <v>160</v>
      </c>
      <c r="B37" s="3">
        <f>INDEX(tblTerritories!O4:O6,uxb_works!B8)</f>
        <v>1</v>
      </c>
      <c r="K37" s="19"/>
      <c r="L37" s="19"/>
      <c r="M37" s="19"/>
      <c r="N37" s="19"/>
      <c r="O37" s="19"/>
      <c r="P37" s="18"/>
      <c r="R37" s="20"/>
      <c r="S37" s="92"/>
      <c r="T37" s="18"/>
      <c r="U37" s="18"/>
      <c r="AM37" s="367"/>
      <c r="AN37" s="367"/>
      <c r="AO37" s="367"/>
    </row>
    <row r="38" spans="1:86" ht="16" customHeight="1">
      <c r="A38" s="3" t="s">
        <v>41</v>
      </c>
      <c r="AM38" s="367"/>
      <c r="AN38" s="367"/>
      <c r="AO38" s="367"/>
    </row>
    <row r="39" spans="1:86" ht="16" customHeight="1">
      <c r="J39" s="3">
        <v>1</v>
      </c>
      <c r="R39" s="3" t="e">
        <f>IF(uxb_works!B6&gt;1,INDEX(G5:G35,uxb_works!B6),NA())</f>
        <v>#N/A</v>
      </c>
    </row>
    <row r="41" spans="1:86" ht="16" customHeight="1">
      <c r="U41" s="1"/>
      <c r="AD41" s="1" t="s">
        <v>450</v>
      </c>
    </row>
    <row r="46" spans="1:86" ht="16" customHeight="1">
      <c r="R46" s="20"/>
      <c r="S46" s="20"/>
    </row>
    <row r="47" spans="1:86" ht="16" customHeight="1">
      <c r="R47" s="20"/>
      <c r="S47" s="20"/>
    </row>
    <row r="48" spans="1:86" ht="16" customHeight="1">
      <c r="N48" s="20"/>
    </row>
    <row r="49" spans="14:14" ht="16" customHeight="1">
      <c r="N49" s="20"/>
    </row>
    <row r="50" spans="14:14" ht="16" customHeight="1">
      <c r="N50" s="20"/>
    </row>
    <row r="51" spans="14:14" ht="16" customHeight="1">
      <c r="N51" s="20"/>
    </row>
    <row r="52" spans="14:14" ht="16" customHeight="1">
      <c r="N52" s="20"/>
    </row>
    <row r="53" spans="14:14" ht="16" customHeight="1">
      <c r="N53" s="20"/>
    </row>
    <row r="54" spans="14:14" ht="16" customHeight="1">
      <c r="N54" s="20"/>
    </row>
    <row r="55" spans="14:14" ht="16" customHeight="1">
      <c r="N55" s="20"/>
    </row>
    <row r="56" spans="14:14" ht="16" customHeight="1">
      <c r="N56" s="20"/>
    </row>
  </sheetData>
  <pageMargins left="0.55118110236220474" right="0.55118110236220474" top="0.59055118110236227" bottom="0.78740157480314965" header="0.51181102362204722" footer="0.51181102362204722"/>
  <pageSetup paperSize="9" scale="16" orientation="landscape" r:id="rId1"/>
  <headerFooter alignWithMargins="0">
    <oddHeader>&amp;RCity Water Optimization Index: 2020</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000"/>
    <pageSetUpPr fitToPage="1"/>
  </sheetPr>
  <dimension ref="A1:DH234"/>
  <sheetViews>
    <sheetView showRowColHeaders="0" zoomScaleNormal="100" workbookViewId="0">
      <pane xSplit="7" ySplit="6" topLeftCell="CH7" activePane="bottomRight" state="frozen"/>
      <selection activeCell="CC8" sqref="CC8"/>
      <selection pane="topRight" activeCell="CC8" sqref="CC8"/>
      <selection pane="bottomLeft" activeCell="CC8" sqref="CC8"/>
      <selection pane="bottomRight" activeCell="CW7" sqref="CW7"/>
    </sheetView>
  </sheetViews>
  <sheetFormatPr defaultColWidth="8.7265625" defaultRowHeight="14.5"/>
  <cols>
    <col min="1" max="1" width="7.7265625" style="18" bestFit="1" customWidth="1"/>
    <col min="2" max="2" width="4.453125" style="3" customWidth="1"/>
    <col min="3" max="3" width="8.7265625" style="3"/>
    <col min="4" max="6" width="4.7265625" style="3" customWidth="1"/>
    <col min="7" max="7" width="4.7265625" style="1" customWidth="1"/>
    <col min="8" max="8" width="7" style="18" customWidth="1"/>
    <col min="9" max="9" width="7" style="6" customWidth="1"/>
    <col min="10" max="20" width="7" style="3" customWidth="1"/>
    <col min="21" max="22" width="7" style="37" customWidth="1"/>
    <col min="23" max="28" width="6.1796875" style="37" customWidth="1"/>
    <col min="29" max="29" width="7" style="18" customWidth="1"/>
    <col min="30" max="30" width="5.453125" style="6" bestFit="1" customWidth="1"/>
    <col min="31" max="31" width="4" style="3" customWidth="1"/>
    <col min="32" max="32" width="10.26953125" style="3" bestFit="1" customWidth="1"/>
    <col min="33" max="33" width="4" style="3" customWidth="1"/>
    <col min="34" max="34" width="7.7265625" style="3" customWidth="1"/>
    <col min="35" max="35" width="6.26953125" style="3" customWidth="1"/>
    <col min="36" max="39" width="5" style="3" customWidth="1"/>
    <col min="40" max="41" width="10.7265625" style="3" customWidth="1"/>
    <col min="42" max="45" width="4.7265625" style="37" customWidth="1"/>
    <col min="46" max="47" width="6.1796875" style="37" customWidth="1"/>
    <col min="48" max="49" width="4.7265625" style="37" customWidth="1"/>
    <col min="50" max="50" width="7.7265625" style="18" bestFit="1" customWidth="1"/>
    <col min="51" max="51" width="5.453125" style="6" bestFit="1" customWidth="1"/>
    <col min="52" max="52" width="4" style="3" customWidth="1"/>
    <col min="53" max="53" width="10.26953125" style="3" bestFit="1" customWidth="1"/>
    <col min="54" max="54" width="4" style="3" customWidth="1"/>
    <col min="55" max="55" width="7.7265625" style="3" customWidth="1"/>
    <col min="56" max="56" width="6.7265625" style="3" customWidth="1"/>
    <col min="57" max="57" width="4" style="3" customWidth="1"/>
    <col min="58" max="58" width="8.453125" style="3" customWidth="1"/>
    <col min="59" max="59" width="4" style="3" customWidth="1"/>
    <col min="60" max="60" width="8.26953125" style="3" customWidth="1"/>
    <col min="61" max="62" width="10.7265625" style="3" customWidth="1"/>
    <col min="63" max="66" width="4.453125" style="37" customWidth="1"/>
    <col min="67" max="68" width="6.1796875" style="37" customWidth="1"/>
    <col min="69" max="70" width="4.453125" style="37" customWidth="1"/>
    <col min="71" max="71" width="8" style="18" bestFit="1" customWidth="1"/>
    <col min="72" max="72" width="5.7265625" style="6" bestFit="1" customWidth="1"/>
    <col min="73" max="73" width="4" style="3" customWidth="1"/>
    <col min="74" max="74" width="10.453125" style="3" bestFit="1" customWidth="1"/>
    <col min="75" max="75" width="4" style="3" customWidth="1"/>
    <col min="76" max="76" width="7.7265625" style="3" customWidth="1"/>
    <col min="77" max="78" width="4" style="3" customWidth="1"/>
    <col min="79" max="79" width="8.453125" style="3" customWidth="1"/>
    <col min="80" max="80" width="4" style="3" customWidth="1"/>
    <col min="81" max="81" width="8.26953125" style="3" customWidth="1"/>
    <col min="82" max="83" width="10.7265625" style="3" customWidth="1"/>
    <col min="84" max="87" width="4.453125" style="37" customWidth="1"/>
    <col min="88" max="89" width="6.1796875" style="37" customWidth="1"/>
    <col min="90" max="91" width="4.453125" style="37" customWidth="1"/>
    <col min="92" max="92" width="8" style="18" bestFit="1" customWidth="1"/>
    <col min="93" max="93" width="5.7265625" style="6" bestFit="1" customWidth="1"/>
    <col min="94" max="94" width="4" style="3" customWidth="1"/>
    <col min="95" max="95" width="10.453125" style="3" bestFit="1" customWidth="1"/>
    <col min="96" max="96" width="4" style="3" customWidth="1"/>
    <col min="97" max="97" width="7.7265625" style="3" customWidth="1"/>
    <col min="98" max="99" width="4" style="3" customWidth="1"/>
    <col min="100" max="100" width="8.453125" style="3" customWidth="1"/>
    <col min="101" max="101" width="4" style="3" customWidth="1"/>
    <col min="102" max="102" width="8.26953125" style="3" customWidth="1"/>
    <col min="103" max="104" width="10.7265625" style="3" customWidth="1"/>
    <col min="105" max="108" width="4.453125" style="37" customWidth="1"/>
    <col min="109" max="110" width="6.1796875" style="37" customWidth="1"/>
    <col min="111" max="112" width="4.453125" style="37" customWidth="1"/>
    <col min="113" max="16384" width="8.7265625" style="367"/>
  </cols>
  <sheetData>
    <row r="1" spans="1:112" ht="22.5" customHeight="1">
      <c r="A1" s="18" t="s">
        <v>694</v>
      </c>
      <c r="B1" s="3">
        <f>uxb_works!B8</f>
        <v>1</v>
      </c>
      <c r="E1" s="3">
        <f>uxb_works!B1</f>
        <v>30</v>
      </c>
      <c r="G1" s="3">
        <f>uxb_works!B220</f>
        <v>4</v>
      </c>
    </row>
    <row r="2" spans="1:112" ht="63" customHeight="1" thickBot="1">
      <c r="B2" s="3">
        <f>uxb_works!B10</f>
        <v>1</v>
      </c>
    </row>
    <row r="3" spans="1:112" ht="15" thickBot="1">
      <c r="A3" s="18" t="s">
        <v>695</v>
      </c>
      <c r="B3" s="3">
        <f>uxb_works!B3</f>
        <v>1</v>
      </c>
      <c r="H3" s="1183" t="s">
        <v>696</v>
      </c>
      <c r="I3" s="1184"/>
      <c r="J3" s="1184"/>
      <c r="K3" s="1184"/>
      <c r="L3" s="1185"/>
      <c r="M3" s="1183" t="s">
        <v>697</v>
      </c>
      <c r="N3" s="1184"/>
      <c r="O3" s="1184"/>
      <c r="P3" s="1184"/>
      <c r="W3" s="744"/>
      <c r="X3" s="745"/>
      <c r="Y3" s="746" t="s">
        <v>698</v>
      </c>
      <c r="Z3" s="747"/>
      <c r="AA3" s="745"/>
      <c r="AB3" s="748"/>
      <c r="AC3" s="1183" t="s">
        <v>696</v>
      </c>
      <c r="AD3" s="1184"/>
      <c r="AE3" s="1184"/>
      <c r="AF3" s="1184"/>
      <c r="AG3" s="1185"/>
      <c r="AH3" s="1183" t="s">
        <v>697</v>
      </c>
      <c r="AI3" s="1184"/>
      <c r="AJ3" s="1184"/>
      <c r="AK3" s="1184"/>
      <c r="AR3" s="744"/>
      <c r="AS3" s="745"/>
      <c r="AT3" s="746" t="s">
        <v>698</v>
      </c>
      <c r="AU3" s="747"/>
      <c r="AV3" s="745"/>
      <c r="AW3" s="748"/>
      <c r="AX3" s="1183" t="s">
        <v>696</v>
      </c>
      <c r="AY3" s="1184"/>
      <c r="AZ3" s="1184"/>
      <c r="BA3" s="1184"/>
      <c r="BB3" s="1185"/>
      <c r="BC3" s="1183" t="s">
        <v>697</v>
      </c>
      <c r="BD3" s="1184"/>
      <c r="BE3" s="1184"/>
      <c r="BF3" s="1184"/>
      <c r="BM3" s="744"/>
      <c r="BN3" s="745"/>
      <c r="BO3" s="746" t="s">
        <v>698</v>
      </c>
      <c r="BP3" s="747" t="s">
        <v>35</v>
      </c>
      <c r="BQ3" s="745"/>
      <c r="BR3" s="748"/>
      <c r="BS3" s="1183" t="s">
        <v>696</v>
      </c>
      <c r="BT3" s="1184"/>
      <c r="BU3" s="1184"/>
      <c r="BV3" s="1184"/>
      <c r="BW3" s="1185"/>
      <c r="BX3" s="1183" t="s">
        <v>697</v>
      </c>
      <c r="BY3" s="1184"/>
      <c r="BZ3" s="1184"/>
      <c r="CA3" s="1184"/>
      <c r="CH3" s="744"/>
      <c r="CI3" s="745"/>
      <c r="CJ3" s="746" t="s">
        <v>698</v>
      </c>
      <c r="CK3" s="747"/>
      <c r="CL3" s="745"/>
      <c r="CM3" s="748"/>
      <c r="CN3" s="1183" t="s">
        <v>696</v>
      </c>
      <c r="CO3" s="1184"/>
      <c r="CP3" s="1184"/>
      <c r="CQ3" s="1184"/>
      <c r="CR3" s="1185"/>
      <c r="CS3" s="1183" t="s">
        <v>697</v>
      </c>
      <c r="CT3" s="1184"/>
      <c r="CU3" s="1184"/>
      <c r="CV3" s="1184"/>
      <c r="DC3" s="744"/>
      <c r="DD3" s="745"/>
      <c r="DE3" s="746" t="s">
        <v>698</v>
      </c>
      <c r="DF3" s="747"/>
      <c r="DG3" s="745"/>
      <c r="DH3" s="748"/>
    </row>
    <row r="4" spans="1:112">
      <c r="B4" s="3" t="b">
        <v>0</v>
      </c>
      <c r="H4" s="749">
        <f>H5-1</f>
        <v>0</v>
      </c>
      <c r="W4" s="750"/>
      <c r="Y4" s="751"/>
      <c r="Z4" s="752"/>
      <c r="AB4" s="753"/>
      <c r="AC4" s="749">
        <f>AC5-1</f>
        <v>1</v>
      </c>
      <c r="AR4" s="750"/>
      <c r="AT4" s="751"/>
      <c r="AU4" s="752"/>
      <c r="AW4" s="753"/>
      <c r="AX4" s="749">
        <f>AX5-1</f>
        <v>2</v>
      </c>
      <c r="BM4" s="750"/>
      <c r="BO4" s="751"/>
      <c r="BP4" s="752"/>
      <c r="BR4" s="753"/>
      <c r="BS4" s="749">
        <f>BS5-1</f>
        <v>3</v>
      </c>
      <c r="CH4" s="750"/>
      <c r="CJ4" s="751"/>
      <c r="CK4" s="752"/>
      <c r="CM4" s="753"/>
      <c r="CN4" s="749">
        <f>CN5-1</f>
        <v>4</v>
      </c>
      <c r="DC4" s="750"/>
      <c r="DE4" s="751"/>
      <c r="DF4" s="752"/>
      <c r="DH4" s="753"/>
    </row>
    <row r="5" spans="1:112">
      <c r="H5" s="754">
        <v>1</v>
      </c>
      <c r="W5" s="750"/>
      <c r="Y5" s="751"/>
      <c r="Z5" s="752"/>
      <c r="AB5" s="753"/>
      <c r="AC5" s="754">
        <v>2</v>
      </c>
      <c r="AR5" s="750"/>
      <c r="AT5" s="751"/>
      <c r="AU5" s="752"/>
      <c r="AW5" s="753"/>
      <c r="AX5" s="754">
        <v>3</v>
      </c>
      <c r="BM5" s="750"/>
      <c r="BO5" s="751"/>
      <c r="BP5" s="752"/>
      <c r="BR5" s="753"/>
      <c r="BS5" s="754">
        <v>4</v>
      </c>
      <c r="CH5" s="750"/>
      <c r="CJ5" s="751"/>
      <c r="CK5" s="752"/>
      <c r="CM5" s="753"/>
      <c r="CN5" s="754">
        <v>5</v>
      </c>
      <c r="DC5" s="750"/>
      <c r="DE5" s="751"/>
      <c r="DF5" s="752"/>
      <c r="DH5" s="753"/>
    </row>
    <row r="6" spans="1:112">
      <c r="H6" s="754">
        <f>INDEX(tblIndiSets!$B$5:$B$10,H5)</f>
        <v>1</v>
      </c>
      <c r="M6" s="3">
        <v>1</v>
      </c>
      <c r="N6" s="3" t="s">
        <v>292</v>
      </c>
      <c r="R6" s="3" t="str">
        <f>INDEX(tblIndiSets!$E$5:$E$10,H5)</f>
        <v>OVERALL SCORE</v>
      </c>
      <c r="U6" s="37" t="s">
        <v>2</v>
      </c>
      <c r="V6" s="37" t="s">
        <v>1</v>
      </c>
      <c r="W6" s="750" t="s">
        <v>699</v>
      </c>
      <c r="X6" s="37" t="s">
        <v>700</v>
      </c>
      <c r="Y6" s="751" t="s">
        <v>2</v>
      </c>
      <c r="Z6" s="752"/>
      <c r="AB6" s="753"/>
      <c r="AC6" s="3">
        <f>INDEX(tblIndiSets!$B$5:$B$10,AC5)</f>
        <v>2</v>
      </c>
      <c r="AH6" s="3">
        <v>2</v>
      </c>
      <c r="AM6" s="3" t="str">
        <f>INDEX(tblIndiSets!$E$5:$E$10,AC5)</f>
        <v>1) CONNECTIVITY</v>
      </c>
      <c r="AP6" s="37" t="s">
        <v>218</v>
      </c>
      <c r="AR6" s="750" t="s">
        <v>699</v>
      </c>
      <c r="AS6" s="37" t="s">
        <v>700</v>
      </c>
      <c r="AT6" s="751" t="s">
        <v>2</v>
      </c>
      <c r="AU6" s="752"/>
      <c r="AW6" s="753"/>
      <c r="AX6" s="3">
        <f>INDEX(tblIndiSets!$B$5:$B$10,AX5)</f>
        <v>16</v>
      </c>
      <c r="BC6" s="3">
        <f>AX6</f>
        <v>16</v>
      </c>
      <c r="BH6" s="3" t="str">
        <f>INDEX(tblIndiSets!$E$5:$E$10,AX5)</f>
        <v>2) SERVICES</v>
      </c>
      <c r="BK6" s="37" t="s">
        <v>218</v>
      </c>
      <c r="BM6" s="750" t="s">
        <v>699</v>
      </c>
      <c r="BN6" s="37" t="s">
        <v>700</v>
      </c>
      <c r="BO6" s="751" t="s">
        <v>2</v>
      </c>
      <c r="BP6" s="752" t="s">
        <v>1</v>
      </c>
      <c r="BR6" s="753"/>
      <c r="BS6" s="3">
        <f>INDEX(tblIndiSets!$B$5:$B$10,BS5)</f>
        <v>37</v>
      </c>
      <c r="BX6" s="3">
        <f>BS6</f>
        <v>37</v>
      </c>
      <c r="CC6" s="3" t="str">
        <f>INDEX(tblIndiSets!$E$5:$E$10,BS5)</f>
        <v>3) CULTURE</v>
      </c>
      <c r="CF6" s="37" t="s">
        <v>218</v>
      </c>
      <c r="CH6" s="750" t="s">
        <v>699</v>
      </c>
      <c r="CI6" s="37" t="s">
        <v>700</v>
      </c>
      <c r="CJ6" s="751" t="s">
        <v>2</v>
      </c>
      <c r="CK6" s="752"/>
      <c r="CM6" s="753"/>
      <c r="CN6" s="3">
        <f>INDEX(tblIndiSets!$B$5:$B$10,CN5)</f>
        <v>57</v>
      </c>
      <c r="CS6" s="3">
        <f>CN6</f>
        <v>57</v>
      </c>
      <c r="CX6" s="3" t="str">
        <f>INDEX(tblIndiSets!$E$5:$E$10,CN5)</f>
        <v>4) SUSTAINABILITY</v>
      </c>
      <c r="DA6" s="37" t="s">
        <v>218</v>
      </c>
      <c r="DC6" s="750" t="s">
        <v>699</v>
      </c>
      <c r="DD6" s="37" t="s">
        <v>700</v>
      </c>
      <c r="DE6" s="751" t="s">
        <v>2</v>
      </c>
      <c r="DF6" s="752"/>
      <c r="DH6" s="753"/>
    </row>
    <row r="7" spans="1:112" ht="15" thickBot="1">
      <c r="B7" s="3" t="s">
        <v>702</v>
      </c>
      <c r="D7" s="3" t="s">
        <v>29</v>
      </c>
      <c r="E7" s="3" t="s">
        <v>30</v>
      </c>
      <c r="F7" s="3" t="s">
        <v>44</v>
      </c>
      <c r="H7" s="18" t="s">
        <v>31</v>
      </c>
      <c r="I7" s="6" t="s">
        <v>35</v>
      </c>
      <c r="J7" s="3" t="s">
        <v>33</v>
      </c>
      <c r="K7" s="3" t="s">
        <v>703</v>
      </c>
      <c r="L7" s="3" t="s">
        <v>704</v>
      </c>
      <c r="M7" s="18" t="s">
        <v>31</v>
      </c>
      <c r="N7" s="6" t="s">
        <v>35</v>
      </c>
      <c r="P7" s="3" t="s">
        <v>701</v>
      </c>
      <c r="Q7" s="3" t="s">
        <v>705</v>
      </c>
      <c r="T7" s="18" t="s">
        <v>31</v>
      </c>
      <c r="V7" s="37" t="s">
        <v>706</v>
      </c>
      <c r="W7" s="750"/>
      <c r="Y7" s="751"/>
      <c r="Z7" s="752"/>
      <c r="AB7" s="753"/>
      <c r="AC7" s="18" t="s">
        <v>31</v>
      </c>
      <c r="AD7" s="6" t="s">
        <v>35</v>
      </c>
      <c r="AE7" s="3" t="s">
        <v>33</v>
      </c>
      <c r="AF7" s="3" t="s">
        <v>703</v>
      </c>
      <c r="AG7" s="3" t="s">
        <v>704</v>
      </c>
      <c r="AH7" s="18"/>
      <c r="AI7" s="6"/>
      <c r="AL7" s="3" t="s">
        <v>705</v>
      </c>
      <c r="AO7" s="18" t="s">
        <v>31</v>
      </c>
      <c r="AQ7" s="37" t="s">
        <v>706</v>
      </c>
      <c r="AR7" s="750"/>
      <c r="AT7" s="751"/>
      <c r="AU7" s="752"/>
      <c r="AW7" s="753"/>
      <c r="AX7" s="18" t="s">
        <v>31</v>
      </c>
      <c r="AY7" s="6" t="s">
        <v>35</v>
      </c>
      <c r="AZ7" s="3" t="s">
        <v>33</v>
      </c>
      <c r="BA7" s="3" t="s">
        <v>703</v>
      </c>
      <c r="BB7" s="3" t="s">
        <v>704</v>
      </c>
      <c r="BC7" s="18" t="s">
        <v>31</v>
      </c>
      <c r="BD7" s="6" t="s">
        <v>35</v>
      </c>
      <c r="BF7" s="3" t="s">
        <v>701</v>
      </c>
      <c r="BG7" s="3" t="s">
        <v>705</v>
      </c>
      <c r="BJ7" s="18" t="s">
        <v>31</v>
      </c>
      <c r="BL7" s="37" t="s">
        <v>706</v>
      </c>
      <c r="BM7" s="750"/>
      <c r="BO7" s="751"/>
      <c r="BP7" s="752"/>
      <c r="BR7" s="753"/>
      <c r="BS7" s="18" t="s">
        <v>31</v>
      </c>
      <c r="BT7" s="6" t="s">
        <v>35</v>
      </c>
      <c r="BU7" s="3" t="s">
        <v>33</v>
      </c>
      <c r="BV7" s="3" t="s">
        <v>703</v>
      </c>
      <c r="BW7" s="3" t="s">
        <v>704</v>
      </c>
      <c r="BX7" s="18" t="s">
        <v>31</v>
      </c>
      <c r="BY7" s="6" t="s">
        <v>35</v>
      </c>
      <c r="CA7" s="3" t="s">
        <v>701</v>
      </c>
      <c r="CB7" s="3" t="s">
        <v>705</v>
      </c>
      <c r="CE7" s="18" t="s">
        <v>31</v>
      </c>
      <c r="CG7" s="37" t="s">
        <v>706</v>
      </c>
      <c r="CH7" s="750"/>
      <c r="CJ7" s="751"/>
      <c r="CK7" s="752"/>
      <c r="CM7" s="753"/>
      <c r="CN7" s="18" t="s">
        <v>31</v>
      </c>
      <c r="CO7" s="6" t="s">
        <v>35</v>
      </c>
      <c r="CP7" s="3" t="s">
        <v>33</v>
      </c>
      <c r="CQ7" s="3" t="s">
        <v>703</v>
      </c>
      <c r="CR7" s="3" t="s">
        <v>704</v>
      </c>
      <c r="CS7" s="18" t="s">
        <v>31</v>
      </c>
      <c r="CT7" s="6" t="s">
        <v>35</v>
      </c>
      <c r="CV7" s="3" t="s">
        <v>701</v>
      </c>
      <c r="CW7" s="3" t="s">
        <v>705</v>
      </c>
      <c r="CZ7" s="18" t="s">
        <v>31</v>
      </c>
      <c r="DB7" s="37" t="s">
        <v>706</v>
      </c>
      <c r="DC7" s="750"/>
      <c r="DE7" s="751"/>
      <c r="DF7" s="752"/>
      <c r="DH7" s="753"/>
    </row>
    <row r="8" spans="1:112">
      <c r="A8" s="18">
        <f>tblTerritories!A3</f>
        <v>1</v>
      </c>
      <c r="B8" s="3">
        <f>IF(tblTerritories!F3="",0,tblTerritories!F3)</f>
        <v>1</v>
      </c>
      <c r="C8" s="3" t="str">
        <f>tblTerritories!C3</f>
        <v>Amsterdam</v>
      </c>
      <c r="E8" s="3">
        <f>tblTerritories!K3</f>
        <v>1</v>
      </c>
      <c r="F8" s="3">
        <f>IF($A8="","",VLOOKUP(C8,tblTerritories!$J$3:$P$21,7,FALSE)+10)</f>
        <v>12</v>
      </c>
      <c r="H8" s="18">
        <f t="shared" ref="H8" si="0">IF($B8=0,"",ROUND(INDEX(aScores,H$6,$A8),$B$3))</f>
        <v>74.599999999999994</v>
      </c>
      <c r="I8" s="6">
        <f>IF($B8=0,"",RANK(H8,H$8:H$38,0)+COUNTIF(H$8:H8,H8)-1)</f>
        <v>2</v>
      </c>
      <c r="J8" s="3">
        <f t="shared" ref="J8:J38" si="1">IF(ISERROR(MATCH($A8,I$8:I$38,0)),"",MATCH($A8,I$8:I$38,0))</f>
        <v>8</v>
      </c>
      <c r="K8" s="19">
        <f t="shared" ref="K8:K38" si="2">IF(ISERROR(RANK(U8,U$8:U$38)),"",IF(OR($A8="",J8=""),"",RANK(U8,U$8:U$38)))</f>
        <v>1</v>
      </c>
      <c r="L8" s="19">
        <f t="shared" ref="L8:L38" si="3">IF(J8="","",COUNTIF(U$8:U$38,U8))</f>
        <v>1</v>
      </c>
      <c r="M8" s="18">
        <f t="shared" ref="M8" si="4">IF($B8=0,"",ROUND(INDEX(aScoresRounded,M$6,$A8),$B$3))</f>
        <v>74.599999999999994</v>
      </c>
      <c r="N8" s="6">
        <f>IF($B8=0,"",RANK(M8,M$8:M$38,0)+COUNTIF(M$8:M8,M8)-1)</f>
        <v>2</v>
      </c>
      <c r="P8" s="19">
        <f t="shared" ref="P8:P16" si="5">IFERROR(N8-I8,"")</f>
        <v>0</v>
      </c>
      <c r="Q8" s="19">
        <f t="shared" ref="Q8:Q38" si="6">IF(J8="",0,INDEX($B$8:$B$38,J8))</f>
        <v>1</v>
      </c>
      <c r="R8" s="755">
        <f t="shared" ref="R8:R38" si="7">IF(OR(S8="AVERAGE",J8=""),"",IF(L8&gt;1,CONCATENATE("=",K8),K8))</f>
        <v>1</v>
      </c>
      <c r="S8" s="756" t="str">
        <f t="shared" ref="S8:S38" si="8">IF(J8="","",INDEX($C$8:$C$38,J8))</f>
        <v>Copenhagen</v>
      </c>
      <c r="T8" s="757">
        <f t="shared" ref="T8:T38" si="9">IF(J8="","",INDEX(H$8:H$38,J8))</f>
        <v>81.5</v>
      </c>
      <c r="U8" s="758">
        <f t="shared" ref="U8:U38" si="10">IF(S8=$C$38,"",T8)</f>
        <v>81.5</v>
      </c>
      <c r="V8" s="20">
        <f t="shared" ref="V8:V38" si="11">IF(OR(S8=$C$38,J8=""),"",INDEX(M$8:M$38,J8))</f>
        <v>81.5</v>
      </c>
      <c r="W8" s="759" t="str">
        <f t="shared" ref="W8:W38" si="12">IF(R8="","",IF(U8-V8=0,"=",U8-V8))</f>
        <v>=</v>
      </c>
      <c r="X8" s="760" t="str">
        <f t="shared" ref="X8:X38" si="13">IF(OR($B$4,W8="=",S8=$C$38,R8=""),"",IF(W8&gt;0,"p",IF(W8&lt;0,"q","")))</f>
        <v/>
      </c>
      <c r="Y8" s="761">
        <f t="shared" ref="Y8" ca="1" si="14">IF(OR(Q8=4,Q8=0),"",RANK(U8,OFFSET(aScoresRounded,$M$6-1,0,1,$E$1)))</f>
        <v>1</v>
      </c>
      <c r="Z8" s="762"/>
      <c r="AA8" s="763"/>
      <c r="AB8" s="764"/>
      <c r="AC8" s="18">
        <f t="shared" ref="AC8:AC37" si="15">IF($B8=0,"",ROUND(INDEX(aScoresRounded,AC$6,$A8),$B$3))</f>
        <v>77</v>
      </c>
      <c r="AD8" s="6">
        <f>IF($B8=0,"",RANK(AC8,AC$8:AC$38,0)+COUNTIF(AC$8:AC8,AC8)-1)</f>
        <v>6</v>
      </c>
      <c r="AE8" s="3">
        <f t="shared" ref="AE8:AE38" si="16">IF(ISERROR(MATCH($A8,AD$8:AD$38,0)),"",MATCH($A8,AD$8:AD$38,0))</f>
        <v>8</v>
      </c>
      <c r="AF8" s="19">
        <f t="shared" ref="AF8:AF38" si="17">IF(ISERROR(RANK(AP8,AP$8:AP$38)),"",IF(OR($A8="",AE8=""),"",RANK(AP8,AP$8:AP$38)))</f>
        <v>1</v>
      </c>
      <c r="AG8" s="19">
        <f t="shared" ref="AG8:AG38" si="18">IF(AE8="","",COUNTIF(AP$8:AP$38,AP8))</f>
        <v>1</v>
      </c>
      <c r="AH8" s="18">
        <f t="shared" ref="AH8:AH37" si="19">IF($B8=0,"",ROUND(INDEX(aScoresRounded,AH$6,$A8),$B$3))</f>
        <v>77</v>
      </c>
      <c r="AI8" s="6">
        <f>IF($B8=0,"",RANK(AH8,AH$8:AH$38,0)+COUNTIF(AH$8:AH8,AH8)-1)</f>
        <v>6</v>
      </c>
      <c r="AK8" s="19">
        <f>IFERROR(AI8-AD8,"")</f>
        <v>0</v>
      </c>
      <c r="AL8" s="19">
        <f t="shared" ref="AL8:AL38" si="20">IF(AE8="",0,INDEX($B$8:$B$38,AE8))</f>
        <v>1</v>
      </c>
      <c r="AM8" s="765">
        <f>IF(OR(AN8="AVERAGE",AE8="",AO8=-100),"",IF(AG8&gt;1,CONCATENATE("=",AF8),AF8))</f>
        <v>1</v>
      </c>
      <c r="AN8" s="756" t="str">
        <f t="shared" ref="AN8:AN38" si="21">IF(AE8="","",INDEX($C$8:$C$38,AE8))</f>
        <v>Copenhagen</v>
      </c>
      <c r="AO8" s="757">
        <f t="shared" ref="AO8:AO38" si="22">IF(AE8="","",INDEX(AC$8:AC$38,AE8))</f>
        <v>85.4</v>
      </c>
      <c r="AP8" s="758">
        <f t="shared" ref="AP8:AP38" si="23">IF(AN8=$C$38,"",AO8)</f>
        <v>85.4</v>
      </c>
      <c r="AQ8" s="20">
        <f t="shared" ref="AQ8:AQ38" si="24">IF(OR(AN8=$C$38,AE8=""),"",INDEX(AH$8:AH$38,AE8))</f>
        <v>85.4</v>
      </c>
      <c r="AR8" s="759" t="str">
        <f t="shared" ref="AR8:AR38" si="25">IF(AM8="","",IF(AP8-AQ8=0,"=",AP8-AQ8))</f>
        <v>=</v>
      </c>
      <c r="AS8" s="760" t="str">
        <f t="shared" ref="AS8:AS38" si="26">IF(OR($B$4,AR8="=",AN8=$C$38,AM8=""),"",IF(AR8&gt;0,"p",IF(AR8&lt;0,"q","")))</f>
        <v/>
      </c>
      <c r="AT8" s="761">
        <f t="shared" ref="AT8:AT38" ca="1" si="27">IF(OR(AL8=4,AL8=0),"",RANK(AP8,OFFSET(aScoresRounded,AH$6-1,0,1,$E$1)))</f>
        <v>1</v>
      </c>
      <c r="AU8" s="762"/>
      <c r="AV8" s="763"/>
      <c r="AW8" s="764"/>
      <c r="AX8" s="18">
        <f t="shared" ref="AX8:AX37" si="28">IF($B8=0,"",ROUND(INDEX(aScores,AX$6,$A8),$B$3))</f>
        <v>73.2</v>
      </c>
      <c r="AY8" s="6">
        <f>IF($B8=0,"",RANK(AX8,AX$8:AX$38,0)+COUNTIF(AX$8:AX8,AX8)-1)</f>
        <v>4</v>
      </c>
      <c r="AZ8" s="3">
        <f t="shared" ref="AZ8:AZ38" si="29">IF(ISERROR(MATCH($A8,AY$8:AY$38,0)),"",MATCH($A8,AY$8:AY$38,0))</f>
        <v>8</v>
      </c>
      <c r="BA8" s="19">
        <f t="shared" ref="BA8:BA38" si="30">IF(ISERROR(RANK(BK8,BK$8:BK$38)),"",IF(OR($A8="",AZ8=""),"",RANK(BK8,BK$8:BK$38)))</f>
        <v>1</v>
      </c>
      <c r="BB8" s="19">
        <f t="shared" ref="BB8:BB38" si="31">IF(AZ8="","",COUNTIF(BK$8:BK$38,BK8))</f>
        <v>1</v>
      </c>
      <c r="BC8" s="18">
        <f t="shared" ref="BC8:BC37" si="32">IF($B8=0,"",ROUND(INDEX(aScoresRounded,BC$6,$A8),$B$3))</f>
        <v>73.2</v>
      </c>
      <c r="BD8" s="6">
        <f>IF($B8=0,"",RANK(BC8,BC$8:BC$38,0)+COUNTIF(BC$8:BC8,BC8)-1)</f>
        <v>4</v>
      </c>
      <c r="BF8" s="19">
        <f>BD8-AY8</f>
        <v>0</v>
      </c>
      <c r="BG8" s="19">
        <f t="shared" ref="BG8:BG38" si="33">IF(AZ8="",0,INDEX($B$8:$B$38,AZ8))</f>
        <v>1</v>
      </c>
      <c r="BH8" s="765">
        <f>IF(OR(BI8="AVERAGE",AZ8="",BJ8=-100),"",IF(BB8&gt;1,CONCATENATE("=",BA8),BA8))</f>
        <v>1</v>
      </c>
      <c r="BI8" s="756" t="str">
        <f t="shared" ref="BI8:BI38" si="34">IF(AZ8="","",INDEX($C$8:$C$38,AZ8))</f>
        <v>Copenhagen</v>
      </c>
      <c r="BJ8" s="757">
        <f t="shared" ref="BJ8:BJ38" si="35">IF(AZ8="","",INDEX(AX$8:AX$38,AZ8))</f>
        <v>79.3</v>
      </c>
      <c r="BK8" s="758">
        <f t="shared" ref="BK8:BK38" si="36">IF(BI8=$C$38,"",BJ8)</f>
        <v>79.3</v>
      </c>
      <c r="BL8" s="20">
        <f t="shared" ref="BL8:BL38" si="37">IF(OR(BI8=$C$38,AZ8=""),"",INDEX(BC$8:BC$38,AZ8))</f>
        <v>79.3</v>
      </c>
      <c r="BM8" s="759" t="str">
        <f t="shared" ref="BM8:BM38" si="38">IF(BH8="","",IF(BK8-BL8=0,"=",BK8-BL8))</f>
        <v>=</v>
      </c>
      <c r="BN8" s="760" t="str">
        <f t="shared" ref="BN8:BN38" si="39">IF(OR($B$4,BM8="=",BI8=$C$38,BH8=""),"",IF(BM8&gt;0,"p",IF(BM8&lt;0,"q","")))</f>
        <v/>
      </c>
      <c r="BO8" s="761">
        <f t="shared" ref="BO8:BO38" ca="1" si="40">IF(OR(BG8=4,BG8=0),"",RANK(BK8,OFFSET(aScoresRounded,AX$6-1,0,1,$E$1)))</f>
        <v>1</v>
      </c>
      <c r="BP8" s="762" t="str">
        <f t="shared" ref="BP8:BP38" ca="1" si="41">IF(OR(BG8=4,BG8=0),"",IFERROR(RANK(BL8,CHOOSE($G$1,OFFSET(aScoresRounded,AX$6-1,0,1,$E$1),OFFSET(aScores_2018,BC$6-1,0,1,$E$1),OFFSET(aScores_2016,BC$6-1,0,1,$E$1),OFFSET(aScores_2018,BC$6-1,0,1,$E$1))),""))</f>
        <v/>
      </c>
      <c r="BQ8" s="763"/>
      <c r="BR8" s="764"/>
      <c r="BS8" s="18">
        <f t="shared" ref="BS8:BS37" si="42">IF($B8=0,"",ROUND(INDEX(aScores,BS$6,$A8),$B$3))</f>
        <v>62.1</v>
      </c>
      <c r="BT8" s="6">
        <f>IF($B8=0,"",RANK(BS8,BS$8:BS$38,0)+COUNTIF(BS$8:BS8,BS8)-1)</f>
        <v>15</v>
      </c>
      <c r="BU8" s="3">
        <f t="shared" ref="BU8:BU38" si="43">IF(ISERROR(MATCH($A8,BT$8:BT$38,0)),"",MATCH($A8,BT$8:BT$38,0))</f>
        <v>20</v>
      </c>
      <c r="BV8" s="19">
        <f t="shared" ref="BV8:BV38" si="44">IF(ISERROR(RANK(CF8,CF$8:CF$38)),"",IF(OR($A8="",BU8=""),"",RANK(CF8,CF$8:CF$38)))</f>
        <v>1</v>
      </c>
      <c r="BW8" s="19">
        <f t="shared" ref="BW8:BW38" si="45">IF(BU8="","",COUNTIF(CF$8:CF$38,CF8))</f>
        <v>1</v>
      </c>
      <c r="BX8" s="18">
        <f t="shared" ref="BX8:BX37" si="46">IF($B8=0,"",ROUND(INDEX(aScoresRounded,BX$6,$A8),$B$3))</f>
        <v>62.1</v>
      </c>
      <c r="BY8" s="6">
        <f>IF($B8=0,"",RANK(BX8,BX$8:BX$38,0)+COUNTIF(BX$8:BX8,BX8)-1)</f>
        <v>15</v>
      </c>
      <c r="CA8" s="19" t="str">
        <f>IF(BY8=BT8,"=",BY8-BT8)</f>
        <v>=</v>
      </c>
      <c r="CB8" s="19">
        <f t="shared" ref="CB8:CB38" si="47">IF(BU8="",0,INDEX($B$8:$B$38,BU8))</f>
        <v>1</v>
      </c>
      <c r="CC8" s="765">
        <f>IF(OR(CD8="AVERAGE",BU8="",CE8=-100),"",IF(BW8&gt;1,CONCATENATE("=",BV8),BV8))</f>
        <v>1</v>
      </c>
      <c r="CD8" s="756" t="str">
        <f t="shared" ref="CD8:CD38" si="48">IF(BU8="","",INDEX($C$8:$C$38,BU8))</f>
        <v>New York</v>
      </c>
      <c r="CE8" s="757">
        <f t="shared" ref="CE8:CE38" si="49">IF(BU8="","",INDEX(BS$8:BS$38,BU8))</f>
        <v>73.599999999999994</v>
      </c>
      <c r="CF8" s="758">
        <f t="shared" ref="CF8:CF38" si="50">IF(CD8=$C$38,"",CE8)</f>
        <v>73.599999999999994</v>
      </c>
      <c r="CG8" s="20">
        <f t="shared" ref="CG8:CG38" si="51">IF(OR(CD8=$C$38,BU8=""),"",INDEX(BX$8:BX$38,BU8))</f>
        <v>73.599999999999994</v>
      </c>
      <c r="CH8" s="759" t="str">
        <f t="shared" ref="CH8:CH38" si="52">IF(CC8="","",IF(CF8-CG8=0,"=",CF8-CG8))</f>
        <v>=</v>
      </c>
      <c r="CI8" s="760" t="str">
        <f t="shared" ref="CI8:CI38" si="53">IF(OR($B$4,CH8="=",CD8=$C$38,CC8=""),"",IF(CH8&gt;0,"p",IF(CH8&lt;0,"q","")))</f>
        <v/>
      </c>
      <c r="CJ8" s="766">
        <f t="shared" ref="CJ8:CJ38" ca="1" si="54">IF(OR(CB8=4,CB8=0),"",RANK(CF8,OFFSET(aScoresRounded,BS$6-1,0,1,$E$1)))</f>
        <v>1</v>
      </c>
      <c r="CK8" s="767"/>
      <c r="CL8" s="763"/>
      <c r="CM8" s="764"/>
      <c r="CN8" s="18">
        <f t="shared" ref="CN8:CN37" si="55">IF($B8=0,"",ROUND(INDEX(aScores,CN$6,$A8),$B$3))</f>
        <v>85.4</v>
      </c>
      <c r="CO8" s="6">
        <f>IF($B8=0,"",RANK(CN8,CN$8:CN$38,0)+COUNTIF(CN$8:CN8,CN8)-1)</f>
        <v>6</v>
      </c>
      <c r="CP8" s="3">
        <f t="shared" ref="CP8:CP38" si="56">IF(ISERROR(MATCH($A8,CO$8:CO$38,0)),"",MATCH($A8,CO$8:CO$38,0))</f>
        <v>8</v>
      </c>
      <c r="CQ8" s="19">
        <f t="shared" ref="CQ8:CQ38" si="57">IF(ISERROR(RANK(DA8,DA$8:DA$38)),"",IF(OR($A8="",CP8=""),"",RANK(DA8,DA$8:DA$38)))</f>
        <v>1</v>
      </c>
      <c r="CR8" s="19">
        <f t="shared" ref="CR8:CR38" si="58">IF(CP8="","",COUNTIF(DA$8:DA$38,DA8))</f>
        <v>1</v>
      </c>
      <c r="CS8" s="18">
        <f t="shared" ref="CS8:CS37" si="59">IF($B8=0,"",ROUND(INDEX(aScoresRounded,CS$6,$A8),$B$3))</f>
        <v>85.4</v>
      </c>
      <c r="CT8" s="6">
        <f>IF($B8=0,"",RANK(CS8,CS$8:CS$38,0)+COUNTIF(CS$8:CS8,CS8)-1)</f>
        <v>6</v>
      </c>
      <c r="CV8" s="19" t="str">
        <f>IF(CT8=CO8,"=",CT8-CO8)</f>
        <v>=</v>
      </c>
      <c r="CW8" s="19">
        <f t="shared" ref="CW8:CW38" si="60">IF(CP8="",0,INDEX($B$8:$B$38,CP8))</f>
        <v>1</v>
      </c>
      <c r="CX8" s="765">
        <f>IF(OR(CY8="AVERAGE",CP8="",CZ8=-100),"",IF(CR8&gt;1,CONCATENATE("=",CQ8),CQ8))</f>
        <v>1</v>
      </c>
      <c r="CY8" s="756" t="str">
        <f t="shared" ref="CY8:CY38" si="61">IF(CP8="","",INDEX($C$8:$C$38,CP8))</f>
        <v>Copenhagen</v>
      </c>
      <c r="CZ8" s="757">
        <f t="shared" ref="CZ8:CZ38" si="62">IF(CP8="","",INDEX(CN$8:CN$38,CP8))</f>
        <v>92.6</v>
      </c>
      <c r="DA8" s="758">
        <f t="shared" ref="DA8:DA38" si="63">IF(CY8=$C$38,"",CZ8)</f>
        <v>92.6</v>
      </c>
      <c r="DB8" s="20">
        <f t="shared" ref="DB8:DB38" si="64">IF(OR(CY8=$C$38,CP8=""),"",INDEX(CS$8:CS$38,CP8))</f>
        <v>92.6</v>
      </c>
      <c r="DC8" s="759" t="str">
        <f t="shared" ref="DC8:DC38" si="65">IF(CX8="","",IF(DA8-DB8=0,"=",DA8-DB8))</f>
        <v>=</v>
      </c>
      <c r="DD8" s="760" t="str">
        <f t="shared" ref="DD8:DD38" si="66">IF(OR($B$4,DC8="=",CY8=$C$38,CX8=""),"",IF(DC8&gt;0,"p",IF(DC8&lt;0,"q","")))</f>
        <v/>
      </c>
      <c r="DE8" s="766">
        <f t="shared" ref="DE8:DE38" ca="1" si="67">IF(OR(CW8=4,CW8=0),"",RANK(DA8,OFFSET(aScoresRounded,CN$6-1,0,1,$E$1)))</f>
        <v>1</v>
      </c>
      <c r="DF8" s="767"/>
      <c r="DG8" s="763"/>
      <c r="DH8" s="764"/>
    </row>
    <row r="9" spans="1:112">
      <c r="A9" s="18">
        <f>tblTerritories!A4</f>
        <v>2</v>
      </c>
      <c r="B9" s="3">
        <f>IF(tblTerritories!F4="",0,tblTerritories!F4)</f>
        <v>1</v>
      </c>
      <c r="C9" s="3" t="str">
        <f>tblTerritories!C4</f>
        <v>Auckland</v>
      </c>
      <c r="E9" s="3">
        <f>tblTerritories!K4</f>
        <v>1</v>
      </c>
      <c r="F9" s="3">
        <f>IF($A9="","",VLOOKUP(C9,tblTerritories!$J$3:$P$21,7,FALSE)+10)</f>
        <v>11</v>
      </c>
      <c r="H9" s="18">
        <f t="shared" ref="H9:H37" si="68">IF($B9=0,"",ROUND(INDEX(aScores,H$6,$A9),$B$3))</f>
        <v>60.1</v>
      </c>
      <c r="I9" s="6">
        <f>IF($B9=0,"",RANK(H9,H$8:H$38,0)+COUNTIF(H$8:H9,H9)-1)</f>
        <v>23</v>
      </c>
      <c r="J9" s="3">
        <f t="shared" si="1"/>
        <v>1</v>
      </c>
      <c r="K9" s="19">
        <f t="shared" si="2"/>
        <v>2</v>
      </c>
      <c r="L9" s="19">
        <f t="shared" si="3"/>
        <v>1</v>
      </c>
      <c r="M9" s="18">
        <f t="shared" ref="M9:M37" si="69">IF($B9=0,"",ROUND(INDEX(aScoresRounded,M$6,$A9),$B$3))</f>
        <v>60.1</v>
      </c>
      <c r="N9" s="6">
        <f>IF($B9=0,"",RANK(M9,M$8:M$38,0)+COUNTIF(M$8:M9,M9)-1)</f>
        <v>23</v>
      </c>
      <c r="P9" s="19">
        <f t="shared" si="5"/>
        <v>0</v>
      </c>
      <c r="Q9" s="19">
        <f t="shared" si="6"/>
        <v>1</v>
      </c>
      <c r="R9" s="768">
        <f t="shared" si="7"/>
        <v>2</v>
      </c>
      <c r="S9" s="3" t="str">
        <f t="shared" si="8"/>
        <v>Amsterdam</v>
      </c>
      <c r="T9" s="20">
        <f t="shared" si="9"/>
        <v>74.599999999999994</v>
      </c>
      <c r="U9" s="764">
        <f t="shared" si="10"/>
        <v>74.599999999999994</v>
      </c>
      <c r="V9" s="20">
        <f t="shared" si="11"/>
        <v>74.599999999999994</v>
      </c>
      <c r="W9" s="759" t="str">
        <f t="shared" si="12"/>
        <v>=</v>
      </c>
      <c r="X9" s="760" t="str">
        <f t="shared" si="13"/>
        <v/>
      </c>
      <c r="Y9" s="761">
        <f t="shared" ref="Y9:Y38" ca="1" si="70">IF(OR(Q9=4,Q9=0),"",RANK(U9,OFFSET(aScoresRounded,$M$6-1,0,1,$E$1)))</f>
        <v>2</v>
      </c>
      <c r="Z9" s="762"/>
      <c r="AA9" s="763"/>
      <c r="AB9" s="764"/>
      <c r="AC9" s="18">
        <f t="shared" si="15"/>
        <v>59.7</v>
      </c>
      <c r="AD9" s="6">
        <f>IF($B9=0,"",RANK(AC9,AC$8:AC$38,0)+COUNTIF(AC$8:AC9,AC9)-1)</f>
        <v>23</v>
      </c>
      <c r="AE9" s="3">
        <f t="shared" si="16"/>
        <v>25</v>
      </c>
      <c r="AF9" s="19">
        <f t="shared" si="17"/>
        <v>2</v>
      </c>
      <c r="AG9" s="19">
        <f t="shared" si="18"/>
        <v>1</v>
      </c>
      <c r="AH9" s="18">
        <f t="shared" si="19"/>
        <v>59.7</v>
      </c>
      <c r="AI9" s="6">
        <f>IF($B9=0,"",RANK(AH9,AH$8:AH$38,0)+COUNTIF(AH$8:AH9,AH9)-1)</f>
        <v>23</v>
      </c>
      <c r="AK9" s="19">
        <f t="shared" ref="AK9:AK16" si="71">IFERROR(AI9-AD9,"")</f>
        <v>0</v>
      </c>
      <c r="AL9" s="19">
        <f t="shared" si="20"/>
        <v>1</v>
      </c>
      <c r="AM9" s="769">
        <f t="shared" ref="AM9:AM38" si="72">IF(OR(AN9="AVERAGE",AE9="",AO9=-100),"",IF(AG9&gt;1,CONCATENATE("=",AF9),AF9))</f>
        <v>2</v>
      </c>
      <c r="AN9" s="3" t="str">
        <f t="shared" si="21"/>
        <v>Singapore</v>
      </c>
      <c r="AO9" s="20">
        <f t="shared" si="22"/>
        <v>83.1</v>
      </c>
      <c r="AP9" s="764">
        <f t="shared" si="23"/>
        <v>83.1</v>
      </c>
      <c r="AQ9" s="20">
        <f t="shared" si="24"/>
        <v>83.1</v>
      </c>
      <c r="AR9" s="759" t="str">
        <f t="shared" si="25"/>
        <v>=</v>
      </c>
      <c r="AS9" s="760" t="str">
        <f t="shared" si="26"/>
        <v/>
      </c>
      <c r="AT9" s="761">
        <f t="shared" ca="1" si="27"/>
        <v>2</v>
      </c>
      <c r="AU9" s="762"/>
      <c r="AV9" s="763"/>
      <c r="AW9" s="764"/>
      <c r="AX9" s="18">
        <f t="shared" si="28"/>
        <v>49.5</v>
      </c>
      <c r="AY9" s="6">
        <f>IF($B9=0,"",RANK(AX9,AX$8:AX$38,0)+COUNTIF(AX$8:AX9,AX9)-1)</f>
        <v>26</v>
      </c>
      <c r="AZ9" s="3">
        <f t="shared" si="29"/>
        <v>6</v>
      </c>
      <c r="BA9" s="19">
        <f t="shared" si="30"/>
        <v>2</v>
      </c>
      <c r="BB9" s="19">
        <f t="shared" si="31"/>
        <v>1</v>
      </c>
      <c r="BC9" s="18">
        <f t="shared" si="32"/>
        <v>49.5</v>
      </c>
      <c r="BD9" s="6">
        <f>IF($B9=0,"",RANK(BC9,BC$8:BC$38,0)+COUNTIF(BC$8:BC9,BC9)-1)</f>
        <v>26</v>
      </c>
      <c r="BF9" s="19">
        <f t="shared" ref="BF9:BF38" si="73">BD9-AY9</f>
        <v>0</v>
      </c>
      <c r="BG9" s="19">
        <f t="shared" si="33"/>
        <v>1</v>
      </c>
      <c r="BH9" s="769">
        <f t="shared" ref="BH9:BH38" si="74">IF(OR(BI9="AVERAGE",AZ9="",BJ9=-100),"",IF(BB9&gt;1,CONCATENATE("=",BA9),BA9))</f>
        <v>2</v>
      </c>
      <c r="BI9" s="3" t="str">
        <f t="shared" si="34"/>
        <v>Berlin</v>
      </c>
      <c r="BJ9" s="20">
        <f t="shared" si="35"/>
        <v>73.8</v>
      </c>
      <c r="BK9" s="764">
        <f t="shared" si="36"/>
        <v>73.8</v>
      </c>
      <c r="BL9" s="20">
        <f t="shared" si="37"/>
        <v>73.8</v>
      </c>
      <c r="BM9" s="759" t="str">
        <f t="shared" si="38"/>
        <v>=</v>
      </c>
      <c r="BN9" s="760" t="str">
        <f t="shared" si="39"/>
        <v/>
      </c>
      <c r="BO9" s="761">
        <f t="shared" ca="1" si="40"/>
        <v>2</v>
      </c>
      <c r="BP9" s="762" t="str">
        <f t="shared" ca="1" si="41"/>
        <v/>
      </c>
      <c r="BQ9" s="763"/>
      <c r="BR9" s="764"/>
      <c r="BS9" s="18">
        <f t="shared" si="42"/>
        <v>67</v>
      </c>
      <c r="BT9" s="6">
        <f>IF($B9=0,"",RANK(BS9,BS$8:BS$38,0)+COUNTIF(BS$8:BS9,BS9)-1)</f>
        <v>7</v>
      </c>
      <c r="BU9" s="3">
        <f t="shared" si="43"/>
        <v>29</v>
      </c>
      <c r="BV9" s="19">
        <f t="shared" si="44"/>
        <v>2</v>
      </c>
      <c r="BW9" s="19">
        <f t="shared" si="45"/>
        <v>1</v>
      </c>
      <c r="BX9" s="18">
        <f t="shared" si="46"/>
        <v>67</v>
      </c>
      <c r="BY9" s="6">
        <f>IF($B9=0,"",RANK(BX9,BX$8:BX$38,0)+COUNTIF(BX$8:BX9,BX9)-1)</f>
        <v>7</v>
      </c>
      <c r="CA9" s="19" t="str">
        <f t="shared" ref="CA9:CA16" si="75">IF(BY9=BT9,"=",BY9-BT9)</f>
        <v>=</v>
      </c>
      <c r="CB9" s="19">
        <f t="shared" si="47"/>
        <v>1</v>
      </c>
      <c r="CC9" s="769">
        <f t="shared" ref="CC9:CC38" si="76">IF(OR(CD9="AVERAGE",BU9="",CE9=-100),"",IF(BW9&gt;1,CONCATENATE("=",BV9),BV9))</f>
        <v>2</v>
      </c>
      <c r="CD9" s="3" t="str">
        <f t="shared" si="48"/>
        <v>Washington DC</v>
      </c>
      <c r="CE9" s="20">
        <f t="shared" si="49"/>
        <v>69.2</v>
      </c>
      <c r="CF9" s="764">
        <f t="shared" si="50"/>
        <v>69.2</v>
      </c>
      <c r="CG9" s="20">
        <f t="shared" si="51"/>
        <v>69.2</v>
      </c>
      <c r="CH9" s="759" t="str">
        <f t="shared" si="52"/>
        <v>=</v>
      </c>
      <c r="CI9" s="760" t="str">
        <f t="shared" si="53"/>
        <v/>
      </c>
      <c r="CJ9" s="766">
        <f t="shared" ca="1" si="54"/>
        <v>2</v>
      </c>
      <c r="CK9" s="767"/>
      <c r="CL9" s="763"/>
      <c r="CM9" s="764"/>
      <c r="CN9" s="18">
        <f t="shared" si="55"/>
        <v>68.099999999999994</v>
      </c>
      <c r="CO9" s="6">
        <f>IF($B9=0,"",RANK(CN9,CN$8:CN$38,0)+COUNTIF(CN$8:CN9,CN9)-1)</f>
        <v>17</v>
      </c>
      <c r="CP9" s="3">
        <f t="shared" si="56"/>
        <v>24</v>
      </c>
      <c r="CQ9" s="19">
        <f t="shared" si="57"/>
        <v>2</v>
      </c>
      <c r="CR9" s="19">
        <f t="shared" si="58"/>
        <v>1</v>
      </c>
      <c r="CS9" s="18">
        <f t="shared" si="59"/>
        <v>68.099999999999994</v>
      </c>
      <c r="CT9" s="6">
        <f>IF($B9=0,"",RANK(CS9,CS$8:CS$38,0)+COUNTIF(CS$8:CS9,CS9)-1)</f>
        <v>17</v>
      </c>
      <c r="CV9" s="19" t="str">
        <f t="shared" ref="CV9:CV37" si="77">IF(CT9=CO9,"=",CT9-CO9)</f>
        <v>=</v>
      </c>
      <c r="CW9" s="19">
        <f t="shared" si="60"/>
        <v>1</v>
      </c>
      <c r="CX9" s="769">
        <f t="shared" ref="CX9:CX38" si="78">IF(OR(CY9="AVERAGE",CP9="",CZ9=-100),"",IF(CR9&gt;1,CONCATENATE("=",CQ9),CQ9))</f>
        <v>2</v>
      </c>
      <c r="CY9" s="3" t="str">
        <f t="shared" si="61"/>
        <v>Seoul</v>
      </c>
      <c r="CZ9" s="20">
        <f t="shared" si="62"/>
        <v>92.1</v>
      </c>
      <c r="DA9" s="764">
        <f t="shared" si="63"/>
        <v>92.1</v>
      </c>
      <c r="DB9" s="20">
        <f t="shared" si="64"/>
        <v>92.1</v>
      </c>
      <c r="DC9" s="759" t="str">
        <f t="shared" si="65"/>
        <v>=</v>
      </c>
      <c r="DD9" s="760" t="str">
        <f t="shared" si="66"/>
        <v/>
      </c>
      <c r="DE9" s="766">
        <f t="shared" ca="1" si="67"/>
        <v>2</v>
      </c>
      <c r="DF9" s="767"/>
      <c r="DG9" s="763"/>
      <c r="DH9" s="764"/>
    </row>
    <row r="10" spans="1:112">
      <c r="A10" s="18">
        <f>tblTerritories!A5</f>
        <v>3</v>
      </c>
      <c r="B10" s="3">
        <f>IF(tblTerritories!F5="",0,tblTerritories!F5)</f>
        <v>1</v>
      </c>
      <c r="C10" s="3" t="str">
        <f>tblTerritories!C5</f>
        <v>Bangkok</v>
      </c>
      <c r="E10" s="3">
        <f>tblTerritories!K5</f>
        <v>1</v>
      </c>
      <c r="F10" s="3">
        <f>IF($A10="","",VLOOKUP(C10,tblTerritories!$J$3:$P$21,7,FALSE)+10)</f>
        <v>10</v>
      </c>
      <c r="H10" s="18">
        <f t="shared" si="68"/>
        <v>49.1</v>
      </c>
      <c r="I10" s="6">
        <f>IF($B10=0,"",RANK(H10,H$8:H$38,0)+COUNTIF(H$8:H10,H10)-1)</f>
        <v>26</v>
      </c>
      <c r="J10" s="3">
        <f t="shared" si="1"/>
        <v>5</v>
      </c>
      <c r="K10" s="19">
        <f t="shared" si="2"/>
        <v>3</v>
      </c>
      <c r="L10" s="19">
        <f t="shared" si="3"/>
        <v>1</v>
      </c>
      <c r="M10" s="18">
        <f t="shared" si="69"/>
        <v>49.1</v>
      </c>
      <c r="N10" s="6">
        <f>IF($B10=0,"",RANK(M10,M$8:M$38,0)+COUNTIF(M$8:M10,M10)-1)</f>
        <v>26</v>
      </c>
      <c r="P10" s="19">
        <f t="shared" si="5"/>
        <v>0</v>
      </c>
      <c r="Q10" s="19">
        <f t="shared" si="6"/>
        <v>1</v>
      </c>
      <c r="R10" s="768">
        <f t="shared" si="7"/>
        <v>3</v>
      </c>
      <c r="S10" s="3" t="str">
        <f t="shared" si="8"/>
        <v>Beijing</v>
      </c>
      <c r="T10" s="20">
        <f t="shared" si="9"/>
        <v>73.7</v>
      </c>
      <c r="U10" s="764">
        <f t="shared" si="10"/>
        <v>73.7</v>
      </c>
      <c r="V10" s="20">
        <f t="shared" si="11"/>
        <v>73.7</v>
      </c>
      <c r="W10" s="759" t="str">
        <f t="shared" si="12"/>
        <v>=</v>
      </c>
      <c r="X10" s="760" t="str">
        <f t="shared" si="13"/>
        <v/>
      </c>
      <c r="Y10" s="761">
        <f t="shared" ca="1" si="70"/>
        <v>3</v>
      </c>
      <c r="Z10" s="762"/>
      <c r="AA10" s="763"/>
      <c r="AB10" s="764"/>
      <c r="AC10" s="18">
        <f t="shared" si="15"/>
        <v>55.3</v>
      </c>
      <c r="AD10" s="6">
        <f>IF($B10=0,"",RANK(AC10,AC$8:AC$38,0)+COUNTIF(AC$8:AC10,AC10)-1)</f>
        <v>26</v>
      </c>
      <c r="AE10" s="3">
        <f t="shared" si="16"/>
        <v>30</v>
      </c>
      <c r="AF10" s="19">
        <f t="shared" si="17"/>
        <v>3</v>
      </c>
      <c r="AG10" s="19">
        <f t="shared" si="18"/>
        <v>1</v>
      </c>
      <c r="AH10" s="18">
        <f t="shared" si="19"/>
        <v>55.3</v>
      </c>
      <c r="AI10" s="6">
        <f>IF($B10=0,"",RANK(AH10,AH$8:AH$38,0)+COUNTIF(AH$8:AH10,AH10)-1)</f>
        <v>26</v>
      </c>
      <c r="AK10" s="19">
        <f t="shared" si="71"/>
        <v>0</v>
      </c>
      <c r="AL10" s="19">
        <f t="shared" si="20"/>
        <v>1</v>
      </c>
      <c r="AM10" s="769">
        <f t="shared" si="72"/>
        <v>3</v>
      </c>
      <c r="AN10" s="3" t="str">
        <f t="shared" si="21"/>
        <v>Zurich</v>
      </c>
      <c r="AO10" s="20">
        <f t="shared" si="22"/>
        <v>81</v>
      </c>
      <c r="AP10" s="764">
        <f t="shared" si="23"/>
        <v>81</v>
      </c>
      <c r="AQ10" s="20">
        <f t="shared" si="24"/>
        <v>81</v>
      </c>
      <c r="AR10" s="759" t="str">
        <f t="shared" si="25"/>
        <v>=</v>
      </c>
      <c r="AS10" s="760" t="str">
        <f t="shared" si="26"/>
        <v/>
      </c>
      <c r="AT10" s="761">
        <f t="shared" ca="1" si="27"/>
        <v>3</v>
      </c>
      <c r="AU10" s="762"/>
      <c r="AV10" s="763"/>
      <c r="AW10" s="764"/>
      <c r="AX10" s="18">
        <f t="shared" si="28"/>
        <v>52.6</v>
      </c>
      <c r="AY10" s="6">
        <f>IF($B10=0,"",RANK(AX10,AX$8:AX$38,0)+COUNTIF(AX$8:AX10,AX10)-1)</f>
        <v>24</v>
      </c>
      <c r="AZ10" s="3">
        <f t="shared" si="29"/>
        <v>15</v>
      </c>
      <c r="BA10" s="19">
        <f t="shared" si="30"/>
        <v>3</v>
      </c>
      <c r="BB10" s="19">
        <f t="shared" si="31"/>
        <v>1</v>
      </c>
      <c r="BC10" s="18">
        <f t="shared" si="32"/>
        <v>52.6</v>
      </c>
      <c r="BD10" s="6">
        <f>IF($B10=0,"",RANK(BC10,BC$8:BC$38,0)+COUNTIF(BC$8:BC10,BC10)-1)</f>
        <v>24</v>
      </c>
      <c r="BF10" s="19">
        <f t="shared" si="73"/>
        <v>0</v>
      </c>
      <c r="BG10" s="19">
        <f t="shared" si="33"/>
        <v>1</v>
      </c>
      <c r="BH10" s="769">
        <f t="shared" si="74"/>
        <v>3</v>
      </c>
      <c r="BI10" s="3" t="str">
        <f t="shared" si="34"/>
        <v>London</v>
      </c>
      <c r="BJ10" s="20">
        <f t="shared" si="35"/>
        <v>73.5</v>
      </c>
      <c r="BK10" s="764">
        <f t="shared" si="36"/>
        <v>73.5</v>
      </c>
      <c r="BL10" s="20">
        <f t="shared" si="37"/>
        <v>73.5</v>
      </c>
      <c r="BM10" s="759" t="str">
        <f t="shared" si="38"/>
        <v>=</v>
      </c>
      <c r="BN10" s="760" t="str">
        <f t="shared" si="39"/>
        <v/>
      </c>
      <c r="BO10" s="761">
        <f t="shared" ca="1" si="40"/>
        <v>3</v>
      </c>
      <c r="BP10" s="762" t="str">
        <f t="shared" ca="1" si="41"/>
        <v/>
      </c>
      <c r="BQ10" s="763"/>
      <c r="BR10" s="764"/>
      <c r="BS10" s="18">
        <f t="shared" si="42"/>
        <v>43.4</v>
      </c>
      <c r="BT10" s="6">
        <f>IF($B10=0,"",RANK(BS10,BS$8:BS$38,0)+COUNTIF(BS$8:BS10,BS10)-1)</f>
        <v>31</v>
      </c>
      <c r="BU10" s="3">
        <f t="shared" si="43"/>
        <v>28</v>
      </c>
      <c r="BV10" s="19">
        <f t="shared" si="44"/>
        <v>3</v>
      </c>
      <c r="BW10" s="19">
        <f t="shared" si="45"/>
        <v>1</v>
      </c>
      <c r="BX10" s="18">
        <f t="shared" si="46"/>
        <v>43.4</v>
      </c>
      <c r="BY10" s="6">
        <f>IF($B10=0,"",RANK(BX10,BX$8:BX$38,0)+COUNTIF(BX$8:BX10,BX10)-1)</f>
        <v>31</v>
      </c>
      <c r="CA10" s="19" t="str">
        <f t="shared" si="75"/>
        <v>=</v>
      </c>
      <c r="CB10" s="19">
        <f t="shared" si="47"/>
        <v>1</v>
      </c>
      <c r="CC10" s="769">
        <f t="shared" si="76"/>
        <v>3</v>
      </c>
      <c r="CD10" s="3" t="str">
        <f t="shared" si="48"/>
        <v>Toronto</v>
      </c>
      <c r="CE10" s="20">
        <f t="shared" si="49"/>
        <v>68.400000000000006</v>
      </c>
      <c r="CF10" s="764">
        <f t="shared" si="50"/>
        <v>68.400000000000006</v>
      </c>
      <c r="CG10" s="20">
        <f t="shared" si="51"/>
        <v>68.400000000000006</v>
      </c>
      <c r="CH10" s="759" t="str">
        <f t="shared" si="52"/>
        <v>=</v>
      </c>
      <c r="CI10" s="760" t="str">
        <f t="shared" si="53"/>
        <v/>
      </c>
      <c r="CJ10" s="766">
        <f t="shared" ca="1" si="54"/>
        <v>3</v>
      </c>
      <c r="CK10" s="767"/>
      <c r="CL10" s="763"/>
      <c r="CM10" s="764"/>
      <c r="CN10" s="18">
        <f t="shared" si="55"/>
        <v>41.3</v>
      </c>
      <c r="CO10" s="6">
        <f>IF($B10=0,"",RANK(CN10,CN$8:CN$38,0)+COUNTIF(CN$8:CN10,CN10)-1)</f>
        <v>27</v>
      </c>
      <c r="CP10" s="3">
        <f t="shared" si="56"/>
        <v>28</v>
      </c>
      <c r="CQ10" s="19">
        <f t="shared" si="57"/>
        <v>3</v>
      </c>
      <c r="CR10" s="19">
        <f t="shared" si="58"/>
        <v>1</v>
      </c>
      <c r="CS10" s="18">
        <f t="shared" si="59"/>
        <v>41.3</v>
      </c>
      <c r="CT10" s="6">
        <f>IF($B10=0,"",RANK(CS10,CS$8:CS$38,0)+COUNTIF(CS$8:CS10,CS10)-1)</f>
        <v>27</v>
      </c>
      <c r="CV10" s="19" t="str">
        <f t="shared" si="77"/>
        <v>=</v>
      </c>
      <c r="CW10" s="19">
        <f t="shared" si="60"/>
        <v>1</v>
      </c>
      <c r="CX10" s="769">
        <f t="shared" si="78"/>
        <v>3</v>
      </c>
      <c r="CY10" s="3" t="str">
        <f t="shared" si="61"/>
        <v>Toronto</v>
      </c>
      <c r="CZ10" s="20">
        <f t="shared" si="62"/>
        <v>90.5</v>
      </c>
      <c r="DA10" s="764">
        <f t="shared" si="63"/>
        <v>90.5</v>
      </c>
      <c r="DB10" s="20">
        <f t="shared" si="64"/>
        <v>90.5</v>
      </c>
      <c r="DC10" s="759" t="str">
        <f t="shared" si="65"/>
        <v>=</v>
      </c>
      <c r="DD10" s="760" t="str">
        <f t="shared" si="66"/>
        <v/>
      </c>
      <c r="DE10" s="766">
        <f t="shared" ca="1" si="67"/>
        <v>3</v>
      </c>
      <c r="DF10" s="767"/>
      <c r="DG10" s="763"/>
      <c r="DH10" s="764"/>
    </row>
    <row r="11" spans="1:112">
      <c r="A11" s="18">
        <f>tblTerritories!A6</f>
        <v>4</v>
      </c>
      <c r="B11" s="3">
        <f>IF(tblTerritories!F6="",0,tblTerritories!F6)</f>
        <v>1</v>
      </c>
      <c r="C11" s="3" t="str">
        <f>tblTerritories!C6</f>
        <v>Barcelona</v>
      </c>
      <c r="E11" s="3">
        <f>tblTerritories!K6</f>
        <v>1</v>
      </c>
      <c r="F11" s="3">
        <f>IF($A11="","",VLOOKUP(C11,tblTerritories!$J$3:$P$21,7,FALSE)+10)</f>
        <v>10</v>
      </c>
      <c r="H11" s="18">
        <f t="shared" si="68"/>
        <v>69.7</v>
      </c>
      <c r="I11" s="6">
        <f>IF($B11=0,"",RANK(H11,H$8:H$38,0)+COUNTIF(H$8:H11,H11)-1)</f>
        <v>13</v>
      </c>
      <c r="J11" s="3">
        <f t="shared" si="1"/>
        <v>15</v>
      </c>
      <c r="K11" s="19">
        <f t="shared" si="2"/>
        <v>4</v>
      </c>
      <c r="L11" s="19">
        <f t="shared" si="3"/>
        <v>2</v>
      </c>
      <c r="M11" s="18">
        <f t="shared" si="69"/>
        <v>69.7</v>
      </c>
      <c r="N11" s="6">
        <f>IF($B11=0,"",RANK(M11,M$8:M$38,0)+COUNTIF(M$8:M11,M11)-1)</f>
        <v>13</v>
      </c>
      <c r="P11" s="19">
        <f t="shared" si="5"/>
        <v>0</v>
      </c>
      <c r="Q11" s="19">
        <f t="shared" si="6"/>
        <v>1</v>
      </c>
      <c r="R11" s="768" t="str">
        <f t="shared" si="7"/>
        <v>=4</v>
      </c>
      <c r="S11" s="3" t="str">
        <f t="shared" si="8"/>
        <v>London</v>
      </c>
      <c r="T11" s="20">
        <f t="shared" si="9"/>
        <v>73.599999999999994</v>
      </c>
      <c r="U11" s="764">
        <f t="shared" si="10"/>
        <v>73.599999999999994</v>
      </c>
      <c r="V11" s="20">
        <f t="shared" si="11"/>
        <v>73.599999999999994</v>
      </c>
      <c r="W11" s="759" t="str">
        <f t="shared" si="12"/>
        <v>=</v>
      </c>
      <c r="X11" s="760" t="str">
        <f t="shared" si="13"/>
        <v/>
      </c>
      <c r="Y11" s="761">
        <f t="shared" ca="1" si="70"/>
        <v>4</v>
      </c>
      <c r="Z11" s="762"/>
      <c r="AA11" s="763"/>
      <c r="AB11" s="764"/>
      <c r="AC11" s="18">
        <f t="shared" si="15"/>
        <v>61.6</v>
      </c>
      <c r="AD11" s="6">
        <f>IF($B11=0,"",RANK(AC11,AC$8:AC$38,0)+COUNTIF(AC$8:AC11,AC11)-1)</f>
        <v>22</v>
      </c>
      <c r="AE11" s="3">
        <f t="shared" si="16"/>
        <v>5</v>
      </c>
      <c r="AF11" s="19">
        <f t="shared" si="17"/>
        <v>4</v>
      </c>
      <c r="AG11" s="19">
        <f t="shared" si="18"/>
        <v>1</v>
      </c>
      <c r="AH11" s="18">
        <f t="shared" si="19"/>
        <v>61.6</v>
      </c>
      <c r="AI11" s="6">
        <f>IF($B11=0,"",RANK(AH11,AH$8:AH$38,0)+COUNTIF(AH$8:AH11,AH11)-1)</f>
        <v>22</v>
      </c>
      <c r="AK11" s="19">
        <f t="shared" si="71"/>
        <v>0</v>
      </c>
      <c r="AL11" s="19">
        <f t="shared" si="20"/>
        <v>1</v>
      </c>
      <c r="AM11" s="769">
        <f t="shared" si="72"/>
        <v>4</v>
      </c>
      <c r="AN11" s="3" t="str">
        <f t="shared" si="21"/>
        <v>Beijing</v>
      </c>
      <c r="AO11" s="20">
        <f t="shared" si="22"/>
        <v>80.7</v>
      </c>
      <c r="AP11" s="764">
        <f t="shared" si="23"/>
        <v>80.7</v>
      </c>
      <c r="AQ11" s="20">
        <f t="shared" si="24"/>
        <v>80.7</v>
      </c>
      <c r="AR11" s="759" t="str">
        <f t="shared" si="25"/>
        <v>=</v>
      </c>
      <c r="AS11" s="760" t="str">
        <f t="shared" si="26"/>
        <v/>
      </c>
      <c r="AT11" s="761">
        <f t="shared" ca="1" si="27"/>
        <v>4</v>
      </c>
      <c r="AU11" s="762"/>
      <c r="AV11" s="763"/>
      <c r="AW11" s="764"/>
      <c r="AX11" s="18">
        <f t="shared" si="28"/>
        <v>72</v>
      </c>
      <c r="AY11" s="6">
        <f>IF($B11=0,"",RANK(AX11,AX$8:AX$38,0)+COUNTIF(AX$8:AX11,AX11)-1)</f>
        <v>7</v>
      </c>
      <c r="AZ11" s="3">
        <f t="shared" si="29"/>
        <v>1</v>
      </c>
      <c r="BA11" s="19">
        <f t="shared" si="30"/>
        <v>4</v>
      </c>
      <c r="BB11" s="19">
        <f t="shared" si="31"/>
        <v>1</v>
      </c>
      <c r="BC11" s="18">
        <f t="shared" si="32"/>
        <v>72</v>
      </c>
      <c r="BD11" s="6">
        <f>IF($B11=0,"",RANK(BC11,BC$8:BC$38,0)+COUNTIF(BC$8:BC11,BC11)-1)</f>
        <v>7</v>
      </c>
      <c r="BF11" s="19">
        <f t="shared" si="73"/>
        <v>0</v>
      </c>
      <c r="BG11" s="19">
        <f t="shared" si="33"/>
        <v>1</v>
      </c>
      <c r="BH11" s="769">
        <f t="shared" si="74"/>
        <v>4</v>
      </c>
      <c r="BI11" s="3" t="str">
        <f t="shared" si="34"/>
        <v>Amsterdam</v>
      </c>
      <c r="BJ11" s="20">
        <f t="shared" si="35"/>
        <v>73.2</v>
      </c>
      <c r="BK11" s="764">
        <f t="shared" si="36"/>
        <v>73.2</v>
      </c>
      <c r="BL11" s="20">
        <f t="shared" si="37"/>
        <v>73.2</v>
      </c>
      <c r="BM11" s="759" t="str">
        <f t="shared" si="38"/>
        <v>=</v>
      </c>
      <c r="BN11" s="760" t="str">
        <f t="shared" si="39"/>
        <v/>
      </c>
      <c r="BO11" s="761">
        <f t="shared" ca="1" si="40"/>
        <v>4</v>
      </c>
      <c r="BP11" s="762" t="str">
        <f t="shared" ca="1" si="41"/>
        <v/>
      </c>
      <c r="BQ11" s="763"/>
      <c r="BR11" s="764"/>
      <c r="BS11" s="18">
        <f t="shared" si="42"/>
        <v>60.6</v>
      </c>
      <c r="BT11" s="6">
        <f>IF($B11=0,"",RANK(BS11,BS$8:BS$38,0)+COUNTIF(BS$8:BS11,BS11)-1)</f>
        <v>17</v>
      </c>
      <c r="BU11" s="3">
        <f t="shared" si="43"/>
        <v>8</v>
      </c>
      <c r="BV11" s="19">
        <f t="shared" si="44"/>
        <v>4</v>
      </c>
      <c r="BW11" s="19">
        <f t="shared" si="45"/>
        <v>1</v>
      </c>
      <c r="BX11" s="18">
        <f t="shared" si="46"/>
        <v>60.6</v>
      </c>
      <c r="BY11" s="6">
        <f>IF($B11=0,"",RANK(BX11,BX$8:BX$38,0)+COUNTIF(BX$8:BX11,BX11)-1)</f>
        <v>17</v>
      </c>
      <c r="CA11" s="19" t="str">
        <f t="shared" si="75"/>
        <v>=</v>
      </c>
      <c r="CB11" s="19">
        <f t="shared" si="47"/>
        <v>1</v>
      </c>
      <c r="CC11" s="769">
        <f t="shared" si="76"/>
        <v>4</v>
      </c>
      <c r="CD11" s="3" t="str">
        <f t="shared" si="48"/>
        <v>Copenhagen</v>
      </c>
      <c r="CE11" s="20">
        <f t="shared" si="49"/>
        <v>67.900000000000006</v>
      </c>
      <c r="CF11" s="764">
        <f t="shared" si="50"/>
        <v>67.900000000000006</v>
      </c>
      <c r="CG11" s="20">
        <f t="shared" si="51"/>
        <v>67.900000000000006</v>
      </c>
      <c r="CH11" s="759" t="str">
        <f t="shared" si="52"/>
        <v>=</v>
      </c>
      <c r="CI11" s="760" t="str">
        <f t="shared" si="53"/>
        <v/>
      </c>
      <c r="CJ11" s="766">
        <f t="shared" ca="1" si="54"/>
        <v>4</v>
      </c>
      <c r="CK11" s="767"/>
      <c r="CL11" s="763"/>
      <c r="CM11" s="764"/>
      <c r="CN11" s="18">
        <f t="shared" si="55"/>
        <v>87.3</v>
      </c>
      <c r="CO11" s="6">
        <f>IF($B11=0,"",RANK(CN11,CN$8:CN$38,0)+COUNTIF(CN$8:CN11,CN11)-1)</f>
        <v>4</v>
      </c>
      <c r="CP11" s="3">
        <f t="shared" si="56"/>
        <v>4</v>
      </c>
      <c r="CQ11" s="19">
        <f t="shared" si="57"/>
        <v>4</v>
      </c>
      <c r="CR11" s="19">
        <f t="shared" si="58"/>
        <v>1</v>
      </c>
      <c r="CS11" s="18">
        <f t="shared" si="59"/>
        <v>87.3</v>
      </c>
      <c r="CT11" s="6">
        <f>IF($B11=0,"",RANK(CS11,CS$8:CS$38,0)+COUNTIF(CS$8:CS11,CS11)-1)</f>
        <v>4</v>
      </c>
      <c r="CV11" s="19" t="str">
        <f t="shared" si="77"/>
        <v>=</v>
      </c>
      <c r="CW11" s="19">
        <f t="shared" si="60"/>
        <v>1</v>
      </c>
      <c r="CX11" s="769">
        <f t="shared" si="78"/>
        <v>4</v>
      </c>
      <c r="CY11" s="3" t="str">
        <f t="shared" si="61"/>
        <v>Barcelona</v>
      </c>
      <c r="CZ11" s="20">
        <f t="shared" si="62"/>
        <v>87.3</v>
      </c>
      <c r="DA11" s="764">
        <f t="shared" si="63"/>
        <v>87.3</v>
      </c>
      <c r="DB11" s="20">
        <f t="shared" si="64"/>
        <v>87.3</v>
      </c>
      <c r="DC11" s="759" t="str">
        <f t="shared" si="65"/>
        <v>=</v>
      </c>
      <c r="DD11" s="760" t="str">
        <f t="shared" si="66"/>
        <v/>
      </c>
      <c r="DE11" s="766">
        <f t="shared" ca="1" si="67"/>
        <v>4</v>
      </c>
      <c r="DF11" s="767"/>
      <c r="DG11" s="763"/>
      <c r="DH11" s="764"/>
    </row>
    <row r="12" spans="1:112">
      <c r="A12" s="18">
        <f>tblTerritories!A7</f>
        <v>5</v>
      </c>
      <c r="B12" s="3">
        <f>IF(tblTerritories!F7="",0,tblTerritories!F7)</f>
        <v>1</v>
      </c>
      <c r="C12" s="3" t="str">
        <f>tblTerritories!C7</f>
        <v>Beijing</v>
      </c>
      <c r="E12" s="3">
        <f>tblTerritories!K7</f>
        <v>1</v>
      </c>
      <c r="F12" s="3">
        <f>IF($A12="","",VLOOKUP(C12,tblTerritories!$J$3:$P$21,7,FALSE)+10)</f>
        <v>10</v>
      </c>
      <c r="H12" s="18">
        <f t="shared" si="68"/>
        <v>73.7</v>
      </c>
      <c r="I12" s="6">
        <f>IF($B12=0,"",RANK(H12,H$8:H$38,0)+COUNTIF(H$8:H12,H12)-1)</f>
        <v>3</v>
      </c>
      <c r="J12" s="3">
        <f t="shared" si="1"/>
        <v>24</v>
      </c>
      <c r="K12" s="19">
        <f t="shared" si="2"/>
        <v>4</v>
      </c>
      <c r="L12" s="19">
        <f t="shared" si="3"/>
        <v>2</v>
      </c>
      <c r="M12" s="18">
        <f t="shared" si="69"/>
        <v>73.7</v>
      </c>
      <c r="N12" s="6">
        <f>IF($B12=0,"",RANK(M12,M$8:M$38,0)+COUNTIF(M$8:M12,M12)-1)</f>
        <v>3</v>
      </c>
      <c r="P12" s="19">
        <f t="shared" si="5"/>
        <v>0</v>
      </c>
      <c r="Q12" s="19">
        <f t="shared" si="6"/>
        <v>1</v>
      </c>
      <c r="R12" s="768" t="str">
        <f t="shared" si="7"/>
        <v>=4</v>
      </c>
      <c r="S12" s="3" t="str">
        <f t="shared" si="8"/>
        <v>Seoul</v>
      </c>
      <c r="T12" s="20">
        <f t="shared" si="9"/>
        <v>73.599999999999994</v>
      </c>
      <c r="U12" s="764">
        <f t="shared" si="10"/>
        <v>73.599999999999994</v>
      </c>
      <c r="V12" s="20">
        <f t="shared" si="11"/>
        <v>73.599999999999994</v>
      </c>
      <c r="W12" s="759" t="str">
        <f t="shared" si="12"/>
        <v>=</v>
      </c>
      <c r="X12" s="760" t="str">
        <f t="shared" si="13"/>
        <v/>
      </c>
      <c r="Y12" s="761">
        <f t="shared" ca="1" si="70"/>
        <v>4</v>
      </c>
      <c r="Z12" s="762"/>
      <c r="AA12" s="763"/>
      <c r="AB12" s="764"/>
      <c r="AC12" s="18">
        <f t="shared" si="15"/>
        <v>80.7</v>
      </c>
      <c r="AD12" s="6">
        <f>IF($B12=0,"",RANK(AC12,AC$8:AC$38,0)+COUNTIF(AC$8:AC12,AC12)-1)</f>
        <v>4</v>
      </c>
      <c r="AE12" s="3">
        <f t="shared" si="16"/>
        <v>26</v>
      </c>
      <c r="AF12" s="19">
        <f t="shared" si="17"/>
        <v>5</v>
      </c>
      <c r="AG12" s="19">
        <f t="shared" si="18"/>
        <v>1</v>
      </c>
      <c r="AH12" s="18">
        <f t="shared" si="19"/>
        <v>80.7</v>
      </c>
      <c r="AI12" s="6">
        <f>IF($B12=0,"",RANK(AH12,AH$8:AH$38,0)+COUNTIF(AH$8:AH12,AH12)-1)</f>
        <v>4</v>
      </c>
      <c r="AK12" s="19">
        <f t="shared" si="71"/>
        <v>0</v>
      </c>
      <c r="AL12" s="19">
        <f t="shared" si="20"/>
        <v>1</v>
      </c>
      <c r="AM12" s="769">
        <f t="shared" si="72"/>
        <v>5</v>
      </c>
      <c r="AN12" s="3" t="str">
        <f t="shared" si="21"/>
        <v>Sydney</v>
      </c>
      <c r="AO12" s="20">
        <f t="shared" si="22"/>
        <v>78</v>
      </c>
      <c r="AP12" s="764">
        <f t="shared" si="23"/>
        <v>78</v>
      </c>
      <c r="AQ12" s="20">
        <f t="shared" si="24"/>
        <v>78</v>
      </c>
      <c r="AR12" s="759" t="str">
        <f t="shared" si="25"/>
        <v>=</v>
      </c>
      <c r="AS12" s="760" t="str">
        <f t="shared" si="26"/>
        <v/>
      </c>
      <c r="AT12" s="761">
        <f t="shared" ca="1" si="27"/>
        <v>5</v>
      </c>
      <c r="AU12" s="762"/>
      <c r="AV12" s="763"/>
      <c r="AW12" s="764"/>
      <c r="AX12" s="18">
        <f t="shared" si="28"/>
        <v>68.3</v>
      </c>
      <c r="AY12" s="6">
        <f>IF($B12=0,"",RANK(AX12,AX$8:AX$38,0)+COUNTIF(AX$8:AX12,AX12)-1)</f>
        <v>12</v>
      </c>
      <c r="AZ12" s="3">
        <f t="shared" si="29"/>
        <v>25</v>
      </c>
      <c r="BA12" s="19">
        <f t="shared" si="30"/>
        <v>5</v>
      </c>
      <c r="BB12" s="19">
        <f t="shared" si="31"/>
        <v>1</v>
      </c>
      <c r="BC12" s="18">
        <f t="shared" si="32"/>
        <v>68.3</v>
      </c>
      <c r="BD12" s="6">
        <f>IF($B12=0,"",RANK(BC12,BC$8:BC$38,0)+COUNTIF(BC$8:BC12,BC12)-1)</f>
        <v>12</v>
      </c>
      <c r="BF12" s="19">
        <f t="shared" si="73"/>
        <v>0</v>
      </c>
      <c r="BG12" s="19">
        <f t="shared" si="33"/>
        <v>1</v>
      </c>
      <c r="BH12" s="769">
        <f t="shared" si="74"/>
        <v>5</v>
      </c>
      <c r="BI12" s="3" t="str">
        <f t="shared" si="34"/>
        <v>Singapore</v>
      </c>
      <c r="BJ12" s="20">
        <f t="shared" si="35"/>
        <v>72.7</v>
      </c>
      <c r="BK12" s="764">
        <f t="shared" si="36"/>
        <v>72.7</v>
      </c>
      <c r="BL12" s="20">
        <f t="shared" si="37"/>
        <v>72.7</v>
      </c>
      <c r="BM12" s="759" t="str">
        <f t="shared" si="38"/>
        <v>=</v>
      </c>
      <c r="BN12" s="760" t="str">
        <f t="shared" si="39"/>
        <v/>
      </c>
      <c r="BO12" s="761">
        <f t="shared" ca="1" si="40"/>
        <v>5</v>
      </c>
      <c r="BP12" s="762" t="str">
        <f t="shared" ca="1" si="41"/>
        <v/>
      </c>
      <c r="BQ12" s="763"/>
      <c r="BR12" s="764"/>
      <c r="BS12" s="18">
        <f t="shared" si="42"/>
        <v>57.9</v>
      </c>
      <c r="BT12" s="6">
        <f>IF($B12=0,"",RANK(BS12,BS$8:BS$38,0)+COUNTIF(BS$8:BS12,BS12)-1)</f>
        <v>19</v>
      </c>
      <c r="BU12" s="3">
        <f t="shared" si="43"/>
        <v>9</v>
      </c>
      <c r="BV12" s="19">
        <f t="shared" si="44"/>
        <v>5</v>
      </c>
      <c r="BW12" s="19">
        <f t="shared" si="45"/>
        <v>2</v>
      </c>
      <c r="BX12" s="18">
        <f t="shared" si="46"/>
        <v>57.9</v>
      </c>
      <c r="BY12" s="6">
        <f>IF($B12=0,"",RANK(BX12,BX$8:BX$38,0)+COUNTIF(BX$8:BX12,BX12)-1)</f>
        <v>19</v>
      </c>
      <c r="CA12" s="19" t="str">
        <f t="shared" si="75"/>
        <v>=</v>
      </c>
      <c r="CB12" s="19">
        <f t="shared" si="47"/>
        <v>1</v>
      </c>
      <c r="CC12" s="769" t="str">
        <f t="shared" si="76"/>
        <v>=5</v>
      </c>
      <c r="CD12" s="3" t="str">
        <f t="shared" si="48"/>
        <v>Dallas</v>
      </c>
      <c r="CE12" s="20">
        <f t="shared" si="49"/>
        <v>67.5</v>
      </c>
      <c r="CF12" s="764">
        <f t="shared" si="50"/>
        <v>67.5</v>
      </c>
      <c r="CG12" s="20">
        <f t="shared" si="51"/>
        <v>67.5</v>
      </c>
      <c r="CH12" s="759" t="str">
        <f t="shared" si="52"/>
        <v>=</v>
      </c>
      <c r="CI12" s="760" t="str">
        <f t="shared" si="53"/>
        <v/>
      </c>
      <c r="CJ12" s="766">
        <f t="shared" ca="1" si="54"/>
        <v>5</v>
      </c>
      <c r="CK12" s="767"/>
      <c r="CL12" s="763"/>
      <c r="CM12" s="764"/>
      <c r="CN12" s="18">
        <f t="shared" si="55"/>
        <v>86.8</v>
      </c>
      <c r="CO12" s="6">
        <f>IF($B12=0,"",RANK(CN12,CN$8:CN$38,0)+COUNTIF(CN$8:CN12,CN12)-1)</f>
        <v>5</v>
      </c>
      <c r="CP12" s="3">
        <f t="shared" si="56"/>
        <v>5</v>
      </c>
      <c r="CQ12" s="19">
        <f t="shared" si="57"/>
        <v>5</v>
      </c>
      <c r="CR12" s="19">
        <f t="shared" si="58"/>
        <v>1</v>
      </c>
      <c r="CS12" s="18">
        <f t="shared" si="59"/>
        <v>86.8</v>
      </c>
      <c r="CT12" s="6">
        <f>IF($B12=0,"",RANK(CS12,CS$8:CS$38,0)+COUNTIF(CS$8:CS12,CS12)-1)</f>
        <v>5</v>
      </c>
      <c r="CV12" s="19" t="str">
        <f t="shared" si="77"/>
        <v>=</v>
      </c>
      <c r="CW12" s="19">
        <f t="shared" si="60"/>
        <v>1</v>
      </c>
      <c r="CX12" s="769">
        <f t="shared" si="78"/>
        <v>5</v>
      </c>
      <c r="CY12" s="3" t="str">
        <f t="shared" si="61"/>
        <v>Beijing</v>
      </c>
      <c r="CZ12" s="20">
        <f t="shared" si="62"/>
        <v>86.8</v>
      </c>
      <c r="DA12" s="764">
        <f t="shared" si="63"/>
        <v>86.8</v>
      </c>
      <c r="DB12" s="20">
        <f t="shared" si="64"/>
        <v>86.8</v>
      </c>
      <c r="DC12" s="759" t="str">
        <f t="shared" si="65"/>
        <v>=</v>
      </c>
      <c r="DD12" s="760" t="str">
        <f t="shared" si="66"/>
        <v/>
      </c>
      <c r="DE12" s="766">
        <f t="shared" ca="1" si="67"/>
        <v>5</v>
      </c>
      <c r="DF12" s="767"/>
      <c r="DG12" s="763"/>
      <c r="DH12" s="764"/>
    </row>
    <row r="13" spans="1:112">
      <c r="A13" s="18">
        <f>tblTerritories!A8</f>
        <v>6</v>
      </c>
      <c r="B13" s="3">
        <f>IF(tblTerritories!F8="",0,tblTerritories!F8)</f>
        <v>1</v>
      </c>
      <c r="C13" s="3" t="str">
        <f>tblTerritories!C8</f>
        <v>Berlin</v>
      </c>
      <c r="E13" s="3">
        <f>tblTerritories!K8</f>
        <v>1</v>
      </c>
      <c r="F13" s="3">
        <f>IF($A13="","",VLOOKUP(C13,tblTerritories!$J$3:$P$21,7,FALSE)+10)</f>
        <v>10</v>
      </c>
      <c r="H13" s="18">
        <f t="shared" si="68"/>
        <v>68.2</v>
      </c>
      <c r="I13" s="6">
        <f>IF($B13=0,"",RANK(H13,H$8:H$38,0)+COUNTIF(H$8:H13,H13)-1)</f>
        <v>16</v>
      </c>
      <c r="J13" s="3">
        <f t="shared" si="1"/>
        <v>20</v>
      </c>
      <c r="K13" s="19">
        <f t="shared" si="2"/>
        <v>6</v>
      </c>
      <c r="L13" s="19">
        <f t="shared" si="3"/>
        <v>1</v>
      </c>
      <c r="M13" s="18">
        <f t="shared" si="69"/>
        <v>68.2</v>
      </c>
      <c r="N13" s="6">
        <f>IF($B13=0,"",RANK(M13,M$8:M$38,0)+COUNTIF(M$8:M13,M13)-1)</f>
        <v>16</v>
      </c>
      <c r="P13" s="19">
        <f t="shared" si="5"/>
        <v>0</v>
      </c>
      <c r="Q13" s="19">
        <f t="shared" si="6"/>
        <v>1</v>
      </c>
      <c r="R13" s="768">
        <f t="shared" si="7"/>
        <v>6</v>
      </c>
      <c r="S13" s="3" t="str">
        <f t="shared" si="8"/>
        <v>New York</v>
      </c>
      <c r="T13" s="20">
        <f t="shared" si="9"/>
        <v>73.3</v>
      </c>
      <c r="U13" s="764">
        <f t="shared" si="10"/>
        <v>73.3</v>
      </c>
      <c r="V13" s="20">
        <f t="shared" si="11"/>
        <v>73.3</v>
      </c>
      <c r="W13" s="759" t="str">
        <f t="shared" si="12"/>
        <v>=</v>
      </c>
      <c r="X13" s="760" t="str">
        <f t="shared" si="13"/>
        <v/>
      </c>
      <c r="Y13" s="761">
        <f t="shared" ca="1" si="70"/>
        <v>6</v>
      </c>
      <c r="Z13" s="762"/>
      <c r="AA13" s="763"/>
      <c r="AB13" s="764"/>
      <c r="AC13" s="18">
        <f t="shared" si="15"/>
        <v>65.900000000000006</v>
      </c>
      <c r="AD13" s="6">
        <f>IF($B13=0,"",RANK(AC13,AC$8:AC$38,0)+COUNTIF(AC$8:AC13,AC13)-1)</f>
        <v>16</v>
      </c>
      <c r="AE13" s="3">
        <f t="shared" si="16"/>
        <v>1</v>
      </c>
      <c r="AF13" s="19">
        <f t="shared" si="17"/>
        <v>6</v>
      </c>
      <c r="AG13" s="19">
        <f t="shared" si="18"/>
        <v>1</v>
      </c>
      <c r="AH13" s="18">
        <f t="shared" si="19"/>
        <v>65.900000000000006</v>
      </c>
      <c r="AI13" s="6">
        <f>IF($B13=0,"",RANK(AH13,AH$8:AH$38,0)+COUNTIF(AH$8:AH13,AH13)-1)</f>
        <v>16</v>
      </c>
      <c r="AK13" s="19">
        <f t="shared" si="71"/>
        <v>0</v>
      </c>
      <c r="AL13" s="19">
        <f t="shared" si="20"/>
        <v>1</v>
      </c>
      <c r="AM13" s="769">
        <f t="shared" si="72"/>
        <v>6</v>
      </c>
      <c r="AN13" s="3" t="str">
        <f t="shared" si="21"/>
        <v>Amsterdam</v>
      </c>
      <c r="AO13" s="20">
        <f t="shared" si="22"/>
        <v>77</v>
      </c>
      <c r="AP13" s="764">
        <f t="shared" si="23"/>
        <v>77</v>
      </c>
      <c r="AQ13" s="20">
        <f t="shared" si="24"/>
        <v>77</v>
      </c>
      <c r="AR13" s="759" t="str">
        <f t="shared" si="25"/>
        <v>=</v>
      </c>
      <c r="AS13" s="760" t="str">
        <f t="shared" si="26"/>
        <v/>
      </c>
      <c r="AT13" s="761">
        <f t="shared" ca="1" si="27"/>
        <v>6</v>
      </c>
      <c r="AU13" s="762"/>
      <c r="AV13" s="763"/>
      <c r="AW13" s="764"/>
      <c r="AX13" s="18">
        <f t="shared" si="28"/>
        <v>73.8</v>
      </c>
      <c r="AY13" s="6">
        <f>IF($B13=0,"",RANK(AX13,AX$8:AX$38,0)+COUNTIF(AX$8:AX13,AX13)-1)</f>
        <v>2</v>
      </c>
      <c r="AZ13" s="3">
        <f t="shared" si="29"/>
        <v>21</v>
      </c>
      <c r="BA13" s="19">
        <f t="shared" si="30"/>
        <v>6</v>
      </c>
      <c r="BB13" s="19">
        <f t="shared" si="31"/>
        <v>1</v>
      </c>
      <c r="BC13" s="18">
        <f t="shared" si="32"/>
        <v>73.8</v>
      </c>
      <c r="BD13" s="6">
        <f>IF($B13=0,"",RANK(BC13,BC$8:BC$38,0)+COUNTIF(BC$8:BC13,BC13)-1)</f>
        <v>2</v>
      </c>
      <c r="BF13" s="19">
        <f t="shared" si="73"/>
        <v>0</v>
      </c>
      <c r="BG13" s="19">
        <f t="shared" si="33"/>
        <v>1</v>
      </c>
      <c r="BH13" s="769">
        <f t="shared" si="74"/>
        <v>6</v>
      </c>
      <c r="BI13" s="3" t="str">
        <f t="shared" si="34"/>
        <v>Paris</v>
      </c>
      <c r="BJ13" s="20">
        <f t="shared" si="35"/>
        <v>72.5</v>
      </c>
      <c r="BK13" s="764">
        <f t="shared" si="36"/>
        <v>72.5</v>
      </c>
      <c r="BL13" s="20">
        <f t="shared" si="37"/>
        <v>72.5</v>
      </c>
      <c r="BM13" s="759" t="str">
        <f t="shared" si="38"/>
        <v>=</v>
      </c>
      <c r="BN13" s="760" t="str">
        <f t="shared" si="39"/>
        <v/>
      </c>
      <c r="BO13" s="761">
        <f t="shared" ca="1" si="40"/>
        <v>6</v>
      </c>
      <c r="BP13" s="762" t="str">
        <f t="shared" ca="1" si="41"/>
        <v/>
      </c>
      <c r="BQ13" s="763"/>
      <c r="BR13" s="764"/>
      <c r="BS13" s="18">
        <f t="shared" si="42"/>
        <v>62.7</v>
      </c>
      <c r="BT13" s="6">
        <f>IF($B13=0,"",RANK(BS13,BS$8:BS$38,0)+COUNTIF(BS$8:BS13,BS13)-1)</f>
        <v>13</v>
      </c>
      <c r="BU13" s="3">
        <f t="shared" si="43"/>
        <v>24</v>
      </c>
      <c r="BV13" s="19">
        <f t="shared" si="44"/>
        <v>5</v>
      </c>
      <c r="BW13" s="19">
        <f t="shared" si="45"/>
        <v>2</v>
      </c>
      <c r="BX13" s="18">
        <f t="shared" si="46"/>
        <v>62.7</v>
      </c>
      <c r="BY13" s="6">
        <f>IF($B13=0,"",RANK(BX13,BX$8:BX$38,0)+COUNTIF(BX$8:BX13,BX13)-1)</f>
        <v>13</v>
      </c>
      <c r="CA13" s="19" t="str">
        <f t="shared" si="75"/>
        <v>=</v>
      </c>
      <c r="CB13" s="19">
        <f t="shared" si="47"/>
        <v>1</v>
      </c>
      <c r="CC13" s="769" t="str">
        <f t="shared" si="76"/>
        <v>=5</v>
      </c>
      <c r="CD13" s="3" t="str">
        <f t="shared" si="48"/>
        <v>Seoul</v>
      </c>
      <c r="CE13" s="20">
        <f t="shared" si="49"/>
        <v>67.5</v>
      </c>
      <c r="CF13" s="764">
        <f t="shared" si="50"/>
        <v>67.5</v>
      </c>
      <c r="CG13" s="20">
        <f t="shared" si="51"/>
        <v>67.5</v>
      </c>
      <c r="CH13" s="759" t="str">
        <f t="shared" si="52"/>
        <v>=</v>
      </c>
      <c r="CI13" s="760" t="str">
        <f t="shared" si="53"/>
        <v/>
      </c>
      <c r="CJ13" s="766">
        <f t="shared" ca="1" si="54"/>
        <v>5</v>
      </c>
      <c r="CK13" s="767"/>
      <c r="CL13" s="763"/>
      <c r="CM13" s="764"/>
      <c r="CN13" s="18">
        <f t="shared" si="55"/>
        <v>69.599999999999994</v>
      </c>
      <c r="CO13" s="6">
        <f>IF($B13=0,"",RANK(CN13,CN$8:CN$38,0)+COUNTIF(CN$8:CN13,CN13)-1)</f>
        <v>15</v>
      </c>
      <c r="CP13" s="3">
        <f t="shared" si="56"/>
        <v>1</v>
      </c>
      <c r="CQ13" s="19">
        <f t="shared" si="57"/>
        <v>6</v>
      </c>
      <c r="CR13" s="19">
        <f t="shared" si="58"/>
        <v>1</v>
      </c>
      <c r="CS13" s="18">
        <f t="shared" si="59"/>
        <v>69.599999999999994</v>
      </c>
      <c r="CT13" s="6">
        <f>IF($B13=0,"",RANK(CS13,CS$8:CS$38,0)+COUNTIF(CS$8:CS13,CS13)-1)</f>
        <v>15</v>
      </c>
      <c r="CV13" s="19" t="str">
        <f t="shared" si="77"/>
        <v>=</v>
      </c>
      <c r="CW13" s="19">
        <f t="shared" si="60"/>
        <v>1</v>
      </c>
      <c r="CX13" s="769">
        <f t="shared" si="78"/>
        <v>6</v>
      </c>
      <c r="CY13" s="3" t="str">
        <f t="shared" si="61"/>
        <v>Amsterdam</v>
      </c>
      <c r="CZ13" s="20">
        <f t="shared" si="62"/>
        <v>85.4</v>
      </c>
      <c r="DA13" s="764">
        <f t="shared" si="63"/>
        <v>85.4</v>
      </c>
      <c r="DB13" s="20">
        <f t="shared" si="64"/>
        <v>85.4</v>
      </c>
      <c r="DC13" s="759" t="str">
        <f t="shared" si="65"/>
        <v>=</v>
      </c>
      <c r="DD13" s="760" t="str">
        <f t="shared" si="66"/>
        <v/>
      </c>
      <c r="DE13" s="766">
        <f t="shared" ca="1" si="67"/>
        <v>6</v>
      </c>
      <c r="DF13" s="767"/>
      <c r="DG13" s="763"/>
      <c r="DH13" s="764"/>
    </row>
    <row r="14" spans="1:112">
      <c r="A14" s="18">
        <f>tblTerritories!A9</f>
        <v>7</v>
      </c>
      <c r="B14" s="3">
        <f>IF(tblTerritories!F9="",0,tblTerritories!F9)</f>
        <v>1</v>
      </c>
      <c r="C14" s="3" t="str">
        <f>tblTerritories!C9</f>
        <v>Buenos Aires</v>
      </c>
      <c r="E14" s="3">
        <f>tblTerritories!K9</f>
        <v>1</v>
      </c>
      <c r="F14" s="3">
        <f>IF($A14="","",VLOOKUP(C14,tblTerritories!$J$3:$P$21,7,FALSE)+10)</f>
        <v>10</v>
      </c>
      <c r="H14" s="18">
        <f t="shared" si="68"/>
        <v>45.1</v>
      </c>
      <c r="I14" s="6">
        <f>IF($B14=0,"",RANK(H14,H$8:H$38,0)+COUNTIF(H$8:H14,H14)-1)</f>
        <v>27</v>
      </c>
      <c r="J14" s="3">
        <f t="shared" si="1"/>
        <v>26</v>
      </c>
      <c r="K14" s="19">
        <f t="shared" si="2"/>
        <v>7</v>
      </c>
      <c r="L14" s="19">
        <f t="shared" si="3"/>
        <v>1</v>
      </c>
      <c r="M14" s="18">
        <f t="shared" si="69"/>
        <v>45.1</v>
      </c>
      <c r="N14" s="6">
        <f>IF($B14=0,"",RANK(M14,M$8:M$38,0)+COUNTIF(M$8:M14,M14)-1)</f>
        <v>27</v>
      </c>
      <c r="P14" s="19">
        <f t="shared" si="5"/>
        <v>0</v>
      </c>
      <c r="Q14" s="19">
        <f t="shared" si="6"/>
        <v>1</v>
      </c>
      <c r="R14" s="768">
        <f t="shared" si="7"/>
        <v>7</v>
      </c>
      <c r="S14" s="3" t="str">
        <f t="shared" si="8"/>
        <v>Sydney</v>
      </c>
      <c r="T14" s="20">
        <f t="shared" si="9"/>
        <v>72.599999999999994</v>
      </c>
      <c r="U14" s="764">
        <f t="shared" si="10"/>
        <v>72.599999999999994</v>
      </c>
      <c r="V14" s="20">
        <f t="shared" si="11"/>
        <v>72.599999999999994</v>
      </c>
      <c r="W14" s="759" t="str">
        <f t="shared" si="12"/>
        <v>=</v>
      </c>
      <c r="X14" s="760" t="str">
        <f t="shared" si="13"/>
        <v/>
      </c>
      <c r="Y14" s="761">
        <f t="shared" ca="1" si="70"/>
        <v>7</v>
      </c>
      <c r="Z14" s="762"/>
      <c r="AA14" s="763"/>
      <c r="AB14" s="764"/>
      <c r="AC14" s="18">
        <f t="shared" si="15"/>
        <v>40.799999999999997</v>
      </c>
      <c r="AD14" s="6">
        <f>IF($B14=0,"",RANK(AC14,AC$8:AC$38,0)+COUNTIF(AC$8:AC14,AC14)-1)</f>
        <v>30</v>
      </c>
      <c r="AE14" s="3">
        <f t="shared" si="16"/>
        <v>12</v>
      </c>
      <c r="AF14" s="19">
        <f t="shared" si="17"/>
        <v>7</v>
      </c>
      <c r="AG14" s="19">
        <f t="shared" si="18"/>
        <v>1</v>
      </c>
      <c r="AH14" s="18">
        <f t="shared" si="19"/>
        <v>40.799999999999997</v>
      </c>
      <c r="AI14" s="6">
        <f>IF($B14=0,"",RANK(AH14,AH$8:AH$38,0)+COUNTIF(AH$8:AH14,AH14)-1)</f>
        <v>30</v>
      </c>
      <c r="AK14" s="19">
        <f t="shared" si="71"/>
        <v>0</v>
      </c>
      <c r="AL14" s="19">
        <f t="shared" si="20"/>
        <v>1</v>
      </c>
      <c r="AM14" s="769">
        <f t="shared" si="72"/>
        <v>7</v>
      </c>
      <c r="AN14" s="3" t="str">
        <f t="shared" si="21"/>
        <v>Hong Kong</v>
      </c>
      <c r="AO14" s="20">
        <f t="shared" si="22"/>
        <v>76.599999999999994</v>
      </c>
      <c r="AP14" s="764">
        <f t="shared" si="23"/>
        <v>76.599999999999994</v>
      </c>
      <c r="AQ14" s="20">
        <f t="shared" si="24"/>
        <v>76.599999999999994</v>
      </c>
      <c r="AR14" s="759" t="str">
        <f t="shared" si="25"/>
        <v>=</v>
      </c>
      <c r="AS14" s="760" t="str">
        <f t="shared" si="26"/>
        <v/>
      </c>
      <c r="AT14" s="761">
        <f t="shared" ca="1" si="27"/>
        <v>7</v>
      </c>
      <c r="AU14" s="762"/>
      <c r="AV14" s="763"/>
      <c r="AW14" s="764"/>
      <c r="AX14" s="18">
        <f t="shared" si="28"/>
        <v>42.2</v>
      </c>
      <c r="AY14" s="6">
        <f>IF($B14=0,"",RANK(AX14,AX$8:AX$38,0)+COUNTIF(AX$8:AX14,AX14)-1)</f>
        <v>28</v>
      </c>
      <c r="AZ14" s="3">
        <f t="shared" si="29"/>
        <v>4</v>
      </c>
      <c r="BA14" s="19">
        <f t="shared" si="30"/>
        <v>7</v>
      </c>
      <c r="BB14" s="19">
        <f t="shared" si="31"/>
        <v>1</v>
      </c>
      <c r="BC14" s="18">
        <f t="shared" si="32"/>
        <v>42.2</v>
      </c>
      <c r="BD14" s="6">
        <f>IF($B14=0,"",RANK(BC14,BC$8:BC$38,0)+COUNTIF(BC$8:BC14,BC14)-1)</f>
        <v>28</v>
      </c>
      <c r="BF14" s="19">
        <f t="shared" si="73"/>
        <v>0</v>
      </c>
      <c r="BG14" s="19">
        <f t="shared" si="33"/>
        <v>1</v>
      </c>
      <c r="BH14" s="769">
        <f t="shared" si="74"/>
        <v>7</v>
      </c>
      <c r="BI14" s="3" t="str">
        <f t="shared" si="34"/>
        <v>Barcelona</v>
      </c>
      <c r="BJ14" s="20">
        <f t="shared" si="35"/>
        <v>72</v>
      </c>
      <c r="BK14" s="764">
        <f t="shared" si="36"/>
        <v>72</v>
      </c>
      <c r="BL14" s="20">
        <f t="shared" si="37"/>
        <v>72</v>
      </c>
      <c r="BM14" s="759" t="str">
        <f t="shared" si="38"/>
        <v>=</v>
      </c>
      <c r="BN14" s="760" t="str">
        <f t="shared" si="39"/>
        <v/>
      </c>
      <c r="BO14" s="761">
        <f t="shared" ca="1" si="40"/>
        <v>7</v>
      </c>
      <c r="BP14" s="762" t="str">
        <f t="shared" ca="1" si="41"/>
        <v/>
      </c>
      <c r="BQ14" s="763"/>
      <c r="BR14" s="764"/>
      <c r="BS14" s="18">
        <f t="shared" si="42"/>
        <v>48.7</v>
      </c>
      <c r="BT14" s="6">
        <f>IF($B14=0,"",RANK(BS14,BS$8:BS$38,0)+COUNTIF(BS$8:BS14,BS14)-1)</f>
        <v>25</v>
      </c>
      <c r="BU14" s="3">
        <f t="shared" si="43"/>
        <v>2</v>
      </c>
      <c r="BV14" s="19">
        <f t="shared" si="44"/>
        <v>7</v>
      </c>
      <c r="BW14" s="19">
        <f t="shared" si="45"/>
        <v>1</v>
      </c>
      <c r="BX14" s="18">
        <f t="shared" si="46"/>
        <v>48.7</v>
      </c>
      <c r="BY14" s="6">
        <f>IF($B14=0,"",RANK(BX14,BX$8:BX$38,0)+COUNTIF(BX$8:BX14,BX14)-1)</f>
        <v>25</v>
      </c>
      <c r="CA14" s="19" t="str">
        <f t="shared" si="75"/>
        <v>=</v>
      </c>
      <c r="CB14" s="19">
        <f t="shared" si="47"/>
        <v>1</v>
      </c>
      <c r="CC14" s="769">
        <f t="shared" si="76"/>
        <v>7</v>
      </c>
      <c r="CD14" s="3" t="str">
        <f t="shared" si="48"/>
        <v>Auckland</v>
      </c>
      <c r="CE14" s="20">
        <f t="shared" si="49"/>
        <v>67</v>
      </c>
      <c r="CF14" s="764">
        <f t="shared" si="50"/>
        <v>67</v>
      </c>
      <c r="CG14" s="20">
        <f t="shared" si="51"/>
        <v>67</v>
      </c>
      <c r="CH14" s="759" t="str">
        <f t="shared" si="52"/>
        <v>=</v>
      </c>
      <c r="CI14" s="760" t="str">
        <f t="shared" si="53"/>
        <v/>
      </c>
      <c r="CJ14" s="766">
        <f t="shared" ca="1" si="54"/>
        <v>7</v>
      </c>
      <c r="CK14" s="767"/>
      <c r="CL14" s="763"/>
      <c r="CM14" s="764"/>
      <c r="CN14" s="18">
        <f t="shared" si="55"/>
        <v>51.5</v>
      </c>
      <c r="CO14" s="6">
        <f>IF($B14=0,"",RANK(CN14,CN$8:CN$38,0)+COUNTIF(CN$8:CN14,CN14)-1)</f>
        <v>25</v>
      </c>
      <c r="CP14" s="3">
        <f t="shared" si="56"/>
        <v>15</v>
      </c>
      <c r="CQ14" s="19">
        <f t="shared" si="57"/>
        <v>7</v>
      </c>
      <c r="CR14" s="19">
        <f t="shared" si="58"/>
        <v>1</v>
      </c>
      <c r="CS14" s="18">
        <f t="shared" si="59"/>
        <v>51.5</v>
      </c>
      <c r="CT14" s="6">
        <f>IF($B14=0,"",RANK(CS14,CS$8:CS$38,0)+COUNTIF(CS$8:CS14,CS14)-1)</f>
        <v>25</v>
      </c>
      <c r="CV14" s="19" t="str">
        <f t="shared" si="77"/>
        <v>=</v>
      </c>
      <c r="CW14" s="19">
        <f t="shared" si="60"/>
        <v>1</v>
      </c>
      <c r="CX14" s="769">
        <f t="shared" si="78"/>
        <v>7</v>
      </c>
      <c r="CY14" s="3" t="str">
        <f t="shared" si="61"/>
        <v>London</v>
      </c>
      <c r="CZ14" s="20">
        <f t="shared" si="62"/>
        <v>85.2</v>
      </c>
      <c r="DA14" s="764">
        <f t="shared" si="63"/>
        <v>85.2</v>
      </c>
      <c r="DB14" s="20">
        <f t="shared" si="64"/>
        <v>85.2</v>
      </c>
      <c r="DC14" s="759" t="str">
        <f t="shared" si="65"/>
        <v>=</v>
      </c>
      <c r="DD14" s="760" t="str">
        <f t="shared" si="66"/>
        <v/>
      </c>
      <c r="DE14" s="766">
        <f t="shared" ca="1" si="67"/>
        <v>7</v>
      </c>
      <c r="DF14" s="767"/>
      <c r="DG14" s="763"/>
      <c r="DH14" s="764"/>
    </row>
    <row r="15" spans="1:112">
      <c r="A15" s="18">
        <f>tblTerritories!A10</f>
        <v>8</v>
      </c>
      <c r="B15" s="3">
        <f>IF(tblTerritories!F10="",0,tblTerritories!F10)</f>
        <v>1</v>
      </c>
      <c r="C15" s="3" t="str">
        <f>tblTerritories!C10</f>
        <v>Copenhagen</v>
      </c>
      <c r="E15" s="3">
        <f>tblTerritories!K10</f>
        <v>1</v>
      </c>
      <c r="F15" s="3">
        <f>IF($A15="","",VLOOKUP(C15,tblTerritories!$J$3:$P$21,7,FALSE)+10)</f>
        <v>10</v>
      </c>
      <c r="H15" s="18">
        <f t="shared" si="68"/>
        <v>81.5</v>
      </c>
      <c r="I15" s="6">
        <f>IF($B15=0,"",RANK(H15,H$8:H$38,0)+COUNTIF(H$8:H15,H15)-1)</f>
        <v>1</v>
      </c>
      <c r="J15" s="3">
        <f t="shared" si="1"/>
        <v>25</v>
      </c>
      <c r="K15" s="19">
        <f t="shared" si="2"/>
        <v>8</v>
      </c>
      <c r="L15" s="19">
        <f t="shared" si="3"/>
        <v>1</v>
      </c>
      <c r="M15" s="18">
        <f t="shared" si="69"/>
        <v>81.5</v>
      </c>
      <c r="N15" s="6">
        <f>IF($B15=0,"",RANK(M15,M$8:M$38,0)+COUNTIF(M$8:M15,M15)-1)</f>
        <v>1</v>
      </c>
      <c r="P15" s="19">
        <f t="shared" si="5"/>
        <v>0</v>
      </c>
      <c r="Q15" s="19">
        <f t="shared" si="6"/>
        <v>1</v>
      </c>
      <c r="R15" s="768">
        <f t="shared" si="7"/>
        <v>8</v>
      </c>
      <c r="S15" s="3" t="str">
        <f t="shared" si="8"/>
        <v>Singapore</v>
      </c>
      <c r="T15" s="20">
        <f t="shared" si="9"/>
        <v>71.400000000000006</v>
      </c>
      <c r="U15" s="764">
        <f t="shared" si="10"/>
        <v>71.400000000000006</v>
      </c>
      <c r="V15" s="20">
        <f t="shared" si="11"/>
        <v>71.400000000000006</v>
      </c>
      <c r="W15" s="759" t="str">
        <f t="shared" si="12"/>
        <v>=</v>
      </c>
      <c r="X15" s="760" t="str">
        <f t="shared" si="13"/>
        <v/>
      </c>
      <c r="Y15" s="761">
        <f t="shared" ca="1" si="70"/>
        <v>8</v>
      </c>
      <c r="Z15" s="762"/>
      <c r="AA15" s="763"/>
      <c r="AB15" s="764"/>
      <c r="AC15" s="18">
        <f t="shared" si="15"/>
        <v>85.4</v>
      </c>
      <c r="AD15" s="6">
        <f>IF($B15=0,"",RANK(AC15,AC$8:AC$38,0)+COUNTIF(AC$8:AC15,AC15)-1)</f>
        <v>1</v>
      </c>
      <c r="AE15" s="3">
        <f t="shared" si="16"/>
        <v>20</v>
      </c>
      <c r="AF15" s="19">
        <f t="shared" si="17"/>
        <v>8</v>
      </c>
      <c r="AG15" s="19">
        <f t="shared" si="18"/>
        <v>1</v>
      </c>
      <c r="AH15" s="18">
        <f t="shared" si="19"/>
        <v>85.4</v>
      </c>
      <c r="AI15" s="6">
        <f>IF($B15=0,"",RANK(AH15,AH$8:AH$38,0)+COUNTIF(AH$8:AH15,AH15)-1)</f>
        <v>1</v>
      </c>
      <c r="AK15" s="19">
        <f t="shared" si="71"/>
        <v>0</v>
      </c>
      <c r="AL15" s="19">
        <f t="shared" si="20"/>
        <v>1</v>
      </c>
      <c r="AM15" s="769">
        <f t="shared" si="72"/>
        <v>8</v>
      </c>
      <c r="AN15" s="3" t="str">
        <f t="shared" si="21"/>
        <v>New York</v>
      </c>
      <c r="AO15" s="20">
        <f t="shared" si="22"/>
        <v>76.2</v>
      </c>
      <c r="AP15" s="764">
        <f t="shared" si="23"/>
        <v>76.2</v>
      </c>
      <c r="AQ15" s="20">
        <f t="shared" si="24"/>
        <v>76.2</v>
      </c>
      <c r="AR15" s="759" t="str">
        <f t="shared" si="25"/>
        <v>=</v>
      </c>
      <c r="AS15" s="760" t="str">
        <f t="shared" si="26"/>
        <v/>
      </c>
      <c r="AT15" s="761">
        <f t="shared" ca="1" si="27"/>
        <v>8</v>
      </c>
      <c r="AU15" s="762"/>
      <c r="AV15" s="763"/>
      <c r="AW15" s="764"/>
      <c r="AX15" s="18">
        <f t="shared" si="28"/>
        <v>79.3</v>
      </c>
      <c r="AY15" s="6">
        <f>IF($B15=0,"",RANK(AX15,AX$8:AX$38,0)+COUNTIF(AX$8:AX15,AX15)-1)</f>
        <v>1</v>
      </c>
      <c r="AZ15" s="3">
        <f t="shared" si="29"/>
        <v>26</v>
      </c>
      <c r="BA15" s="19">
        <f t="shared" si="30"/>
        <v>8</v>
      </c>
      <c r="BB15" s="19">
        <f t="shared" si="31"/>
        <v>1</v>
      </c>
      <c r="BC15" s="18">
        <f t="shared" si="32"/>
        <v>79.3</v>
      </c>
      <c r="BD15" s="6">
        <f>IF($B15=0,"",RANK(BC15,BC$8:BC$38,0)+COUNTIF(BC$8:BC15,BC15)-1)</f>
        <v>1</v>
      </c>
      <c r="BF15" s="19">
        <f t="shared" si="73"/>
        <v>0</v>
      </c>
      <c r="BG15" s="19">
        <f t="shared" si="33"/>
        <v>1</v>
      </c>
      <c r="BH15" s="769">
        <f t="shared" si="74"/>
        <v>8</v>
      </c>
      <c r="BI15" s="3" t="str">
        <f t="shared" si="34"/>
        <v>Sydney</v>
      </c>
      <c r="BJ15" s="20">
        <f t="shared" si="35"/>
        <v>70.8</v>
      </c>
      <c r="BK15" s="764">
        <f t="shared" si="36"/>
        <v>70.8</v>
      </c>
      <c r="BL15" s="20">
        <f t="shared" si="37"/>
        <v>70.8</v>
      </c>
      <c r="BM15" s="759" t="str">
        <f t="shared" si="38"/>
        <v>=</v>
      </c>
      <c r="BN15" s="760" t="str">
        <f t="shared" si="39"/>
        <v/>
      </c>
      <c r="BO15" s="761">
        <f t="shared" ca="1" si="40"/>
        <v>8</v>
      </c>
      <c r="BP15" s="762" t="str">
        <f t="shared" ca="1" si="41"/>
        <v/>
      </c>
      <c r="BQ15" s="763"/>
      <c r="BR15" s="764"/>
      <c r="BS15" s="18">
        <f t="shared" si="42"/>
        <v>67.900000000000006</v>
      </c>
      <c r="BT15" s="6">
        <f>IF($B15=0,"",RANK(BS15,BS$8:BS$38,0)+COUNTIF(BS$8:BS15,BS15)-1)</f>
        <v>4</v>
      </c>
      <c r="BU15" s="3">
        <f t="shared" si="43"/>
        <v>15</v>
      </c>
      <c r="BV15" s="19">
        <f t="shared" si="44"/>
        <v>8</v>
      </c>
      <c r="BW15" s="19">
        <f t="shared" si="45"/>
        <v>1</v>
      </c>
      <c r="BX15" s="18">
        <f t="shared" si="46"/>
        <v>67.900000000000006</v>
      </c>
      <c r="BY15" s="6">
        <f>IF($B15=0,"",RANK(BX15,BX$8:BX$38,0)+COUNTIF(BX$8:BX15,BX15)-1)</f>
        <v>4</v>
      </c>
      <c r="CA15" s="19" t="str">
        <f t="shared" si="75"/>
        <v>=</v>
      </c>
      <c r="CB15" s="19">
        <f t="shared" si="47"/>
        <v>1</v>
      </c>
      <c r="CC15" s="769">
        <f t="shared" si="76"/>
        <v>8</v>
      </c>
      <c r="CD15" s="3" t="str">
        <f t="shared" si="48"/>
        <v>London</v>
      </c>
      <c r="CE15" s="20">
        <f t="shared" si="49"/>
        <v>65.400000000000006</v>
      </c>
      <c r="CF15" s="764">
        <f t="shared" si="50"/>
        <v>65.400000000000006</v>
      </c>
      <c r="CG15" s="20">
        <f t="shared" si="51"/>
        <v>65.400000000000006</v>
      </c>
      <c r="CH15" s="759" t="str">
        <f t="shared" si="52"/>
        <v>=</v>
      </c>
      <c r="CI15" s="760" t="str">
        <f t="shared" si="53"/>
        <v/>
      </c>
      <c r="CJ15" s="766">
        <f t="shared" ca="1" si="54"/>
        <v>8</v>
      </c>
      <c r="CK15" s="767"/>
      <c r="CL15" s="763"/>
      <c r="CM15" s="764"/>
      <c r="CN15" s="18">
        <f t="shared" si="55"/>
        <v>92.6</v>
      </c>
      <c r="CO15" s="6">
        <f>IF($B15=0,"",RANK(CN15,CN$8:CN$38,0)+COUNTIF(CN$8:CN15,CN15)-1)</f>
        <v>1</v>
      </c>
      <c r="CP15" s="3">
        <f t="shared" si="56"/>
        <v>26</v>
      </c>
      <c r="CQ15" s="19">
        <f t="shared" si="57"/>
        <v>8</v>
      </c>
      <c r="CR15" s="19">
        <f t="shared" si="58"/>
        <v>1</v>
      </c>
      <c r="CS15" s="18">
        <f t="shared" si="59"/>
        <v>92.6</v>
      </c>
      <c r="CT15" s="6">
        <f>IF($B15=0,"",RANK(CS15,CS$8:CS$38,0)+COUNTIF(CS$8:CS15,CS15)-1)</f>
        <v>1</v>
      </c>
      <c r="CV15" s="19" t="str">
        <f t="shared" si="77"/>
        <v>=</v>
      </c>
      <c r="CW15" s="19">
        <f t="shared" si="60"/>
        <v>1</v>
      </c>
      <c r="CX15" s="769">
        <f t="shared" si="78"/>
        <v>8</v>
      </c>
      <c r="CY15" s="3" t="str">
        <f t="shared" si="61"/>
        <v>Sydney</v>
      </c>
      <c r="CZ15" s="20">
        <f t="shared" si="62"/>
        <v>78.599999999999994</v>
      </c>
      <c r="DA15" s="764">
        <f t="shared" si="63"/>
        <v>78.599999999999994</v>
      </c>
      <c r="DB15" s="20">
        <f t="shared" si="64"/>
        <v>78.599999999999994</v>
      </c>
      <c r="DC15" s="759" t="str">
        <f t="shared" si="65"/>
        <v>=</v>
      </c>
      <c r="DD15" s="760" t="str">
        <f t="shared" si="66"/>
        <v/>
      </c>
      <c r="DE15" s="766">
        <f t="shared" ca="1" si="67"/>
        <v>8</v>
      </c>
      <c r="DF15" s="767"/>
      <c r="DG15" s="763"/>
      <c r="DH15" s="764"/>
    </row>
    <row r="16" spans="1:112">
      <c r="A16" s="18">
        <f>tblTerritories!A11</f>
        <v>9</v>
      </c>
      <c r="B16" s="3">
        <f>IF(tblTerritories!F11="",0,tblTerritories!F11)</f>
        <v>1</v>
      </c>
      <c r="C16" s="3" t="str">
        <f>tblTerritories!C11</f>
        <v>Dallas</v>
      </c>
      <c r="E16" s="3">
        <f>tblTerritories!K11</f>
        <v>1</v>
      </c>
      <c r="F16" s="3">
        <f>IF($A16="","",VLOOKUP(C16,tblTerritories!$J$3:$P$21,7,FALSE)+10)</f>
        <v>10</v>
      </c>
      <c r="H16" s="18">
        <f t="shared" si="68"/>
        <v>68.7</v>
      </c>
      <c r="I16" s="6">
        <f>IF($B16=0,"",RANK(H16,H$8:H$38,0)+COUNTIF(H$8:H16,H16)-1)</f>
        <v>15</v>
      </c>
      <c r="J16" s="3">
        <f t="shared" si="1"/>
        <v>29</v>
      </c>
      <c r="K16" s="19">
        <f t="shared" si="2"/>
        <v>9</v>
      </c>
      <c r="L16" s="19">
        <f t="shared" si="3"/>
        <v>1</v>
      </c>
      <c r="M16" s="18">
        <f t="shared" si="69"/>
        <v>68.7</v>
      </c>
      <c r="N16" s="6">
        <f>IF($B16=0,"",RANK(M16,M$8:M$38,0)+COUNTIF(M$8:M16,M16)-1)</f>
        <v>15</v>
      </c>
      <c r="P16" s="19">
        <f t="shared" si="5"/>
        <v>0</v>
      </c>
      <c r="Q16" s="19">
        <f t="shared" si="6"/>
        <v>1</v>
      </c>
      <c r="R16" s="768">
        <f t="shared" si="7"/>
        <v>9</v>
      </c>
      <c r="S16" s="3" t="str">
        <f t="shared" si="8"/>
        <v>Washington DC</v>
      </c>
      <c r="T16" s="20">
        <f t="shared" si="9"/>
        <v>71.2</v>
      </c>
      <c r="U16" s="764">
        <f t="shared" si="10"/>
        <v>71.2</v>
      </c>
      <c r="V16" s="20">
        <f t="shared" si="11"/>
        <v>71.2</v>
      </c>
      <c r="W16" s="759" t="str">
        <f t="shared" si="12"/>
        <v>=</v>
      </c>
      <c r="X16" s="760" t="str">
        <f t="shared" si="13"/>
        <v/>
      </c>
      <c r="Y16" s="761">
        <f t="shared" ca="1" si="70"/>
        <v>9</v>
      </c>
      <c r="Z16" s="762"/>
      <c r="AA16" s="763"/>
      <c r="AB16" s="764"/>
      <c r="AC16" s="18">
        <f t="shared" si="15"/>
        <v>74.2</v>
      </c>
      <c r="AD16" s="6">
        <f>IF($B16=0,"",RANK(AC16,AC$8:AC$38,0)+COUNTIF(AC$8:AC16,AC16)-1)</f>
        <v>11</v>
      </c>
      <c r="AE16" s="3">
        <f t="shared" si="16"/>
        <v>29</v>
      </c>
      <c r="AF16" s="19">
        <f t="shared" si="17"/>
        <v>9</v>
      </c>
      <c r="AG16" s="19">
        <f t="shared" si="18"/>
        <v>1</v>
      </c>
      <c r="AH16" s="18">
        <f t="shared" si="19"/>
        <v>74.2</v>
      </c>
      <c r="AI16" s="6">
        <f>IF($B16=0,"",RANK(AH16,AH$8:AH$38,0)+COUNTIF(AH$8:AH16,AH16)-1)</f>
        <v>11</v>
      </c>
      <c r="AK16" s="19">
        <f t="shared" si="71"/>
        <v>0</v>
      </c>
      <c r="AL16" s="19">
        <f t="shared" si="20"/>
        <v>1</v>
      </c>
      <c r="AM16" s="769">
        <f t="shared" si="72"/>
        <v>9</v>
      </c>
      <c r="AN16" s="3" t="str">
        <f t="shared" si="21"/>
        <v>Washington DC</v>
      </c>
      <c r="AO16" s="20">
        <f t="shared" si="22"/>
        <v>75.599999999999994</v>
      </c>
      <c r="AP16" s="764">
        <f t="shared" si="23"/>
        <v>75.599999999999994</v>
      </c>
      <c r="AQ16" s="20">
        <f t="shared" si="24"/>
        <v>75.599999999999994</v>
      </c>
      <c r="AR16" s="759" t="str">
        <f t="shared" si="25"/>
        <v>=</v>
      </c>
      <c r="AS16" s="760" t="str">
        <f t="shared" si="26"/>
        <v/>
      </c>
      <c r="AT16" s="761">
        <f t="shared" ca="1" si="27"/>
        <v>9</v>
      </c>
      <c r="AU16" s="762"/>
      <c r="AV16" s="763"/>
      <c r="AW16" s="764"/>
      <c r="AX16" s="18">
        <f t="shared" si="28"/>
        <v>67.5</v>
      </c>
      <c r="AY16" s="6">
        <f>IF($B16=0,"",RANK(AX16,AX$8:AX$38,0)+COUNTIF(AX$8:AX16,AX16)-1)</f>
        <v>13</v>
      </c>
      <c r="AZ16" s="3">
        <f t="shared" si="29"/>
        <v>12</v>
      </c>
      <c r="BA16" s="19">
        <f t="shared" si="30"/>
        <v>9</v>
      </c>
      <c r="BB16" s="19">
        <f t="shared" si="31"/>
        <v>1</v>
      </c>
      <c r="BC16" s="18">
        <f t="shared" si="32"/>
        <v>67.5</v>
      </c>
      <c r="BD16" s="6">
        <f>IF($B16=0,"",RANK(BC16,BC$8:BC$38,0)+COUNTIF(BC$8:BC16,BC16)-1)</f>
        <v>13</v>
      </c>
      <c r="BF16" s="19">
        <f t="shared" si="73"/>
        <v>0</v>
      </c>
      <c r="BG16" s="19">
        <f t="shared" si="33"/>
        <v>1</v>
      </c>
      <c r="BH16" s="769">
        <f t="shared" si="74"/>
        <v>9</v>
      </c>
      <c r="BI16" s="3" t="str">
        <f t="shared" si="34"/>
        <v>Hong Kong</v>
      </c>
      <c r="BJ16" s="20">
        <f t="shared" si="35"/>
        <v>70.2</v>
      </c>
      <c r="BK16" s="764">
        <f t="shared" si="36"/>
        <v>70.2</v>
      </c>
      <c r="BL16" s="20">
        <f t="shared" si="37"/>
        <v>70.2</v>
      </c>
      <c r="BM16" s="759" t="str">
        <f t="shared" si="38"/>
        <v>=</v>
      </c>
      <c r="BN16" s="760" t="str">
        <f t="shared" si="39"/>
        <v/>
      </c>
      <c r="BO16" s="761">
        <f t="shared" ca="1" si="40"/>
        <v>9</v>
      </c>
      <c r="BP16" s="762" t="str">
        <f t="shared" ca="1" si="41"/>
        <v/>
      </c>
      <c r="BQ16" s="763"/>
      <c r="BR16" s="764"/>
      <c r="BS16" s="18">
        <f t="shared" si="42"/>
        <v>67.5</v>
      </c>
      <c r="BT16" s="6">
        <f>IF($B16=0,"",RANK(BS16,BS$8:BS$38,0)+COUNTIF(BS$8:BS16,BS16)-1)</f>
        <v>5</v>
      </c>
      <c r="BU16" s="3">
        <f t="shared" si="43"/>
        <v>10</v>
      </c>
      <c r="BV16" s="19">
        <f t="shared" si="44"/>
        <v>9</v>
      </c>
      <c r="BW16" s="19">
        <f t="shared" si="45"/>
        <v>1</v>
      </c>
      <c r="BX16" s="18">
        <f t="shared" si="46"/>
        <v>67.5</v>
      </c>
      <c r="BY16" s="6">
        <f>IF($B16=0,"",RANK(BX16,BX$8:BX$38,0)+COUNTIF(BX$8:BX16,BX16)-1)</f>
        <v>5</v>
      </c>
      <c r="CA16" s="19" t="str">
        <f t="shared" si="75"/>
        <v>=</v>
      </c>
      <c r="CB16" s="19">
        <f t="shared" si="47"/>
        <v>1</v>
      </c>
      <c r="CC16" s="769">
        <f t="shared" si="76"/>
        <v>9</v>
      </c>
      <c r="CD16" s="3" t="str">
        <f t="shared" si="48"/>
        <v>Dubai</v>
      </c>
      <c r="CE16" s="20">
        <f t="shared" si="49"/>
        <v>65.2</v>
      </c>
      <c r="CF16" s="764">
        <f t="shared" si="50"/>
        <v>65.2</v>
      </c>
      <c r="CG16" s="20">
        <f t="shared" si="51"/>
        <v>65.2</v>
      </c>
      <c r="CH16" s="759" t="str">
        <f t="shared" si="52"/>
        <v>=</v>
      </c>
      <c r="CI16" s="760" t="str">
        <f t="shared" si="53"/>
        <v/>
      </c>
      <c r="CJ16" s="766">
        <f t="shared" ca="1" si="54"/>
        <v>9</v>
      </c>
      <c r="CK16" s="767"/>
      <c r="CL16" s="763"/>
      <c r="CM16" s="764"/>
      <c r="CN16" s="18">
        <f t="shared" si="55"/>
        <v>63.7</v>
      </c>
      <c r="CO16" s="6">
        <f>IF($B16=0,"",RANK(CN16,CN$8:CN$38,0)+COUNTIF(CN$8:CN16,CN16)-1)</f>
        <v>21</v>
      </c>
      <c r="CP16" s="3">
        <f t="shared" si="56"/>
        <v>20</v>
      </c>
      <c r="CQ16" s="19">
        <f t="shared" si="57"/>
        <v>9</v>
      </c>
      <c r="CR16" s="19">
        <f t="shared" si="58"/>
        <v>1</v>
      </c>
      <c r="CS16" s="18">
        <f t="shared" si="59"/>
        <v>63.7</v>
      </c>
      <c r="CT16" s="6">
        <f>IF($B16=0,"",RANK(CS16,CS$8:CS$38,0)+COUNTIF(CS$8:CS16,CS16)-1)</f>
        <v>21</v>
      </c>
      <c r="CV16" s="19" t="str">
        <f t="shared" si="77"/>
        <v>=</v>
      </c>
      <c r="CW16" s="19">
        <f t="shared" si="60"/>
        <v>1</v>
      </c>
      <c r="CX16" s="769">
        <f t="shared" si="78"/>
        <v>9</v>
      </c>
      <c r="CY16" s="3" t="str">
        <f t="shared" si="61"/>
        <v>New York</v>
      </c>
      <c r="CZ16" s="20">
        <f t="shared" si="62"/>
        <v>76.7</v>
      </c>
      <c r="DA16" s="764">
        <f t="shared" si="63"/>
        <v>76.7</v>
      </c>
      <c r="DB16" s="20">
        <f t="shared" si="64"/>
        <v>76.7</v>
      </c>
      <c r="DC16" s="759" t="str">
        <f t="shared" si="65"/>
        <v>=</v>
      </c>
      <c r="DD16" s="760" t="str">
        <f t="shared" si="66"/>
        <v/>
      </c>
      <c r="DE16" s="766">
        <f t="shared" ca="1" si="67"/>
        <v>9</v>
      </c>
      <c r="DF16" s="767"/>
      <c r="DG16" s="763"/>
      <c r="DH16" s="764"/>
    </row>
    <row r="17" spans="1:112">
      <c r="A17" s="18">
        <f>tblTerritories!A12</f>
        <v>10</v>
      </c>
      <c r="B17" s="3">
        <f>IF(tblTerritories!F12="",0,tblTerritories!F12)</f>
        <v>1</v>
      </c>
      <c r="C17" s="3" t="str">
        <f>tblTerritories!C12</f>
        <v>Dubai</v>
      </c>
      <c r="E17" s="3">
        <f>tblTerritories!K12</f>
        <v>1</v>
      </c>
      <c r="F17" s="3">
        <f>IF($A17="","",VLOOKUP(C17,tblTerritories!$J$3:$P$21,7,FALSE)+10)</f>
        <v>10</v>
      </c>
      <c r="H17" s="18">
        <f t="shared" si="68"/>
        <v>63.8</v>
      </c>
      <c r="I17" s="6">
        <f>IF($B17=0,"",RANK(H17,H$8:H$38,0)+COUNTIF(H$8:H17,H17)-1)</f>
        <v>18</v>
      </c>
      <c r="J17" s="3">
        <f t="shared" si="1"/>
        <v>21</v>
      </c>
      <c r="K17" s="19">
        <f t="shared" si="2"/>
        <v>10</v>
      </c>
      <c r="L17" s="19">
        <f t="shared" si="3"/>
        <v>1</v>
      </c>
      <c r="M17" s="18">
        <f t="shared" si="69"/>
        <v>63.8</v>
      </c>
      <c r="N17" s="6">
        <f>IF($B17=0,"",RANK(M17,M$8:M$38,0)+COUNTIF(M$8:M17,M17)-1)</f>
        <v>18</v>
      </c>
      <c r="P17" s="19">
        <f t="shared" ref="P17:P37" si="79">IFERROR(N17-I17,"")</f>
        <v>0</v>
      </c>
      <c r="Q17" s="19">
        <f t="shared" si="6"/>
        <v>1</v>
      </c>
      <c r="R17" s="768">
        <f t="shared" ref="R17:R37" si="80">IF(OR(S17="AVERAGE",J17=""),"",IF(L17&gt;1,CONCATENATE("=",K17),K17))</f>
        <v>10</v>
      </c>
      <c r="S17" s="3" t="str">
        <f t="shared" si="8"/>
        <v>Paris</v>
      </c>
      <c r="T17" s="20">
        <f t="shared" si="9"/>
        <v>70.2</v>
      </c>
      <c r="U17" s="764">
        <f t="shared" si="10"/>
        <v>70.2</v>
      </c>
      <c r="V17" s="20">
        <f t="shared" si="11"/>
        <v>70.2</v>
      </c>
      <c r="W17" s="759" t="str">
        <f t="shared" ref="W17:W37" si="81">IF(R17="","",IF(U17-V17=0,"=",U17-V17))</f>
        <v>=</v>
      </c>
      <c r="X17" s="760" t="str">
        <f t="shared" si="13"/>
        <v/>
      </c>
      <c r="Y17" s="761">
        <f t="shared" ref="Y17:Y37" ca="1" si="82">IF(OR(Q17=4,Q17=0),"",RANK(U17,OFFSET(aScoresRounded,$M$6-1,0,1,$E$1)))</f>
        <v>10</v>
      </c>
      <c r="Z17" s="762"/>
      <c r="AA17" s="763"/>
      <c r="AB17" s="764"/>
      <c r="AC17" s="18">
        <f t="shared" si="15"/>
        <v>63.5</v>
      </c>
      <c r="AD17" s="6">
        <f>IF($B17=0,"",RANK(AC17,AC$8:AC$38,0)+COUNTIF(AC$8:AC17,AC17)-1)</f>
        <v>20</v>
      </c>
      <c r="AE17" s="3">
        <f t="shared" si="16"/>
        <v>24</v>
      </c>
      <c r="AF17" s="19">
        <f t="shared" si="17"/>
        <v>10</v>
      </c>
      <c r="AG17" s="19">
        <f t="shared" si="18"/>
        <v>1</v>
      </c>
      <c r="AH17" s="18">
        <f t="shared" si="19"/>
        <v>63.5</v>
      </c>
      <c r="AI17" s="6">
        <f>IF($B17=0,"",RANK(AH17,AH$8:AH$38,0)+COUNTIF(AH$8:AH17,AH17)-1)</f>
        <v>20</v>
      </c>
      <c r="AK17" s="19">
        <f t="shared" ref="AK17:AK37" si="83">IFERROR(AI17-AD17,"")</f>
        <v>0</v>
      </c>
      <c r="AL17" s="19">
        <f t="shared" si="20"/>
        <v>1</v>
      </c>
      <c r="AM17" s="769">
        <f t="shared" ref="AM17:AM37" si="84">IF(OR(AN17="AVERAGE",AE17="",AO17=-100),"",IF(AG17&gt;1,CONCATENATE("=",AF17),AF17))</f>
        <v>10</v>
      </c>
      <c r="AN17" s="3" t="str">
        <f t="shared" si="21"/>
        <v>Seoul</v>
      </c>
      <c r="AO17" s="20">
        <f t="shared" si="22"/>
        <v>75.3</v>
      </c>
      <c r="AP17" s="764">
        <f t="shared" si="23"/>
        <v>75.3</v>
      </c>
      <c r="AQ17" s="20">
        <f t="shared" si="24"/>
        <v>75.3</v>
      </c>
      <c r="AR17" s="759" t="str">
        <f t="shared" ref="AR17:AR37" si="85">IF(AM17="","",IF(AP17-AQ17=0,"=",AP17-AQ17))</f>
        <v>=</v>
      </c>
      <c r="AS17" s="760" t="str">
        <f t="shared" si="26"/>
        <v/>
      </c>
      <c r="AT17" s="761">
        <f t="shared" ref="AT17:AT37" ca="1" si="86">IF(OR(AL17=4,AL17=0),"",RANK(AP17,OFFSET(aScoresRounded,AH$6-1,0,1,$E$1)))</f>
        <v>10</v>
      </c>
      <c r="AU17" s="762"/>
      <c r="AV17" s="763"/>
      <c r="AW17" s="764"/>
      <c r="AX17" s="18">
        <f t="shared" si="28"/>
        <v>69.8</v>
      </c>
      <c r="AY17" s="6">
        <f>IF($B17=0,"",RANK(AX17,AX$8:AX$38,0)+COUNTIF(AX$8:AX17,AX17)-1)</f>
        <v>11</v>
      </c>
      <c r="AZ17" s="3">
        <f t="shared" si="29"/>
        <v>11</v>
      </c>
      <c r="BA17" s="19">
        <f t="shared" si="30"/>
        <v>10</v>
      </c>
      <c r="BB17" s="19">
        <f t="shared" si="31"/>
        <v>1</v>
      </c>
      <c r="BC17" s="18">
        <f t="shared" si="32"/>
        <v>69.8</v>
      </c>
      <c r="BD17" s="6">
        <f>IF($B17=0,"",RANK(BC17,BC$8:BC$38,0)+COUNTIF(BC$8:BC17,BC17)-1)</f>
        <v>11</v>
      </c>
      <c r="BF17" s="19">
        <f t="shared" ref="BF17:BF37" si="87">BD17-AY17</f>
        <v>0</v>
      </c>
      <c r="BG17" s="19">
        <f t="shared" si="33"/>
        <v>1</v>
      </c>
      <c r="BH17" s="769">
        <f t="shared" ref="BH17:BH37" si="88">IF(OR(BI17="AVERAGE",AZ17="",BJ17=-100),"",IF(BB17&gt;1,CONCATENATE("=",BA17),BA17))</f>
        <v>10</v>
      </c>
      <c r="BI17" s="3" t="str">
        <f t="shared" si="34"/>
        <v>Frankfurt</v>
      </c>
      <c r="BJ17" s="20">
        <f t="shared" si="35"/>
        <v>69.900000000000006</v>
      </c>
      <c r="BK17" s="764">
        <f t="shared" si="36"/>
        <v>69.900000000000006</v>
      </c>
      <c r="BL17" s="20">
        <f t="shared" si="37"/>
        <v>69.900000000000006</v>
      </c>
      <c r="BM17" s="759" t="str">
        <f t="shared" ref="BM17:BM37" si="89">IF(BH17="","",IF(BK17-BL17=0,"=",BK17-BL17))</f>
        <v>=</v>
      </c>
      <c r="BN17" s="760" t="str">
        <f t="shared" si="39"/>
        <v/>
      </c>
      <c r="BO17" s="761">
        <f t="shared" ref="BO17:BO37" ca="1" si="90">IF(OR(BG17=4,BG17=0),"",RANK(BK17,OFFSET(aScoresRounded,AX$6-1,0,1,$E$1)))</f>
        <v>10</v>
      </c>
      <c r="BP17" s="762" t="str">
        <f t="shared" ref="BP17:BP37" ca="1" si="91">IF(OR(BG17=4,BG17=0),"",IFERROR(RANK(BL17,CHOOSE($G$1,OFFSET(aScoresRounded,AX$6-1,0,1,$E$1),OFFSET(aScores_2018,BC$6-1,0,1,$E$1),OFFSET(aScores_2016,BC$6-1,0,1,$E$1),OFFSET(aScores_2018,BC$6-1,0,1,$E$1))),""))</f>
        <v/>
      </c>
      <c r="BQ17" s="763"/>
      <c r="BR17" s="764"/>
      <c r="BS17" s="18">
        <f t="shared" si="42"/>
        <v>65.2</v>
      </c>
      <c r="BT17" s="6">
        <f>IF($B17=0,"",RANK(BS17,BS$8:BS$38,0)+COUNTIF(BS$8:BS17,BS17)-1)</f>
        <v>9</v>
      </c>
      <c r="BU17" s="3">
        <f t="shared" si="43"/>
        <v>21</v>
      </c>
      <c r="BV17" s="19">
        <f t="shared" si="44"/>
        <v>10</v>
      </c>
      <c r="BW17" s="19">
        <f t="shared" si="45"/>
        <v>1</v>
      </c>
      <c r="BX17" s="18">
        <f t="shared" si="46"/>
        <v>65.2</v>
      </c>
      <c r="BY17" s="6">
        <f>IF($B17=0,"",RANK(BX17,BX$8:BX$38,0)+COUNTIF(BX$8:BX17,BX17)-1)</f>
        <v>9</v>
      </c>
      <c r="CA17" s="19" t="str">
        <f t="shared" ref="CA17:CA37" si="92">IF(BY17=BT17,"=",BY17-BT17)</f>
        <v>=</v>
      </c>
      <c r="CB17" s="19">
        <f t="shared" si="47"/>
        <v>1</v>
      </c>
      <c r="CC17" s="769">
        <f t="shared" ref="CC17:CC37" si="93">IF(OR(CD17="AVERAGE",BU17="",CE17=-100),"",IF(BW17&gt;1,CONCATENATE("=",BV17),BV17))</f>
        <v>10</v>
      </c>
      <c r="CD17" s="3" t="str">
        <f t="shared" si="48"/>
        <v>Paris</v>
      </c>
      <c r="CE17" s="20">
        <f t="shared" si="49"/>
        <v>64.099999999999994</v>
      </c>
      <c r="CF17" s="764">
        <f t="shared" si="50"/>
        <v>64.099999999999994</v>
      </c>
      <c r="CG17" s="20">
        <f t="shared" si="51"/>
        <v>64.099999999999994</v>
      </c>
      <c r="CH17" s="759" t="str">
        <f t="shared" ref="CH17:CH37" si="94">IF(CC17="","",IF(CF17-CG17=0,"=",CF17-CG17))</f>
        <v>=</v>
      </c>
      <c r="CI17" s="760" t="str">
        <f t="shared" si="53"/>
        <v/>
      </c>
      <c r="CJ17" s="766">
        <f t="shared" ref="CJ17:CJ37" ca="1" si="95">IF(OR(CB17=4,CB17=0),"",RANK(CF17,OFFSET(aScoresRounded,BS$6-1,0,1,$E$1)))</f>
        <v>10</v>
      </c>
      <c r="CK17" s="767"/>
      <c r="CL17" s="763"/>
      <c r="CM17" s="764"/>
      <c r="CN17" s="18">
        <f t="shared" si="55"/>
        <v>54.8</v>
      </c>
      <c r="CO17" s="6">
        <f>IF($B17=0,"",RANK(CN17,CN$8:CN$38,0)+COUNTIF(CN$8:CN17,CN17)-1)</f>
        <v>24</v>
      </c>
      <c r="CP17" s="3">
        <f t="shared" si="56"/>
        <v>29</v>
      </c>
      <c r="CQ17" s="19">
        <f t="shared" si="57"/>
        <v>10</v>
      </c>
      <c r="CR17" s="19">
        <f t="shared" si="58"/>
        <v>1</v>
      </c>
      <c r="CS17" s="18">
        <f t="shared" si="59"/>
        <v>54.8</v>
      </c>
      <c r="CT17" s="6">
        <f>IF($B17=0,"",RANK(CS17,CS$8:CS$38,0)+COUNTIF(CS$8:CS17,CS17)-1)</f>
        <v>24</v>
      </c>
      <c r="CV17" s="19" t="str">
        <f t="shared" si="77"/>
        <v>=</v>
      </c>
      <c r="CW17" s="19">
        <f t="shared" si="60"/>
        <v>1</v>
      </c>
      <c r="CX17" s="769">
        <f t="shared" si="78"/>
        <v>10</v>
      </c>
      <c r="CY17" s="3" t="str">
        <f t="shared" si="61"/>
        <v>Washington DC</v>
      </c>
      <c r="CZ17" s="20">
        <f t="shared" si="62"/>
        <v>75.400000000000006</v>
      </c>
      <c r="DA17" s="764">
        <f t="shared" si="63"/>
        <v>75.400000000000006</v>
      </c>
      <c r="DB17" s="20">
        <f t="shared" si="64"/>
        <v>75.400000000000006</v>
      </c>
      <c r="DC17" s="759" t="str">
        <f t="shared" si="65"/>
        <v>=</v>
      </c>
      <c r="DD17" s="760" t="str">
        <f t="shared" si="66"/>
        <v/>
      </c>
      <c r="DE17" s="766">
        <f t="shared" ca="1" si="67"/>
        <v>10</v>
      </c>
      <c r="DF17" s="767"/>
      <c r="DG17" s="763"/>
      <c r="DH17" s="764"/>
    </row>
    <row r="18" spans="1:112">
      <c r="A18" s="18">
        <f>tblTerritories!A13</f>
        <v>11</v>
      </c>
      <c r="B18" s="3">
        <f>IF(tblTerritories!F13="",0,tblTerritories!F13)</f>
        <v>1</v>
      </c>
      <c r="C18" s="3" t="str">
        <f>tblTerritories!C13</f>
        <v>Frankfurt</v>
      </c>
      <c r="E18" s="3">
        <f>tblTerritories!K13</f>
        <v>1</v>
      </c>
      <c r="F18" s="3">
        <f>IF($A18="","",VLOOKUP(C18,tblTerritories!$J$3:$P$21,7,FALSE)+10)</f>
        <v>10</v>
      </c>
      <c r="H18" s="18">
        <f t="shared" si="68"/>
        <v>69.099999999999994</v>
      </c>
      <c r="I18" s="6">
        <f>IF($B18=0,"",RANK(H18,H$8:H$38,0)+COUNTIF(H$8:H18,H18)-1)</f>
        <v>14</v>
      </c>
      <c r="J18" s="3">
        <f t="shared" si="1"/>
        <v>28</v>
      </c>
      <c r="K18" s="19">
        <f t="shared" si="2"/>
        <v>11</v>
      </c>
      <c r="L18" s="19">
        <f t="shared" si="3"/>
        <v>2</v>
      </c>
      <c r="M18" s="18">
        <f t="shared" si="69"/>
        <v>69.099999999999994</v>
      </c>
      <c r="N18" s="6">
        <f>IF($B18=0,"",RANK(M18,M$8:M$38,0)+COUNTIF(M$8:M18,M18)-1)</f>
        <v>14</v>
      </c>
      <c r="P18" s="19">
        <f t="shared" si="79"/>
        <v>0</v>
      </c>
      <c r="Q18" s="19">
        <f t="shared" si="6"/>
        <v>1</v>
      </c>
      <c r="R18" s="768" t="str">
        <f t="shared" si="80"/>
        <v>=11</v>
      </c>
      <c r="S18" s="3" t="str">
        <f t="shared" si="8"/>
        <v>Toronto</v>
      </c>
      <c r="T18" s="20">
        <f t="shared" si="9"/>
        <v>70.099999999999994</v>
      </c>
      <c r="U18" s="764">
        <f t="shared" si="10"/>
        <v>70.099999999999994</v>
      </c>
      <c r="V18" s="20">
        <f t="shared" si="11"/>
        <v>70.099999999999994</v>
      </c>
      <c r="W18" s="759" t="str">
        <f t="shared" si="81"/>
        <v>=</v>
      </c>
      <c r="X18" s="760" t="str">
        <f t="shared" si="13"/>
        <v/>
      </c>
      <c r="Y18" s="761">
        <f t="shared" ca="1" si="82"/>
        <v>11</v>
      </c>
      <c r="Z18" s="762"/>
      <c r="AA18" s="763"/>
      <c r="AB18" s="764"/>
      <c r="AC18" s="18">
        <f t="shared" si="15"/>
        <v>71.2</v>
      </c>
      <c r="AD18" s="6">
        <f>IF($B18=0,"",RANK(AC18,AC$8:AC$38,0)+COUNTIF(AC$8:AC18,AC18)-1)</f>
        <v>15</v>
      </c>
      <c r="AE18" s="3">
        <f t="shared" si="16"/>
        <v>9</v>
      </c>
      <c r="AF18" s="19">
        <f t="shared" si="17"/>
        <v>11</v>
      </c>
      <c r="AG18" s="19">
        <f t="shared" si="18"/>
        <v>1</v>
      </c>
      <c r="AH18" s="18">
        <f t="shared" si="19"/>
        <v>71.2</v>
      </c>
      <c r="AI18" s="6">
        <f>IF($B18=0,"",RANK(AH18,AH$8:AH$38,0)+COUNTIF(AH$8:AH18,AH18)-1)</f>
        <v>15</v>
      </c>
      <c r="AK18" s="19">
        <f t="shared" si="83"/>
        <v>0</v>
      </c>
      <c r="AL18" s="19">
        <f t="shared" si="20"/>
        <v>1</v>
      </c>
      <c r="AM18" s="769">
        <f t="shared" si="84"/>
        <v>11</v>
      </c>
      <c r="AN18" s="3" t="str">
        <f t="shared" si="21"/>
        <v>Dallas</v>
      </c>
      <c r="AO18" s="20">
        <f t="shared" si="22"/>
        <v>74.2</v>
      </c>
      <c r="AP18" s="764">
        <f t="shared" si="23"/>
        <v>74.2</v>
      </c>
      <c r="AQ18" s="20">
        <f t="shared" si="24"/>
        <v>74.2</v>
      </c>
      <c r="AR18" s="759" t="str">
        <f t="shared" si="85"/>
        <v>=</v>
      </c>
      <c r="AS18" s="760" t="str">
        <f t="shared" si="26"/>
        <v/>
      </c>
      <c r="AT18" s="761">
        <f t="shared" ca="1" si="86"/>
        <v>11</v>
      </c>
      <c r="AU18" s="762"/>
      <c r="AV18" s="763"/>
      <c r="AW18" s="764"/>
      <c r="AX18" s="18">
        <f t="shared" si="28"/>
        <v>69.900000000000006</v>
      </c>
      <c r="AY18" s="6">
        <f>IF($B18=0,"",RANK(AX18,AX$8:AX$38,0)+COUNTIF(AX$8:AX18,AX18)-1)</f>
        <v>10</v>
      </c>
      <c r="AZ18" s="3">
        <f t="shared" si="29"/>
        <v>10</v>
      </c>
      <c r="BA18" s="19">
        <f t="shared" si="30"/>
        <v>11</v>
      </c>
      <c r="BB18" s="19">
        <f t="shared" si="31"/>
        <v>1</v>
      </c>
      <c r="BC18" s="18">
        <f t="shared" si="32"/>
        <v>69.900000000000006</v>
      </c>
      <c r="BD18" s="6">
        <f>IF($B18=0,"",RANK(BC18,BC$8:BC$38,0)+COUNTIF(BC$8:BC18,BC18)-1)</f>
        <v>10</v>
      </c>
      <c r="BF18" s="19">
        <f t="shared" si="87"/>
        <v>0</v>
      </c>
      <c r="BG18" s="19">
        <f t="shared" si="33"/>
        <v>1</v>
      </c>
      <c r="BH18" s="769">
        <f t="shared" si="88"/>
        <v>11</v>
      </c>
      <c r="BI18" s="3" t="str">
        <f t="shared" si="34"/>
        <v>Dubai</v>
      </c>
      <c r="BJ18" s="20">
        <f t="shared" si="35"/>
        <v>69.8</v>
      </c>
      <c r="BK18" s="764">
        <f t="shared" si="36"/>
        <v>69.8</v>
      </c>
      <c r="BL18" s="20">
        <f t="shared" si="37"/>
        <v>69.8</v>
      </c>
      <c r="BM18" s="759" t="str">
        <f t="shared" si="89"/>
        <v>=</v>
      </c>
      <c r="BN18" s="760" t="str">
        <f t="shared" si="39"/>
        <v/>
      </c>
      <c r="BO18" s="761">
        <f t="shared" ca="1" si="90"/>
        <v>11</v>
      </c>
      <c r="BP18" s="762" t="str">
        <f t="shared" ca="1" si="91"/>
        <v/>
      </c>
      <c r="BQ18" s="763"/>
      <c r="BR18" s="764"/>
      <c r="BS18" s="18">
        <f t="shared" si="42"/>
        <v>62.7</v>
      </c>
      <c r="BT18" s="6">
        <f>IF($B18=0,"",RANK(BS18,BS$8:BS$38,0)+COUNTIF(BS$8:BS18,BS18)-1)</f>
        <v>14</v>
      </c>
      <c r="BU18" s="3">
        <f t="shared" si="43"/>
        <v>30</v>
      </c>
      <c r="BV18" s="19">
        <f t="shared" si="44"/>
        <v>11</v>
      </c>
      <c r="BW18" s="19">
        <f t="shared" si="45"/>
        <v>1</v>
      </c>
      <c r="BX18" s="18">
        <f t="shared" si="46"/>
        <v>62.7</v>
      </c>
      <c r="BY18" s="6">
        <f>IF($B18=0,"",RANK(BX18,BX$8:BX$38,0)+COUNTIF(BX$8:BX18,BX18)-1)</f>
        <v>14</v>
      </c>
      <c r="CA18" s="19" t="str">
        <f t="shared" si="92"/>
        <v>=</v>
      </c>
      <c r="CB18" s="19">
        <f t="shared" si="47"/>
        <v>1</v>
      </c>
      <c r="CC18" s="769">
        <f t="shared" si="93"/>
        <v>11</v>
      </c>
      <c r="CD18" s="3" t="str">
        <f t="shared" si="48"/>
        <v>Zurich</v>
      </c>
      <c r="CE18" s="20">
        <f t="shared" si="49"/>
        <v>64</v>
      </c>
      <c r="CF18" s="764">
        <f t="shared" si="50"/>
        <v>64</v>
      </c>
      <c r="CG18" s="20">
        <f t="shared" si="51"/>
        <v>64</v>
      </c>
      <c r="CH18" s="759" t="str">
        <f t="shared" si="94"/>
        <v>=</v>
      </c>
      <c r="CI18" s="760" t="str">
        <f t="shared" si="53"/>
        <v/>
      </c>
      <c r="CJ18" s="766">
        <f t="shared" ca="1" si="95"/>
        <v>11</v>
      </c>
      <c r="CK18" s="767"/>
      <c r="CL18" s="763"/>
      <c r="CM18" s="764"/>
      <c r="CN18" s="18">
        <f t="shared" si="55"/>
        <v>71.7</v>
      </c>
      <c r="CO18" s="6">
        <f>IF($B18=0,"",RANK(CN18,CN$8:CN$38,0)+COUNTIF(CN$8:CN18,CN18)-1)</f>
        <v>13</v>
      </c>
      <c r="CP18" s="3">
        <f t="shared" si="56"/>
        <v>12</v>
      </c>
      <c r="CQ18" s="19">
        <f t="shared" si="57"/>
        <v>11</v>
      </c>
      <c r="CR18" s="19">
        <f t="shared" si="58"/>
        <v>1</v>
      </c>
      <c r="CS18" s="18">
        <f t="shared" si="59"/>
        <v>71.7</v>
      </c>
      <c r="CT18" s="6">
        <f>IF($B18=0,"",RANK(CS18,CS$8:CS$38,0)+COUNTIF(CS$8:CS18,CS18)-1)</f>
        <v>13</v>
      </c>
      <c r="CV18" s="19" t="str">
        <f t="shared" si="77"/>
        <v>=</v>
      </c>
      <c r="CW18" s="19">
        <f t="shared" si="60"/>
        <v>1</v>
      </c>
      <c r="CX18" s="769">
        <f t="shared" si="78"/>
        <v>11</v>
      </c>
      <c r="CY18" s="3" t="str">
        <f t="shared" si="61"/>
        <v>Hong Kong</v>
      </c>
      <c r="CZ18" s="20">
        <f t="shared" si="62"/>
        <v>72.599999999999994</v>
      </c>
      <c r="DA18" s="764">
        <f t="shared" si="63"/>
        <v>72.599999999999994</v>
      </c>
      <c r="DB18" s="20">
        <f t="shared" si="64"/>
        <v>72.599999999999994</v>
      </c>
      <c r="DC18" s="759" t="str">
        <f t="shared" si="65"/>
        <v>=</v>
      </c>
      <c r="DD18" s="760" t="str">
        <f t="shared" si="66"/>
        <v/>
      </c>
      <c r="DE18" s="766">
        <f t="shared" ca="1" si="67"/>
        <v>11</v>
      </c>
      <c r="DF18" s="767"/>
      <c r="DG18" s="763"/>
      <c r="DH18" s="764"/>
    </row>
    <row r="19" spans="1:112">
      <c r="A19" s="18">
        <f>tblTerritories!A14</f>
        <v>12</v>
      </c>
      <c r="B19" s="3">
        <f>IF(tblTerritories!F14="",0,tblTerritories!F14)</f>
        <v>1</v>
      </c>
      <c r="C19" s="3" t="str">
        <f>tblTerritories!C14</f>
        <v>Hong Kong</v>
      </c>
      <c r="E19" s="3">
        <f>tblTerritories!K14</f>
        <v>1</v>
      </c>
      <c r="F19" s="3">
        <f>IF($A19="","",VLOOKUP(C19,tblTerritories!$J$3:$P$21,7,FALSE)+10)</f>
        <v>10</v>
      </c>
      <c r="H19" s="18">
        <f t="shared" si="68"/>
        <v>68</v>
      </c>
      <c r="I19" s="6">
        <f>IF($B19=0,"",RANK(H19,H$8:H$38,0)+COUNTIF(H$8:H19,H19)-1)</f>
        <v>17</v>
      </c>
      <c r="J19" s="3">
        <f t="shared" si="1"/>
        <v>30</v>
      </c>
      <c r="K19" s="19">
        <f t="shared" si="2"/>
        <v>11</v>
      </c>
      <c r="L19" s="19">
        <f t="shared" si="3"/>
        <v>2</v>
      </c>
      <c r="M19" s="18">
        <f t="shared" si="69"/>
        <v>68</v>
      </c>
      <c r="N19" s="6">
        <f>IF($B19=0,"",RANK(M19,M$8:M$38,0)+COUNTIF(M$8:M19,M19)-1)</f>
        <v>17</v>
      </c>
      <c r="P19" s="19">
        <f t="shared" si="79"/>
        <v>0</v>
      </c>
      <c r="Q19" s="19">
        <f t="shared" si="6"/>
        <v>1</v>
      </c>
      <c r="R19" s="768" t="str">
        <f t="shared" si="80"/>
        <v>=11</v>
      </c>
      <c r="S19" s="3" t="str">
        <f t="shared" si="8"/>
        <v>Zurich</v>
      </c>
      <c r="T19" s="20">
        <f t="shared" si="9"/>
        <v>70.099999999999994</v>
      </c>
      <c r="U19" s="764">
        <f t="shared" si="10"/>
        <v>70.099999999999994</v>
      </c>
      <c r="V19" s="20">
        <f t="shared" si="11"/>
        <v>70.099999999999994</v>
      </c>
      <c r="W19" s="759" t="str">
        <f t="shared" si="81"/>
        <v>=</v>
      </c>
      <c r="X19" s="760" t="str">
        <f t="shared" si="13"/>
        <v/>
      </c>
      <c r="Y19" s="761">
        <f t="shared" ca="1" si="82"/>
        <v>11</v>
      </c>
      <c r="Z19" s="762"/>
      <c r="AA19" s="763"/>
      <c r="AB19" s="764"/>
      <c r="AC19" s="18">
        <f t="shared" si="15"/>
        <v>76.599999999999994</v>
      </c>
      <c r="AD19" s="6">
        <f>IF($B19=0,"",RANK(AC19,AC$8:AC$38,0)+COUNTIF(AC$8:AC19,AC19)-1)</f>
        <v>7</v>
      </c>
      <c r="AE19" s="3">
        <f t="shared" si="16"/>
        <v>21</v>
      </c>
      <c r="AF19" s="19">
        <f t="shared" si="17"/>
        <v>12</v>
      </c>
      <c r="AG19" s="19">
        <f t="shared" si="18"/>
        <v>1</v>
      </c>
      <c r="AH19" s="18">
        <f t="shared" si="19"/>
        <v>76.599999999999994</v>
      </c>
      <c r="AI19" s="6">
        <f>IF($B19=0,"",RANK(AH19,AH$8:AH$38,0)+COUNTIF(AH$8:AH19,AH19)-1)</f>
        <v>7</v>
      </c>
      <c r="AK19" s="19">
        <f t="shared" si="83"/>
        <v>0</v>
      </c>
      <c r="AL19" s="19">
        <f t="shared" si="20"/>
        <v>1</v>
      </c>
      <c r="AM19" s="769">
        <f t="shared" si="84"/>
        <v>12</v>
      </c>
      <c r="AN19" s="3" t="str">
        <f t="shared" si="21"/>
        <v>Paris</v>
      </c>
      <c r="AO19" s="20">
        <f t="shared" si="22"/>
        <v>71.900000000000006</v>
      </c>
      <c r="AP19" s="764">
        <f t="shared" si="23"/>
        <v>71.900000000000006</v>
      </c>
      <c r="AQ19" s="20">
        <f t="shared" si="24"/>
        <v>71.900000000000006</v>
      </c>
      <c r="AR19" s="759" t="str">
        <f t="shared" si="85"/>
        <v>=</v>
      </c>
      <c r="AS19" s="760" t="str">
        <f t="shared" si="26"/>
        <v/>
      </c>
      <c r="AT19" s="761">
        <f t="shared" ca="1" si="86"/>
        <v>12</v>
      </c>
      <c r="AU19" s="762"/>
      <c r="AV19" s="763"/>
      <c r="AW19" s="764"/>
      <c r="AX19" s="18">
        <f t="shared" si="28"/>
        <v>70.2</v>
      </c>
      <c r="AY19" s="6">
        <f>IF($B19=0,"",RANK(AX19,AX$8:AX$38,0)+COUNTIF(AX$8:AX19,AX19)-1)</f>
        <v>9</v>
      </c>
      <c r="AZ19" s="3">
        <f t="shared" si="29"/>
        <v>5</v>
      </c>
      <c r="BA19" s="19">
        <f t="shared" si="30"/>
        <v>12</v>
      </c>
      <c r="BB19" s="19">
        <f t="shared" si="31"/>
        <v>1</v>
      </c>
      <c r="BC19" s="18">
        <f t="shared" si="32"/>
        <v>70.2</v>
      </c>
      <c r="BD19" s="6">
        <f>IF($B19=0,"",RANK(BC19,BC$8:BC$38,0)+COUNTIF(BC$8:BC19,BC19)-1)</f>
        <v>9</v>
      </c>
      <c r="BF19" s="19">
        <f t="shared" si="87"/>
        <v>0</v>
      </c>
      <c r="BG19" s="19">
        <f t="shared" si="33"/>
        <v>1</v>
      </c>
      <c r="BH19" s="769">
        <f t="shared" si="88"/>
        <v>12</v>
      </c>
      <c r="BI19" s="3" t="str">
        <f t="shared" si="34"/>
        <v>Beijing</v>
      </c>
      <c r="BJ19" s="20">
        <f t="shared" si="35"/>
        <v>68.3</v>
      </c>
      <c r="BK19" s="764">
        <f t="shared" si="36"/>
        <v>68.3</v>
      </c>
      <c r="BL19" s="20">
        <f t="shared" si="37"/>
        <v>68.3</v>
      </c>
      <c r="BM19" s="759" t="str">
        <f t="shared" si="89"/>
        <v>=</v>
      </c>
      <c r="BN19" s="760" t="str">
        <f t="shared" si="39"/>
        <v/>
      </c>
      <c r="BO19" s="761">
        <f t="shared" ca="1" si="90"/>
        <v>12</v>
      </c>
      <c r="BP19" s="762" t="str">
        <f t="shared" ca="1" si="91"/>
        <v/>
      </c>
      <c r="BQ19" s="763"/>
      <c r="BR19" s="764"/>
      <c r="BS19" s="18">
        <f t="shared" si="42"/>
        <v>48.3</v>
      </c>
      <c r="BT19" s="6">
        <f>IF($B19=0,"",RANK(BS19,BS$8:BS$38,0)+COUNTIF(BS$8:BS19,BS19)-1)</f>
        <v>26</v>
      </c>
      <c r="BU19" s="3">
        <f t="shared" si="43"/>
        <v>25</v>
      </c>
      <c r="BV19" s="19">
        <f t="shared" si="44"/>
        <v>12</v>
      </c>
      <c r="BW19" s="19">
        <f t="shared" si="45"/>
        <v>1</v>
      </c>
      <c r="BX19" s="18">
        <f t="shared" si="46"/>
        <v>48.3</v>
      </c>
      <c r="BY19" s="6">
        <f>IF($B19=0,"",RANK(BX19,BX$8:BX$38,0)+COUNTIF(BX$8:BX19,BX19)-1)</f>
        <v>26</v>
      </c>
      <c r="CA19" s="19" t="str">
        <f t="shared" si="92"/>
        <v>=</v>
      </c>
      <c r="CB19" s="19">
        <f t="shared" si="47"/>
        <v>1</v>
      </c>
      <c r="CC19" s="769">
        <f t="shared" si="93"/>
        <v>12</v>
      </c>
      <c r="CD19" s="3" t="str">
        <f t="shared" si="48"/>
        <v>Singapore</v>
      </c>
      <c r="CE19" s="20">
        <f t="shared" si="49"/>
        <v>63.7</v>
      </c>
      <c r="CF19" s="764">
        <f t="shared" si="50"/>
        <v>63.7</v>
      </c>
      <c r="CG19" s="20">
        <f t="shared" si="51"/>
        <v>63.7</v>
      </c>
      <c r="CH19" s="759" t="str">
        <f t="shared" si="94"/>
        <v>=</v>
      </c>
      <c r="CI19" s="760" t="str">
        <f t="shared" si="53"/>
        <v/>
      </c>
      <c r="CJ19" s="766">
        <f t="shared" ca="1" si="95"/>
        <v>12</v>
      </c>
      <c r="CK19" s="767"/>
      <c r="CL19" s="763"/>
      <c r="CM19" s="764"/>
      <c r="CN19" s="18">
        <f t="shared" si="55"/>
        <v>72.599999999999994</v>
      </c>
      <c r="CO19" s="6">
        <f>IF($B19=0,"",RANK(CN19,CN$8:CN$38,0)+COUNTIF(CN$8:CN19,CN19)-1)</f>
        <v>11</v>
      </c>
      <c r="CP19" s="3">
        <f t="shared" si="56"/>
        <v>27</v>
      </c>
      <c r="CQ19" s="19">
        <f t="shared" si="57"/>
        <v>12</v>
      </c>
      <c r="CR19" s="19">
        <f t="shared" si="58"/>
        <v>1</v>
      </c>
      <c r="CS19" s="18">
        <f t="shared" si="59"/>
        <v>72.599999999999994</v>
      </c>
      <c r="CT19" s="6">
        <f>IF($B19=0,"",RANK(CS19,CS$8:CS$38,0)+COUNTIF(CS$8:CS19,CS19)-1)</f>
        <v>11</v>
      </c>
      <c r="CV19" s="19" t="str">
        <f t="shared" si="77"/>
        <v>=</v>
      </c>
      <c r="CW19" s="19">
        <f t="shared" si="60"/>
        <v>1</v>
      </c>
      <c r="CX19" s="769">
        <f t="shared" si="78"/>
        <v>12</v>
      </c>
      <c r="CY19" s="3" t="str">
        <f t="shared" si="61"/>
        <v>Tokyo</v>
      </c>
      <c r="CZ19" s="20">
        <f t="shared" si="62"/>
        <v>72.2</v>
      </c>
      <c r="DA19" s="764">
        <f t="shared" si="63"/>
        <v>72.2</v>
      </c>
      <c r="DB19" s="20">
        <f t="shared" si="64"/>
        <v>72.2</v>
      </c>
      <c r="DC19" s="759" t="str">
        <f t="shared" si="65"/>
        <v>=</v>
      </c>
      <c r="DD19" s="760" t="str">
        <f t="shared" si="66"/>
        <v/>
      </c>
      <c r="DE19" s="766">
        <f t="shared" ca="1" si="67"/>
        <v>12</v>
      </c>
      <c r="DF19" s="767"/>
      <c r="DG19" s="763"/>
      <c r="DH19" s="764"/>
    </row>
    <row r="20" spans="1:112">
      <c r="A20" s="18">
        <f>tblTerritories!A15</f>
        <v>13</v>
      </c>
      <c r="B20" s="3">
        <f>IF(tblTerritories!F15="",0,tblTerritories!F15)</f>
        <v>1</v>
      </c>
      <c r="C20" s="3" t="str">
        <f>tblTerritories!C15</f>
        <v>Jakarta</v>
      </c>
      <c r="E20" s="3">
        <f>tblTerritories!K15</f>
        <v>1</v>
      </c>
      <c r="F20" s="3">
        <f>IF($A20="","",VLOOKUP(C20,tblTerritories!$J$3:$P$21,7,FALSE)+10)</f>
        <v>10</v>
      </c>
      <c r="H20" s="18">
        <f t="shared" si="68"/>
        <v>43.5</v>
      </c>
      <c r="I20" s="6">
        <f>IF($B20=0,"",RANK(H20,H$8:H$38,0)+COUNTIF(H$8:H20,H20)-1)</f>
        <v>28</v>
      </c>
      <c r="J20" s="3">
        <f t="shared" si="1"/>
        <v>4</v>
      </c>
      <c r="K20" s="19">
        <f t="shared" si="2"/>
        <v>13</v>
      </c>
      <c r="L20" s="19">
        <f t="shared" si="3"/>
        <v>1</v>
      </c>
      <c r="M20" s="18">
        <f t="shared" si="69"/>
        <v>43.5</v>
      </c>
      <c r="N20" s="6">
        <f>IF($B20=0,"",RANK(M20,M$8:M$38,0)+COUNTIF(M$8:M20,M20)-1)</f>
        <v>28</v>
      </c>
      <c r="P20" s="19">
        <f t="shared" si="79"/>
        <v>0</v>
      </c>
      <c r="Q20" s="19">
        <f t="shared" si="6"/>
        <v>1</v>
      </c>
      <c r="R20" s="768">
        <f t="shared" si="80"/>
        <v>13</v>
      </c>
      <c r="S20" s="3" t="str">
        <f t="shared" si="8"/>
        <v>Barcelona</v>
      </c>
      <c r="T20" s="20">
        <f t="shared" si="9"/>
        <v>69.7</v>
      </c>
      <c r="U20" s="764">
        <f t="shared" si="10"/>
        <v>69.7</v>
      </c>
      <c r="V20" s="20">
        <f t="shared" si="11"/>
        <v>69.7</v>
      </c>
      <c r="W20" s="759" t="str">
        <f t="shared" si="81"/>
        <v>=</v>
      </c>
      <c r="X20" s="760" t="str">
        <f t="shared" si="13"/>
        <v/>
      </c>
      <c r="Y20" s="761">
        <f t="shared" ca="1" si="82"/>
        <v>13</v>
      </c>
      <c r="Z20" s="762"/>
      <c r="AA20" s="763"/>
      <c r="AB20" s="764"/>
      <c r="AC20" s="18">
        <f t="shared" si="15"/>
        <v>48.1</v>
      </c>
      <c r="AD20" s="6">
        <f>IF($B20=0,"",RANK(AC20,AC$8:AC$38,0)+COUNTIF(AC$8:AC20,AC20)-1)</f>
        <v>28</v>
      </c>
      <c r="AE20" s="3">
        <f t="shared" si="16"/>
        <v>15</v>
      </c>
      <c r="AF20" s="19">
        <f t="shared" si="17"/>
        <v>13</v>
      </c>
      <c r="AG20" s="19">
        <f t="shared" si="18"/>
        <v>2</v>
      </c>
      <c r="AH20" s="18">
        <f t="shared" si="19"/>
        <v>48.1</v>
      </c>
      <c r="AI20" s="6">
        <f>IF($B20=0,"",RANK(AH20,AH$8:AH$38,0)+COUNTIF(AH$8:AH20,AH20)-1)</f>
        <v>28</v>
      </c>
      <c r="AK20" s="19">
        <f t="shared" si="83"/>
        <v>0</v>
      </c>
      <c r="AL20" s="19">
        <f t="shared" si="20"/>
        <v>1</v>
      </c>
      <c r="AM20" s="769" t="str">
        <f t="shared" si="84"/>
        <v>=13</v>
      </c>
      <c r="AN20" s="3" t="str">
        <f t="shared" si="21"/>
        <v>London</v>
      </c>
      <c r="AO20" s="20">
        <f t="shared" si="22"/>
        <v>71.3</v>
      </c>
      <c r="AP20" s="764">
        <f t="shared" si="23"/>
        <v>71.3</v>
      </c>
      <c r="AQ20" s="20">
        <f t="shared" si="24"/>
        <v>71.3</v>
      </c>
      <c r="AR20" s="759" t="str">
        <f t="shared" si="85"/>
        <v>=</v>
      </c>
      <c r="AS20" s="760" t="str">
        <f t="shared" si="26"/>
        <v/>
      </c>
      <c r="AT20" s="761">
        <f t="shared" ca="1" si="86"/>
        <v>13</v>
      </c>
      <c r="AU20" s="762"/>
      <c r="AV20" s="763"/>
      <c r="AW20" s="764"/>
      <c r="AX20" s="18">
        <f t="shared" si="28"/>
        <v>42.5</v>
      </c>
      <c r="AY20" s="6">
        <f>IF($B20=0,"",RANK(AX20,AX$8:AX$38,0)+COUNTIF(AX$8:AX20,AX20)-1)</f>
        <v>27</v>
      </c>
      <c r="AZ20" s="3">
        <f t="shared" si="29"/>
        <v>9</v>
      </c>
      <c r="BA20" s="19">
        <f t="shared" si="30"/>
        <v>13</v>
      </c>
      <c r="BB20" s="19">
        <f t="shared" si="31"/>
        <v>1</v>
      </c>
      <c r="BC20" s="18">
        <f t="shared" si="32"/>
        <v>42.5</v>
      </c>
      <c r="BD20" s="6">
        <f>IF($B20=0,"",RANK(BC20,BC$8:BC$38,0)+COUNTIF(BC$8:BC20,BC20)-1)</f>
        <v>27</v>
      </c>
      <c r="BF20" s="19">
        <f t="shared" si="87"/>
        <v>0</v>
      </c>
      <c r="BG20" s="19">
        <f t="shared" si="33"/>
        <v>1</v>
      </c>
      <c r="BH20" s="769">
        <f t="shared" si="88"/>
        <v>13</v>
      </c>
      <c r="BI20" s="3" t="str">
        <f t="shared" si="34"/>
        <v>Dallas</v>
      </c>
      <c r="BJ20" s="20">
        <f t="shared" si="35"/>
        <v>67.5</v>
      </c>
      <c r="BK20" s="764">
        <f t="shared" si="36"/>
        <v>67.5</v>
      </c>
      <c r="BL20" s="20">
        <f t="shared" si="37"/>
        <v>67.5</v>
      </c>
      <c r="BM20" s="759" t="str">
        <f t="shared" si="89"/>
        <v>=</v>
      </c>
      <c r="BN20" s="760" t="str">
        <f t="shared" si="39"/>
        <v/>
      </c>
      <c r="BO20" s="761">
        <f t="shared" ca="1" si="90"/>
        <v>13</v>
      </c>
      <c r="BP20" s="762" t="str">
        <f t="shared" ca="1" si="91"/>
        <v/>
      </c>
      <c r="BQ20" s="763"/>
      <c r="BR20" s="764"/>
      <c r="BS20" s="18">
        <f t="shared" si="42"/>
        <v>47.2</v>
      </c>
      <c r="BT20" s="6">
        <f>IF($B20=0,"",RANK(BS20,BS$8:BS$38,0)+COUNTIF(BS$8:BS20,BS20)-1)</f>
        <v>28</v>
      </c>
      <c r="BU20" s="3">
        <f t="shared" si="43"/>
        <v>6</v>
      </c>
      <c r="BV20" s="19">
        <f t="shared" si="44"/>
        <v>13</v>
      </c>
      <c r="BW20" s="19">
        <f t="shared" si="45"/>
        <v>2</v>
      </c>
      <c r="BX20" s="18">
        <f t="shared" si="46"/>
        <v>47.2</v>
      </c>
      <c r="BY20" s="6">
        <f>IF($B20=0,"",RANK(BX20,BX$8:BX$38,0)+COUNTIF(BX$8:BX20,BX20)-1)</f>
        <v>28</v>
      </c>
      <c r="CA20" s="19" t="str">
        <f t="shared" si="92"/>
        <v>=</v>
      </c>
      <c r="CB20" s="19">
        <f t="shared" si="47"/>
        <v>1</v>
      </c>
      <c r="CC20" s="769" t="str">
        <f t="shared" si="93"/>
        <v>=13</v>
      </c>
      <c r="CD20" s="3" t="str">
        <f t="shared" si="48"/>
        <v>Berlin</v>
      </c>
      <c r="CE20" s="20">
        <f t="shared" si="49"/>
        <v>62.7</v>
      </c>
      <c r="CF20" s="764">
        <f t="shared" si="50"/>
        <v>62.7</v>
      </c>
      <c r="CG20" s="20">
        <f t="shared" si="51"/>
        <v>62.7</v>
      </c>
      <c r="CH20" s="759" t="str">
        <f t="shared" si="94"/>
        <v>=</v>
      </c>
      <c r="CI20" s="760" t="str">
        <f t="shared" si="53"/>
        <v/>
      </c>
      <c r="CJ20" s="766">
        <f t="shared" ca="1" si="95"/>
        <v>13</v>
      </c>
      <c r="CK20" s="767"/>
      <c r="CL20" s="763"/>
      <c r="CM20" s="764"/>
      <c r="CN20" s="18">
        <f t="shared" si="55"/>
        <v>34.700000000000003</v>
      </c>
      <c r="CO20" s="6">
        <f>IF($B20=0,"",RANK(CN20,CN$8:CN$38,0)+COUNTIF(CN$8:CN20,CN20)-1)</f>
        <v>28</v>
      </c>
      <c r="CP20" s="3">
        <f t="shared" si="56"/>
        <v>11</v>
      </c>
      <c r="CQ20" s="19">
        <f t="shared" si="57"/>
        <v>13</v>
      </c>
      <c r="CR20" s="19">
        <f t="shared" si="58"/>
        <v>1</v>
      </c>
      <c r="CS20" s="18">
        <f t="shared" si="59"/>
        <v>34.700000000000003</v>
      </c>
      <c r="CT20" s="6">
        <f>IF($B20=0,"",RANK(CS20,CS$8:CS$38,0)+COUNTIF(CS$8:CS20,CS20)-1)</f>
        <v>28</v>
      </c>
      <c r="CV20" s="19" t="str">
        <f t="shared" si="77"/>
        <v>=</v>
      </c>
      <c r="CW20" s="19">
        <f t="shared" si="60"/>
        <v>1</v>
      </c>
      <c r="CX20" s="769">
        <f t="shared" si="78"/>
        <v>13</v>
      </c>
      <c r="CY20" s="3" t="str">
        <f t="shared" si="61"/>
        <v>Frankfurt</v>
      </c>
      <c r="CZ20" s="20">
        <f t="shared" si="62"/>
        <v>71.7</v>
      </c>
      <c r="DA20" s="764">
        <f t="shared" si="63"/>
        <v>71.7</v>
      </c>
      <c r="DB20" s="20">
        <f t="shared" si="64"/>
        <v>71.7</v>
      </c>
      <c r="DC20" s="759" t="str">
        <f t="shared" si="65"/>
        <v>=</v>
      </c>
      <c r="DD20" s="760" t="str">
        <f t="shared" si="66"/>
        <v/>
      </c>
      <c r="DE20" s="766">
        <f t="shared" ca="1" si="67"/>
        <v>13</v>
      </c>
      <c r="DF20" s="767"/>
      <c r="DG20" s="763"/>
      <c r="DH20" s="764"/>
    </row>
    <row r="21" spans="1:112">
      <c r="A21" s="18">
        <f>tblTerritories!A16</f>
        <v>14</v>
      </c>
      <c r="B21" s="3">
        <f>IF(tblTerritories!F16="",0,tblTerritories!F16)</f>
        <v>1</v>
      </c>
      <c r="C21" s="3" t="str">
        <f>tblTerritories!C16</f>
        <v>Kuala Lumpur</v>
      </c>
      <c r="E21" s="3">
        <f>tblTerritories!K16</f>
        <v>1</v>
      </c>
      <c r="F21" s="3">
        <f>IF($A21="","",VLOOKUP(C21,tblTerritories!$J$3:$P$21,7,FALSE)+10)</f>
        <v>10</v>
      </c>
      <c r="H21" s="18">
        <f t="shared" si="68"/>
        <v>58.2</v>
      </c>
      <c r="I21" s="6">
        <f>IF($B21=0,"",RANK(H21,H$8:H$38,0)+COUNTIF(H$8:H21,H21)-1)</f>
        <v>24</v>
      </c>
      <c r="J21" s="3">
        <f t="shared" si="1"/>
        <v>11</v>
      </c>
      <c r="K21" s="19">
        <f t="shared" si="2"/>
        <v>14</v>
      </c>
      <c r="L21" s="19">
        <f t="shared" si="3"/>
        <v>1</v>
      </c>
      <c r="M21" s="18">
        <f t="shared" si="69"/>
        <v>58.2</v>
      </c>
      <c r="N21" s="6">
        <f>IF($B21=0,"",RANK(M21,M$8:M$38,0)+COUNTIF(M$8:M21,M21)-1)</f>
        <v>24</v>
      </c>
      <c r="P21" s="19">
        <f t="shared" si="79"/>
        <v>0</v>
      </c>
      <c r="Q21" s="19">
        <f t="shared" si="6"/>
        <v>1</v>
      </c>
      <c r="R21" s="768">
        <f t="shared" si="80"/>
        <v>14</v>
      </c>
      <c r="S21" s="3" t="str">
        <f t="shared" si="8"/>
        <v>Frankfurt</v>
      </c>
      <c r="T21" s="20">
        <f t="shared" si="9"/>
        <v>69.099999999999994</v>
      </c>
      <c r="U21" s="764">
        <f t="shared" si="10"/>
        <v>69.099999999999994</v>
      </c>
      <c r="V21" s="20">
        <f t="shared" si="11"/>
        <v>69.099999999999994</v>
      </c>
      <c r="W21" s="759" t="str">
        <f t="shared" si="81"/>
        <v>=</v>
      </c>
      <c r="X21" s="760" t="str">
        <f t="shared" si="13"/>
        <v/>
      </c>
      <c r="Y21" s="761">
        <f t="shared" ca="1" si="82"/>
        <v>14</v>
      </c>
      <c r="Z21" s="762"/>
      <c r="AA21" s="763"/>
      <c r="AB21" s="764"/>
      <c r="AC21" s="18">
        <f t="shared" si="15"/>
        <v>58.9</v>
      </c>
      <c r="AD21" s="6">
        <f>IF($B21=0,"",RANK(AC21,AC$8:AC$38,0)+COUNTIF(AC$8:AC21,AC21)-1)</f>
        <v>24</v>
      </c>
      <c r="AE21" s="3">
        <f t="shared" si="16"/>
        <v>27</v>
      </c>
      <c r="AF21" s="19">
        <f t="shared" si="17"/>
        <v>13</v>
      </c>
      <c r="AG21" s="19">
        <f t="shared" si="18"/>
        <v>2</v>
      </c>
      <c r="AH21" s="18">
        <f t="shared" si="19"/>
        <v>58.9</v>
      </c>
      <c r="AI21" s="6">
        <f>IF($B21=0,"",RANK(AH21,AH$8:AH$38,0)+COUNTIF(AH$8:AH21,AH21)-1)</f>
        <v>24</v>
      </c>
      <c r="AK21" s="19">
        <f t="shared" si="83"/>
        <v>0</v>
      </c>
      <c r="AL21" s="19">
        <f t="shared" si="20"/>
        <v>1</v>
      </c>
      <c r="AM21" s="769" t="str">
        <f t="shared" si="84"/>
        <v>=13</v>
      </c>
      <c r="AN21" s="3" t="str">
        <f t="shared" si="21"/>
        <v>Tokyo</v>
      </c>
      <c r="AO21" s="20">
        <f t="shared" si="22"/>
        <v>71.3</v>
      </c>
      <c r="AP21" s="764">
        <f t="shared" si="23"/>
        <v>71.3</v>
      </c>
      <c r="AQ21" s="20">
        <f t="shared" si="24"/>
        <v>71.3</v>
      </c>
      <c r="AR21" s="759" t="str">
        <f t="shared" si="85"/>
        <v>=</v>
      </c>
      <c r="AS21" s="760" t="str">
        <f t="shared" si="26"/>
        <v/>
      </c>
      <c r="AT21" s="761">
        <f t="shared" ca="1" si="86"/>
        <v>13</v>
      </c>
      <c r="AU21" s="762"/>
      <c r="AV21" s="763"/>
      <c r="AW21" s="764"/>
      <c r="AX21" s="18">
        <f t="shared" si="28"/>
        <v>52.6</v>
      </c>
      <c r="AY21" s="6">
        <f>IF($B21=0,"",RANK(AX21,AX$8:AX$38,0)+COUNTIF(AX$8:AX21,AX21)-1)</f>
        <v>25</v>
      </c>
      <c r="AZ21" s="3">
        <f t="shared" si="29"/>
        <v>20</v>
      </c>
      <c r="BA21" s="19">
        <f t="shared" si="30"/>
        <v>14</v>
      </c>
      <c r="BB21" s="19">
        <f t="shared" si="31"/>
        <v>1</v>
      </c>
      <c r="BC21" s="18">
        <f t="shared" si="32"/>
        <v>52.6</v>
      </c>
      <c r="BD21" s="6">
        <f>IF($B21=0,"",RANK(BC21,BC$8:BC$38,0)+COUNTIF(BC$8:BC21,BC21)-1)</f>
        <v>25</v>
      </c>
      <c r="BF21" s="19">
        <f t="shared" si="87"/>
        <v>0</v>
      </c>
      <c r="BG21" s="19">
        <f t="shared" si="33"/>
        <v>1</v>
      </c>
      <c r="BH21" s="769">
        <f t="shared" si="88"/>
        <v>14</v>
      </c>
      <c r="BI21" s="3" t="str">
        <f t="shared" si="34"/>
        <v>New York</v>
      </c>
      <c r="BJ21" s="20">
        <f t="shared" si="35"/>
        <v>67.2</v>
      </c>
      <c r="BK21" s="764">
        <f t="shared" si="36"/>
        <v>67.2</v>
      </c>
      <c r="BL21" s="20">
        <f t="shared" si="37"/>
        <v>67.2</v>
      </c>
      <c r="BM21" s="759" t="str">
        <f t="shared" si="89"/>
        <v>=</v>
      </c>
      <c r="BN21" s="760" t="str">
        <f t="shared" si="39"/>
        <v/>
      </c>
      <c r="BO21" s="761">
        <f t="shared" ca="1" si="90"/>
        <v>14</v>
      </c>
      <c r="BP21" s="762" t="str">
        <f t="shared" ca="1" si="91"/>
        <v/>
      </c>
      <c r="BQ21" s="763"/>
      <c r="BR21" s="764"/>
      <c r="BS21" s="18">
        <f t="shared" si="42"/>
        <v>56.9</v>
      </c>
      <c r="BT21" s="6">
        <f>IF($B21=0,"",RANK(BS21,BS$8:BS$38,0)+COUNTIF(BS$8:BS21,BS21)-1)</f>
        <v>21</v>
      </c>
      <c r="BU21" s="3">
        <f t="shared" si="43"/>
        <v>11</v>
      </c>
      <c r="BV21" s="19">
        <f t="shared" si="44"/>
        <v>13</v>
      </c>
      <c r="BW21" s="19">
        <f t="shared" si="45"/>
        <v>2</v>
      </c>
      <c r="BX21" s="18">
        <f t="shared" si="46"/>
        <v>56.9</v>
      </c>
      <c r="BY21" s="6">
        <f>IF($B21=0,"",RANK(BX21,BX$8:BX$38,0)+COUNTIF(BX$8:BX21,BX21)-1)</f>
        <v>21</v>
      </c>
      <c r="CA21" s="19" t="str">
        <f t="shared" si="92"/>
        <v>=</v>
      </c>
      <c r="CB21" s="19">
        <f t="shared" si="47"/>
        <v>1</v>
      </c>
      <c r="CC21" s="769" t="str">
        <f t="shared" si="93"/>
        <v>=13</v>
      </c>
      <c r="CD21" s="3" t="str">
        <f t="shared" si="48"/>
        <v>Frankfurt</v>
      </c>
      <c r="CE21" s="20">
        <f t="shared" si="49"/>
        <v>62.7</v>
      </c>
      <c r="CF21" s="764">
        <f t="shared" si="50"/>
        <v>62.7</v>
      </c>
      <c r="CG21" s="20">
        <f t="shared" si="51"/>
        <v>62.7</v>
      </c>
      <c r="CH21" s="759" t="str">
        <f t="shared" si="94"/>
        <v>=</v>
      </c>
      <c r="CI21" s="760" t="str">
        <f t="shared" si="53"/>
        <v/>
      </c>
      <c r="CJ21" s="766">
        <f t="shared" ca="1" si="95"/>
        <v>13</v>
      </c>
      <c r="CK21" s="767"/>
      <c r="CL21" s="763"/>
      <c r="CM21" s="764"/>
      <c r="CN21" s="18">
        <f t="shared" si="55"/>
        <v>66</v>
      </c>
      <c r="CO21" s="6">
        <f>IF($B21=0,"",RANK(CN21,CN$8:CN$38,0)+COUNTIF(CN$8:CN21,CN21)-1)</f>
        <v>20</v>
      </c>
      <c r="CP21" s="3">
        <f t="shared" si="56"/>
        <v>21</v>
      </c>
      <c r="CQ21" s="19">
        <f t="shared" si="57"/>
        <v>14</v>
      </c>
      <c r="CR21" s="19">
        <f t="shared" si="58"/>
        <v>1</v>
      </c>
      <c r="CS21" s="18">
        <f t="shared" si="59"/>
        <v>66</v>
      </c>
      <c r="CT21" s="6">
        <f>IF($B21=0,"",RANK(CS21,CS$8:CS$38,0)+COUNTIF(CS$8:CS21,CS21)-1)</f>
        <v>20</v>
      </c>
      <c r="CV21" s="19" t="str">
        <f t="shared" si="77"/>
        <v>=</v>
      </c>
      <c r="CW21" s="19">
        <f t="shared" si="60"/>
        <v>1</v>
      </c>
      <c r="CX21" s="769">
        <f t="shared" si="78"/>
        <v>14</v>
      </c>
      <c r="CY21" s="3" t="str">
        <f t="shared" si="61"/>
        <v>Paris</v>
      </c>
      <c r="CZ21" s="20">
        <f t="shared" si="62"/>
        <v>70.900000000000006</v>
      </c>
      <c r="DA21" s="764">
        <f t="shared" si="63"/>
        <v>70.900000000000006</v>
      </c>
      <c r="DB21" s="20">
        <f t="shared" si="64"/>
        <v>70.900000000000006</v>
      </c>
      <c r="DC21" s="759" t="str">
        <f t="shared" si="65"/>
        <v>=</v>
      </c>
      <c r="DD21" s="760" t="str">
        <f t="shared" si="66"/>
        <v/>
      </c>
      <c r="DE21" s="766">
        <f t="shared" ca="1" si="67"/>
        <v>14</v>
      </c>
      <c r="DF21" s="767"/>
      <c r="DG21" s="763"/>
      <c r="DH21" s="764"/>
    </row>
    <row r="22" spans="1:112">
      <c r="A22" s="18">
        <f>tblTerritories!A17</f>
        <v>15</v>
      </c>
      <c r="B22" s="3">
        <f>IF(tblTerritories!F17="",0,tblTerritories!F17)</f>
        <v>1</v>
      </c>
      <c r="C22" s="3" t="str">
        <f>tblTerritories!C17</f>
        <v>London</v>
      </c>
      <c r="E22" s="3">
        <f>tblTerritories!K17</f>
        <v>1</v>
      </c>
      <c r="F22" s="3">
        <f>IF($A22="","",VLOOKUP(C22,tblTerritories!$J$3:$P$21,7,FALSE)+10)</f>
        <v>10</v>
      </c>
      <c r="H22" s="18">
        <f t="shared" si="68"/>
        <v>73.599999999999994</v>
      </c>
      <c r="I22" s="6">
        <f>IF($B22=0,"",RANK(H22,H$8:H$38,0)+COUNTIF(H$8:H22,H22)-1)</f>
        <v>4</v>
      </c>
      <c r="J22" s="3">
        <f t="shared" si="1"/>
        <v>9</v>
      </c>
      <c r="K22" s="19">
        <f t="shared" si="2"/>
        <v>15</v>
      </c>
      <c r="L22" s="19">
        <f t="shared" si="3"/>
        <v>1</v>
      </c>
      <c r="M22" s="18">
        <f t="shared" si="69"/>
        <v>73.599999999999994</v>
      </c>
      <c r="N22" s="6">
        <f>IF($B22=0,"",RANK(M22,M$8:M$38,0)+COUNTIF(M$8:M22,M22)-1)</f>
        <v>4</v>
      </c>
      <c r="P22" s="19">
        <f t="shared" si="79"/>
        <v>0</v>
      </c>
      <c r="Q22" s="19">
        <f t="shared" si="6"/>
        <v>1</v>
      </c>
      <c r="R22" s="768">
        <f t="shared" si="80"/>
        <v>15</v>
      </c>
      <c r="S22" s="3" t="str">
        <f t="shared" si="8"/>
        <v>Dallas</v>
      </c>
      <c r="T22" s="20">
        <f t="shared" si="9"/>
        <v>68.7</v>
      </c>
      <c r="U22" s="764">
        <f t="shared" si="10"/>
        <v>68.7</v>
      </c>
      <c r="V22" s="20">
        <f t="shared" si="11"/>
        <v>68.7</v>
      </c>
      <c r="W22" s="759" t="str">
        <f t="shared" si="81"/>
        <v>=</v>
      </c>
      <c r="X22" s="760" t="str">
        <f t="shared" si="13"/>
        <v/>
      </c>
      <c r="Y22" s="761">
        <f t="shared" ca="1" si="82"/>
        <v>15</v>
      </c>
      <c r="Z22" s="762"/>
      <c r="AA22" s="763"/>
      <c r="AB22" s="764"/>
      <c r="AC22" s="18">
        <f t="shared" si="15"/>
        <v>71.3</v>
      </c>
      <c r="AD22" s="6">
        <f>IF($B22=0,"",RANK(AC22,AC$8:AC$38,0)+COUNTIF(AC$8:AC22,AC22)-1)</f>
        <v>13</v>
      </c>
      <c r="AE22" s="3">
        <f t="shared" si="16"/>
        <v>11</v>
      </c>
      <c r="AF22" s="19">
        <f t="shared" si="17"/>
        <v>15</v>
      </c>
      <c r="AG22" s="19">
        <f t="shared" si="18"/>
        <v>1</v>
      </c>
      <c r="AH22" s="18">
        <f t="shared" si="19"/>
        <v>71.3</v>
      </c>
      <c r="AI22" s="6">
        <f>IF($B22=0,"",RANK(AH22,AH$8:AH$38,0)+COUNTIF(AH$8:AH22,AH22)-1)</f>
        <v>13</v>
      </c>
      <c r="AK22" s="19">
        <f t="shared" si="83"/>
        <v>0</v>
      </c>
      <c r="AL22" s="19">
        <f t="shared" si="20"/>
        <v>1</v>
      </c>
      <c r="AM22" s="769">
        <f t="shared" si="84"/>
        <v>15</v>
      </c>
      <c r="AN22" s="3" t="str">
        <f t="shared" si="21"/>
        <v>Frankfurt</v>
      </c>
      <c r="AO22" s="20">
        <f t="shared" si="22"/>
        <v>71.2</v>
      </c>
      <c r="AP22" s="764">
        <f t="shared" si="23"/>
        <v>71.2</v>
      </c>
      <c r="AQ22" s="20">
        <f t="shared" si="24"/>
        <v>71.2</v>
      </c>
      <c r="AR22" s="759" t="str">
        <f t="shared" si="85"/>
        <v>=</v>
      </c>
      <c r="AS22" s="760" t="str">
        <f t="shared" si="26"/>
        <v/>
      </c>
      <c r="AT22" s="761">
        <f t="shared" ca="1" si="86"/>
        <v>15</v>
      </c>
      <c r="AU22" s="762"/>
      <c r="AV22" s="763"/>
      <c r="AW22" s="764"/>
      <c r="AX22" s="18">
        <f t="shared" si="28"/>
        <v>73.5</v>
      </c>
      <c r="AY22" s="6">
        <f>IF($B22=0,"",RANK(AX22,AX$8:AX$38,0)+COUNTIF(AX$8:AX22,AX22)-1)</f>
        <v>3</v>
      </c>
      <c r="AZ22" s="3">
        <f t="shared" si="29"/>
        <v>30</v>
      </c>
      <c r="BA22" s="19">
        <f t="shared" si="30"/>
        <v>15</v>
      </c>
      <c r="BB22" s="19">
        <f t="shared" si="31"/>
        <v>1</v>
      </c>
      <c r="BC22" s="18">
        <f t="shared" si="32"/>
        <v>73.5</v>
      </c>
      <c r="BD22" s="6">
        <f>IF($B22=0,"",RANK(BC22,BC$8:BC$38,0)+COUNTIF(BC$8:BC22,BC22)-1)</f>
        <v>3</v>
      </c>
      <c r="BF22" s="19">
        <f t="shared" si="87"/>
        <v>0</v>
      </c>
      <c r="BG22" s="19">
        <f t="shared" si="33"/>
        <v>1</v>
      </c>
      <c r="BH22" s="769">
        <f t="shared" si="88"/>
        <v>15</v>
      </c>
      <c r="BI22" s="3" t="str">
        <f t="shared" si="34"/>
        <v>Zurich</v>
      </c>
      <c r="BJ22" s="20">
        <f t="shared" si="35"/>
        <v>65.7</v>
      </c>
      <c r="BK22" s="764">
        <f t="shared" si="36"/>
        <v>65.7</v>
      </c>
      <c r="BL22" s="20">
        <f t="shared" si="37"/>
        <v>65.7</v>
      </c>
      <c r="BM22" s="759" t="str">
        <f t="shared" si="89"/>
        <v>=</v>
      </c>
      <c r="BN22" s="760" t="str">
        <f t="shared" si="39"/>
        <v/>
      </c>
      <c r="BO22" s="761">
        <f t="shared" ca="1" si="90"/>
        <v>15</v>
      </c>
      <c r="BP22" s="762" t="str">
        <f t="shared" ca="1" si="91"/>
        <v/>
      </c>
      <c r="BQ22" s="763"/>
      <c r="BR22" s="764"/>
      <c r="BS22" s="18">
        <f t="shared" si="42"/>
        <v>65.400000000000006</v>
      </c>
      <c r="BT22" s="6">
        <f>IF($B22=0,"",RANK(BS22,BS$8:BS$38,0)+COUNTIF(BS$8:BS22,BS22)-1)</f>
        <v>8</v>
      </c>
      <c r="BU22" s="3">
        <f t="shared" si="43"/>
        <v>1</v>
      </c>
      <c r="BV22" s="19">
        <f t="shared" si="44"/>
        <v>15</v>
      </c>
      <c r="BW22" s="19">
        <f t="shared" si="45"/>
        <v>1</v>
      </c>
      <c r="BX22" s="18">
        <f t="shared" si="46"/>
        <v>65.400000000000006</v>
      </c>
      <c r="BY22" s="6">
        <f>IF($B22=0,"",RANK(BX22,BX$8:BX$38,0)+COUNTIF(BX$8:BX22,BX22)-1)</f>
        <v>8</v>
      </c>
      <c r="CA22" s="19" t="str">
        <f t="shared" si="92"/>
        <v>=</v>
      </c>
      <c r="CB22" s="19">
        <f t="shared" si="47"/>
        <v>1</v>
      </c>
      <c r="CC22" s="769">
        <f t="shared" si="93"/>
        <v>15</v>
      </c>
      <c r="CD22" s="3" t="str">
        <f t="shared" si="48"/>
        <v>Amsterdam</v>
      </c>
      <c r="CE22" s="20">
        <f t="shared" si="49"/>
        <v>62.1</v>
      </c>
      <c r="CF22" s="764">
        <f t="shared" si="50"/>
        <v>62.1</v>
      </c>
      <c r="CG22" s="20">
        <f t="shared" si="51"/>
        <v>62.1</v>
      </c>
      <c r="CH22" s="759" t="str">
        <f t="shared" si="94"/>
        <v>=</v>
      </c>
      <c r="CI22" s="760" t="str">
        <f t="shared" si="53"/>
        <v/>
      </c>
      <c r="CJ22" s="766">
        <f t="shared" ca="1" si="95"/>
        <v>15</v>
      </c>
      <c r="CK22" s="767"/>
      <c r="CL22" s="763"/>
      <c r="CM22" s="764"/>
      <c r="CN22" s="18">
        <f t="shared" si="55"/>
        <v>85.2</v>
      </c>
      <c r="CO22" s="6">
        <f>IF($B22=0,"",RANK(CN22,CN$8:CN$38,0)+COUNTIF(CN$8:CN22,CN22)-1)</f>
        <v>7</v>
      </c>
      <c r="CP22" s="3">
        <f t="shared" si="56"/>
        <v>6</v>
      </c>
      <c r="CQ22" s="19">
        <f t="shared" si="57"/>
        <v>15</v>
      </c>
      <c r="CR22" s="19">
        <f t="shared" si="58"/>
        <v>1</v>
      </c>
      <c r="CS22" s="18">
        <f t="shared" si="59"/>
        <v>85.2</v>
      </c>
      <c r="CT22" s="6">
        <f>IF($B22=0,"",RANK(CS22,CS$8:CS$38,0)+COUNTIF(CS$8:CS22,CS22)-1)</f>
        <v>7</v>
      </c>
      <c r="CV22" s="19" t="str">
        <f t="shared" si="77"/>
        <v>=</v>
      </c>
      <c r="CW22" s="19">
        <f t="shared" si="60"/>
        <v>1</v>
      </c>
      <c r="CX22" s="769">
        <f t="shared" si="78"/>
        <v>15</v>
      </c>
      <c r="CY22" s="3" t="str">
        <f t="shared" si="61"/>
        <v>Berlin</v>
      </c>
      <c r="CZ22" s="20">
        <f t="shared" si="62"/>
        <v>69.599999999999994</v>
      </c>
      <c r="DA22" s="764">
        <f t="shared" si="63"/>
        <v>69.599999999999994</v>
      </c>
      <c r="DB22" s="20">
        <f t="shared" si="64"/>
        <v>69.599999999999994</v>
      </c>
      <c r="DC22" s="759" t="str">
        <f t="shared" si="65"/>
        <v>=</v>
      </c>
      <c r="DD22" s="760" t="str">
        <f t="shared" si="66"/>
        <v/>
      </c>
      <c r="DE22" s="766">
        <f t="shared" ca="1" si="67"/>
        <v>15</v>
      </c>
      <c r="DF22" s="767"/>
      <c r="DG22" s="763"/>
      <c r="DH22" s="764"/>
    </row>
    <row r="23" spans="1:112">
      <c r="A23" s="18">
        <f>tblTerritories!A18</f>
        <v>16</v>
      </c>
      <c r="B23" s="3">
        <f>IF(tblTerritories!F18="",0,tblTerritories!F18)</f>
        <v>1</v>
      </c>
      <c r="C23" s="3" t="str">
        <f>tblTerritories!C18</f>
        <v>Madrid</v>
      </c>
      <c r="E23" s="3">
        <f>tblTerritories!K18</f>
        <v>1</v>
      </c>
      <c r="F23" s="3">
        <f>IF($A23="","",VLOOKUP(C23,tblTerritories!$J$3:$P$21,7,FALSE)+10)</f>
        <v>10</v>
      </c>
      <c r="H23" s="18">
        <f t="shared" si="68"/>
        <v>63.2</v>
      </c>
      <c r="I23" s="6">
        <f>IF($B23=0,"",RANK(H23,H$8:H$38,0)+COUNTIF(H$8:H23,H23)-1)</f>
        <v>20</v>
      </c>
      <c r="J23" s="3">
        <f t="shared" si="1"/>
        <v>6</v>
      </c>
      <c r="K23" s="19">
        <f t="shared" si="2"/>
        <v>16</v>
      </c>
      <c r="L23" s="19">
        <f t="shared" si="3"/>
        <v>1</v>
      </c>
      <c r="M23" s="18">
        <f t="shared" si="69"/>
        <v>63.2</v>
      </c>
      <c r="N23" s="6">
        <f>IF($B23=0,"",RANK(M23,M$8:M$38,0)+COUNTIF(M$8:M23,M23)-1)</f>
        <v>20</v>
      </c>
      <c r="P23" s="19">
        <f t="shared" si="79"/>
        <v>0</v>
      </c>
      <c r="Q23" s="19">
        <f t="shared" si="6"/>
        <v>1</v>
      </c>
      <c r="R23" s="768">
        <f t="shared" si="80"/>
        <v>16</v>
      </c>
      <c r="S23" s="3" t="str">
        <f t="shared" si="8"/>
        <v>Berlin</v>
      </c>
      <c r="T23" s="20">
        <f t="shared" si="9"/>
        <v>68.2</v>
      </c>
      <c r="U23" s="764">
        <f t="shared" si="10"/>
        <v>68.2</v>
      </c>
      <c r="V23" s="20">
        <f t="shared" si="11"/>
        <v>68.2</v>
      </c>
      <c r="W23" s="759" t="str">
        <f t="shared" si="81"/>
        <v>=</v>
      </c>
      <c r="X23" s="760" t="str">
        <f t="shared" si="13"/>
        <v/>
      </c>
      <c r="Y23" s="761">
        <f t="shared" ca="1" si="82"/>
        <v>16</v>
      </c>
      <c r="Z23" s="762"/>
      <c r="AA23" s="763"/>
      <c r="AB23" s="764"/>
      <c r="AC23" s="18">
        <f t="shared" si="15"/>
        <v>64.599999999999994</v>
      </c>
      <c r="AD23" s="6">
        <f>IF($B23=0,"",RANK(AC23,AC$8:AC$38,0)+COUNTIF(AC$8:AC23,AC23)-1)</f>
        <v>19</v>
      </c>
      <c r="AE23" s="3">
        <f t="shared" si="16"/>
        <v>6</v>
      </c>
      <c r="AF23" s="19">
        <f t="shared" si="17"/>
        <v>16</v>
      </c>
      <c r="AG23" s="19">
        <f t="shared" si="18"/>
        <v>1</v>
      </c>
      <c r="AH23" s="18">
        <f t="shared" si="19"/>
        <v>64.599999999999994</v>
      </c>
      <c r="AI23" s="6">
        <f>IF($B23=0,"",RANK(AH23,AH$8:AH$38,0)+COUNTIF(AH$8:AH23,AH23)-1)</f>
        <v>19</v>
      </c>
      <c r="AK23" s="19">
        <f t="shared" si="83"/>
        <v>0</v>
      </c>
      <c r="AL23" s="19">
        <f t="shared" si="20"/>
        <v>1</v>
      </c>
      <c r="AM23" s="769">
        <f t="shared" si="84"/>
        <v>16</v>
      </c>
      <c r="AN23" s="3" t="str">
        <f t="shared" si="21"/>
        <v>Berlin</v>
      </c>
      <c r="AO23" s="20">
        <f t="shared" si="22"/>
        <v>65.900000000000006</v>
      </c>
      <c r="AP23" s="764">
        <f t="shared" si="23"/>
        <v>65.900000000000006</v>
      </c>
      <c r="AQ23" s="20">
        <f t="shared" si="24"/>
        <v>65.900000000000006</v>
      </c>
      <c r="AR23" s="759" t="str">
        <f t="shared" si="85"/>
        <v>=</v>
      </c>
      <c r="AS23" s="760" t="str">
        <f t="shared" si="26"/>
        <v/>
      </c>
      <c r="AT23" s="761">
        <f t="shared" ca="1" si="86"/>
        <v>16</v>
      </c>
      <c r="AU23" s="762"/>
      <c r="AV23" s="763"/>
      <c r="AW23" s="764"/>
      <c r="AX23" s="18">
        <f t="shared" si="28"/>
        <v>61.5</v>
      </c>
      <c r="AY23" s="6">
        <f>IF($B23=0,"",RANK(AX23,AX$8:AX$38,0)+COUNTIF(AX$8:AX23,AX23)-1)</f>
        <v>20</v>
      </c>
      <c r="AZ23" s="3">
        <f t="shared" si="29"/>
        <v>22</v>
      </c>
      <c r="BA23" s="19">
        <f t="shared" si="30"/>
        <v>16</v>
      </c>
      <c r="BB23" s="19">
        <f t="shared" si="31"/>
        <v>1</v>
      </c>
      <c r="BC23" s="18">
        <f t="shared" si="32"/>
        <v>61.5</v>
      </c>
      <c r="BD23" s="6">
        <f>IF($B23=0,"",RANK(BC23,BC$8:BC$38,0)+COUNTIF(BC$8:BC23,BC23)-1)</f>
        <v>20</v>
      </c>
      <c r="BF23" s="19">
        <f t="shared" si="87"/>
        <v>0</v>
      </c>
      <c r="BG23" s="19">
        <f t="shared" si="33"/>
        <v>1</v>
      </c>
      <c r="BH23" s="769">
        <f t="shared" si="88"/>
        <v>16</v>
      </c>
      <c r="BI23" s="3" t="str">
        <f t="shared" si="34"/>
        <v>Rome</v>
      </c>
      <c r="BJ23" s="20">
        <f t="shared" si="35"/>
        <v>65.3</v>
      </c>
      <c r="BK23" s="764">
        <f t="shared" si="36"/>
        <v>65.3</v>
      </c>
      <c r="BL23" s="20">
        <f t="shared" si="37"/>
        <v>65.3</v>
      </c>
      <c r="BM23" s="759" t="str">
        <f t="shared" si="89"/>
        <v>=</v>
      </c>
      <c r="BN23" s="760" t="str">
        <f t="shared" si="39"/>
        <v/>
      </c>
      <c r="BO23" s="761">
        <f t="shared" ca="1" si="90"/>
        <v>16</v>
      </c>
      <c r="BP23" s="762" t="str">
        <f t="shared" ca="1" si="91"/>
        <v/>
      </c>
      <c r="BQ23" s="763"/>
      <c r="BR23" s="764"/>
      <c r="BS23" s="18">
        <f t="shared" si="42"/>
        <v>56.9</v>
      </c>
      <c r="BT23" s="6">
        <f>IF($B23=0,"",RANK(BS23,BS$8:BS$38,0)+COUNTIF(BS$8:BS23,BS23)-1)</f>
        <v>22</v>
      </c>
      <c r="BU23" s="3">
        <f t="shared" si="43"/>
        <v>26</v>
      </c>
      <c r="BV23" s="19">
        <f t="shared" si="44"/>
        <v>16</v>
      </c>
      <c r="BW23" s="19">
        <f t="shared" si="45"/>
        <v>1</v>
      </c>
      <c r="BX23" s="18">
        <f t="shared" si="46"/>
        <v>56.9</v>
      </c>
      <c r="BY23" s="6">
        <f>IF($B23=0,"",RANK(BX23,BX$8:BX$38,0)+COUNTIF(BX$8:BX23,BX23)-1)</f>
        <v>22</v>
      </c>
      <c r="CA23" s="19" t="str">
        <f t="shared" si="92"/>
        <v>=</v>
      </c>
      <c r="CB23" s="19">
        <f t="shared" si="47"/>
        <v>1</v>
      </c>
      <c r="CC23" s="769">
        <f t="shared" si="93"/>
        <v>16</v>
      </c>
      <c r="CD23" s="3" t="str">
        <f t="shared" si="48"/>
        <v>Sydney</v>
      </c>
      <c r="CE23" s="20">
        <f t="shared" si="49"/>
        <v>61.4</v>
      </c>
      <c r="CF23" s="764">
        <f t="shared" si="50"/>
        <v>61.4</v>
      </c>
      <c r="CG23" s="20">
        <f t="shared" si="51"/>
        <v>61.4</v>
      </c>
      <c r="CH23" s="759" t="str">
        <f t="shared" si="94"/>
        <v>=</v>
      </c>
      <c r="CI23" s="760" t="str">
        <f t="shared" si="53"/>
        <v/>
      </c>
      <c r="CJ23" s="766">
        <f t="shared" ca="1" si="95"/>
        <v>16</v>
      </c>
      <c r="CK23" s="767"/>
      <c r="CL23" s="763"/>
      <c r="CM23" s="764"/>
      <c r="CN23" s="18">
        <f t="shared" si="55"/>
        <v>69.5</v>
      </c>
      <c r="CO23" s="6">
        <f>IF($B23=0,"",RANK(CN23,CN$8:CN$38,0)+COUNTIF(CN$8:CN23,CN23)-1)</f>
        <v>16</v>
      </c>
      <c r="CP23" s="3">
        <f t="shared" si="56"/>
        <v>16</v>
      </c>
      <c r="CQ23" s="19">
        <f t="shared" si="57"/>
        <v>16</v>
      </c>
      <c r="CR23" s="19">
        <f t="shared" si="58"/>
        <v>1</v>
      </c>
      <c r="CS23" s="18">
        <f t="shared" si="59"/>
        <v>69.5</v>
      </c>
      <c r="CT23" s="6">
        <f>IF($B23=0,"",RANK(CS23,CS$8:CS$38,0)+COUNTIF(CS$8:CS23,CS23)-1)</f>
        <v>16</v>
      </c>
      <c r="CV23" s="19" t="str">
        <f t="shared" si="77"/>
        <v>=</v>
      </c>
      <c r="CW23" s="19">
        <f t="shared" si="60"/>
        <v>1</v>
      </c>
      <c r="CX23" s="769">
        <f t="shared" si="78"/>
        <v>16</v>
      </c>
      <c r="CY23" s="3" t="str">
        <f t="shared" si="61"/>
        <v>Madrid</v>
      </c>
      <c r="CZ23" s="20">
        <f t="shared" si="62"/>
        <v>69.5</v>
      </c>
      <c r="DA23" s="764">
        <f t="shared" si="63"/>
        <v>69.5</v>
      </c>
      <c r="DB23" s="20">
        <f t="shared" si="64"/>
        <v>69.5</v>
      </c>
      <c r="DC23" s="759" t="str">
        <f t="shared" si="65"/>
        <v>=</v>
      </c>
      <c r="DD23" s="760" t="str">
        <f t="shared" si="66"/>
        <v/>
      </c>
      <c r="DE23" s="766">
        <f t="shared" ca="1" si="67"/>
        <v>16</v>
      </c>
      <c r="DF23" s="767"/>
      <c r="DG23" s="763"/>
      <c r="DH23" s="764"/>
    </row>
    <row r="24" spans="1:112">
      <c r="A24" s="18">
        <f>tblTerritories!A19</f>
        <v>17</v>
      </c>
      <c r="B24" s="3">
        <f>IF(tblTerritories!F19="",0,tblTerritories!F19)</f>
        <v>1</v>
      </c>
      <c r="C24" s="3" t="str">
        <f>tblTerritories!C19</f>
        <v>Manila</v>
      </c>
      <c r="E24" s="3">
        <f>tblTerritories!K19</f>
        <v>1</v>
      </c>
      <c r="F24" s="3">
        <f>IF($A24="","",VLOOKUP(C24,tblTerritories!$J$3:$P$21,7,FALSE)+10)</f>
        <v>10</v>
      </c>
      <c r="H24" s="18">
        <f t="shared" si="68"/>
        <v>39.1</v>
      </c>
      <c r="I24" s="6">
        <f>IF($B24=0,"",RANK(H24,H$8:H$38,0)+COUNTIF(H$8:H24,H24)-1)</f>
        <v>31</v>
      </c>
      <c r="J24" s="3">
        <f t="shared" si="1"/>
        <v>12</v>
      </c>
      <c r="K24" s="19">
        <f t="shared" si="2"/>
        <v>17</v>
      </c>
      <c r="L24" s="19">
        <f t="shared" si="3"/>
        <v>1</v>
      </c>
      <c r="M24" s="18">
        <f t="shared" si="69"/>
        <v>39.1</v>
      </c>
      <c r="N24" s="6">
        <f>IF($B24=0,"",RANK(M24,M$8:M$38,0)+COUNTIF(M$8:M24,M24)-1)</f>
        <v>31</v>
      </c>
      <c r="P24" s="19">
        <f t="shared" si="79"/>
        <v>0</v>
      </c>
      <c r="Q24" s="19">
        <f t="shared" si="6"/>
        <v>1</v>
      </c>
      <c r="R24" s="768">
        <f t="shared" si="80"/>
        <v>17</v>
      </c>
      <c r="S24" s="3" t="str">
        <f t="shared" si="8"/>
        <v>Hong Kong</v>
      </c>
      <c r="T24" s="20">
        <f t="shared" si="9"/>
        <v>68</v>
      </c>
      <c r="U24" s="764">
        <f t="shared" si="10"/>
        <v>68</v>
      </c>
      <c r="V24" s="20">
        <f t="shared" si="11"/>
        <v>68</v>
      </c>
      <c r="W24" s="759" t="str">
        <f t="shared" si="81"/>
        <v>=</v>
      </c>
      <c r="X24" s="760" t="str">
        <f t="shared" si="13"/>
        <v/>
      </c>
      <c r="Y24" s="761">
        <f t="shared" ca="1" si="82"/>
        <v>17</v>
      </c>
      <c r="Z24" s="762"/>
      <c r="AA24" s="763"/>
      <c r="AB24" s="764"/>
      <c r="AC24" s="18">
        <f t="shared" si="15"/>
        <v>43.8</v>
      </c>
      <c r="AD24" s="6">
        <f>IF($B24=0,"",RANK(AC24,AC$8:AC$38,0)+COUNTIF(AC$8:AC24,AC24)-1)</f>
        <v>29</v>
      </c>
      <c r="AE24" s="3">
        <f t="shared" si="16"/>
        <v>31</v>
      </c>
      <c r="AF24" s="19" t="str">
        <f t="shared" si="17"/>
        <v/>
      </c>
      <c r="AG24" s="19">
        <f t="shared" si="18"/>
        <v>1</v>
      </c>
      <c r="AH24" s="18">
        <f t="shared" si="19"/>
        <v>43.8</v>
      </c>
      <c r="AI24" s="6">
        <f>IF($B24=0,"",RANK(AH24,AH$8:AH$38,0)+COUNTIF(AH$8:AH24,AH24)-1)</f>
        <v>29</v>
      </c>
      <c r="AK24" s="19">
        <f t="shared" si="83"/>
        <v>0</v>
      </c>
      <c r="AL24" s="19">
        <f t="shared" si="20"/>
        <v>4</v>
      </c>
      <c r="AM24" s="769" t="str">
        <f t="shared" si="84"/>
        <v/>
      </c>
      <c r="AN24" s="3" t="str">
        <f t="shared" si="21"/>
        <v>AVERAGE</v>
      </c>
      <c r="AO24" s="20">
        <f t="shared" si="22"/>
        <v>65.900000000000006</v>
      </c>
      <c r="AP24" s="764" t="str">
        <f t="shared" si="23"/>
        <v/>
      </c>
      <c r="AQ24" s="20" t="str">
        <f t="shared" si="24"/>
        <v/>
      </c>
      <c r="AR24" s="759" t="str">
        <f t="shared" si="85"/>
        <v/>
      </c>
      <c r="AS24" s="760" t="str">
        <f t="shared" si="26"/>
        <v/>
      </c>
      <c r="AT24" s="761" t="str">
        <f t="shared" ca="1" si="86"/>
        <v/>
      </c>
      <c r="AU24" s="762"/>
      <c r="AV24" s="763"/>
      <c r="AW24" s="764"/>
      <c r="AX24" s="18">
        <f t="shared" si="28"/>
        <v>36.5</v>
      </c>
      <c r="AY24" s="6">
        <f>IF($B24=0,"",RANK(AX24,AX$8:AX$38,0)+COUNTIF(AX$8:AX24,AX24)-1)</f>
        <v>30</v>
      </c>
      <c r="AZ24" s="3">
        <f t="shared" si="29"/>
        <v>29</v>
      </c>
      <c r="BA24" s="19">
        <f t="shared" si="30"/>
        <v>17</v>
      </c>
      <c r="BB24" s="19">
        <f t="shared" si="31"/>
        <v>1</v>
      </c>
      <c r="BC24" s="18">
        <f t="shared" si="32"/>
        <v>36.5</v>
      </c>
      <c r="BD24" s="6">
        <f>IF($B24=0,"",RANK(BC24,BC$8:BC$38,0)+COUNTIF(BC$8:BC24,BC24)-1)</f>
        <v>30</v>
      </c>
      <c r="BF24" s="19">
        <f t="shared" si="87"/>
        <v>0</v>
      </c>
      <c r="BG24" s="19">
        <f t="shared" si="33"/>
        <v>1</v>
      </c>
      <c r="BH24" s="769">
        <f t="shared" si="88"/>
        <v>17</v>
      </c>
      <c r="BI24" s="3" t="str">
        <f t="shared" si="34"/>
        <v>Washington DC</v>
      </c>
      <c r="BJ24" s="20">
        <f t="shared" si="35"/>
        <v>64.900000000000006</v>
      </c>
      <c r="BK24" s="764">
        <f t="shared" si="36"/>
        <v>64.900000000000006</v>
      </c>
      <c r="BL24" s="20">
        <f t="shared" si="37"/>
        <v>64.900000000000006</v>
      </c>
      <c r="BM24" s="759" t="str">
        <f t="shared" si="89"/>
        <v>=</v>
      </c>
      <c r="BN24" s="760" t="str">
        <f t="shared" si="39"/>
        <v/>
      </c>
      <c r="BO24" s="761">
        <f t="shared" ca="1" si="90"/>
        <v>17</v>
      </c>
      <c r="BP24" s="762" t="str">
        <f t="shared" ca="1" si="91"/>
        <v/>
      </c>
      <c r="BQ24" s="763"/>
      <c r="BR24" s="764"/>
      <c r="BS24" s="18">
        <f t="shared" si="42"/>
        <v>46.8</v>
      </c>
      <c r="BT24" s="6">
        <f>IF($B24=0,"",RANK(BS24,BS$8:BS$38,0)+COUNTIF(BS$8:BS24,BS24)-1)</f>
        <v>29</v>
      </c>
      <c r="BU24" s="3">
        <f t="shared" si="43"/>
        <v>4</v>
      </c>
      <c r="BV24" s="19">
        <f t="shared" si="44"/>
        <v>17</v>
      </c>
      <c r="BW24" s="19">
        <f t="shared" si="45"/>
        <v>1</v>
      </c>
      <c r="BX24" s="18">
        <f t="shared" si="46"/>
        <v>46.8</v>
      </c>
      <c r="BY24" s="6">
        <f>IF($B24=0,"",RANK(BX24,BX$8:BX$38,0)+COUNTIF(BX$8:BX24,BX24)-1)</f>
        <v>29</v>
      </c>
      <c r="CA24" s="19" t="str">
        <f t="shared" si="92"/>
        <v>=</v>
      </c>
      <c r="CB24" s="19">
        <f t="shared" si="47"/>
        <v>1</v>
      </c>
      <c r="CC24" s="769">
        <f t="shared" si="93"/>
        <v>17</v>
      </c>
      <c r="CD24" s="3" t="str">
        <f t="shared" si="48"/>
        <v>Barcelona</v>
      </c>
      <c r="CE24" s="20">
        <f t="shared" si="49"/>
        <v>60.6</v>
      </c>
      <c r="CF24" s="764">
        <f t="shared" si="50"/>
        <v>60.6</v>
      </c>
      <c r="CG24" s="20">
        <f t="shared" si="51"/>
        <v>60.6</v>
      </c>
      <c r="CH24" s="759" t="str">
        <f t="shared" si="94"/>
        <v>=</v>
      </c>
      <c r="CI24" s="760" t="str">
        <f t="shared" si="53"/>
        <v/>
      </c>
      <c r="CJ24" s="766">
        <f t="shared" ca="1" si="95"/>
        <v>17</v>
      </c>
      <c r="CK24" s="767"/>
      <c r="CL24" s="763"/>
      <c r="CM24" s="764"/>
      <c r="CN24" s="18">
        <f t="shared" si="55"/>
        <v>28</v>
      </c>
      <c r="CO24" s="6">
        <f>IF($B24=0,"",RANK(CN24,CN$8:CN$38,0)+COUNTIF(CN$8:CN24,CN24)-1)</f>
        <v>31</v>
      </c>
      <c r="CP24" s="3">
        <f t="shared" si="56"/>
        <v>2</v>
      </c>
      <c r="CQ24" s="19">
        <f t="shared" si="57"/>
        <v>17</v>
      </c>
      <c r="CR24" s="19">
        <f t="shared" si="58"/>
        <v>1</v>
      </c>
      <c r="CS24" s="18">
        <f t="shared" si="59"/>
        <v>28</v>
      </c>
      <c r="CT24" s="6">
        <f>IF($B24=0,"",RANK(CS24,CS$8:CS$38,0)+COUNTIF(CS$8:CS24,CS24)-1)</f>
        <v>31</v>
      </c>
      <c r="CV24" s="19" t="str">
        <f t="shared" si="77"/>
        <v>=</v>
      </c>
      <c r="CW24" s="19">
        <f t="shared" si="60"/>
        <v>1</v>
      </c>
      <c r="CX24" s="769">
        <f t="shared" si="78"/>
        <v>17</v>
      </c>
      <c r="CY24" s="3" t="str">
        <f t="shared" si="61"/>
        <v>Auckland</v>
      </c>
      <c r="CZ24" s="20">
        <f t="shared" si="62"/>
        <v>68.099999999999994</v>
      </c>
      <c r="DA24" s="764">
        <f t="shared" si="63"/>
        <v>68.099999999999994</v>
      </c>
      <c r="DB24" s="20">
        <f t="shared" si="64"/>
        <v>68.099999999999994</v>
      </c>
      <c r="DC24" s="759" t="str">
        <f t="shared" si="65"/>
        <v>=</v>
      </c>
      <c r="DD24" s="760" t="str">
        <f t="shared" si="66"/>
        <v/>
      </c>
      <c r="DE24" s="766">
        <f t="shared" ca="1" si="67"/>
        <v>17</v>
      </c>
      <c r="DF24" s="767"/>
      <c r="DG24" s="763"/>
      <c r="DH24" s="764"/>
    </row>
    <row r="25" spans="1:112">
      <c r="A25" s="18">
        <f>tblTerritories!A20</f>
        <v>18</v>
      </c>
      <c r="B25" s="3">
        <f>IF(tblTerritories!F20="",0,tblTerritories!F20)</f>
        <v>1</v>
      </c>
      <c r="C25" s="3" t="str">
        <f>tblTerritories!C20</f>
        <v>Mexico City</v>
      </c>
      <c r="E25" s="3">
        <f>tblTerritories!K20</f>
        <v>1</v>
      </c>
      <c r="F25" s="3">
        <f>IF($A25="","",VLOOKUP(C25,tblTerritories!$J$3:$P$21,7,FALSE)+10)</f>
        <v>10</v>
      </c>
      <c r="H25" s="18">
        <f t="shared" si="68"/>
        <v>42.6</v>
      </c>
      <c r="I25" s="6">
        <f>IF($B25=0,"",RANK(H25,H$8:H$38,0)+COUNTIF(H$8:H25,H25)-1)</f>
        <v>29</v>
      </c>
      <c r="J25" s="3">
        <f t="shared" si="1"/>
        <v>10</v>
      </c>
      <c r="K25" s="19">
        <f t="shared" si="2"/>
        <v>18</v>
      </c>
      <c r="L25" s="19">
        <f t="shared" si="3"/>
        <v>1</v>
      </c>
      <c r="M25" s="18">
        <f t="shared" si="69"/>
        <v>42.6</v>
      </c>
      <c r="N25" s="6">
        <f>IF($B25=0,"",RANK(M25,M$8:M$38,0)+COUNTIF(M$8:M25,M25)-1)</f>
        <v>29</v>
      </c>
      <c r="P25" s="19">
        <f t="shared" si="79"/>
        <v>0</v>
      </c>
      <c r="Q25" s="19">
        <f t="shared" si="6"/>
        <v>1</v>
      </c>
      <c r="R25" s="768">
        <f t="shared" si="80"/>
        <v>18</v>
      </c>
      <c r="S25" s="3" t="str">
        <f t="shared" si="8"/>
        <v>Dubai</v>
      </c>
      <c r="T25" s="20">
        <f t="shared" si="9"/>
        <v>63.8</v>
      </c>
      <c r="U25" s="764">
        <f t="shared" si="10"/>
        <v>63.8</v>
      </c>
      <c r="V25" s="20">
        <f t="shared" si="11"/>
        <v>63.8</v>
      </c>
      <c r="W25" s="759" t="str">
        <f t="shared" si="81"/>
        <v>=</v>
      </c>
      <c r="X25" s="760" t="str">
        <f t="shared" si="13"/>
        <v/>
      </c>
      <c r="Y25" s="761">
        <f t="shared" ca="1" si="82"/>
        <v>18</v>
      </c>
      <c r="Z25" s="762"/>
      <c r="AA25" s="763"/>
      <c r="AB25" s="764"/>
      <c r="AC25" s="18">
        <f t="shared" si="15"/>
        <v>53</v>
      </c>
      <c r="AD25" s="6">
        <f>IF($B25=0,"",RANK(AC25,AC$8:AC$38,0)+COUNTIF(AC$8:AC25,AC25)-1)</f>
        <v>27</v>
      </c>
      <c r="AE25" s="3">
        <f t="shared" si="16"/>
        <v>22</v>
      </c>
      <c r="AF25" s="19">
        <f t="shared" si="17"/>
        <v>17</v>
      </c>
      <c r="AG25" s="19">
        <f t="shared" si="18"/>
        <v>1</v>
      </c>
      <c r="AH25" s="18">
        <f t="shared" si="19"/>
        <v>53</v>
      </c>
      <c r="AI25" s="6">
        <f>IF($B25=0,"",RANK(AH25,AH$8:AH$38,0)+COUNTIF(AH$8:AH25,AH25)-1)</f>
        <v>27</v>
      </c>
      <c r="AK25" s="19">
        <f t="shared" si="83"/>
        <v>0</v>
      </c>
      <c r="AL25" s="19">
        <f t="shared" si="20"/>
        <v>1</v>
      </c>
      <c r="AM25" s="769">
        <f t="shared" si="84"/>
        <v>17</v>
      </c>
      <c r="AN25" s="3" t="str">
        <f t="shared" si="21"/>
        <v>Rome</v>
      </c>
      <c r="AO25" s="20">
        <f t="shared" si="22"/>
        <v>64.900000000000006</v>
      </c>
      <c r="AP25" s="764">
        <f t="shared" si="23"/>
        <v>64.900000000000006</v>
      </c>
      <c r="AQ25" s="20">
        <f t="shared" si="24"/>
        <v>64.900000000000006</v>
      </c>
      <c r="AR25" s="759" t="str">
        <f t="shared" si="85"/>
        <v>=</v>
      </c>
      <c r="AS25" s="760" t="str">
        <f t="shared" si="26"/>
        <v/>
      </c>
      <c r="AT25" s="761">
        <f t="shared" ca="1" si="86"/>
        <v>17</v>
      </c>
      <c r="AU25" s="762"/>
      <c r="AV25" s="763"/>
      <c r="AW25" s="764"/>
      <c r="AX25" s="18">
        <f t="shared" si="28"/>
        <v>34.4</v>
      </c>
      <c r="AY25" s="6">
        <f>IF($B25=0,"",RANK(AX25,AX$8:AX$38,0)+COUNTIF(AX$8:AX25,AX25)-1)</f>
        <v>31</v>
      </c>
      <c r="AZ25" s="3">
        <f t="shared" si="29"/>
        <v>28</v>
      </c>
      <c r="BA25" s="19">
        <f t="shared" si="30"/>
        <v>18</v>
      </c>
      <c r="BB25" s="19">
        <f t="shared" si="31"/>
        <v>1</v>
      </c>
      <c r="BC25" s="18">
        <f t="shared" si="32"/>
        <v>34.4</v>
      </c>
      <c r="BD25" s="6">
        <f>IF($B25=0,"",RANK(BC25,BC$8:BC$38,0)+COUNTIF(BC$8:BC25,BC25)-1)</f>
        <v>31</v>
      </c>
      <c r="BF25" s="19">
        <f t="shared" si="87"/>
        <v>0</v>
      </c>
      <c r="BG25" s="19">
        <f t="shared" si="33"/>
        <v>1</v>
      </c>
      <c r="BH25" s="769">
        <f t="shared" si="88"/>
        <v>18</v>
      </c>
      <c r="BI25" s="3" t="str">
        <f t="shared" si="34"/>
        <v>Toronto</v>
      </c>
      <c r="BJ25" s="20">
        <f t="shared" si="35"/>
        <v>64</v>
      </c>
      <c r="BK25" s="764">
        <f t="shared" si="36"/>
        <v>64</v>
      </c>
      <c r="BL25" s="20">
        <f t="shared" si="37"/>
        <v>64</v>
      </c>
      <c r="BM25" s="759" t="str">
        <f t="shared" si="89"/>
        <v>=</v>
      </c>
      <c r="BN25" s="760" t="str">
        <f t="shared" si="39"/>
        <v/>
      </c>
      <c r="BO25" s="761">
        <f t="shared" ca="1" si="90"/>
        <v>18</v>
      </c>
      <c r="BP25" s="762" t="str">
        <f t="shared" ca="1" si="91"/>
        <v/>
      </c>
      <c r="BQ25" s="763"/>
      <c r="BR25" s="764"/>
      <c r="BS25" s="18">
        <f t="shared" si="42"/>
        <v>48.3</v>
      </c>
      <c r="BT25" s="6">
        <f>IF($B25=0,"",RANK(BS25,BS$8:BS$38,0)+COUNTIF(BS$8:BS25,BS25)-1)</f>
        <v>27</v>
      </c>
      <c r="BU25" s="3">
        <f t="shared" si="43"/>
        <v>31</v>
      </c>
      <c r="BV25" s="19" t="str">
        <f t="shared" si="44"/>
        <v/>
      </c>
      <c r="BW25" s="19">
        <f t="shared" si="45"/>
        <v>1</v>
      </c>
      <c r="BX25" s="18">
        <f t="shared" si="46"/>
        <v>48.3</v>
      </c>
      <c r="BY25" s="6">
        <f>IF($B25=0,"",RANK(BX25,BX$8:BX$38,0)+COUNTIF(BX$8:BX25,BX25)-1)</f>
        <v>27</v>
      </c>
      <c r="CA25" s="19" t="str">
        <f t="shared" si="92"/>
        <v>=</v>
      </c>
      <c r="CB25" s="19">
        <f t="shared" si="47"/>
        <v>4</v>
      </c>
      <c r="CC25" s="769" t="str">
        <f t="shared" si="93"/>
        <v/>
      </c>
      <c r="CD25" s="3" t="str">
        <f t="shared" si="48"/>
        <v>AVERAGE</v>
      </c>
      <c r="CE25" s="20">
        <f t="shared" si="49"/>
        <v>59.2</v>
      </c>
      <c r="CF25" s="764" t="str">
        <f t="shared" si="50"/>
        <v/>
      </c>
      <c r="CG25" s="20" t="str">
        <f t="shared" si="51"/>
        <v/>
      </c>
      <c r="CH25" s="759" t="str">
        <f t="shared" si="94"/>
        <v/>
      </c>
      <c r="CI25" s="760" t="str">
        <f t="shared" si="53"/>
        <v/>
      </c>
      <c r="CJ25" s="766" t="str">
        <f t="shared" ca="1" si="95"/>
        <v/>
      </c>
      <c r="CK25" s="767"/>
      <c r="CL25" s="763"/>
      <c r="CM25" s="764"/>
      <c r="CN25" s="18">
        <f t="shared" si="55"/>
        <v>32.799999999999997</v>
      </c>
      <c r="CO25" s="6">
        <f>IF($B25=0,"",RANK(CN25,CN$8:CN$38,0)+COUNTIF(CN$8:CN25,CN25)-1)</f>
        <v>30</v>
      </c>
      <c r="CP25" s="3">
        <f t="shared" si="56"/>
        <v>30</v>
      </c>
      <c r="CQ25" s="19">
        <f t="shared" si="57"/>
        <v>18</v>
      </c>
      <c r="CR25" s="19">
        <f t="shared" si="58"/>
        <v>1</v>
      </c>
      <c r="CS25" s="18">
        <f t="shared" si="59"/>
        <v>32.799999999999997</v>
      </c>
      <c r="CT25" s="6">
        <f>IF($B25=0,"",RANK(CS25,CS$8:CS$38,0)+COUNTIF(CS$8:CS25,CS25)-1)</f>
        <v>30</v>
      </c>
      <c r="CV25" s="19" t="str">
        <f t="shared" si="77"/>
        <v>=</v>
      </c>
      <c r="CW25" s="19">
        <f t="shared" si="60"/>
        <v>1</v>
      </c>
      <c r="CX25" s="769">
        <f t="shared" si="78"/>
        <v>18</v>
      </c>
      <c r="CY25" s="3" t="str">
        <f t="shared" si="61"/>
        <v>Zurich</v>
      </c>
      <c r="CZ25" s="20">
        <f t="shared" si="62"/>
        <v>66.3</v>
      </c>
      <c r="DA25" s="764">
        <f t="shared" si="63"/>
        <v>66.3</v>
      </c>
      <c r="DB25" s="20">
        <f t="shared" si="64"/>
        <v>66.3</v>
      </c>
      <c r="DC25" s="759" t="str">
        <f t="shared" si="65"/>
        <v>=</v>
      </c>
      <c r="DD25" s="760" t="str">
        <f t="shared" si="66"/>
        <v/>
      </c>
      <c r="DE25" s="766">
        <f t="shared" ca="1" si="67"/>
        <v>18</v>
      </c>
      <c r="DF25" s="767"/>
      <c r="DG25" s="763"/>
      <c r="DH25" s="764"/>
    </row>
    <row r="26" spans="1:112">
      <c r="A26" s="18">
        <f>tblTerritories!A21</f>
        <v>19</v>
      </c>
      <c r="B26" s="3">
        <f>IF(tblTerritories!F21="",0,tblTerritories!F21)</f>
        <v>1</v>
      </c>
      <c r="C26" s="3" t="str">
        <f>tblTerritories!C21</f>
        <v>New Delhi</v>
      </c>
      <c r="E26" s="3">
        <f>tblTerritories!K21</f>
        <v>1</v>
      </c>
      <c r="F26" s="3">
        <f>IF($A26="","",VLOOKUP(C26,tblTerritories!$J$3:$P$21,7,FALSE)+10)</f>
        <v>10</v>
      </c>
      <c r="H26" s="18">
        <f t="shared" si="68"/>
        <v>40.299999999999997</v>
      </c>
      <c r="I26" s="6">
        <f>IF($B26=0,"",RANK(H26,H$8:H$38,0)+COUNTIF(H$8:H26,H26)-1)</f>
        <v>30</v>
      </c>
      <c r="J26" s="3">
        <f t="shared" si="1"/>
        <v>31</v>
      </c>
      <c r="K26" s="19" t="str">
        <f t="shared" si="2"/>
        <v/>
      </c>
      <c r="L26" s="19">
        <f t="shared" si="3"/>
        <v>1</v>
      </c>
      <c r="M26" s="18">
        <f t="shared" si="69"/>
        <v>40.299999999999997</v>
      </c>
      <c r="N26" s="6">
        <f>IF($B26=0,"",RANK(M26,M$8:M$38,0)+COUNTIF(M$8:M26,M26)-1)</f>
        <v>30</v>
      </c>
      <c r="P26" s="19">
        <f t="shared" si="79"/>
        <v>0</v>
      </c>
      <c r="Q26" s="19">
        <f t="shared" si="6"/>
        <v>4</v>
      </c>
      <c r="R26" s="768" t="str">
        <f t="shared" si="80"/>
        <v/>
      </c>
      <c r="S26" s="3" t="str">
        <f t="shared" si="8"/>
        <v>AVERAGE</v>
      </c>
      <c r="T26" s="20">
        <f t="shared" si="9"/>
        <v>63.3</v>
      </c>
      <c r="U26" s="764" t="str">
        <f t="shared" si="10"/>
        <v/>
      </c>
      <c r="V26" s="20" t="str">
        <f t="shared" si="11"/>
        <v/>
      </c>
      <c r="W26" s="759" t="str">
        <f t="shared" si="81"/>
        <v/>
      </c>
      <c r="X26" s="760" t="str">
        <f t="shared" si="13"/>
        <v/>
      </c>
      <c r="Y26" s="761" t="str">
        <f t="shared" ca="1" si="82"/>
        <v/>
      </c>
      <c r="Z26" s="762"/>
      <c r="AA26" s="763"/>
      <c r="AB26" s="764"/>
      <c r="AC26" s="18">
        <f t="shared" si="15"/>
        <v>28.4</v>
      </c>
      <c r="AD26" s="6">
        <f>IF($B26=0,"",RANK(AC26,AC$8:AC$38,0)+COUNTIF(AC$8:AC26,AC26)-1)</f>
        <v>31</v>
      </c>
      <c r="AE26" s="3">
        <f t="shared" si="16"/>
        <v>16</v>
      </c>
      <c r="AF26" s="19">
        <f t="shared" si="17"/>
        <v>18</v>
      </c>
      <c r="AG26" s="19">
        <f t="shared" si="18"/>
        <v>1</v>
      </c>
      <c r="AH26" s="18">
        <f t="shared" si="19"/>
        <v>28.4</v>
      </c>
      <c r="AI26" s="6">
        <f>IF($B26=0,"",RANK(AH26,AH$8:AH$38,0)+COUNTIF(AH$8:AH26,AH26)-1)</f>
        <v>31</v>
      </c>
      <c r="AK26" s="19">
        <f t="shared" si="83"/>
        <v>0</v>
      </c>
      <c r="AL26" s="19">
        <f t="shared" si="20"/>
        <v>1</v>
      </c>
      <c r="AM26" s="769">
        <f t="shared" si="84"/>
        <v>18</v>
      </c>
      <c r="AN26" s="3" t="str">
        <f t="shared" si="21"/>
        <v>Madrid</v>
      </c>
      <c r="AO26" s="20">
        <f t="shared" si="22"/>
        <v>64.599999999999994</v>
      </c>
      <c r="AP26" s="764">
        <f t="shared" si="23"/>
        <v>64.599999999999994</v>
      </c>
      <c r="AQ26" s="20">
        <f t="shared" si="24"/>
        <v>64.599999999999994</v>
      </c>
      <c r="AR26" s="759" t="str">
        <f t="shared" si="85"/>
        <v>=</v>
      </c>
      <c r="AS26" s="760" t="str">
        <f t="shared" si="26"/>
        <v/>
      </c>
      <c r="AT26" s="761">
        <f t="shared" ca="1" si="86"/>
        <v>18</v>
      </c>
      <c r="AU26" s="762"/>
      <c r="AV26" s="763"/>
      <c r="AW26" s="764"/>
      <c r="AX26" s="18">
        <f t="shared" si="28"/>
        <v>54.3</v>
      </c>
      <c r="AY26" s="6">
        <f>IF($B26=0,"",RANK(AX26,AX$8:AX$38,0)+COUNTIF(AX$8:AX26,AX26)-1)</f>
        <v>22</v>
      </c>
      <c r="AZ26" s="3">
        <f t="shared" si="29"/>
        <v>24</v>
      </c>
      <c r="BA26" s="19">
        <f t="shared" si="30"/>
        <v>19</v>
      </c>
      <c r="BB26" s="19">
        <f t="shared" si="31"/>
        <v>1</v>
      </c>
      <c r="BC26" s="18">
        <f t="shared" si="32"/>
        <v>54.3</v>
      </c>
      <c r="BD26" s="6">
        <f>IF($B26=0,"",RANK(BC26,BC$8:BC$38,0)+COUNTIF(BC$8:BC26,BC26)-1)</f>
        <v>22</v>
      </c>
      <c r="BF26" s="19">
        <f t="shared" si="87"/>
        <v>0</v>
      </c>
      <c r="BG26" s="19">
        <f t="shared" si="33"/>
        <v>1</v>
      </c>
      <c r="BH26" s="769">
        <f t="shared" si="88"/>
        <v>19</v>
      </c>
      <c r="BI26" s="3" t="str">
        <f t="shared" si="34"/>
        <v>Seoul</v>
      </c>
      <c r="BJ26" s="20">
        <f t="shared" si="35"/>
        <v>62.5</v>
      </c>
      <c r="BK26" s="764">
        <f t="shared" si="36"/>
        <v>62.5</v>
      </c>
      <c r="BL26" s="20">
        <f t="shared" si="37"/>
        <v>62.5</v>
      </c>
      <c r="BM26" s="759" t="str">
        <f t="shared" si="89"/>
        <v>=</v>
      </c>
      <c r="BN26" s="760" t="str">
        <f t="shared" si="39"/>
        <v/>
      </c>
      <c r="BO26" s="761">
        <f t="shared" ca="1" si="90"/>
        <v>19</v>
      </c>
      <c r="BP26" s="762" t="str">
        <f t="shared" ca="1" si="91"/>
        <v/>
      </c>
      <c r="BQ26" s="763"/>
      <c r="BR26" s="764"/>
      <c r="BS26" s="18">
        <f t="shared" si="42"/>
        <v>46.1</v>
      </c>
      <c r="BT26" s="6">
        <f>IF($B26=0,"",RANK(BS26,BS$8:BS$38,0)+COUNTIF(BS$8:BS26,BS26)-1)</f>
        <v>30</v>
      </c>
      <c r="BU26" s="3">
        <f t="shared" si="43"/>
        <v>5</v>
      </c>
      <c r="BV26" s="19">
        <f t="shared" si="44"/>
        <v>18</v>
      </c>
      <c r="BW26" s="19">
        <f t="shared" si="45"/>
        <v>1</v>
      </c>
      <c r="BX26" s="18">
        <f t="shared" si="46"/>
        <v>46.1</v>
      </c>
      <c r="BY26" s="6">
        <f>IF($B26=0,"",RANK(BX26,BX$8:BX$38,0)+COUNTIF(BX$8:BX26,BX26)-1)</f>
        <v>30</v>
      </c>
      <c r="CA26" s="19" t="str">
        <f t="shared" si="92"/>
        <v>=</v>
      </c>
      <c r="CB26" s="19">
        <f t="shared" si="47"/>
        <v>1</v>
      </c>
      <c r="CC26" s="769">
        <f t="shared" si="93"/>
        <v>18</v>
      </c>
      <c r="CD26" s="3" t="str">
        <f t="shared" si="48"/>
        <v>Beijing</v>
      </c>
      <c r="CE26" s="20">
        <f t="shared" si="49"/>
        <v>57.9</v>
      </c>
      <c r="CF26" s="764">
        <f t="shared" si="50"/>
        <v>57.9</v>
      </c>
      <c r="CG26" s="20">
        <f t="shared" si="51"/>
        <v>57.9</v>
      </c>
      <c r="CH26" s="759" t="str">
        <f t="shared" si="94"/>
        <v>=</v>
      </c>
      <c r="CI26" s="760" t="str">
        <f t="shared" si="53"/>
        <v/>
      </c>
      <c r="CJ26" s="766">
        <f t="shared" ca="1" si="95"/>
        <v>18</v>
      </c>
      <c r="CK26" s="767"/>
      <c r="CL26" s="763"/>
      <c r="CM26" s="764"/>
      <c r="CN26" s="18">
        <f t="shared" si="55"/>
        <v>32.9</v>
      </c>
      <c r="CO26" s="6">
        <f>IF($B26=0,"",RANK(CN26,CN$8:CN$38,0)+COUNTIF(CN$8:CN26,CN26)-1)</f>
        <v>29</v>
      </c>
      <c r="CP26" s="3">
        <f t="shared" si="56"/>
        <v>31</v>
      </c>
      <c r="CQ26" s="19" t="str">
        <f t="shared" si="57"/>
        <v/>
      </c>
      <c r="CR26" s="19">
        <f t="shared" si="58"/>
        <v>1</v>
      </c>
      <c r="CS26" s="18">
        <f t="shared" si="59"/>
        <v>32.9</v>
      </c>
      <c r="CT26" s="6">
        <f>IF($B26=0,"",RANK(CS26,CS$8:CS$38,0)+COUNTIF(CS$8:CS26,CS26)-1)</f>
        <v>29</v>
      </c>
      <c r="CV26" s="19" t="str">
        <f t="shared" si="77"/>
        <v>=</v>
      </c>
      <c r="CW26" s="19">
        <f t="shared" si="60"/>
        <v>4</v>
      </c>
      <c r="CX26" s="769" t="str">
        <f t="shared" si="78"/>
        <v/>
      </c>
      <c r="CY26" s="3" t="str">
        <f t="shared" si="61"/>
        <v>AVERAGE</v>
      </c>
      <c r="CZ26" s="20">
        <f t="shared" si="62"/>
        <v>66.3</v>
      </c>
      <c r="DA26" s="764" t="str">
        <f t="shared" si="63"/>
        <v/>
      </c>
      <c r="DB26" s="20" t="str">
        <f t="shared" si="64"/>
        <v/>
      </c>
      <c r="DC26" s="759" t="str">
        <f t="shared" si="65"/>
        <v/>
      </c>
      <c r="DD26" s="760" t="str">
        <f t="shared" si="66"/>
        <v/>
      </c>
      <c r="DE26" s="766" t="str">
        <f t="shared" ca="1" si="67"/>
        <v/>
      </c>
      <c r="DF26" s="767"/>
      <c r="DG26" s="763"/>
      <c r="DH26" s="764"/>
    </row>
    <row r="27" spans="1:112">
      <c r="A27" s="18">
        <f>tblTerritories!A22</f>
        <v>20</v>
      </c>
      <c r="B27" s="3">
        <f>IF(tblTerritories!F22="",0,tblTerritories!F22)</f>
        <v>1</v>
      </c>
      <c r="C27" s="3" t="str">
        <f>tblTerritories!C22</f>
        <v>New York</v>
      </c>
      <c r="E27" s="3">
        <f>tblTerritories!K22</f>
        <v>1</v>
      </c>
      <c r="F27" s="3" t="e">
        <f>IF($A27="","",VLOOKUP(C27,tblTerritories!$J$3:$P$21,7,FALSE)+10)</f>
        <v>#N/A</v>
      </c>
      <c r="H27" s="18">
        <f t="shared" si="68"/>
        <v>73.3</v>
      </c>
      <c r="I27" s="6">
        <f>IF($B27=0,"",RANK(H27,H$8:H$38,0)+COUNTIF(H$8:H27,H27)-1)</f>
        <v>6</v>
      </c>
      <c r="J27" s="3">
        <f t="shared" si="1"/>
        <v>16</v>
      </c>
      <c r="K27" s="19">
        <f t="shared" si="2"/>
        <v>19</v>
      </c>
      <c r="L27" s="19">
        <f t="shared" si="3"/>
        <v>1</v>
      </c>
      <c r="M27" s="18">
        <f t="shared" si="69"/>
        <v>73.3</v>
      </c>
      <c r="N27" s="6">
        <f>IF($B27=0,"",RANK(M27,M$8:M$38,0)+COUNTIF(M$8:M27,M27)-1)</f>
        <v>6</v>
      </c>
      <c r="P27" s="19">
        <f t="shared" si="79"/>
        <v>0</v>
      </c>
      <c r="Q27" s="19">
        <f t="shared" si="6"/>
        <v>1</v>
      </c>
      <c r="R27" s="768">
        <f t="shared" si="80"/>
        <v>19</v>
      </c>
      <c r="S27" s="3" t="str">
        <f t="shared" si="8"/>
        <v>Madrid</v>
      </c>
      <c r="T27" s="20">
        <f t="shared" si="9"/>
        <v>63.2</v>
      </c>
      <c r="U27" s="764">
        <f t="shared" si="10"/>
        <v>63.2</v>
      </c>
      <c r="V27" s="20">
        <f t="shared" si="11"/>
        <v>63.2</v>
      </c>
      <c r="W27" s="759" t="str">
        <f t="shared" si="81"/>
        <v>=</v>
      </c>
      <c r="X27" s="760" t="str">
        <f t="shared" si="13"/>
        <v/>
      </c>
      <c r="Y27" s="761">
        <f t="shared" ca="1" si="82"/>
        <v>19</v>
      </c>
      <c r="Z27" s="762"/>
      <c r="AA27" s="763"/>
      <c r="AB27" s="764"/>
      <c r="AC27" s="18">
        <f t="shared" si="15"/>
        <v>76.2</v>
      </c>
      <c r="AD27" s="6">
        <f>IF($B27=0,"",RANK(AC27,AC$8:AC$38,0)+COUNTIF(AC$8:AC27,AC27)-1)</f>
        <v>8</v>
      </c>
      <c r="AE27" s="3">
        <f t="shared" si="16"/>
        <v>10</v>
      </c>
      <c r="AF27" s="19">
        <f t="shared" si="17"/>
        <v>19</v>
      </c>
      <c r="AG27" s="19">
        <f t="shared" si="18"/>
        <v>1</v>
      </c>
      <c r="AH27" s="18">
        <f t="shared" si="19"/>
        <v>76.2</v>
      </c>
      <c r="AI27" s="6">
        <f>IF($B27=0,"",RANK(AH27,AH$8:AH$38,0)+COUNTIF(AH$8:AH27,AH27)-1)</f>
        <v>8</v>
      </c>
      <c r="AK27" s="19">
        <f t="shared" si="83"/>
        <v>0</v>
      </c>
      <c r="AL27" s="19">
        <f t="shared" si="20"/>
        <v>1</v>
      </c>
      <c r="AM27" s="769">
        <f t="shared" si="84"/>
        <v>19</v>
      </c>
      <c r="AN27" s="3" t="str">
        <f t="shared" si="21"/>
        <v>Dubai</v>
      </c>
      <c r="AO27" s="20">
        <f t="shared" si="22"/>
        <v>63.5</v>
      </c>
      <c r="AP27" s="764">
        <f t="shared" si="23"/>
        <v>63.5</v>
      </c>
      <c r="AQ27" s="20">
        <f t="shared" si="24"/>
        <v>63.5</v>
      </c>
      <c r="AR27" s="759" t="str">
        <f t="shared" si="85"/>
        <v>=</v>
      </c>
      <c r="AS27" s="760" t="str">
        <f t="shared" si="26"/>
        <v/>
      </c>
      <c r="AT27" s="761">
        <f t="shared" ca="1" si="86"/>
        <v>19</v>
      </c>
      <c r="AU27" s="762"/>
      <c r="AV27" s="763"/>
      <c r="AW27" s="764"/>
      <c r="AX27" s="18">
        <f t="shared" si="28"/>
        <v>67.2</v>
      </c>
      <c r="AY27" s="6">
        <f>IF($B27=0,"",RANK(AX27,AX$8:AX$38,0)+COUNTIF(AX$8:AX27,AX27)-1)</f>
        <v>14</v>
      </c>
      <c r="AZ27" s="3">
        <f t="shared" si="29"/>
        <v>16</v>
      </c>
      <c r="BA27" s="19">
        <f t="shared" si="30"/>
        <v>20</v>
      </c>
      <c r="BB27" s="19">
        <f t="shared" si="31"/>
        <v>1</v>
      </c>
      <c r="BC27" s="18">
        <f t="shared" si="32"/>
        <v>67.2</v>
      </c>
      <c r="BD27" s="6">
        <f>IF($B27=0,"",RANK(BC27,BC$8:BC$38,0)+COUNTIF(BC$8:BC27,BC27)-1)</f>
        <v>14</v>
      </c>
      <c r="BF27" s="19">
        <f t="shared" si="87"/>
        <v>0</v>
      </c>
      <c r="BG27" s="19">
        <f t="shared" si="33"/>
        <v>1</v>
      </c>
      <c r="BH27" s="769">
        <f t="shared" si="88"/>
        <v>20</v>
      </c>
      <c r="BI27" s="3" t="str">
        <f t="shared" si="34"/>
        <v>Madrid</v>
      </c>
      <c r="BJ27" s="20">
        <f t="shared" si="35"/>
        <v>61.5</v>
      </c>
      <c r="BK27" s="764">
        <f t="shared" si="36"/>
        <v>61.5</v>
      </c>
      <c r="BL27" s="20">
        <f t="shared" si="37"/>
        <v>61.5</v>
      </c>
      <c r="BM27" s="759" t="str">
        <f t="shared" si="89"/>
        <v>=</v>
      </c>
      <c r="BN27" s="760" t="str">
        <f t="shared" si="39"/>
        <v/>
      </c>
      <c r="BO27" s="761">
        <f t="shared" ca="1" si="90"/>
        <v>20</v>
      </c>
      <c r="BP27" s="762" t="str">
        <f t="shared" ca="1" si="91"/>
        <v/>
      </c>
      <c r="BQ27" s="763"/>
      <c r="BR27" s="764"/>
      <c r="BS27" s="18">
        <f t="shared" si="42"/>
        <v>73.599999999999994</v>
      </c>
      <c r="BT27" s="6">
        <f>IF($B27=0,"",RANK(BS27,BS$8:BS$38,0)+COUNTIF(BS$8:BS27,BS27)-1)</f>
        <v>1</v>
      </c>
      <c r="BU27" s="3">
        <f t="shared" si="43"/>
        <v>23</v>
      </c>
      <c r="BV27" s="19">
        <f t="shared" si="44"/>
        <v>19</v>
      </c>
      <c r="BW27" s="19">
        <f t="shared" si="45"/>
        <v>1</v>
      </c>
      <c r="BX27" s="18">
        <f t="shared" si="46"/>
        <v>73.599999999999994</v>
      </c>
      <c r="BY27" s="6">
        <f>IF($B27=0,"",RANK(BX27,BX$8:BX$38,0)+COUNTIF(BX$8:BX27,BX27)-1)</f>
        <v>1</v>
      </c>
      <c r="CA27" s="19" t="str">
        <f t="shared" si="92"/>
        <v>=</v>
      </c>
      <c r="CB27" s="19">
        <f t="shared" si="47"/>
        <v>1</v>
      </c>
      <c r="CC27" s="769">
        <f t="shared" si="93"/>
        <v>19</v>
      </c>
      <c r="CD27" s="3" t="str">
        <f t="shared" si="48"/>
        <v>Sao Paulo</v>
      </c>
      <c r="CE27" s="20">
        <f t="shared" si="49"/>
        <v>57</v>
      </c>
      <c r="CF27" s="764">
        <f t="shared" si="50"/>
        <v>57</v>
      </c>
      <c r="CG27" s="20">
        <f t="shared" si="51"/>
        <v>57</v>
      </c>
      <c r="CH27" s="759" t="str">
        <f t="shared" si="94"/>
        <v>=</v>
      </c>
      <c r="CI27" s="760" t="str">
        <f t="shared" si="53"/>
        <v/>
      </c>
      <c r="CJ27" s="766">
        <f t="shared" ca="1" si="95"/>
        <v>19</v>
      </c>
      <c r="CK27" s="767"/>
      <c r="CL27" s="763"/>
      <c r="CM27" s="764"/>
      <c r="CN27" s="18">
        <f t="shared" si="55"/>
        <v>76.7</v>
      </c>
      <c r="CO27" s="6">
        <f>IF($B27=0,"",RANK(CN27,CN$8:CN$38,0)+COUNTIF(CN$8:CN27,CN27)-1)</f>
        <v>9</v>
      </c>
      <c r="CP27" s="3">
        <f t="shared" si="56"/>
        <v>14</v>
      </c>
      <c r="CQ27" s="19">
        <f t="shared" si="57"/>
        <v>19</v>
      </c>
      <c r="CR27" s="19">
        <f t="shared" si="58"/>
        <v>1</v>
      </c>
      <c r="CS27" s="18">
        <f t="shared" si="59"/>
        <v>76.7</v>
      </c>
      <c r="CT27" s="6">
        <f>IF($B27=0,"",RANK(CS27,CS$8:CS$38,0)+COUNTIF(CS$8:CS27,CS27)-1)</f>
        <v>9</v>
      </c>
      <c r="CV27" s="19" t="str">
        <f t="shared" si="77"/>
        <v>=</v>
      </c>
      <c r="CW27" s="19">
        <f t="shared" si="60"/>
        <v>1</v>
      </c>
      <c r="CX27" s="769">
        <f t="shared" si="78"/>
        <v>19</v>
      </c>
      <c r="CY27" s="3" t="str">
        <f t="shared" si="61"/>
        <v>Kuala Lumpur</v>
      </c>
      <c r="CZ27" s="20">
        <f t="shared" si="62"/>
        <v>66</v>
      </c>
      <c r="DA27" s="764">
        <f t="shared" si="63"/>
        <v>66</v>
      </c>
      <c r="DB27" s="20">
        <f t="shared" si="64"/>
        <v>66</v>
      </c>
      <c r="DC27" s="759" t="str">
        <f t="shared" si="65"/>
        <v>=</v>
      </c>
      <c r="DD27" s="760" t="str">
        <f t="shared" si="66"/>
        <v/>
      </c>
      <c r="DE27" s="766">
        <f t="shared" ca="1" si="67"/>
        <v>19</v>
      </c>
      <c r="DF27" s="767"/>
      <c r="DG27" s="763"/>
      <c r="DH27" s="764"/>
    </row>
    <row r="28" spans="1:112">
      <c r="A28" s="18">
        <f>tblTerritories!A23</f>
        <v>21</v>
      </c>
      <c r="B28" s="3">
        <f>IF(tblTerritories!F23="",0,tblTerritories!F23)</f>
        <v>1</v>
      </c>
      <c r="C28" s="3" t="str">
        <f>tblTerritories!C23</f>
        <v>Paris</v>
      </c>
      <c r="E28" s="3">
        <f>tblTerritories!K23</f>
        <v>1</v>
      </c>
      <c r="F28" s="3" t="e">
        <f>IF($A28="","",VLOOKUP(C28,tblTerritories!$J$3:$P$21,7,FALSE)+10)</f>
        <v>#N/A</v>
      </c>
      <c r="H28" s="18">
        <f t="shared" si="68"/>
        <v>70.2</v>
      </c>
      <c r="I28" s="6">
        <f>IF($B28=0,"",RANK(H28,H$8:H$38,0)+COUNTIF(H$8:H28,H28)-1)</f>
        <v>10</v>
      </c>
      <c r="J28" s="3">
        <f t="shared" si="1"/>
        <v>27</v>
      </c>
      <c r="K28" s="19">
        <f t="shared" si="2"/>
        <v>20</v>
      </c>
      <c r="L28" s="19">
        <f t="shared" si="3"/>
        <v>1</v>
      </c>
      <c r="M28" s="18">
        <f t="shared" si="69"/>
        <v>70.2</v>
      </c>
      <c r="N28" s="6">
        <f>IF($B28=0,"",RANK(M28,M$8:M$38,0)+COUNTIF(M$8:M28,M28)-1)</f>
        <v>10</v>
      </c>
      <c r="P28" s="19">
        <f t="shared" si="79"/>
        <v>0</v>
      </c>
      <c r="Q28" s="19">
        <f t="shared" si="6"/>
        <v>1</v>
      </c>
      <c r="R28" s="768">
        <f t="shared" si="80"/>
        <v>20</v>
      </c>
      <c r="S28" s="3" t="str">
        <f t="shared" si="8"/>
        <v>Tokyo</v>
      </c>
      <c r="T28" s="20">
        <f t="shared" si="9"/>
        <v>63</v>
      </c>
      <c r="U28" s="764">
        <f t="shared" si="10"/>
        <v>63</v>
      </c>
      <c r="V28" s="20">
        <f t="shared" si="11"/>
        <v>63</v>
      </c>
      <c r="W28" s="759" t="str">
        <f t="shared" si="81"/>
        <v>=</v>
      </c>
      <c r="X28" s="760" t="str">
        <f t="shared" si="13"/>
        <v/>
      </c>
      <c r="Y28" s="761">
        <f t="shared" ca="1" si="82"/>
        <v>20</v>
      </c>
      <c r="Z28" s="762"/>
      <c r="AA28" s="763"/>
      <c r="AB28" s="764"/>
      <c r="AC28" s="18">
        <f t="shared" si="15"/>
        <v>71.900000000000006</v>
      </c>
      <c r="AD28" s="6">
        <f>IF($B28=0,"",RANK(AC28,AC$8:AC$38,0)+COUNTIF(AC$8:AC28,AC28)-1)</f>
        <v>12</v>
      </c>
      <c r="AE28" s="3">
        <f t="shared" si="16"/>
        <v>28</v>
      </c>
      <c r="AF28" s="19">
        <f t="shared" si="17"/>
        <v>20</v>
      </c>
      <c r="AG28" s="19">
        <f t="shared" si="18"/>
        <v>1</v>
      </c>
      <c r="AH28" s="18">
        <f t="shared" si="19"/>
        <v>71.900000000000006</v>
      </c>
      <c r="AI28" s="6">
        <f>IF($B28=0,"",RANK(AH28,AH$8:AH$38,0)+COUNTIF(AH$8:AH28,AH28)-1)</f>
        <v>12</v>
      </c>
      <c r="AK28" s="19">
        <f t="shared" si="83"/>
        <v>0</v>
      </c>
      <c r="AL28" s="19">
        <f t="shared" si="20"/>
        <v>1</v>
      </c>
      <c r="AM28" s="769">
        <f t="shared" si="84"/>
        <v>20</v>
      </c>
      <c r="AN28" s="3" t="str">
        <f t="shared" si="21"/>
        <v>Toronto</v>
      </c>
      <c r="AO28" s="20">
        <f t="shared" si="22"/>
        <v>62.8</v>
      </c>
      <c r="AP28" s="764">
        <f t="shared" si="23"/>
        <v>62.8</v>
      </c>
      <c r="AQ28" s="20">
        <f t="shared" si="24"/>
        <v>62.8</v>
      </c>
      <c r="AR28" s="759" t="str">
        <f t="shared" si="85"/>
        <v>=</v>
      </c>
      <c r="AS28" s="760" t="str">
        <f t="shared" si="26"/>
        <v/>
      </c>
      <c r="AT28" s="761">
        <f t="shared" ca="1" si="86"/>
        <v>20</v>
      </c>
      <c r="AU28" s="762"/>
      <c r="AV28" s="763"/>
      <c r="AW28" s="764"/>
      <c r="AX28" s="18">
        <f t="shared" si="28"/>
        <v>72.5</v>
      </c>
      <c r="AY28" s="6">
        <f>IF($B28=0,"",RANK(AX28,AX$8:AX$38,0)+COUNTIF(AX$8:AX28,AX28)-1)</f>
        <v>6</v>
      </c>
      <c r="AZ28" s="3">
        <f t="shared" si="29"/>
        <v>31</v>
      </c>
      <c r="BA28" s="19" t="str">
        <f t="shared" si="30"/>
        <v/>
      </c>
      <c r="BB28" s="19">
        <f t="shared" si="31"/>
        <v>1</v>
      </c>
      <c r="BC28" s="18">
        <f t="shared" si="32"/>
        <v>72.5</v>
      </c>
      <c r="BD28" s="6">
        <f>IF($B28=0,"",RANK(BC28,BC$8:BC$38,0)+COUNTIF(BC$8:BC28,BC28)-1)</f>
        <v>6</v>
      </c>
      <c r="BF28" s="19">
        <f t="shared" si="87"/>
        <v>0</v>
      </c>
      <c r="BG28" s="19">
        <f t="shared" si="33"/>
        <v>4</v>
      </c>
      <c r="BH28" s="769" t="str">
        <f t="shared" si="88"/>
        <v/>
      </c>
      <c r="BI28" s="3" t="str">
        <f t="shared" si="34"/>
        <v>AVERAGE</v>
      </c>
      <c r="BJ28" s="20">
        <f t="shared" si="35"/>
        <v>61.4</v>
      </c>
      <c r="BK28" s="764" t="str">
        <f t="shared" si="36"/>
        <v/>
      </c>
      <c r="BL28" s="20" t="str">
        <f t="shared" si="37"/>
        <v/>
      </c>
      <c r="BM28" s="759" t="str">
        <f t="shared" si="89"/>
        <v/>
      </c>
      <c r="BN28" s="760" t="str">
        <f t="shared" si="39"/>
        <v/>
      </c>
      <c r="BO28" s="761" t="str">
        <f t="shared" ca="1" si="90"/>
        <v/>
      </c>
      <c r="BP28" s="762" t="str">
        <f t="shared" ca="1" si="91"/>
        <v/>
      </c>
      <c r="BQ28" s="763"/>
      <c r="BR28" s="764"/>
      <c r="BS28" s="18">
        <f t="shared" si="42"/>
        <v>64.099999999999994</v>
      </c>
      <c r="BT28" s="6">
        <f>IF($B28=0,"",RANK(BS28,BS$8:BS$38,0)+COUNTIF(BS$8:BS28,BS28)-1)</f>
        <v>10</v>
      </c>
      <c r="BU28" s="3">
        <f t="shared" si="43"/>
        <v>14</v>
      </c>
      <c r="BV28" s="19">
        <f t="shared" si="44"/>
        <v>20</v>
      </c>
      <c r="BW28" s="19">
        <f t="shared" si="45"/>
        <v>2</v>
      </c>
      <c r="BX28" s="18">
        <f t="shared" si="46"/>
        <v>64.099999999999994</v>
      </c>
      <c r="BY28" s="6">
        <f>IF($B28=0,"",RANK(BX28,BX$8:BX$38,0)+COUNTIF(BX$8:BX28,BX28)-1)</f>
        <v>10</v>
      </c>
      <c r="CA28" s="19" t="str">
        <f t="shared" si="92"/>
        <v>=</v>
      </c>
      <c r="CB28" s="19">
        <f t="shared" si="47"/>
        <v>1</v>
      </c>
      <c r="CC28" s="769" t="str">
        <f t="shared" si="93"/>
        <v>=20</v>
      </c>
      <c r="CD28" s="3" t="str">
        <f t="shared" si="48"/>
        <v>Kuala Lumpur</v>
      </c>
      <c r="CE28" s="20">
        <f t="shared" si="49"/>
        <v>56.9</v>
      </c>
      <c r="CF28" s="764">
        <f t="shared" si="50"/>
        <v>56.9</v>
      </c>
      <c r="CG28" s="20">
        <f t="shared" si="51"/>
        <v>56.9</v>
      </c>
      <c r="CH28" s="759" t="str">
        <f t="shared" si="94"/>
        <v>=</v>
      </c>
      <c r="CI28" s="760" t="str">
        <f t="shared" si="53"/>
        <v/>
      </c>
      <c r="CJ28" s="766">
        <f t="shared" ca="1" si="95"/>
        <v>20</v>
      </c>
      <c r="CK28" s="767"/>
      <c r="CL28" s="763"/>
      <c r="CM28" s="764"/>
      <c r="CN28" s="18">
        <f t="shared" si="55"/>
        <v>70.900000000000006</v>
      </c>
      <c r="CO28" s="6">
        <f>IF($B28=0,"",RANK(CN28,CN$8:CN$38,0)+COUNTIF(CN$8:CN28,CN28)-1)</f>
        <v>14</v>
      </c>
      <c r="CP28" s="3">
        <f t="shared" si="56"/>
        <v>9</v>
      </c>
      <c r="CQ28" s="19">
        <f t="shared" si="57"/>
        <v>20</v>
      </c>
      <c r="CR28" s="19">
        <f t="shared" si="58"/>
        <v>1</v>
      </c>
      <c r="CS28" s="18">
        <f t="shared" si="59"/>
        <v>70.900000000000006</v>
      </c>
      <c r="CT28" s="6">
        <f>IF($B28=0,"",RANK(CS28,CS$8:CS$38,0)+COUNTIF(CS$8:CS28,CS28)-1)</f>
        <v>14</v>
      </c>
      <c r="CV28" s="19" t="str">
        <f t="shared" si="77"/>
        <v>=</v>
      </c>
      <c r="CW28" s="19">
        <f t="shared" si="60"/>
        <v>1</v>
      </c>
      <c r="CX28" s="769">
        <f t="shared" si="78"/>
        <v>20</v>
      </c>
      <c r="CY28" s="3" t="str">
        <f t="shared" si="61"/>
        <v>Dallas</v>
      </c>
      <c r="CZ28" s="20">
        <f t="shared" si="62"/>
        <v>63.7</v>
      </c>
      <c r="DA28" s="764">
        <f t="shared" si="63"/>
        <v>63.7</v>
      </c>
      <c r="DB28" s="20">
        <f t="shared" si="64"/>
        <v>63.7</v>
      </c>
      <c r="DC28" s="759" t="str">
        <f t="shared" si="65"/>
        <v>=</v>
      </c>
      <c r="DD28" s="760" t="str">
        <f t="shared" si="66"/>
        <v/>
      </c>
      <c r="DE28" s="766">
        <f t="shared" ca="1" si="67"/>
        <v>20</v>
      </c>
      <c r="DF28" s="767"/>
      <c r="DG28" s="763"/>
      <c r="DH28" s="764"/>
    </row>
    <row r="29" spans="1:112">
      <c r="A29" s="18">
        <f>tblTerritories!A24</f>
        <v>22</v>
      </c>
      <c r="B29" s="3">
        <f>IF(tblTerritories!F24="",0,tblTerritories!F24)</f>
        <v>1</v>
      </c>
      <c r="C29" s="3" t="str">
        <f>tblTerritories!C24</f>
        <v>Rome</v>
      </c>
      <c r="E29" s="3">
        <f>tblTerritories!K24</f>
        <v>1</v>
      </c>
      <c r="F29" s="3" t="e">
        <f>IF($A29="","",VLOOKUP(C29,tblTerritories!$J$3:$P$21,7,FALSE)+10)</f>
        <v>#N/A</v>
      </c>
      <c r="H29" s="18">
        <f t="shared" si="68"/>
        <v>61.2</v>
      </c>
      <c r="I29" s="6">
        <f>IF($B29=0,"",RANK(H29,H$8:H$38,0)+COUNTIF(H$8:H29,H29)-1)</f>
        <v>22</v>
      </c>
      <c r="J29" s="3">
        <f t="shared" si="1"/>
        <v>22</v>
      </c>
      <c r="K29" s="19">
        <f t="shared" si="2"/>
        <v>21</v>
      </c>
      <c r="L29" s="19">
        <f t="shared" si="3"/>
        <v>1</v>
      </c>
      <c r="M29" s="18">
        <f t="shared" si="69"/>
        <v>61.2</v>
      </c>
      <c r="N29" s="6">
        <f>IF($B29=0,"",RANK(M29,M$8:M$38,0)+COUNTIF(M$8:M29,M29)-1)</f>
        <v>22</v>
      </c>
      <c r="P29" s="19">
        <f t="shared" si="79"/>
        <v>0</v>
      </c>
      <c r="Q29" s="19">
        <f t="shared" si="6"/>
        <v>1</v>
      </c>
      <c r="R29" s="768">
        <f t="shared" si="80"/>
        <v>21</v>
      </c>
      <c r="S29" s="3" t="str">
        <f t="shared" si="8"/>
        <v>Rome</v>
      </c>
      <c r="T29" s="20">
        <f t="shared" si="9"/>
        <v>61.2</v>
      </c>
      <c r="U29" s="764">
        <f t="shared" si="10"/>
        <v>61.2</v>
      </c>
      <c r="V29" s="20">
        <f t="shared" si="11"/>
        <v>61.2</v>
      </c>
      <c r="W29" s="759" t="str">
        <f t="shared" si="81"/>
        <v>=</v>
      </c>
      <c r="X29" s="760" t="str">
        <f t="shared" si="13"/>
        <v/>
      </c>
      <c r="Y29" s="761">
        <f t="shared" ca="1" si="82"/>
        <v>21</v>
      </c>
      <c r="Z29" s="762"/>
      <c r="AA29" s="763"/>
      <c r="AB29" s="764"/>
      <c r="AC29" s="18">
        <f t="shared" si="15"/>
        <v>64.900000000000006</v>
      </c>
      <c r="AD29" s="6">
        <f>IF($B29=0,"",RANK(AC29,AC$8:AC$38,0)+COUNTIF(AC$8:AC29,AC29)-1)</f>
        <v>18</v>
      </c>
      <c r="AE29" s="3">
        <f t="shared" si="16"/>
        <v>4</v>
      </c>
      <c r="AF29" s="19">
        <f t="shared" si="17"/>
        <v>21</v>
      </c>
      <c r="AG29" s="19">
        <f t="shared" si="18"/>
        <v>1</v>
      </c>
      <c r="AH29" s="18">
        <f t="shared" si="19"/>
        <v>64.900000000000006</v>
      </c>
      <c r="AI29" s="6">
        <f>IF($B29=0,"",RANK(AH29,AH$8:AH$38,0)+COUNTIF(AH$8:AH29,AH29)-1)</f>
        <v>18</v>
      </c>
      <c r="AK29" s="19">
        <f t="shared" si="83"/>
        <v>0</v>
      </c>
      <c r="AL29" s="19">
        <f t="shared" si="20"/>
        <v>1</v>
      </c>
      <c r="AM29" s="769">
        <f t="shared" si="84"/>
        <v>21</v>
      </c>
      <c r="AN29" s="3" t="str">
        <f t="shared" si="21"/>
        <v>Barcelona</v>
      </c>
      <c r="AO29" s="20">
        <f t="shared" si="22"/>
        <v>61.6</v>
      </c>
      <c r="AP29" s="764">
        <f t="shared" si="23"/>
        <v>61.6</v>
      </c>
      <c r="AQ29" s="20">
        <f t="shared" si="24"/>
        <v>61.6</v>
      </c>
      <c r="AR29" s="759" t="str">
        <f t="shared" si="85"/>
        <v>=</v>
      </c>
      <c r="AS29" s="760" t="str">
        <f t="shared" si="26"/>
        <v/>
      </c>
      <c r="AT29" s="761">
        <f t="shared" ca="1" si="86"/>
        <v>21</v>
      </c>
      <c r="AU29" s="762"/>
      <c r="AV29" s="763"/>
      <c r="AW29" s="764"/>
      <c r="AX29" s="18">
        <f t="shared" si="28"/>
        <v>65.3</v>
      </c>
      <c r="AY29" s="6">
        <f>IF($B29=0,"",RANK(AX29,AX$8:AX$38,0)+COUNTIF(AX$8:AX29,AX29)-1)</f>
        <v>16</v>
      </c>
      <c r="AZ29" s="3">
        <f t="shared" si="29"/>
        <v>19</v>
      </c>
      <c r="BA29" s="19">
        <f t="shared" si="30"/>
        <v>21</v>
      </c>
      <c r="BB29" s="19">
        <f t="shared" si="31"/>
        <v>1</v>
      </c>
      <c r="BC29" s="18">
        <f t="shared" si="32"/>
        <v>65.3</v>
      </c>
      <c r="BD29" s="6">
        <f>IF($B29=0,"",RANK(BC29,BC$8:BC$38,0)+COUNTIF(BC$8:BC29,BC29)-1)</f>
        <v>16</v>
      </c>
      <c r="BF29" s="19">
        <f t="shared" si="87"/>
        <v>0</v>
      </c>
      <c r="BG29" s="19">
        <f t="shared" si="33"/>
        <v>1</v>
      </c>
      <c r="BH29" s="769">
        <f t="shared" si="88"/>
        <v>21</v>
      </c>
      <c r="BI29" s="3" t="str">
        <f t="shared" si="34"/>
        <v>New Delhi</v>
      </c>
      <c r="BJ29" s="20">
        <f t="shared" si="35"/>
        <v>54.3</v>
      </c>
      <c r="BK29" s="764">
        <f t="shared" si="36"/>
        <v>54.3</v>
      </c>
      <c r="BL29" s="20">
        <f t="shared" si="37"/>
        <v>54.3</v>
      </c>
      <c r="BM29" s="759" t="str">
        <f t="shared" si="89"/>
        <v>=</v>
      </c>
      <c r="BN29" s="760" t="str">
        <f t="shared" si="39"/>
        <v/>
      </c>
      <c r="BO29" s="761">
        <f t="shared" ca="1" si="90"/>
        <v>21</v>
      </c>
      <c r="BP29" s="762" t="str">
        <f t="shared" ca="1" si="91"/>
        <v/>
      </c>
      <c r="BQ29" s="763"/>
      <c r="BR29" s="764"/>
      <c r="BS29" s="18">
        <f t="shared" si="42"/>
        <v>50</v>
      </c>
      <c r="BT29" s="6">
        <f>IF($B29=0,"",RANK(BS29,BS$8:BS$38,0)+COUNTIF(BS$8:BS29,BS29)-1)</f>
        <v>24</v>
      </c>
      <c r="BU29" s="3">
        <f t="shared" si="43"/>
        <v>16</v>
      </c>
      <c r="BV29" s="19">
        <f t="shared" si="44"/>
        <v>20</v>
      </c>
      <c r="BW29" s="19">
        <f t="shared" si="45"/>
        <v>2</v>
      </c>
      <c r="BX29" s="18">
        <f t="shared" si="46"/>
        <v>50</v>
      </c>
      <c r="BY29" s="6">
        <f>IF($B29=0,"",RANK(BX29,BX$8:BX$38,0)+COUNTIF(BX$8:BX29,BX29)-1)</f>
        <v>24</v>
      </c>
      <c r="CA29" s="19" t="str">
        <f t="shared" si="92"/>
        <v>=</v>
      </c>
      <c r="CB29" s="19">
        <f t="shared" si="47"/>
        <v>1</v>
      </c>
      <c r="CC29" s="769" t="str">
        <f t="shared" si="93"/>
        <v>=20</v>
      </c>
      <c r="CD29" s="3" t="str">
        <f t="shared" si="48"/>
        <v>Madrid</v>
      </c>
      <c r="CE29" s="20">
        <f t="shared" si="49"/>
        <v>56.9</v>
      </c>
      <c r="CF29" s="764">
        <f t="shared" si="50"/>
        <v>56.9</v>
      </c>
      <c r="CG29" s="20">
        <f t="shared" si="51"/>
        <v>56.9</v>
      </c>
      <c r="CH29" s="759" t="str">
        <f t="shared" si="94"/>
        <v>=</v>
      </c>
      <c r="CI29" s="760" t="str">
        <f t="shared" si="53"/>
        <v/>
      </c>
      <c r="CJ29" s="766">
        <f t="shared" ca="1" si="95"/>
        <v>20</v>
      </c>
      <c r="CK29" s="767"/>
      <c r="CL29" s="763"/>
      <c r="CM29" s="764"/>
      <c r="CN29" s="18">
        <f t="shared" si="55"/>
        <v>61.7</v>
      </c>
      <c r="CO29" s="6">
        <f>IF($B29=0,"",RANK(CN29,CN$8:CN$38,0)+COUNTIF(CN$8:CN29,CN29)-1)</f>
        <v>22</v>
      </c>
      <c r="CP29" s="3">
        <f t="shared" si="56"/>
        <v>22</v>
      </c>
      <c r="CQ29" s="19">
        <f t="shared" si="57"/>
        <v>21</v>
      </c>
      <c r="CR29" s="19">
        <f t="shared" si="58"/>
        <v>1</v>
      </c>
      <c r="CS29" s="18">
        <f t="shared" si="59"/>
        <v>61.7</v>
      </c>
      <c r="CT29" s="6">
        <f>IF($B29=0,"",RANK(CS29,CS$8:CS$38,0)+COUNTIF(CS$8:CS29,CS29)-1)</f>
        <v>22</v>
      </c>
      <c r="CV29" s="19" t="str">
        <f t="shared" si="77"/>
        <v>=</v>
      </c>
      <c r="CW29" s="19">
        <f t="shared" si="60"/>
        <v>1</v>
      </c>
      <c r="CX29" s="769">
        <f t="shared" si="78"/>
        <v>21</v>
      </c>
      <c r="CY29" s="3" t="str">
        <f t="shared" si="61"/>
        <v>Rome</v>
      </c>
      <c r="CZ29" s="20">
        <f t="shared" si="62"/>
        <v>61.7</v>
      </c>
      <c r="DA29" s="764">
        <f t="shared" si="63"/>
        <v>61.7</v>
      </c>
      <c r="DB29" s="20">
        <f t="shared" si="64"/>
        <v>61.7</v>
      </c>
      <c r="DC29" s="759" t="str">
        <f t="shared" si="65"/>
        <v>=</v>
      </c>
      <c r="DD29" s="760" t="str">
        <f t="shared" si="66"/>
        <v/>
      </c>
      <c r="DE29" s="766">
        <f t="shared" ca="1" si="67"/>
        <v>21</v>
      </c>
      <c r="DF29" s="767"/>
      <c r="DG29" s="763"/>
      <c r="DH29" s="764"/>
    </row>
    <row r="30" spans="1:112">
      <c r="A30" s="18">
        <f>tblTerritories!A25</f>
        <v>23</v>
      </c>
      <c r="B30" s="3">
        <f>IF(tblTerritories!F25="",0,tblTerritories!F25)</f>
        <v>1</v>
      </c>
      <c r="C30" s="3" t="str">
        <f>tblTerritories!C25</f>
        <v>Sao Paulo</v>
      </c>
      <c r="E30" s="3">
        <f>tblTerritories!K25</f>
        <v>1</v>
      </c>
      <c r="F30" s="3" t="e">
        <f>IF($A30="","",VLOOKUP(C30,tblTerritories!$J$3:$P$21,7,FALSE)+10)</f>
        <v>#N/A</v>
      </c>
      <c r="H30" s="18">
        <f t="shared" si="68"/>
        <v>50.7</v>
      </c>
      <c r="I30" s="6">
        <f>IF($B30=0,"",RANK(H30,H$8:H$38,0)+COUNTIF(H$8:H30,H30)-1)</f>
        <v>25</v>
      </c>
      <c r="J30" s="3">
        <f t="shared" si="1"/>
        <v>2</v>
      </c>
      <c r="K30" s="19">
        <f t="shared" si="2"/>
        <v>22</v>
      </c>
      <c r="L30" s="19">
        <f t="shared" si="3"/>
        <v>1</v>
      </c>
      <c r="M30" s="18">
        <f t="shared" si="69"/>
        <v>50.7</v>
      </c>
      <c r="N30" s="6">
        <f>IF($B30=0,"",RANK(M30,M$8:M$38,0)+COUNTIF(M$8:M30,M30)-1)</f>
        <v>25</v>
      </c>
      <c r="P30" s="19">
        <f t="shared" si="79"/>
        <v>0</v>
      </c>
      <c r="Q30" s="19">
        <f t="shared" si="6"/>
        <v>1</v>
      </c>
      <c r="R30" s="768">
        <f t="shared" si="80"/>
        <v>22</v>
      </c>
      <c r="S30" s="3" t="str">
        <f t="shared" si="8"/>
        <v>Auckland</v>
      </c>
      <c r="T30" s="20">
        <f t="shared" si="9"/>
        <v>60.1</v>
      </c>
      <c r="U30" s="764">
        <f t="shared" si="10"/>
        <v>60.1</v>
      </c>
      <c r="V30" s="20">
        <f t="shared" si="11"/>
        <v>60.1</v>
      </c>
      <c r="W30" s="759" t="str">
        <f t="shared" si="81"/>
        <v>=</v>
      </c>
      <c r="X30" s="760" t="str">
        <f t="shared" si="13"/>
        <v/>
      </c>
      <c r="Y30" s="761">
        <f t="shared" ca="1" si="82"/>
        <v>22</v>
      </c>
      <c r="Z30" s="762"/>
      <c r="AA30" s="763"/>
      <c r="AB30" s="764"/>
      <c r="AC30" s="18">
        <f t="shared" si="15"/>
        <v>56.5</v>
      </c>
      <c r="AD30" s="6">
        <f>IF($B30=0,"",RANK(AC30,AC$8:AC$38,0)+COUNTIF(AC$8:AC30,AC30)-1)</f>
        <v>25</v>
      </c>
      <c r="AE30" s="3">
        <f t="shared" si="16"/>
        <v>2</v>
      </c>
      <c r="AF30" s="19">
        <f t="shared" si="17"/>
        <v>22</v>
      </c>
      <c r="AG30" s="19">
        <f t="shared" si="18"/>
        <v>1</v>
      </c>
      <c r="AH30" s="18">
        <f t="shared" si="19"/>
        <v>56.5</v>
      </c>
      <c r="AI30" s="6">
        <f>IF($B30=0,"",RANK(AH30,AH$8:AH$38,0)+COUNTIF(AH$8:AH30,AH30)-1)</f>
        <v>25</v>
      </c>
      <c r="AK30" s="19">
        <f t="shared" si="83"/>
        <v>0</v>
      </c>
      <c r="AL30" s="19">
        <f t="shared" si="20"/>
        <v>1</v>
      </c>
      <c r="AM30" s="769">
        <f t="shared" si="84"/>
        <v>22</v>
      </c>
      <c r="AN30" s="3" t="str">
        <f t="shared" si="21"/>
        <v>Auckland</v>
      </c>
      <c r="AO30" s="20">
        <f t="shared" si="22"/>
        <v>59.7</v>
      </c>
      <c r="AP30" s="764">
        <f t="shared" si="23"/>
        <v>59.7</v>
      </c>
      <c r="AQ30" s="20">
        <f t="shared" si="24"/>
        <v>59.7</v>
      </c>
      <c r="AR30" s="759" t="str">
        <f t="shared" si="85"/>
        <v>=</v>
      </c>
      <c r="AS30" s="760" t="str">
        <f t="shared" si="26"/>
        <v/>
      </c>
      <c r="AT30" s="761">
        <f t="shared" ca="1" si="86"/>
        <v>22</v>
      </c>
      <c r="AU30" s="762"/>
      <c r="AV30" s="763"/>
      <c r="AW30" s="764"/>
      <c r="AX30" s="18">
        <f t="shared" si="28"/>
        <v>41.3</v>
      </c>
      <c r="AY30" s="6">
        <f>IF($B30=0,"",RANK(AX30,AX$8:AX$38,0)+COUNTIF(AX$8:AX30,AX30)-1)</f>
        <v>29</v>
      </c>
      <c r="AZ30" s="3">
        <f t="shared" si="29"/>
        <v>27</v>
      </c>
      <c r="BA30" s="19">
        <f t="shared" si="30"/>
        <v>22</v>
      </c>
      <c r="BB30" s="19">
        <f t="shared" si="31"/>
        <v>1</v>
      </c>
      <c r="BC30" s="18">
        <f t="shared" si="32"/>
        <v>41.3</v>
      </c>
      <c r="BD30" s="6">
        <f>IF($B30=0,"",RANK(BC30,BC$8:BC$38,0)+COUNTIF(BC$8:BC30,BC30)-1)</f>
        <v>29</v>
      </c>
      <c r="BF30" s="19">
        <f t="shared" si="87"/>
        <v>0</v>
      </c>
      <c r="BG30" s="19">
        <f t="shared" si="33"/>
        <v>1</v>
      </c>
      <c r="BH30" s="769">
        <f t="shared" si="88"/>
        <v>22</v>
      </c>
      <c r="BI30" s="3" t="str">
        <f t="shared" si="34"/>
        <v>Tokyo</v>
      </c>
      <c r="BJ30" s="20">
        <f t="shared" si="35"/>
        <v>52.8</v>
      </c>
      <c r="BK30" s="764">
        <f t="shared" si="36"/>
        <v>52.8</v>
      </c>
      <c r="BL30" s="20">
        <f t="shared" si="37"/>
        <v>52.8</v>
      </c>
      <c r="BM30" s="759" t="str">
        <f t="shared" si="89"/>
        <v>=</v>
      </c>
      <c r="BN30" s="760" t="str">
        <f t="shared" si="39"/>
        <v/>
      </c>
      <c r="BO30" s="761">
        <f t="shared" ca="1" si="90"/>
        <v>22</v>
      </c>
      <c r="BP30" s="762" t="str">
        <f t="shared" ca="1" si="91"/>
        <v/>
      </c>
      <c r="BQ30" s="763"/>
      <c r="BR30" s="764"/>
      <c r="BS30" s="18">
        <f t="shared" si="42"/>
        <v>57</v>
      </c>
      <c r="BT30" s="6">
        <f>IF($B30=0,"",RANK(BS30,BS$8:BS$38,0)+COUNTIF(BS$8:BS30,BS30)-1)</f>
        <v>20</v>
      </c>
      <c r="BU30" s="3">
        <f t="shared" si="43"/>
        <v>27</v>
      </c>
      <c r="BV30" s="19">
        <f t="shared" si="44"/>
        <v>22</v>
      </c>
      <c r="BW30" s="19">
        <f t="shared" si="45"/>
        <v>1</v>
      </c>
      <c r="BX30" s="18">
        <f t="shared" si="46"/>
        <v>57</v>
      </c>
      <c r="BY30" s="6">
        <f>IF($B30=0,"",RANK(BX30,BX$8:BX$38,0)+COUNTIF(BX$8:BX30,BX30)-1)</f>
        <v>20</v>
      </c>
      <c r="CA30" s="19" t="str">
        <f t="shared" si="92"/>
        <v>=</v>
      </c>
      <c r="CB30" s="19">
        <f t="shared" si="47"/>
        <v>1</v>
      </c>
      <c r="CC30" s="769">
        <f t="shared" si="93"/>
        <v>22</v>
      </c>
      <c r="CD30" s="3" t="str">
        <f t="shared" si="48"/>
        <v>Tokyo</v>
      </c>
      <c r="CE30" s="20">
        <f t="shared" si="49"/>
        <v>55.5</v>
      </c>
      <c r="CF30" s="764">
        <f t="shared" si="50"/>
        <v>55.5</v>
      </c>
      <c r="CG30" s="20">
        <f t="shared" si="51"/>
        <v>55.5</v>
      </c>
      <c r="CH30" s="759" t="str">
        <f t="shared" si="94"/>
        <v>=</v>
      </c>
      <c r="CI30" s="760" t="str">
        <f t="shared" si="53"/>
        <v/>
      </c>
      <c r="CJ30" s="766">
        <f t="shared" ca="1" si="95"/>
        <v>22</v>
      </c>
      <c r="CK30" s="767"/>
      <c r="CL30" s="763"/>
      <c r="CM30" s="764"/>
      <c r="CN30" s="18">
        <f t="shared" si="55"/>
        <v>48.8</v>
      </c>
      <c r="CO30" s="6">
        <f>IF($B30=0,"",RANK(CN30,CN$8:CN$38,0)+COUNTIF(CN$8:CN30,CN30)-1)</f>
        <v>26</v>
      </c>
      <c r="CP30" s="3">
        <f t="shared" si="56"/>
        <v>25</v>
      </c>
      <c r="CQ30" s="19">
        <f t="shared" si="57"/>
        <v>22</v>
      </c>
      <c r="CR30" s="19">
        <f t="shared" si="58"/>
        <v>1</v>
      </c>
      <c r="CS30" s="18">
        <f t="shared" si="59"/>
        <v>48.8</v>
      </c>
      <c r="CT30" s="6">
        <f>IF($B30=0,"",RANK(CS30,CS$8:CS$38,0)+COUNTIF(CS$8:CS30,CS30)-1)</f>
        <v>26</v>
      </c>
      <c r="CV30" s="19" t="str">
        <f t="shared" si="77"/>
        <v>=</v>
      </c>
      <c r="CW30" s="19">
        <f t="shared" si="60"/>
        <v>1</v>
      </c>
      <c r="CX30" s="769">
        <f t="shared" si="78"/>
        <v>22</v>
      </c>
      <c r="CY30" s="3" t="str">
        <f t="shared" si="61"/>
        <v>Singapore</v>
      </c>
      <c r="CZ30" s="20">
        <f t="shared" si="62"/>
        <v>60.8</v>
      </c>
      <c r="DA30" s="764">
        <f t="shared" si="63"/>
        <v>60.8</v>
      </c>
      <c r="DB30" s="20">
        <f t="shared" si="64"/>
        <v>60.8</v>
      </c>
      <c r="DC30" s="759" t="str">
        <f t="shared" si="65"/>
        <v>=</v>
      </c>
      <c r="DD30" s="760" t="str">
        <f t="shared" si="66"/>
        <v/>
      </c>
      <c r="DE30" s="766">
        <f t="shared" ca="1" si="67"/>
        <v>22</v>
      </c>
      <c r="DF30" s="767"/>
      <c r="DG30" s="763"/>
      <c r="DH30" s="764"/>
    </row>
    <row r="31" spans="1:112">
      <c r="A31" s="18">
        <f>tblTerritories!A26</f>
        <v>24</v>
      </c>
      <c r="B31" s="3">
        <f>IF(tblTerritories!F26="",0,tblTerritories!F26)</f>
        <v>1</v>
      </c>
      <c r="C31" s="3" t="str">
        <f>tblTerritories!C26</f>
        <v>Seoul</v>
      </c>
      <c r="E31" s="3">
        <f>tblTerritories!K26</f>
        <v>1</v>
      </c>
      <c r="F31" s="3" t="e">
        <f>IF($A31="","",VLOOKUP(C31,tblTerritories!$J$3:$P$21,7,FALSE)+10)</f>
        <v>#N/A</v>
      </c>
      <c r="H31" s="18">
        <f t="shared" si="68"/>
        <v>73.599999999999994</v>
      </c>
      <c r="I31" s="6">
        <f>IF($B31=0,"",RANK(H31,H$8:H$38,0)+COUNTIF(H$8:H31,H31)-1)</f>
        <v>5</v>
      </c>
      <c r="J31" s="3">
        <f t="shared" si="1"/>
        <v>14</v>
      </c>
      <c r="K31" s="19">
        <f t="shared" si="2"/>
        <v>23</v>
      </c>
      <c r="L31" s="19">
        <f t="shared" si="3"/>
        <v>1</v>
      </c>
      <c r="M31" s="18">
        <f t="shared" si="69"/>
        <v>73.599999999999994</v>
      </c>
      <c r="N31" s="6">
        <f>IF($B31=0,"",RANK(M31,M$8:M$38,0)+COUNTIF(M$8:M31,M31)-1)</f>
        <v>5</v>
      </c>
      <c r="P31" s="19">
        <f t="shared" si="79"/>
        <v>0</v>
      </c>
      <c r="Q31" s="19">
        <f t="shared" si="6"/>
        <v>1</v>
      </c>
      <c r="R31" s="768">
        <f t="shared" si="80"/>
        <v>23</v>
      </c>
      <c r="S31" s="3" t="str">
        <f t="shared" si="8"/>
        <v>Kuala Lumpur</v>
      </c>
      <c r="T31" s="20">
        <f t="shared" si="9"/>
        <v>58.2</v>
      </c>
      <c r="U31" s="764">
        <f t="shared" si="10"/>
        <v>58.2</v>
      </c>
      <c r="V31" s="20">
        <f t="shared" si="11"/>
        <v>58.2</v>
      </c>
      <c r="W31" s="759" t="str">
        <f t="shared" si="81"/>
        <v>=</v>
      </c>
      <c r="X31" s="760" t="str">
        <f t="shared" si="13"/>
        <v/>
      </c>
      <c r="Y31" s="761">
        <f t="shared" ca="1" si="82"/>
        <v>23</v>
      </c>
      <c r="Z31" s="762"/>
      <c r="AA31" s="763"/>
      <c r="AB31" s="764"/>
      <c r="AC31" s="18">
        <f t="shared" si="15"/>
        <v>75.3</v>
      </c>
      <c r="AD31" s="6">
        <f>IF($B31=0,"",RANK(AC31,AC$8:AC$38,0)+COUNTIF(AC$8:AC31,AC31)-1)</f>
        <v>10</v>
      </c>
      <c r="AE31" s="3">
        <f t="shared" si="16"/>
        <v>14</v>
      </c>
      <c r="AF31" s="19">
        <f t="shared" si="17"/>
        <v>23</v>
      </c>
      <c r="AG31" s="19">
        <f t="shared" si="18"/>
        <v>1</v>
      </c>
      <c r="AH31" s="18">
        <f t="shared" si="19"/>
        <v>75.3</v>
      </c>
      <c r="AI31" s="6">
        <f>IF($B31=0,"",RANK(AH31,AH$8:AH$38,0)+COUNTIF(AH$8:AH31,AH31)-1)</f>
        <v>10</v>
      </c>
      <c r="AK31" s="19">
        <f t="shared" si="83"/>
        <v>0</v>
      </c>
      <c r="AL31" s="19">
        <f t="shared" si="20"/>
        <v>1</v>
      </c>
      <c r="AM31" s="769">
        <f t="shared" si="84"/>
        <v>23</v>
      </c>
      <c r="AN31" s="3" t="str">
        <f t="shared" si="21"/>
        <v>Kuala Lumpur</v>
      </c>
      <c r="AO31" s="20">
        <f t="shared" si="22"/>
        <v>58.9</v>
      </c>
      <c r="AP31" s="764">
        <f t="shared" si="23"/>
        <v>58.9</v>
      </c>
      <c r="AQ31" s="20">
        <f t="shared" si="24"/>
        <v>58.9</v>
      </c>
      <c r="AR31" s="759" t="str">
        <f t="shared" si="85"/>
        <v>=</v>
      </c>
      <c r="AS31" s="760" t="str">
        <f t="shared" si="26"/>
        <v/>
      </c>
      <c r="AT31" s="761">
        <f t="shared" ca="1" si="86"/>
        <v>23</v>
      </c>
      <c r="AU31" s="762"/>
      <c r="AV31" s="763"/>
      <c r="AW31" s="764"/>
      <c r="AX31" s="18">
        <f t="shared" si="28"/>
        <v>62.5</v>
      </c>
      <c r="AY31" s="6">
        <f>IF($B31=0,"",RANK(AX31,AX$8:AX$38,0)+COUNTIF(AX$8:AX31,AX31)-1)</f>
        <v>19</v>
      </c>
      <c r="AZ31" s="3">
        <f t="shared" si="29"/>
        <v>3</v>
      </c>
      <c r="BA31" s="19">
        <f t="shared" si="30"/>
        <v>23</v>
      </c>
      <c r="BB31" s="19">
        <f t="shared" si="31"/>
        <v>2</v>
      </c>
      <c r="BC31" s="18">
        <f t="shared" si="32"/>
        <v>62.5</v>
      </c>
      <c r="BD31" s="6">
        <f>IF($B31=0,"",RANK(BC31,BC$8:BC$38,0)+COUNTIF(BC$8:BC31,BC31)-1)</f>
        <v>19</v>
      </c>
      <c r="BF31" s="19">
        <f t="shared" si="87"/>
        <v>0</v>
      </c>
      <c r="BG31" s="19">
        <f t="shared" si="33"/>
        <v>1</v>
      </c>
      <c r="BH31" s="769" t="str">
        <f t="shared" si="88"/>
        <v>=23</v>
      </c>
      <c r="BI31" s="3" t="str">
        <f t="shared" si="34"/>
        <v>Bangkok</v>
      </c>
      <c r="BJ31" s="20">
        <f t="shared" si="35"/>
        <v>52.6</v>
      </c>
      <c r="BK31" s="764">
        <f t="shared" si="36"/>
        <v>52.6</v>
      </c>
      <c r="BL31" s="20">
        <f t="shared" si="37"/>
        <v>52.6</v>
      </c>
      <c r="BM31" s="759" t="str">
        <f t="shared" si="89"/>
        <v>=</v>
      </c>
      <c r="BN31" s="760" t="str">
        <f t="shared" si="39"/>
        <v/>
      </c>
      <c r="BO31" s="761">
        <f t="shared" ca="1" si="90"/>
        <v>23</v>
      </c>
      <c r="BP31" s="762" t="str">
        <f t="shared" ca="1" si="91"/>
        <v/>
      </c>
      <c r="BQ31" s="763"/>
      <c r="BR31" s="764"/>
      <c r="BS31" s="18">
        <f t="shared" si="42"/>
        <v>67.5</v>
      </c>
      <c r="BT31" s="6">
        <f>IF($B31=0,"",RANK(BS31,BS$8:BS$38,0)+COUNTIF(BS$8:BS31,BS31)-1)</f>
        <v>6</v>
      </c>
      <c r="BU31" s="3">
        <f t="shared" si="43"/>
        <v>22</v>
      </c>
      <c r="BV31" s="19">
        <f t="shared" si="44"/>
        <v>23</v>
      </c>
      <c r="BW31" s="19">
        <f t="shared" si="45"/>
        <v>1</v>
      </c>
      <c r="BX31" s="18">
        <f t="shared" si="46"/>
        <v>67.5</v>
      </c>
      <c r="BY31" s="6">
        <f>IF($B31=0,"",RANK(BX31,BX$8:BX$38,0)+COUNTIF(BX$8:BX31,BX31)-1)</f>
        <v>6</v>
      </c>
      <c r="CA31" s="19" t="str">
        <f t="shared" si="92"/>
        <v>=</v>
      </c>
      <c r="CB31" s="19">
        <f t="shared" si="47"/>
        <v>1</v>
      </c>
      <c r="CC31" s="769">
        <f t="shared" si="93"/>
        <v>23</v>
      </c>
      <c r="CD31" s="3" t="str">
        <f t="shared" si="48"/>
        <v>Rome</v>
      </c>
      <c r="CE31" s="20">
        <f t="shared" si="49"/>
        <v>50</v>
      </c>
      <c r="CF31" s="764">
        <f t="shared" si="50"/>
        <v>50</v>
      </c>
      <c r="CG31" s="20">
        <f t="shared" si="51"/>
        <v>50</v>
      </c>
      <c r="CH31" s="759" t="str">
        <f t="shared" si="94"/>
        <v>=</v>
      </c>
      <c r="CI31" s="760" t="str">
        <f t="shared" si="53"/>
        <v/>
      </c>
      <c r="CJ31" s="766">
        <f t="shared" ca="1" si="95"/>
        <v>23</v>
      </c>
      <c r="CK31" s="767"/>
      <c r="CL31" s="763"/>
      <c r="CM31" s="764"/>
      <c r="CN31" s="18">
        <f t="shared" si="55"/>
        <v>92.1</v>
      </c>
      <c r="CO31" s="6">
        <f>IF($B31=0,"",RANK(CN31,CN$8:CN$38,0)+COUNTIF(CN$8:CN31,CN31)-1)</f>
        <v>2</v>
      </c>
      <c r="CP31" s="3">
        <f t="shared" si="56"/>
        <v>10</v>
      </c>
      <c r="CQ31" s="19">
        <f t="shared" si="57"/>
        <v>23</v>
      </c>
      <c r="CR31" s="19">
        <f t="shared" si="58"/>
        <v>1</v>
      </c>
      <c r="CS31" s="18">
        <f t="shared" si="59"/>
        <v>92.1</v>
      </c>
      <c r="CT31" s="6">
        <f>IF($B31=0,"",RANK(CS31,CS$8:CS$38,0)+COUNTIF(CS$8:CS31,CS31)-1)</f>
        <v>2</v>
      </c>
      <c r="CV31" s="19" t="str">
        <f t="shared" si="77"/>
        <v>=</v>
      </c>
      <c r="CW31" s="19">
        <f t="shared" si="60"/>
        <v>1</v>
      </c>
      <c r="CX31" s="769">
        <f t="shared" si="78"/>
        <v>23</v>
      </c>
      <c r="CY31" s="3" t="str">
        <f t="shared" si="61"/>
        <v>Dubai</v>
      </c>
      <c r="CZ31" s="20">
        <f t="shared" si="62"/>
        <v>54.8</v>
      </c>
      <c r="DA31" s="764">
        <f t="shared" si="63"/>
        <v>54.8</v>
      </c>
      <c r="DB31" s="20">
        <f t="shared" si="64"/>
        <v>54.8</v>
      </c>
      <c r="DC31" s="759" t="str">
        <f t="shared" si="65"/>
        <v>=</v>
      </c>
      <c r="DD31" s="760" t="str">
        <f t="shared" si="66"/>
        <v/>
      </c>
      <c r="DE31" s="766">
        <f t="shared" ca="1" si="67"/>
        <v>23</v>
      </c>
      <c r="DF31" s="767"/>
      <c r="DG31" s="763"/>
      <c r="DH31" s="764"/>
    </row>
    <row r="32" spans="1:112">
      <c r="A32" s="18">
        <f>tblTerritories!A27</f>
        <v>25</v>
      </c>
      <c r="B32" s="3">
        <f>IF(tblTerritories!F27="",0,tblTerritories!F27)</f>
        <v>1</v>
      </c>
      <c r="C32" s="3" t="str">
        <f>tblTerritories!C27</f>
        <v>Singapore</v>
      </c>
      <c r="E32" s="3">
        <f>tblTerritories!K27</f>
        <v>1</v>
      </c>
      <c r="F32" s="3" t="e">
        <f>IF($A32="","",VLOOKUP(C32,tblTerritories!$J$3:$P$21,7,FALSE)+10)</f>
        <v>#N/A</v>
      </c>
      <c r="H32" s="18">
        <f t="shared" si="68"/>
        <v>71.400000000000006</v>
      </c>
      <c r="I32" s="6">
        <f>IF($B32=0,"",RANK(H32,H$8:H$38,0)+COUNTIF(H$8:H32,H32)-1)</f>
        <v>8</v>
      </c>
      <c r="J32" s="3">
        <f t="shared" si="1"/>
        <v>23</v>
      </c>
      <c r="K32" s="19">
        <f t="shared" si="2"/>
        <v>24</v>
      </c>
      <c r="L32" s="19">
        <f t="shared" si="3"/>
        <v>1</v>
      </c>
      <c r="M32" s="18">
        <f t="shared" si="69"/>
        <v>71.400000000000006</v>
      </c>
      <c r="N32" s="6">
        <f>IF($B32=0,"",RANK(M32,M$8:M$38,0)+COUNTIF(M$8:M32,M32)-1)</f>
        <v>8</v>
      </c>
      <c r="P32" s="19">
        <f t="shared" si="79"/>
        <v>0</v>
      </c>
      <c r="Q32" s="19">
        <f t="shared" si="6"/>
        <v>1</v>
      </c>
      <c r="R32" s="768">
        <f t="shared" si="80"/>
        <v>24</v>
      </c>
      <c r="S32" s="3" t="str">
        <f t="shared" si="8"/>
        <v>Sao Paulo</v>
      </c>
      <c r="T32" s="20">
        <f t="shared" si="9"/>
        <v>50.7</v>
      </c>
      <c r="U32" s="764">
        <f t="shared" si="10"/>
        <v>50.7</v>
      </c>
      <c r="V32" s="20">
        <f t="shared" si="11"/>
        <v>50.7</v>
      </c>
      <c r="W32" s="759" t="str">
        <f t="shared" si="81"/>
        <v>=</v>
      </c>
      <c r="X32" s="760" t="str">
        <f t="shared" si="13"/>
        <v/>
      </c>
      <c r="Y32" s="761">
        <f t="shared" ca="1" si="82"/>
        <v>24</v>
      </c>
      <c r="Z32" s="762"/>
      <c r="AA32" s="763"/>
      <c r="AB32" s="764"/>
      <c r="AC32" s="18">
        <f t="shared" si="15"/>
        <v>83.1</v>
      </c>
      <c r="AD32" s="6">
        <f>IF($B32=0,"",RANK(AC32,AC$8:AC$38,0)+COUNTIF(AC$8:AC32,AC32)-1)</f>
        <v>2</v>
      </c>
      <c r="AE32" s="3">
        <f t="shared" si="16"/>
        <v>23</v>
      </c>
      <c r="AF32" s="19">
        <f t="shared" si="17"/>
        <v>24</v>
      </c>
      <c r="AG32" s="19">
        <f t="shared" si="18"/>
        <v>1</v>
      </c>
      <c r="AH32" s="18">
        <f t="shared" si="19"/>
        <v>83.1</v>
      </c>
      <c r="AI32" s="6">
        <f>IF($B32=0,"",RANK(AH32,AH$8:AH$38,0)+COUNTIF(AH$8:AH32,AH32)-1)</f>
        <v>2</v>
      </c>
      <c r="AK32" s="19">
        <f t="shared" si="83"/>
        <v>0</v>
      </c>
      <c r="AL32" s="19">
        <f t="shared" si="20"/>
        <v>1</v>
      </c>
      <c r="AM32" s="769">
        <f t="shared" si="84"/>
        <v>24</v>
      </c>
      <c r="AN32" s="3" t="str">
        <f t="shared" si="21"/>
        <v>Sao Paulo</v>
      </c>
      <c r="AO32" s="20">
        <f t="shared" si="22"/>
        <v>56.5</v>
      </c>
      <c r="AP32" s="764">
        <f t="shared" si="23"/>
        <v>56.5</v>
      </c>
      <c r="AQ32" s="20">
        <f t="shared" si="24"/>
        <v>56.5</v>
      </c>
      <c r="AR32" s="759" t="str">
        <f t="shared" si="85"/>
        <v>=</v>
      </c>
      <c r="AS32" s="760" t="str">
        <f t="shared" si="26"/>
        <v/>
      </c>
      <c r="AT32" s="761">
        <f t="shared" ca="1" si="86"/>
        <v>24</v>
      </c>
      <c r="AU32" s="762"/>
      <c r="AV32" s="763"/>
      <c r="AW32" s="764"/>
      <c r="AX32" s="18">
        <f t="shared" si="28"/>
        <v>72.7</v>
      </c>
      <c r="AY32" s="6">
        <f>IF($B32=0,"",RANK(AX32,AX$8:AX$38,0)+COUNTIF(AX$8:AX32,AX32)-1)</f>
        <v>5</v>
      </c>
      <c r="AZ32" s="3">
        <f t="shared" si="29"/>
        <v>14</v>
      </c>
      <c r="BA32" s="19">
        <f t="shared" si="30"/>
        <v>23</v>
      </c>
      <c r="BB32" s="19">
        <f t="shared" si="31"/>
        <v>2</v>
      </c>
      <c r="BC32" s="18">
        <f t="shared" si="32"/>
        <v>72.7</v>
      </c>
      <c r="BD32" s="6">
        <f>IF($B32=0,"",RANK(BC32,BC$8:BC$38,0)+COUNTIF(BC$8:BC32,BC32)-1)</f>
        <v>5</v>
      </c>
      <c r="BF32" s="19">
        <f t="shared" si="87"/>
        <v>0</v>
      </c>
      <c r="BG32" s="19">
        <f t="shared" si="33"/>
        <v>1</v>
      </c>
      <c r="BH32" s="769" t="str">
        <f t="shared" si="88"/>
        <v>=23</v>
      </c>
      <c r="BI32" s="3" t="str">
        <f t="shared" si="34"/>
        <v>Kuala Lumpur</v>
      </c>
      <c r="BJ32" s="20">
        <f t="shared" si="35"/>
        <v>52.6</v>
      </c>
      <c r="BK32" s="764">
        <f t="shared" si="36"/>
        <v>52.6</v>
      </c>
      <c r="BL32" s="20">
        <f t="shared" si="37"/>
        <v>52.6</v>
      </c>
      <c r="BM32" s="759" t="str">
        <f t="shared" si="89"/>
        <v>=</v>
      </c>
      <c r="BN32" s="760" t="str">
        <f t="shared" si="39"/>
        <v/>
      </c>
      <c r="BO32" s="761">
        <f t="shared" ca="1" si="90"/>
        <v>23</v>
      </c>
      <c r="BP32" s="762" t="str">
        <f t="shared" ca="1" si="91"/>
        <v/>
      </c>
      <c r="BQ32" s="763"/>
      <c r="BR32" s="764"/>
      <c r="BS32" s="18">
        <f t="shared" si="42"/>
        <v>63.7</v>
      </c>
      <c r="BT32" s="6">
        <f>IF($B32=0,"",RANK(BS32,BS$8:BS$38,0)+COUNTIF(BS$8:BS32,BS32)-1)</f>
        <v>12</v>
      </c>
      <c r="BU32" s="3">
        <f t="shared" si="43"/>
        <v>7</v>
      </c>
      <c r="BV32" s="19">
        <f t="shared" si="44"/>
        <v>24</v>
      </c>
      <c r="BW32" s="19">
        <f t="shared" si="45"/>
        <v>1</v>
      </c>
      <c r="BX32" s="18">
        <f t="shared" si="46"/>
        <v>63.7</v>
      </c>
      <c r="BY32" s="6">
        <f>IF($B32=0,"",RANK(BX32,BX$8:BX$38,0)+COUNTIF(BX$8:BX32,BX32)-1)</f>
        <v>12</v>
      </c>
      <c r="CA32" s="19" t="str">
        <f t="shared" si="92"/>
        <v>=</v>
      </c>
      <c r="CB32" s="19">
        <f t="shared" si="47"/>
        <v>1</v>
      </c>
      <c r="CC32" s="769">
        <f t="shared" si="93"/>
        <v>24</v>
      </c>
      <c r="CD32" s="3" t="str">
        <f t="shared" si="48"/>
        <v>Buenos Aires</v>
      </c>
      <c r="CE32" s="20">
        <f t="shared" si="49"/>
        <v>48.7</v>
      </c>
      <c r="CF32" s="764">
        <f t="shared" si="50"/>
        <v>48.7</v>
      </c>
      <c r="CG32" s="20">
        <f t="shared" si="51"/>
        <v>48.7</v>
      </c>
      <c r="CH32" s="759" t="str">
        <f t="shared" si="94"/>
        <v>=</v>
      </c>
      <c r="CI32" s="760" t="str">
        <f t="shared" si="53"/>
        <v/>
      </c>
      <c r="CJ32" s="766">
        <f t="shared" ca="1" si="95"/>
        <v>24</v>
      </c>
      <c r="CK32" s="767"/>
      <c r="CL32" s="763"/>
      <c r="CM32" s="764"/>
      <c r="CN32" s="18">
        <f t="shared" si="55"/>
        <v>60.8</v>
      </c>
      <c r="CO32" s="6">
        <f>IF($B32=0,"",RANK(CN32,CN$8:CN$38,0)+COUNTIF(CN$8:CN32,CN32)-1)</f>
        <v>23</v>
      </c>
      <c r="CP32" s="3">
        <f t="shared" si="56"/>
        <v>7</v>
      </c>
      <c r="CQ32" s="19">
        <f t="shared" si="57"/>
        <v>24</v>
      </c>
      <c r="CR32" s="19">
        <f t="shared" si="58"/>
        <v>1</v>
      </c>
      <c r="CS32" s="18">
        <f t="shared" si="59"/>
        <v>60.8</v>
      </c>
      <c r="CT32" s="6">
        <f>IF($B32=0,"",RANK(CS32,CS$8:CS$38,0)+COUNTIF(CS$8:CS32,CS32)-1)</f>
        <v>23</v>
      </c>
      <c r="CV32" s="19" t="str">
        <f t="shared" si="77"/>
        <v>=</v>
      </c>
      <c r="CW32" s="19">
        <f t="shared" si="60"/>
        <v>1</v>
      </c>
      <c r="CX32" s="769">
        <f t="shared" si="78"/>
        <v>24</v>
      </c>
      <c r="CY32" s="3" t="str">
        <f t="shared" si="61"/>
        <v>Buenos Aires</v>
      </c>
      <c r="CZ32" s="20">
        <f t="shared" si="62"/>
        <v>51.5</v>
      </c>
      <c r="DA32" s="764">
        <f t="shared" si="63"/>
        <v>51.5</v>
      </c>
      <c r="DB32" s="20">
        <f t="shared" si="64"/>
        <v>51.5</v>
      </c>
      <c r="DC32" s="759" t="str">
        <f t="shared" si="65"/>
        <v>=</v>
      </c>
      <c r="DD32" s="760" t="str">
        <f t="shared" si="66"/>
        <v/>
      </c>
      <c r="DE32" s="766">
        <f t="shared" ca="1" si="67"/>
        <v>24</v>
      </c>
      <c r="DF32" s="767"/>
      <c r="DG32" s="763"/>
      <c r="DH32" s="764"/>
    </row>
    <row r="33" spans="1:112">
      <c r="A33" s="18">
        <f>tblTerritories!A28</f>
        <v>26</v>
      </c>
      <c r="B33" s="3">
        <f>IF(tblTerritories!F28="",0,tblTerritories!F28)</f>
        <v>1</v>
      </c>
      <c r="C33" s="3" t="str">
        <f>tblTerritories!C28</f>
        <v>Sydney</v>
      </c>
      <c r="E33" s="3">
        <f>tblTerritories!K28</f>
        <v>1</v>
      </c>
      <c r="F33" s="3" t="e">
        <f>IF($A33="","",VLOOKUP(C33,tblTerritories!$J$3:$P$21,7,FALSE)+10)</f>
        <v>#N/A</v>
      </c>
      <c r="H33" s="18">
        <f t="shared" si="68"/>
        <v>72.599999999999994</v>
      </c>
      <c r="I33" s="6">
        <f>IF($B33=0,"",RANK(H33,H$8:H$38,0)+COUNTIF(H$8:H33,H33)-1)</f>
        <v>7</v>
      </c>
      <c r="J33" s="3">
        <f t="shared" si="1"/>
        <v>3</v>
      </c>
      <c r="K33" s="19">
        <f t="shared" si="2"/>
        <v>25</v>
      </c>
      <c r="L33" s="19">
        <f t="shared" si="3"/>
        <v>1</v>
      </c>
      <c r="M33" s="18">
        <f t="shared" si="69"/>
        <v>72.599999999999994</v>
      </c>
      <c r="N33" s="6">
        <f>IF($B33=0,"",RANK(M33,M$8:M$38,0)+COUNTIF(M$8:M33,M33)-1)</f>
        <v>7</v>
      </c>
      <c r="P33" s="19">
        <f t="shared" si="79"/>
        <v>0</v>
      </c>
      <c r="Q33" s="19">
        <f t="shared" si="6"/>
        <v>1</v>
      </c>
      <c r="R33" s="768">
        <f t="shared" si="80"/>
        <v>25</v>
      </c>
      <c r="S33" s="3" t="str">
        <f t="shared" si="8"/>
        <v>Bangkok</v>
      </c>
      <c r="T33" s="20">
        <f t="shared" si="9"/>
        <v>49.1</v>
      </c>
      <c r="U33" s="764">
        <f t="shared" si="10"/>
        <v>49.1</v>
      </c>
      <c r="V33" s="20">
        <f t="shared" si="11"/>
        <v>49.1</v>
      </c>
      <c r="W33" s="759" t="str">
        <f t="shared" si="81"/>
        <v>=</v>
      </c>
      <c r="X33" s="760" t="str">
        <f t="shared" si="13"/>
        <v/>
      </c>
      <c r="Y33" s="761">
        <f t="shared" ca="1" si="82"/>
        <v>25</v>
      </c>
      <c r="Z33" s="762"/>
      <c r="AA33" s="763"/>
      <c r="AB33" s="764"/>
      <c r="AC33" s="18">
        <f t="shared" si="15"/>
        <v>78</v>
      </c>
      <c r="AD33" s="6">
        <f>IF($B33=0,"",RANK(AC33,AC$8:AC$38,0)+COUNTIF(AC$8:AC33,AC33)-1)</f>
        <v>5</v>
      </c>
      <c r="AE33" s="3">
        <f t="shared" si="16"/>
        <v>3</v>
      </c>
      <c r="AF33" s="19">
        <f t="shared" si="17"/>
        <v>25</v>
      </c>
      <c r="AG33" s="19">
        <f t="shared" si="18"/>
        <v>1</v>
      </c>
      <c r="AH33" s="18">
        <f t="shared" si="19"/>
        <v>78</v>
      </c>
      <c r="AI33" s="6">
        <f>IF($B33=0,"",RANK(AH33,AH$8:AH$38,0)+COUNTIF(AH$8:AH33,AH33)-1)</f>
        <v>5</v>
      </c>
      <c r="AK33" s="19">
        <f t="shared" si="83"/>
        <v>0</v>
      </c>
      <c r="AL33" s="19">
        <f t="shared" si="20"/>
        <v>1</v>
      </c>
      <c r="AM33" s="769">
        <f t="shared" si="84"/>
        <v>25</v>
      </c>
      <c r="AN33" s="3" t="str">
        <f t="shared" si="21"/>
        <v>Bangkok</v>
      </c>
      <c r="AO33" s="20">
        <f t="shared" si="22"/>
        <v>55.3</v>
      </c>
      <c r="AP33" s="764">
        <f t="shared" si="23"/>
        <v>55.3</v>
      </c>
      <c r="AQ33" s="20">
        <f t="shared" si="24"/>
        <v>55.3</v>
      </c>
      <c r="AR33" s="759" t="str">
        <f t="shared" si="85"/>
        <v>=</v>
      </c>
      <c r="AS33" s="760" t="str">
        <f t="shared" si="26"/>
        <v/>
      </c>
      <c r="AT33" s="761">
        <f t="shared" ca="1" si="86"/>
        <v>25</v>
      </c>
      <c r="AU33" s="762"/>
      <c r="AV33" s="763"/>
      <c r="AW33" s="764"/>
      <c r="AX33" s="18">
        <f t="shared" si="28"/>
        <v>70.8</v>
      </c>
      <c r="AY33" s="6">
        <f>IF($B33=0,"",RANK(AX33,AX$8:AX$38,0)+COUNTIF(AX$8:AX33,AX33)-1)</f>
        <v>8</v>
      </c>
      <c r="AZ33" s="3">
        <f t="shared" si="29"/>
        <v>2</v>
      </c>
      <c r="BA33" s="19">
        <f t="shared" si="30"/>
        <v>25</v>
      </c>
      <c r="BB33" s="19">
        <f t="shared" si="31"/>
        <v>1</v>
      </c>
      <c r="BC33" s="18">
        <f t="shared" si="32"/>
        <v>70.8</v>
      </c>
      <c r="BD33" s="6">
        <f>IF($B33=0,"",RANK(BC33,BC$8:BC$38,0)+COUNTIF(BC$8:BC33,BC33)-1)</f>
        <v>8</v>
      </c>
      <c r="BF33" s="19">
        <f t="shared" si="87"/>
        <v>0</v>
      </c>
      <c r="BG33" s="19">
        <f t="shared" si="33"/>
        <v>1</v>
      </c>
      <c r="BH33" s="769">
        <f t="shared" si="88"/>
        <v>25</v>
      </c>
      <c r="BI33" s="3" t="str">
        <f t="shared" si="34"/>
        <v>Auckland</v>
      </c>
      <c r="BJ33" s="20">
        <f t="shared" si="35"/>
        <v>49.5</v>
      </c>
      <c r="BK33" s="764">
        <f t="shared" si="36"/>
        <v>49.5</v>
      </c>
      <c r="BL33" s="20">
        <f t="shared" si="37"/>
        <v>49.5</v>
      </c>
      <c r="BM33" s="759" t="str">
        <f t="shared" si="89"/>
        <v>=</v>
      </c>
      <c r="BN33" s="760" t="str">
        <f t="shared" si="39"/>
        <v/>
      </c>
      <c r="BO33" s="761">
        <f t="shared" ca="1" si="90"/>
        <v>25</v>
      </c>
      <c r="BP33" s="762" t="str">
        <f t="shared" ca="1" si="91"/>
        <v/>
      </c>
      <c r="BQ33" s="763"/>
      <c r="BR33" s="764"/>
      <c r="BS33" s="18">
        <f t="shared" si="42"/>
        <v>61.4</v>
      </c>
      <c r="BT33" s="6">
        <f>IF($B33=0,"",RANK(BS33,BS$8:BS$38,0)+COUNTIF(BS$8:BS33,BS33)-1)</f>
        <v>16</v>
      </c>
      <c r="BU33" s="3">
        <f t="shared" si="43"/>
        <v>12</v>
      </c>
      <c r="BV33" s="19">
        <f t="shared" si="44"/>
        <v>25</v>
      </c>
      <c r="BW33" s="19">
        <f t="shared" si="45"/>
        <v>2</v>
      </c>
      <c r="BX33" s="18">
        <f t="shared" si="46"/>
        <v>61.4</v>
      </c>
      <c r="BY33" s="6">
        <f>IF($B33=0,"",RANK(BX33,BX$8:BX$38,0)+COUNTIF(BX$8:BX33,BX33)-1)</f>
        <v>16</v>
      </c>
      <c r="CA33" s="19" t="str">
        <f t="shared" si="92"/>
        <v>=</v>
      </c>
      <c r="CB33" s="19">
        <f t="shared" si="47"/>
        <v>1</v>
      </c>
      <c r="CC33" s="769" t="str">
        <f t="shared" si="93"/>
        <v>=25</v>
      </c>
      <c r="CD33" s="3" t="str">
        <f t="shared" si="48"/>
        <v>Hong Kong</v>
      </c>
      <c r="CE33" s="20">
        <f t="shared" si="49"/>
        <v>48.3</v>
      </c>
      <c r="CF33" s="764">
        <f t="shared" si="50"/>
        <v>48.3</v>
      </c>
      <c r="CG33" s="20">
        <f t="shared" si="51"/>
        <v>48.3</v>
      </c>
      <c r="CH33" s="759" t="str">
        <f t="shared" si="94"/>
        <v>=</v>
      </c>
      <c r="CI33" s="760" t="str">
        <f t="shared" si="53"/>
        <v/>
      </c>
      <c r="CJ33" s="766">
        <f t="shared" ca="1" si="95"/>
        <v>25</v>
      </c>
      <c r="CK33" s="767"/>
      <c r="CL33" s="763"/>
      <c r="CM33" s="764"/>
      <c r="CN33" s="18">
        <f t="shared" si="55"/>
        <v>78.599999999999994</v>
      </c>
      <c r="CO33" s="6">
        <f>IF($B33=0,"",RANK(CN33,CN$8:CN$38,0)+COUNTIF(CN$8:CN33,CN33)-1)</f>
        <v>8</v>
      </c>
      <c r="CP33" s="3">
        <f t="shared" si="56"/>
        <v>23</v>
      </c>
      <c r="CQ33" s="19">
        <f t="shared" si="57"/>
        <v>25</v>
      </c>
      <c r="CR33" s="19">
        <f t="shared" si="58"/>
        <v>1</v>
      </c>
      <c r="CS33" s="18">
        <f t="shared" si="59"/>
        <v>78.599999999999994</v>
      </c>
      <c r="CT33" s="6">
        <f>IF($B33=0,"",RANK(CS33,CS$8:CS$38,0)+COUNTIF(CS$8:CS33,CS33)-1)</f>
        <v>8</v>
      </c>
      <c r="CV33" s="19" t="str">
        <f t="shared" si="77"/>
        <v>=</v>
      </c>
      <c r="CW33" s="19">
        <f t="shared" si="60"/>
        <v>1</v>
      </c>
      <c r="CX33" s="769">
        <f t="shared" si="78"/>
        <v>25</v>
      </c>
      <c r="CY33" s="3" t="str">
        <f t="shared" si="61"/>
        <v>Sao Paulo</v>
      </c>
      <c r="CZ33" s="20">
        <f t="shared" si="62"/>
        <v>48.8</v>
      </c>
      <c r="DA33" s="764">
        <f t="shared" si="63"/>
        <v>48.8</v>
      </c>
      <c r="DB33" s="20">
        <f t="shared" si="64"/>
        <v>48.8</v>
      </c>
      <c r="DC33" s="759" t="str">
        <f t="shared" si="65"/>
        <v>=</v>
      </c>
      <c r="DD33" s="760" t="str">
        <f t="shared" si="66"/>
        <v/>
      </c>
      <c r="DE33" s="766">
        <f t="shared" ca="1" si="67"/>
        <v>25</v>
      </c>
      <c r="DF33" s="767"/>
      <c r="DG33" s="763"/>
      <c r="DH33" s="764"/>
    </row>
    <row r="34" spans="1:112">
      <c r="A34" s="18">
        <f>tblTerritories!A29</f>
        <v>27</v>
      </c>
      <c r="B34" s="3">
        <f>IF(tblTerritories!F29="",0,tblTerritories!F29)</f>
        <v>1</v>
      </c>
      <c r="C34" s="3" t="str">
        <f>tblTerritories!C29</f>
        <v>Tokyo</v>
      </c>
      <c r="E34" s="3">
        <f>tblTerritories!K29</f>
        <v>1</v>
      </c>
      <c r="F34" s="3" t="e">
        <f>IF($A34="","",VLOOKUP(C34,tblTerritories!$J$3:$P$21,7,FALSE)+10)</f>
        <v>#N/A</v>
      </c>
      <c r="H34" s="18">
        <f t="shared" si="68"/>
        <v>63</v>
      </c>
      <c r="I34" s="6">
        <f>IF($B34=0,"",RANK(H34,H$8:H$38,0)+COUNTIF(H$8:H34,H34)-1)</f>
        <v>21</v>
      </c>
      <c r="J34" s="3">
        <f t="shared" si="1"/>
        <v>7</v>
      </c>
      <c r="K34" s="19">
        <f t="shared" si="2"/>
        <v>26</v>
      </c>
      <c r="L34" s="19">
        <f t="shared" si="3"/>
        <v>1</v>
      </c>
      <c r="M34" s="18">
        <f t="shared" si="69"/>
        <v>63</v>
      </c>
      <c r="N34" s="6">
        <f>IF($B34=0,"",RANK(M34,M$8:M$38,0)+COUNTIF(M$8:M34,M34)-1)</f>
        <v>21</v>
      </c>
      <c r="P34" s="19">
        <f t="shared" si="79"/>
        <v>0</v>
      </c>
      <c r="Q34" s="19">
        <f t="shared" si="6"/>
        <v>1</v>
      </c>
      <c r="R34" s="768">
        <f t="shared" si="80"/>
        <v>26</v>
      </c>
      <c r="S34" s="3" t="str">
        <f t="shared" si="8"/>
        <v>Buenos Aires</v>
      </c>
      <c r="T34" s="20">
        <f t="shared" si="9"/>
        <v>45.1</v>
      </c>
      <c r="U34" s="764">
        <f t="shared" si="10"/>
        <v>45.1</v>
      </c>
      <c r="V34" s="20">
        <f t="shared" si="11"/>
        <v>45.1</v>
      </c>
      <c r="W34" s="759" t="str">
        <f t="shared" si="81"/>
        <v>=</v>
      </c>
      <c r="X34" s="760" t="str">
        <f t="shared" si="13"/>
        <v/>
      </c>
      <c r="Y34" s="761">
        <f t="shared" ca="1" si="82"/>
        <v>26</v>
      </c>
      <c r="Z34" s="762"/>
      <c r="AA34" s="763"/>
      <c r="AB34" s="764"/>
      <c r="AC34" s="18">
        <f t="shared" si="15"/>
        <v>71.3</v>
      </c>
      <c r="AD34" s="6">
        <f>IF($B34=0,"",RANK(AC34,AC$8:AC$38,0)+COUNTIF(AC$8:AC34,AC34)-1)</f>
        <v>14</v>
      </c>
      <c r="AE34" s="3">
        <f t="shared" si="16"/>
        <v>18</v>
      </c>
      <c r="AF34" s="19">
        <f t="shared" si="17"/>
        <v>26</v>
      </c>
      <c r="AG34" s="19">
        <f t="shared" si="18"/>
        <v>1</v>
      </c>
      <c r="AH34" s="18">
        <f t="shared" si="19"/>
        <v>71.3</v>
      </c>
      <c r="AI34" s="6">
        <f>IF($B34=0,"",RANK(AH34,AH$8:AH$38,0)+COUNTIF(AH$8:AH34,AH34)-1)</f>
        <v>14</v>
      </c>
      <c r="AK34" s="19">
        <f t="shared" si="83"/>
        <v>0</v>
      </c>
      <c r="AL34" s="19">
        <f t="shared" si="20"/>
        <v>1</v>
      </c>
      <c r="AM34" s="769">
        <f t="shared" si="84"/>
        <v>26</v>
      </c>
      <c r="AN34" s="3" t="str">
        <f t="shared" si="21"/>
        <v>Mexico City</v>
      </c>
      <c r="AO34" s="20">
        <f t="shared" si="22"/>
        <v>53</v>
      </c>
      <c r="AP34" s="764">
        <f t="shared" si="23"/>
        <v>53</v>
      </c>
      <c r="AQ34" s="20">
        <f t="shared" si="24"/>
        <v>53</v>
      </c>
      <c r="AR34" s="759" t="str">
        <f t="shared" si="85"/>
        <v>=</v>
      </c>
      <c r="AS34" s="760" t="str">
        <f t="shared" si="26"/>
        <v/>
      </c>
      <c r="AT34" s="761">
        <f t="shared" ca="1" si="86"/>
        <v>26</v>
      </c>
      <c r="AU34" s="762"/>
      <c r="AV34" s="763"/>
      <c r="AW34" s="764"/>
      <c r="AX34" s="18">
        <f t="shared" si="28"/>
        <v>52.8</v>
      </c>
      <c r="AY34" s="6">
        <f>IF($B34=0,"",RANK(AX34,AX$8:AX$38,0)+COUNTIF(AX$8:AX34,AX34)-1)</f>
        <v>23</v>
      </c>
      <c r="AZ34" s="3">
        <f t="shared" si="29"/>
        <v>13</v>
      </c>
      <c r="BA34" s="19">
        <f t="shared" si="30"/>
        <v>26</v>
      </c>
      <c r="BB34" s="19">
        <f t="shared" si="31"/>
        <v>1</v>
      </c>
      <c r="BC34" s="18">
        <f t="shared" si="32"/>
        <v>52.8</v>
      </c>
      <c r="BD34" s="6">
        <f>IF($B34=0,"",RANK(BC34,BC$8:BC$38,0)+COUNTIF(BC$8:BC34,BC34)-1)</f>
        <v>23</v>
      </c>
      <c r="BF34" s="19">
        <f t="shared" si="87"/>
        <v>0</v>
      </c>
      <c r="BG34" s="19">
        <f t="shared" si="33"/>
        <v>1</v>
      </c>
      <c r="BH34" s="769">
        <f t="shared" si="88"/>
        <v>26</v>
      </c>
      <c r="BI34" s="3" t="str">
        <f t="shared" si="34"/>
        <v>Jakarta</v>
      </c>
      <c r="BJ34" s="20">
        <f t="shared" si="35"/>
        <v>42.5</v>
      </c>
      <c r="BK34" s="764">
        <f t="shared" si="36"/>
        <v>42.5</v>
      </c>
      <c r="BL34" s="20">
        <f t="shared" si="37"/>
        <v>42.5</v>
      </c>
      <c r="BM34" s="759" t="str">
        <f t="shared" si="89"/>
        <v>=</v>
      </c>
      <c r="BN34" s="760" t="str">
        <f t="shared" si="39"/>
        <v/>
      </c>
      <c r="BO34" s="761">
        <f t="shared" ca="1" si="90"/>
        <v>26</v>
      </c>
      <c r="BP34" s="762" t="str">
        <f t="shared" ca="1" si="91"/>
        <v/>
      </c>
      <c r="BQ34" s="763"/>
      <c r="BR34" s="764"/>
      <c r="BS34" s="18">
        <f t="shared" si="42"/>
        <v>55.5</v>
      </c>
      <c r="BT34" s="6">
        <f>IF($B34=0,"",RANK(BS34,BS$8:BS$38,0)+COUNTIF(BS$8:BS34,BS34)-1)</f>
        <v>23</v>
      </c>
      <c r="BU34" s="3">
        <f t="shared" si="43"/>
        <v>18</v>
      </c>
      <c r="BV34" s="19">
        <f t="shared" si="44"/>
        <v>25</v>
      </c>
      <c r="BW34" s="19">
        <f t="shared" si="45"/>
        <v>2</v>
      </c>
      <c r="BX34" s="18">
        <f t="shared" si="46"/>
        <v>55.5</v>
      </c>
      <c r="BY34" s="6">
        <f>IF($B34=0,"",RANK(BX34,BX$8:BX$38,0)+COUNTIF(BX$8:BX34,BX34)-1)</f>
        <v>23</v>
      </c>
      <c r="CA34" s="19" t="str">
        <f t="shared" si="92"/>
        <v>=</v>
      </c>
      <c r="CB34" s="19">
        <f t="shared" si="47"/>
        <v>1</v>
      </c>
      <c r="CC34" s="769" t="str">
        <f t="shared" si="93"/>
        <v>=25</v>
      </c>
      <c r="CD34" s="3" t="str">
        <f t="shared" si="48"/>
        <v>Mexico City</v>
      </c>
      <c r="CE34" s="20">
        <f t="shared" si="49"/>
        <v>48.3</v>
      </c>
      <c r="CF34" s="764">
        <f t="shared" si="50"/>
        <v>48.3</v>
      </c>
      <c r="CG34" s="20">
        <f t="shared" si="51"/>
        <v>48.3</v>
      </c>
      <c r="CH34" s="759" t="str">
        <f t="shared" si="94"/>
        <v>=</v>
      </c>
      <c r="CI34" s="760" t="str">
        <f t="shared" si="53"/>
        <v/>
      </c>
      <c r="CJ34" s="766">
        <f t="shared" ca="1" si="95"/>
        <v>25</v>
      </c>
      <c r="CK34" s="767"/>
      <c r="CL34" s="763"/>
      <c r="CM34" s="764"/>
      <c r="CN34" s="18">
        <f t="shared" si="55"/>
        <v>72.2</v>
      </c>
      <c r="CO34" s="6">
        <f>IF($B34=0,"",RANK(CN34,CN$8:CN$38,0)+COUNTIF(CN$8:CN34,CN34)-1)</f>
        <v>12</v>
      </c>
      <c r="CP34" s="3">
        <f t="shared" si="56"/>
        <v>3</v>
      </c>
      <c r="CQ34" s="19">
        <f t="shared" si="57"/>
        <v>26</v>
      </c>
      <c r="CR34" s="19">
        <f t="shared" si="58"/>
        <v>1</v>
      </c>
      <c r="CS34" s="18">
        <f t="shared" si="59"/>
        <v>72.2</v>
      </c>
      <c r="CT34" s="6">
        <f>IF($B34=0,"",RANK(CS34,CS$8:CS$38,0)+COUNTIF(CS$8:CS34,CS34)-1)</f>
        <v>12</v>
      </c>
      <c r="CV34" s="19" t="str">
        <f t="shared" si="77"/>
        <v>=</v>
      </c>
      <c r="CW34" s="19">
        <f t="shared" si="60"/>
        <v>1</v>
      </c>
      <c r="CX34" s="769">
        <f t="shared" si="78"/>
        <v>26</v>
      </c>
      <c r="CY34" s="3" t="str">
        <f t="shared" si="61"/>
        <v>Bangkok</v>
      </c>
      <c r="CZ34" s="20">
        <f t="shared" si="62"/>
        <v>41.3</v>
      </c>
      <c r="DA34" s="764">
        <f t="shared" si="63"/>
        <v>41.3</v>
      </c>
      <c r="DB34" s="20">
        <f t="shared" si="64"/>
        <v>41.3</v>
      </c>
      <c r="DC34" s="759" t="str">
        <f t="shared" si="65"/>
        <v>=</v>
      </c>
      <c r="DD34" s="760" t="str">
        <f t="shared" si="66"/>
        <v/>
      </c>
      <c r="DE34" s="766">
        <f t="shared" ca="1" si="67"/>
        <v>26</v>
      </c>
      <c r="DF34" s="767"/>
      <c r="DG34" s="763"/>
      <c r="DH34" s="764"/>
    </row>
    <row r="35" spans="1:112">
      <c r="A35" s="18">
        <f>tblTerritories!A30</f>
        <v>28</v>
      </c>
      <c r="B35" s="3">
        <f>IF(tblTerritories!F30="",0,tblTerritories!F30)</f>
        <v>1</v>
      </c>
      <c r="C35" s="3" t="str">
        <f>tblTerritories!C30</f>
        <v>Toronto</v>
      </c>
      <c r="E35" s="3">
        <f>tblTerritories!K30</f>
        <v>1</v>
      </c>
      <c r="F35" s="3" t="e">
        <f>IF($A35="","",VLOOKUP(C35,tblTerritories!$J$3:$P$21,7,FALSE)+10)</f>
        <v>#N/A</v>
      </c>
      <c r="H35" s="18">
        <f t="shared" si="68"/>
        <v>70.099999999999994</v>
      </c>
      <c r="I35" s="6">
        <f>IF($B35=0,"",RANK(H35,H$8:H$38,0)+COUNTIF(H$8:H35,H35)-1)</f>
        <v>11</v>
      </c>
      <c r="J35" s="3">
        <f t="shared" si="1"/>
        <v>13</v>
      </c>
      <c r="K35" s="19">
        <f t="shared" si="2"/>
        <v>27</v>
      </c>
      <c r="L35" s="19">
        <f t="shared" si="3"/>
        <v>1</v>
      </c>
      <c r="M35" s="18">
        <f t="shared" si="69"/>
        <v>70.099999999999994</v>
      </c>
      <c r="N35" s="6">
        <f>IF($B35=0,"",RANK(M35,M$8:M$38,0)+COUNTIF(M$8:M35,M35)-1)</f>
        <v>11</v>
      </c>
      <c r="P35" s="19">
        <f t="shared" si="79"/>
        <v>0</v>
      </c>
      <c r="Q35" s="19">
        <f t="shared" si="6"/>
        <v>1</v>
      </c>
      <c r="R35" s="768">
        <f t="shared" si="80"/>
        <v>27</v>
      </c>
      <c r="S35" s="3" t="str">
        <f t="shared" si="8"/>
        <v>Jakarta</v>
      </c>
      <c r="T35" s="20">
        <f t="shared" si="9"/>
        <v>43.5</v>
      </c>
      <c r="U35" s="764">
        <f t="shared" si="10"/>
        <v>43.5</v>
      </c>
      <c r="V35" s="20">
        <f t="shared" si="11"/>
        <v>43.5</v>
      </c>
      <c r="W35" s="759" t="str">
        <f t="shared" si="81"/>
        <v>=</v>
      </c>
      <c r="X35" s="760" t="str">
        <f t="shared" si="13"/>
        <v/>
      </c>
      <c r="Y35" s="761">
        <f t="shared" ca="1" si="82"/>
        <v>27</v>
      </c>
      <c r="Z35" s="762"/>
      <c r="AA35" s="763"/>
      <c r="AB35" s="764"/>
      <c r="AC35" s="18">
        <f t="shared" si="15"/>
        <v>62.8</v>
      </c>
      <c r="AD35" s="6">
        <f>IF($B35=0,"",RANK(AC35,AC$8:AC$38,0)+COUNTIF(AC$8:AC35,AC35)-1)</f>
        <v>21</v>
      </c>
      <c r="AE35" s="3">
        <f t="shared" si="16"/>
        <v>13</v>
      </c>
      <c r="AF35" s="19">
        <f t="shared" si="17"/>
        <v>27</v>
      </c>
      <c r="AG35" s="19">
        <f t="shared" si="18"/>
        <v>1</v>
      </c>
      <c r="AH35" s="18">
        <f t="shared" si="19"/>
        <v>62.8</v>
      </c>
      <c r="AI35" s="6">
        <f>IF($B35=0,"",RANK(AH35,AH$8:AH$38,0)+COUNTIF(AH$8:AH35,AH35)-1)</f>
        <v>21</v>
      </c>
      <c r="AK35" s="19">
        <f t="shared" si="83"/>
        <v>0</v>
      </c>
      <c r="AL35" s="19">
        <f t="shared" si="20"/>
        <v>1</v>
      </c>
      <c r="AM35" s="769">
        <f t="shared" si="84"/>
        <v>27</v>
      </c>
      <c r="AN35" s="3" t="str">
        <f t="shared" si="21"/>
        <v>Jakarta</v>
      </c>
      <c r="AO35" s="20">
        <f t="shared" si="22"/>
        <v>48.1</v>
      </c>
      <c r="AP35" s="764">
        <f t="shared" si="23"/>
        <v>48.1</v>
      </c>
      <c r="AQ35" s="20">
        <f t="shared" si="24"/>
        <v>48.1</v>
      </c>
      <c r="AR35" s="759" t="str">
        <f t="shared" si="85"/>
        <v>=</v>
      </c>
      <c r="AS35" s="760" t="str">
        <f t="shared" si="26"/>
        <v/>
      </c>
      <c r="AT35" s="761">
        <f t="shared" ca="1" si="86"/>
        <v>27</v>
      </c>
      <c r="AU35" s="762"/>
      <c r="AV35" s="763"/>
      <c r="AW35" s="764"/>
      <c r="AX35" s="18">
        <f t="shared" si="28"/>
        <v>64</v>
      </c>
      <c r="AY35" s="6">
        <f>IF($B35=0,"",RANK(AX35,AX$8:AX$38,0)+COUNTIF(AX$8:AX35,AX35)-1)</f>
        <v>18</v>
      </c>
      <c r="AZ35" s="3">
        <f t="shared" si="29"/>
        <v>7</v>
      </c>
      <c r="BA35" s="19">
        <f t="shared" si="30"/>
        <v>27</v>
      </c>
      <c r="BB35" s="19">
        <f t="shared" si="31"/>
        <v>1</v>
      </c>
      <c r="BC35" s="18">
        <f t="shared" si="32"/>
        <v>64</v>
      </c>
      <c r="BD35" s="6">
        <f>IF($B35=0,"",RANK(BC35,BC$8:BC$38,0)+COUNTIF(BC$8:BC35,BC35)-1)</f>
        <v>18</v>
      </c>
      <c r="BF35" s="19">
        <f t="shared" si="87"/>
        <v>0</v>
      </c>
      <c r="BG35" s="19">
        <f t="shared" si="33"/>
        <v>1</v>
      </c>
      <c r="BH35" s="769">
        <f t="shared" si="88"/>
        <v>27</v>
      </c>
      <c r="BI35" s="3" t="str">
        <f t="shared" si="34"/>
        <v>Buenos Aires</v>
      </c>
      <c r="BJ35" s="20">
        <f t="shared" si="35"/>
        <v>42.2</v>
      </c>
      <c r="BK35" s="764">
        <f t="shared" si="36"/>
        <v>42.2</v>
      </c>
      <c r="BL35" s="20">
        <f t="shared" si="37"/>
        <v>42.2</v>
      </c>
      <c r="BM35" s="759" t="str">
        <f t="shared" si="89"/>
        <v>=</v>
      </c>
      <c r="BN35" s="760" t="str">
        <f t="shared" si="39"/>
        <v/>
      </c>
      <c r="BO35" s="761">
        <f t="shared" ca="1" si="90"/>
        <v>27</v>
      </c>
      <c r="BP35" s="762" t="str">
        <f t="shared" ca="1" si="91"/>
        <v/>
      </c>
      <c r="BQ35" s="763"/>
      <c r="BR35" s="764"/>
      <c r="BS35" s="18">
        <f t="shared" si="42"/>
        <v>68.400000000000006</v>
      </c>
      <c r="BT35" s="6">
        <f>IF($B35=0,"",RANK(BS35,BS$8:BS$38,0)+COUNTIF(BS$8:BS35,BS35)-1)</f>
        <v>3</v>
      </c>
      <c r="BU35" s="3">
        <f t="shared" si="43"/>
        <v>13</v>
      </c>
      <c r="BV35" s="19">
        <f t="shared" si="44"/>
        <v>27</v>
      </c>
      <c r="BW35" s="19">
        <f t="shared" si="45"/>
        <v>1</v>
      </c>
      <c r="BX35" s="18">
        <f t="shared" si="46"/>
        <v>68.400000000000006</v>
      </c>
      <c r="BY35" s="6">
        <f>IF($B35=0,"",RANK(BX35,BX$8:BX$38,0)+COUNTIF(BX$8:BX35,BX35)-1)</f>
        <v>3</v>
      </c>
      <c r="CA35" s="19" t="str">
        <f t="shared" si="92"/>
        <v>=</v>
      </c>
      <c r="CB35" s="19">
        <f t="shared" si="47"/>
        <v>1</v>
      </c>
      <c r="CC35" s="769">
        <f t="shared" si="93"/>
        <v>27</v>
      </c>
      <c r="CD35" s="3" t="str">
        <f t="shared" si="48"/>
        <v>Jakarta</v>
      </c>
      <c r="CE35" s="20">
        <f t="shared" si="49"/>
        <v>47.2</v>
      </c>
      <c r="CF35" s="764">
        <f t="shared" si="50"/>
        <v>47.2</v>
      </c>
      <c r="CG35" s="20">
        <f t="shared" si="51"/>
        <v>47.2</v>
      </c>
      <c r="CH35" s="759" t="str">
        <f t="shared" si="94"/>
        <v>=</v>
      </c>
      <c r="CI35" s="760" t="str">
        <f t="shared" si="53"/>
        <v/>
      </c>
      <c r="CJ35" s="766">
        <f t="shared" ca="1" si="95"/>
        <v>27</v>
      </c>
      <c r="CK35" s="767"/>
      <c r="CL35" s="763"/>
      <c r="CM35" s="764"/>
      <c r="CN35" s="18">
        <f t="shared" si="55"/>
        <v>90.5</v>
      </c>
      <c r="CO35" s="6">
        <f>IF($B35=0,"",RANK(CN35,CN$8:CN$38,0)+COUNTIF(CN$8:CN35,CN35)-1)</f>
        <v>3</v>
      </c>
      <c r="CP35" s="3">
        <f t="shared" si="56"/>
        <v>13</v>
      </c>
      <c r="CQ35" s="19">
        <f t="shared" si="57"/>
        <v>27</v>
      </c>
      <c r="CR35" s="19">
        <f t="shared" si="58"/>
        <v>1</v>
      </c>
      <c r="CS35" s="18">
        <f t="shared" si="59"/>
        <v>90.5</v>
      </c>
      <c r="CT35" s="6">
        <f>IF($B35=0,"",RANK(CS35,CS$8:CS$38,0)+COUNTIF(CS$8:CS35,CS35)-1)</f>
        <v>3</v>
      </c>
      <c r="CV35" s="19" t="str">
        <f t="shared" si="77"/>
        <v>=</v>
      </c>
      <c r="CW35" s="19">
        <f t="shared" si="60"/>
        <v>1</v>
      </c>
      <c r="CX35" s="769">
        <f t="shared" si="78"/>
        <v>27</v>
      </c>
      <c r="CY35" s="3" t="str">
        <f t="shared" si="61"/>
        <v>Jakarta</v>
      </c>
      <c r="CZ35" s="20">
        <f t="shared" si="62"/>
        <v>34.700000000000003</v>
      </c>
      <c r="DA35" s="764">
        <f t="shared" si="63"/>
        <v>34.700000000000003</v>
      </c>
      <c r="DB35" s="20">
        <f t="shared" si="64"/>
        <v>34.700000000000003</v>
      </c>
      <c r="DC35" s="759" t="str">
        <f t="shared" si="65"/>
        <v>=</v>
      </c>
      <c r="DD35" s="760" t="str">
        <f t="shared" si="66"/>
        <v/>
      </c>
      <c r="DE35" s="766">
        <f t="shared" ca="1" si="67"/>
        <v>27</v>
      </c>
      <c r="DF35" s="767"/>
      <c r="DG35" s="763"/>
      <c r="DH35" s="764"/>
    </row>
    <row r="36" spans="1:112">
      <c r="A36" s="18">
        <f>tblTerritories!A31</f>
        <v>29</v>
      </c>
      <c r="B36" s="3">
        <f>IF(tblTerritories!F31="",0,tblTerritories!F31)</f>
        <v>1</v>
      </c>
      <c r="C36" s="3" t="str">
        <f>tblTerritories!C31</f>
        <v>Washington DC</v>
      </c>
      <c r="E36" s="3">
        <f>tblTerritories!K31</f>
        <v>1</v>
      </c>
      <c r="F36" s="3" t="e">
        <f>IF($A36="","",VLOOKUP(C36,tblTerritories!$J$3:$P$21,7,FALSE)+10)</f>
        <v>#N/A</v>
      </c>
      <c r="H36" s="18">
        <f t="shared" si="68"/>
        <v>71.2</v>
      </c>
      <c r="I36" s="6">
        <f>IF($B36=0,"",RANK(H36,H$8:H$38,0)+COUNTIF(H$8:H36,H36)-1)</f>
        <v>9</v>
      </c>
      <c r="J36" s="3">
        <f t="shared" si="1"/>
        <v>18</v>
      </c>
      <c r="K36" s="19">
        <f t="shared" si="2"/>
        <v>28</v>
      </c>
      <c r="L36" s="19">
        <f t="shared" si="3"/>
        <v>1</v>
      </c>
      <c r="M36" s="18">
        <f t="shared" si="69"/>
        <v>71.2</v>
      </c>
      <c r="N36" s="6">
        <f>IF($B36=0,"",RANK(M36,M$8:M$38,0)+COUNTIF(M$8:M36,M36)-1)</f>
        <v>9</v>
      </c>
      <c r="P36" s="19">
        <f t="shared" si="79"/>
        <v>0</v>
      </c>
      <c r="Q36" s="19">
        <f t="shared" si="6"/>
        <v>1</v>
      </c>
      <c r="R36" s="768">
        <f t="shared" si="80"/>
        <v>28</v>
      </c>
      <c r="S36" s="3" t="str">
        <f t="shared" si="8"/>
        <v>Mexico City</v>
      </c>
      <c r="T36" s="20">
        <f t="shared" si="9"/>
        <v>42.6</v>
      </c>
      <c r="U36" s="764">
        <f t="shared" si="10"/>
        <v>42.6</v>
      </c>
      <c r="V36" s="20">
        <f t="shared" si="11"/>
        <v>42.6</v>
      </c>
      <c r="W36" s="759" t="str">
        <f t="shared" si="81"/>
        <v>=</v>
      </c>
      <c r="X36" s="760" t="str">
        <f t="shared" si="13"/>
        <v/>
      </c>
      <c r="Y36" s="761">
        <f t="shared" ca="1" si="82"/>
        <v>28</v>
      </c>
      <c r="Z36" s="762"/>
      <c r="AA36" s="763"/>
      <c r="AB36" s="764"/>
      <c r="AC36" s="18">
        <f t="shared" si="15"/>
        <v>75.599999999999994</v>
      </c>
      <c r="AD36" s="6">
        <f>IF($B36=0,"",RANK(AC36,AC$8:AC$38,0)+COUNTIF(AC$8:AC36,AC36)-1)</f>
        <v>9</v>
      </c>
      <c r="AE36" s="3">
        <f t="shared" si="16"/>
        <v>17</v>
      </c>
      <c r="AF36" s="19">
        <f t="shared" si="17"/>
        <v>28</v>
      </c>
      <c r="AG36" s="19">
        <f t="shared" si="18"/>
        <v>1</v>
      </c>
      <c r="AH36" s="18">
        <f t="shared" si="19"/>
        <v>75.599999999999994</v>
      </c>
      <c r="AI36" s="6">
        <f>IF($B36=0,"",RANK(AH36,AH$8:AH$38,0)+COUNTIF(AH$8:AH36,AH36)-1)</f>
        <v>9</v>
      </c>
      <c r="AK36" s="19">
        <f t="shared" si="83"/>
        <v>0</v>
      </c>
      <c r="AL36" s="19">
        <f t="shared" si="20"/>
        <v>1</v>
      </c>
      <c r="AM36" s="769">
        <f t="shared" si="84"/>
        <v>28</v>
      </c>
      <c r="AN36" s="3" t="str">
        <f t="shared" si="21"/>
        <v>Manila</v>
      </c>
      <c r="AO36" s="20">
        <f t="shared" si="22"/>
        <v>43.8</v>
      </c>
      <c r="AP36" s="764">
        <f t="shared" si="23"/>
        <v>43.8</v>
      </c>
      <c r="AQ36" s="20">
        <f t="shared" si="24"/>
        <v>43.8</v>
      </c>
      <c r="AR36" s="759" t="str">
        <f t="shared" si="85"/>
        <v>=</v>
      </c>
      <c r="AS36" s="760" t="str">
        <f t="shared" si="26"/>
        <v/>
      </c>
      <c r="AT36" s="761">
        <f t="shared" ca="1" si="86"/>
        <v>28</v>
      </c>
      <c r="AU36" s="762"/>
      <c r="AV36" s="763"/>
      <c r="AW36" s="764"/>
      <c r="AX36" s="18">
        <f t="shared" si="28"/>
        <v>64.900000000000006</v>
      </c>
      <c r="AY36" s="6">
        <f>IF($B36=0,"",RANK(AX36,AX$8:AX$38,0)+COUNTIF(AX$8:AX36,AX36)-1)</f>
        <v>17</v>
      </c>
      <c r="AZ36" s="3">
        <f t="shared" si="29"/>
        <v>23</v>
      </c>
      <c r="BA36" s="19">
        <f t="shared" si="30"/>
        <v>28</v>
      </c>
      <c r="BB36" s="19">
        <f t="shared" si="31"/>
        <v>1</v>
      </c>
      <c r="BC36" s="18">
        <f t="shared" si="32"/>
        <v>64.900000000000006</v>
      </c>
      <c r="BD36" s="6">
        <f>IF($B36=0,"",RANK(BC36,BC$8:BC$38,0)+COUNTIF(BC$8:BC36,BC36)-1)</f>
        <v>17</v>
      </c>
      <c r="BF36" s="19">
        <f t="shared" si="87"/>
        <v>0</v>
      </c>
      <c r="BG36" s="19">
        <f t="shared" si="33"/>
        <v>1</v>
      </c>
      <c r="BH36" s="769">
        <f t="shared" si="88"/>
        <v>28</v>
      </c>
      <c r="BI36" s="3" t="str">
        <f t="shared" si="34"/>
        <v>Sao Paulo</v>
      </c>
      <c r="BJ36" s="20">
        <f t="shared" si="35"/>
        <v>41.3</v>
      </c>
      <c r="BK36" s="764">
        <f t="shared" si="36"/>
        <v>41.3</v>
      </c>
      <c r="BL36" s="20">
        <f t="shared" si="37"/>
        <v>41.3</v>
      </c>
      <c r="BM36" s="759" t="str">
        <f t="shared" si="89"/>
        <v>=</v>
      </c>
      <c r="BN36" s="760" t="str">
        <f t="shared" si="39"/>
        <v/>
      </c>
      <c r="BO36" s="761">
        <f t="shared" ca="1" si="90"/>
        <v>28</v>
      </c>
      <c r="BP36" s="762" t="str">
        <f t="shared" ca="1" si="91"/>
        <v/>
      </c>
      <c r="BQ36" s="763"/>
      <c r="BR36" s="764"/>
      <c r="BS36" s="18">
        <f t="shared" si="42"/>
        <v>69.2</v>
      </c>
      <c r="BT36" s="6">
        <f>IF($B36=0,"",RANK(BS36,BS$8:BS$38,0)+COUNTIF(BS$8:BS36,BS36)-1)</f>
        <v>2</v>
      </c>
      <c r="BU36" s="3">
        <f t="shared" si="43"/>
        <v>17</v>
      </c>
      <c r="BV36" s="19">
        <f t="shared" si="44"/>
        <v>28</v>
      </c>
      <c r="BW36" s="19">
        <f t="shared" si="45"/>
        <v>1</v>
      </c>
      <c r="BX36" s="18">
        <f t="shared" si="46"/>
        <v>69.2</v>
      </c>
      <c r="BY36" s="6">
        <f>IF($B36=0,"",RANK(BX36,BX$8:BX$38,0)+COUNTIF(BX$8:BX36,BX36)-1)</f>
        <v>2</v>
      </c>
      <c r="CA36" s="19" t="str">
        <f t="shared" si="92"/>
        <v>=</v>
      </c>
      <c r="CB36" s="19">
        <f t="shared" si="47"/>
        <v>1</v>
      </c>
      <c r="CC36" s="769">
        <f t="shared" si="93"/>
        <v>28</v>
      </c>
      <c r="CD36" s="3" t="str">
        <f t="shared" si="48"/>
        <v>Manila</v>
      </c>
      <c r="CE36" s="20">
        <f t="shared" si="49"/>
        <v>46.8</v>
      </c>
      <c r="CF36" s="764">
        <f t="shared" si="50"/>
        <v>46.8</v>
      </c>
      <c r="CG36" s="20">
        <f t="shared" si="51"/>
        <v>46.8</v>
      </c>
      <c r="CH36" s="759" t="str">
        <f t="shared" si="94"/>
        <v>=</v>
      </c>
      <c r="CI36" s="760" t="str">
        <f t="shared" si="53"/>
        <v/>
      </c>
      <c r="CJ36" s="766">
        <f t="shared" ca="1" si="95"/>
        <v>28</v>
      </c>
      <c r="CK36" s="767"/>
      <c r="CL36" s="763"/>
      <c r="CM36" s="764"/>
      <c r="CN36" s="18">
        <f t="shared" si="55"/>
        <v>75.400000000000006</v>
      </c>
      <c r="CO36" s="6">
        <f>IF($B36=0,"",RANK(CN36,CN$8:CN$38,0)+COUNTIF(CN$8:CN36,CN36)-1)</f>
        <v>10</v>
      </c>
      <c r="CP36" s="3">
        <f t="shared" si="56"/>
        <v>19</v>
      </c>
      <c r="CQ36" s="19">
        <f t="shared" si="57"/>
        <v>28</v>
      </c>
      <c r="CR36" s="19">
        <f t="shared" si="58"/>
        <v>1</v>
      </c>
      <c r="CS36" s="18">
        <f t="shared" si="59"/>
        <v>75.400000000000006</v>
      </c>
      <c r="CT36" s="6">
        <f>IF($B36=0,"",RANK(CS36,CS$8:CS$38,0)+COUNTIF(CS$8:CS36,CS36)-1)</f>
        <v>10</v>
      </c>
      <c r="CV36" s="19" t="str">
        <f t="shared" si="77"/>
        <v>=</v>
      </c>
      <c r="CW36" s="19">
        <f t="shared" si="60"/>
        <v>1</v>
      </c>
      <c r="CX36" s="769">
        <f t="shared" si="78"/>
        <v>28</v>
      </c>
      <c r="CY36" s="3" t="str">
        <f t="shared" si="61"/>
        <v>New Delhi</v>
      </c>
      <c r="CZ36" s="20">
        <f t="shared" si="62"/>
        <v>32.9</v>
      </c>
      <c r="DA36" s="764">
        <f t="shared" si="63"/>
        <v>32.9</v>
      </c>
      <c r="DB36" s="20">
        <f t="shared" si="64"/>
        <v>32.9</v>
      </c>
      <c r="DC36" s="759" t="str">
        <f t="shared" si="65"/>
        <v>=</v>
      </c>
      <c r="DD36" s="760" t="str">
        <f t="shared" si="66"/>
        <v/>
      </c>
      <c r="DE36" s="766">
        <f t="shared" ca="1" si="67"/>
        <v>28</v>
      </c>
      <c r="DF36" s="767"/>
      <c r="DG36" s="763"/>
      <c r="DH36" s="764"/>
    </row>
    <row r="37" spans="1:112" ht="15" thickBot="1">
      <c r="A37" s="18">
        <f>tblTerritories!A32</f>
        <v>30</v>
      </c>
      <c r="B37" s="3">
        <f>IF(tblTerritories!F32="",0,tblTerritories!F32)</f>
        <v>1</v>
      </c>
      <c r="C37" s="3" t="str">
        <f>tblTerritories!C32</f>
        <v>Zurich</v>
      </c>
      <c r="E37" s="3">
        <f>tblTerritories!K32</f>
        <v>1</v>
      </c>
      <c r="F37" s="3" t="e">
        <f>IF($A37="","",VLOOKUP(C37,tblTerritories!$J$3:$P$21,7,FALSE)+10)</f>
        <v>#N/A</v>
      </c>
      <c r="H37" s="18">
        <f t="shared" si="68"/>
        <v>70.099999999999994</v>
      </c>
      <c r="I37" s="6">
        <f>IF($B37=0,"",RANK(H37,H$8:H$38,0)+COUNTIF(H$8:H37,H37)-1)</f>
        <v>12</v>
      </c>
      <c r="J37" s="3">
        <f t="shared" si="1"/>
        <v>19</v>
      </c>
      <c r="K37" s="19">
        <f t="shared" si="2"/>
        <v>29</v>
      </c>
      <c r="L37" s="19">
        <f t="shared" si="3"/>
        <v>1</v>
      </c>
      <c r="M37" s="18">
        <f t="shared" si="69"/>
        <v>70.099999999999994</v>
      </c>
      <c r="N37" s="6">
        <f>IF($B37=0,"",RANK(M37,M$8:M$38,0)+COUNTIF(M$8:M37,M37)-1)</f>
        <v>12</v>
      </c>
      <c r="P37" s="19">
        <f t="shared" si="79"/>
        <v>0</v>
      </c>
      <c r="Q37" s="19">
        <f t="shared" si="6"/>
        <v>1</v>
      </c>
      <c r="R37" s="768">
        <f t="shared" si="80"/>
        <v>29</v>
      </c>
      <c r="S37" s="3" t="str">
        <f t="shared" si="8"/>
        <v>New Delhi</v>
      </c>
      <c r="T37" s="20">
        <f t="shared" si="9"/>
        <v>40.299999999999997</v>
      </c>
      <c r="U37" s="764">
        <f t="shared" si="10"/>
        <v>40.299999999999997</v>
      </c>
      <c r="V37" s="20">
        <f t="shared" si="11"/>
        <v>40.299999999999997</v>
      </c>
      <c r="W37" s="759" t="str">
        <f t="shared" si="81"/>
        <v>=</v>
      </c>
      <c r="X37" s="760" t="str">
        <f t="shared" si="13"/>
        <v/>
      </c>
      <c r="Y37" s="761">
        <f t="shared" ca="1" si="82"/>
        <v>29</v>
      </c>
      <c r="Z37" s="762"/>
      <c r="AA37" s="763"/>
      <c r="AB37" s="764"/>
      <c r="AC37" s="18">
        <f t="shared" si="15"/>
        <v>81</v>
      </c>
      <c r="AD37" s="6">
        <f>IF($B37=0,"",RANK(AC37,AC$8:AC$38,0)+COUNTIF(AC$8:AC37,AC37)-1)</f>
        <v>3</v>
      </c>
      <c r="AE37" s="3">
        <f t="shared" si="16"/>
        <v>7</v>
      </c>
      <c r="AF37" s="19">
        <f t="shared" si="17"/>
        <v>29</v>
      </c>
      <c r="AG37" s="19">
        <f t="shared" si="18"/>
        <v>1</v>
      </c>
      <c r="AH37" s="18">
        <f t="shared" si="19"/>
        <v>81</v>
      </c>
      <c r="AI37" s="6">
        <f>IF($B37=0,"",RANK(AH37,AH$8:AH$38,0)+COUNTIF(AH$8:AH37,AH37)-1)</f>
        <v>3</v>
      </c>
      <c r="AK37" s="19">
        <f t="shared" si="83"/>
        <v>0</v>
      </c>
      <c r="AL37" s="19">
        <f t="shared" si="20"/>
        <v>1</v>
      </c>
      <c r="AM37" s="769">
        <f t="shared" si="84"/>
        <v>29</v>
      </c>
      <c r="AN37" s="3" t="str">
        <f t="shared" si="21"/>
        <v>Buenos Aires</v>
      </c>
      <c r="AO37" s="20">
        <f t="shared" si="22"/>
        <v>40.799999999999997</v>
      </c>
      <c r="AP37" s="764">
        <f t="shared" si="23"/>
        <v>40.799999999999997</v>
      </c>
      <c r="AQ37" s="20">
        <f t="shared" si="24"/>
        <v>40.799999999999997</v>
      </c>
      <c r="AR37" s="759" t="str">
        <f t="shared" si="85"/>
        <v>=</v>
      </c>
      <c r="AS37" s="760" t="str">
        <f t="shared" si="26"/>
        <v/>
      </c>
      <c r="AT37" s="761">
        <f t="shared" ca="1" si="86"/>
        <v>29</v>
      </c>
      <c r="AU37" s="762"/>
      <c r="AV37" s="763"/>
      <c r="AW37" s="764"/>
      <c r="AX37" s="18">
        <f t="shared" si="28"/>
        <v>65.7</v>
      </c>
      <c r="AY37" s="6">
        <f>IF($B37=0,"",RANK(AX37,AX$8:AX$38,0)+COUNTIF(AX$8:AX37,AX37)-1)</f>
        <v>15</v>
      </c>
      <c r="AZ37" s="3">
        <f t="shared" si="29"/>
        <v>17</v>
      </c>
      <c r="BA37" s="19">
        <f t="shared" si="30"/>
        <v>29</v>
      </c>
      <c r="BB37" s="19">
        <f t="shared" si="31"/>
        <v>1</v>
      </c>
      <c r="BC37" s="18">
        <f t="shared" si="32"/>
        <v>65.7</v>
      </c>
      <c r="BD37" s="6">
        <f>IF($B37=0,"",RANK(BC37,BC$8:BC$38,0)+COUNTIF(BC$8:BC37,BC37)-1)</f>
        <v>15</v>
      </c>
      <c r="BF37" s="19">
        <f t="shared" si="87"/>
        <v>0</v>
      </c>
      <c r="BG37" s="19">
        <f t="shared" si="33"/>
        <v>1</v>
      </c>
      <c r="BH37" s="769">
        <f t="shared" si="88"/>
        <v>29</v>
      </c>
      <c r="BI37" s="3" t="str">
        <f t="shared" si="34"/>
        <v>Manila</v>
      </c>
      <c r="BJ37" s="20">
        <f t="shared" si="35"/>
        <v>36.5</v>
      </c>
      <c r="BK37" s="764">
        <f t="shared" si="36"/>
        <v>36.5</v>
      </c>
      <c r="BL37" s="20">
        <f t="shared" si="37"/>
        <v>36.5</v>
      </c>
      <c r="BM37" s="759" t="str">
        <f t="shared" si="89"/>
        <v>=</v>
      </c>
      <c r="BN37" s="760" t="str">
        <f t="shared" si="39"/>
        <v/>
      </c>
      <c r="BO37" s="761">
        <f t="shared" ca="1" si="90"/>
        <v>29</v>
      </c>
      <c r="BP37" s="762" t="str">
        <f t="shared" ca="1" si="91"/>
        <v/>
      </c>
      <c r="BQ37" s="763"/>
      <c r="BR37" s="764"/>
      <c r="BS37" s="18">
        <f t="shared" si="42"/>
        <v>64</v>
      </c>
      <c r="BT37" s="6">
        <f>IF($B37=0,"",RANK(BS37,BS$8:BS$38,0)+COUNTIF(BS$8:BS37,BS37)-1)</f>
        <v>11</v>
      </c>
      <c r="BU37" s="3">
        <f t="shared" si="43"/>
        <v>19</v>
      </c>
      <c r="BV37" s="19">
        <f t="shared" si="44"/>
        <v>29</v>
      </c>
      <c r="BW37" s="19">
        <f t="shared" si="45"/>
        <v>1</v>
      </c>
      <c r="BX37" s="18">
        <f t="shared" si="46"/>
        <v>64</v>
      </c>
      <c r="BY37" s="6">
        <f>IF($B37=0,"",RANK(BX37,BX$8:BX$38,0)+COUNTIF(BX$8:BX37,BX37)-1)</f>
        <v>11</v>
      </c>
      <c r="CA37" s="19" t="str">
        <f t="shared" si="92"/>
        <v>=</v>
      </c>
      <c r="CB37" s="19">
        <f t="shared" si="47"/>
        <v>1</v>
      </c>
      <c r="CC37" s="769">
        <f t="shared" si="93"/>
        <v>29</v>
      </c>
      <c r="CD37" s="3" t="str">
        <f t="shared" si="48"/>
        <v>New Delhi</v>
      </c>
      <c r="CE37" s="20">
        <f t="shared" si="49"/>
        <v>46.1</v>
      </c>
      <c r="CF37" s="764">
        <f t="shared" si="50"/>
        <v>46.1</v>
      </c>
      <c r="CG37" s="20">
        <f t="shared" si="51"/>
        <v>46.1</v>
      </c>
      <c r="CH37" s="759" t="str">
        <f t="shared" si="94"/>
        <v>=</v>
      </c>
      <c r="CI37" s="760" t="str">
        <f t="shared" si="53"/>
        <v/>
      </c>
      <c r="CJ37" s="766">
        <f t="shared" ca="1" si="95"/>
        <v>29</v>
      </c>
      <c r="CK37" s="767"/>
      <c r="CL37" s="763"/>
      <c r="CM37" s="764"/>
      <c r="CN37" s="18">
        <f t="shared" si="55"/>
        <v>66.3</v>
      </c>
      <c r="CO37" s="6">
        <f>IF($B37=0,"",RANK(CN37,CN$8:CN$38,0)+COUNTIF(CN$8:CN37,CN37)-1)</f>
        <v>18</v>
      </c>
      <c r="CP37" s="3">
        <f t="shared" si="56"/>
        <v>18</v>
      </c>
      <c r="CQ37" s="19">
        <f t="shared" si="57"/>
        <v>29</v>
      </c>
      <c r="CR37" s="19">
        <f t="shared" si="58"/>
        <v>1</v>
      </c>
      <c r="CS37" s="18">
        <f t="shared" si="59"/>
        <v>66.3</v>
      </c>
      <c r="CT37" s="6">
        <f>IF($B37=0,"",RANK(CS37,CS$8:CS$38,0)+COUNTIF(CS$8:CS37,CS37)-1)</f>
        <v>18</v>
      </c>
      <c r="CV37" s="19" t="str">
        <f t="shared" si="77"/>
        <v>=</v>
      </c>
      <c r="CW37" s="19">
        <f t="shared" si="60"/>
        <v>1</v>
      </c>
      <c r="CX37" s="769">
        <f t="shared" si="78"/>
        <v>29</v>
      </c>
      <c r="CY37" s="3" t="str">
        <f t="shared" si="61"/>
        <v>Mexico City</v>
      </c>
      <c r="CZ37" s="20">
        <f t="shared" si="62"/>
        <v>32.799999999999997</v>
      </c>
      <c r="DA37" s="764">
        <f t="shared" si="63"/>
        <v>32.799999999999997</v>
      </c>
      <c r="DB37" s="20">
        <f t="shared" si="64"/>
        <v>32.799999999999997</v>
      </c>
      <c r="DC37" s="759" t="str">
        <f t="shared" si="65"/>
        <v>=</v>
      </c>
      <c r="DD37" s="760" t="str">
        <f t="shared" si="66"/>
        <v/>
      </c>
      <c r="DE37" s="766">
        <f t="shared" ca="1" si="67"/>
        <v>29</v>
      </c>
      <c r="DF37" s="767"/>
      <c r="DG37" s="763"/>
      <c r="DH37" s="764"/>
    </row>
    <row r="38" spans="1:112" ht="15" thickBot="1">
      <c r="A38" s="18">
        <f>tblTerritories!A33</f>
        <v>31</v>
      </c>
      <c r="B38" s="116">
        <f>IF(uxb_works!$B$49,4,0)</f>
        <v>4</v>
      </c>
      <c r="C38" s="116" t="s">
        <v>707</v>
      </c>
      <c r="D38" s="116"/>
      <c r="E38" s="116">
        <f>IF(uxb_works!$B$49,4,0)</f>
        <v>4</v>
      </c>
      <c r="F38" s="116"/>
      <c r="G38" s="116"/>
      <c r="H38" s="770">
        <f>IF($B38=0,"",ROUND(SUM(H$8:H$37)/COUNTIF($B$8:$B$37,"&gt;0"),$B$3))</f>
        <v>63.3</v>
      </c>
      <c r="I38" s="771">
        <f>IF($B38=0,"",RANK(H38,H$8:H$38,0)+COUNTIF(H$8:H38,H38)-1)</f>
        <v>19</v>
      </c>
      <c r="J38" s="116">
        <f t="shared" si="1"/>
        <v>17</v>
      </c>
      <c r="K38" s="772">
        <f t="shared" si="2"/>
        <v>30</v>
      </c>
      <c r="L38" s="19">
        <f t="shared" si="3"/>
        <v>1</v>
      </c>
      <c r="M38" s="770">
        <f>IF($B38=0,"",ROUND(SUM(M$8:M$37)/COUNTIF($B$8:$B$37,"&gt;0"),$B$3))</f>
        <v>63.3</v>
      </c>
      <c r="N38" s="771">
        <f>IF($B38=0,"",RANK(M38,M$8:M$38,0)+COUNTIF(M$8:M38,M38)-1)</f>
        <v>19</v>
      </c>
      <c r="O38" s="116"/>
      <c r="P38" s="19">
        <f>N38-I38</f>
        <v>0</v>
      </c>
      <c r="Q38" s="772">
        <f t="shared" si="6"/>
        <v>1</v>
      </c>
      <c r="R38" s="773">
        <f t="shared" si="7"/>
        <v>30</v>
      </c>
      <c r="S38" s="116" t="str">
        <f t="shared" si="8"/>
        <v>Manila</v>
      </c>
      <c r="T38" s="774">
        <f t="shared" si="9"/>
        <v>39.1</v>
      </c>
      <c r="U38" s="775">
        <f t="shared" si="10"/>
        <v>39.1</v>
      </c>
      <c r="V38" s="20">
        <f t="shared" si="11"/>
        <v>39.1</v>
      </c>
      <c r="W38" s="776" t="str">
        <f t="shared" si="12"/>
        <v>=</v>
      </c>
      <c r="X38" s="777" t="str">
        <f t="shared" si="13"/>
        <v/>
      </c>
      <c r="Y38" s="778">
        <f t="shared" ca="1" si="70"/>
        <v>30</v>
      </c>
      <c r="Z38" s="779"/>
      <c r="AA38" s="763"/>
      <c r="AB38" s="764"/>
      <c r="AC38" s="770">
        <f>IF($B38=0,"",ROUND(SUM(AC$8:AC$37)/COUNTIF($B$8:$B$37,"&gt;0"),$B$3))</f>
        <v>65.900000000000006</v>
      </c>
      <c r="AD38" s="771">
        <f>IF($B38=0,"",RANK(AC38,AC$8:AC$38,0)+COUNTIF(AC$8:AC38,AC38)-1)</f>
        <v>17</v>
      </c>
      <c r="AE38" s="116">
        <f t="shared" si="16"/>
        <v>19</v>
      </c>
      <c r="AF38" s="772">
        <f t="shared" si="17"/>
        <v>30</v>
      </c>
      <c r="AG38" s="19">
        <f t="shared" si="18"/>
        <v>1</v>
      </c>
      <c r="AH38" s="770">
        <f>IF($B38=0,"",ROUND(SUM(AH$8:AH$37)/COUNTIF($B$8:$B$37,"&gt;0"),$B$3))</f>
        <v>65.900000000000006</v>
      </c>
      <c r="AI38" s="771">
        <f>IF($B38=0,"",RANK(AH38,AH$8:AH$38,0)+COUNTIF(AH$8:AH38,AH38)-1)</f>
        <v>17</v>
      </c>
      <c r="AJ38" s="116"/>
      <c r="AK38" s="19">
        <f t="shared" ref="AK38" si="96">AI38-AD38</f>
        <v>0</v>
      </c>
      <c r="AL38" s="772">
        <f t="shared" si="20"/>
        <v>1</v>
      </c>
      <c r="AM38" s="780">
        <f t="shared" si="72"/>
        <v>30</v>
      </c>
      <c r="AN38" s="116" t="str">
        <f t="shared" si="21"/>
        <v>New Delhi</v>
      </c>
      <c r="AO38" s="774">
        <f t="shared" si="22"/>
        <v>28.4</v>
      </c>
      <c r="AP38" s="775">
        <f t="shared" si="23"/>
        <v>28.4</v>
      </c>
      <c r="AQ38" s="20">
        <f t="shared" si="24"/>
        <v>28.4</v>
      </c>
      <c r="AR38" s="776" t="str">
        <f t="shared" si="25"/>
        <v>=</v>
      </c>
      <c r="AS38" s="777" t="str">
        <f t="shared" si="26"/>
        <v/>
      </c>
      <c r="AT38" s="778">
        <f t="shared" ca="1" si="27"/>
        <v>30</v>
      </c>
      <c r="AU38" s="779"/>
      <c r="AV38" s="763"/>
      <c r="AW38" s="764"/>
      <c r="AX38" s="770">
        <f>IF($B38=0,"",ROUND(SUM(AX$8:AX$37)/COUNTIF($B$8:$B$37,"&gt;0"),$B$3))</f>
        <v>61.4</v>
      </c>
      <c r="AY38" s="771">
        <f>IF($B38=0,"",RANK(AX38,AX$8:AX$38,0)+COUNTIF(AX$8:AX38,AX38)-1)</f>
        <v>21</v>
      </c>
      <c r="AZ38" s="116">
        <f t="shared" si="29"/>
        <v>18</v>
      </c>
      <c r="BA38" s="772">
        <f t="shared" si="30"/>
        <v>30</v>
      </c>
      <c r="BB38" s="19">
        <f t="shared" si="31"/>
        <v>1</v>
      </c>
      <c r="BC38" s="770">
        <f>IF($B38=0,"",ROUND(SUM(BC$8:BC$37)/COUNTIF($B$8:$B$37,"&gt;0"),$B$3))</f>
        <v>61.4</v>
      </c>
      <c r="BD38" s="771">
        <f>IF($B38=0,"",RANK(BC38,BC$8:BC$38,0)+COUNTIF(BC$8:BC38,BC38)-1)</f>
        <v>21</v>
      </c>
      <c r="BE38" s="116"/>
      <c r="BF38" s="19">
        <f t="shared" si="73"/>
        <v>0</v>
      </c>
      <c r="BG38" s="772">
        <f t="shared" si="33"/>
        <v>1</v>
      </c>
      <c r="BH38" s="780">
        <f t="shared" si="74"/>
        <v>30</v>
      </c>
      <c r="BI38" s="116" t="str">
        <f t="shared" si="34"/>
        <v>Mexico City</v>
      </c>
      <c r="BJ38" s="774">
        <f t="shared" si="35"/>
        <v>34.4</v>
      </c>
      <c r="BK38" s="775">
        <f t="shared" si="36"/>
        <v>34.4</v>
      </c>
      <c r="BL38" s="20">
        <f t="shared" si="37"/>
        <v>34.4</v>
      </c>
      <c r="BM38" s="776" t="str">
        <f t="shared" si="38"/>
        <v>=</v>
      </c>
      <c r="BN38" s="777" t="str">
        <f t="shared" si="39"/>
        <v/>
      </c>
      <c r="BO38" s="778">
        <f t="shared" ca="1" si="40"/>
        <v>30</v>
      </c>
      <c r="BP38" s="762" t="str">
        <f t="shared" ca="1" si="41"/>
        <v/>
      </c>
      <c r="BQ38" s="763"/>
      <c r="BR38" s="764"/>
      <c r="BS38" s="770">
        <f>IF($B38=0,"",ROUND(SUM(BS$8:BS$37)/COUNTIF($B$8:$B$37,"&gt;0"),$B$3))</f>
        <v>59.2</v>
      </c>
      <c r="BT38" s="771">
        <f>IF($B38=0,"",RANK(BS38,BS$8:BS$38,0)+COUNTIF(BS$8:BS38,BS38)-1)</f>
        <v>18</v>
      </c>
      <c r="BU38" s="116">
        <f t="shared" si="43"/>
        <v>3</v>
      </c>
      <c r="BV38" s="772">
        <f t="shared" si="44"/>
        <v>30</v>
      </c>
      <c r="BW38" s="19">
        <f t="shared" si="45"/>
        <v>1</v>
      </c>
      <c r="BX38" s="770">
        <f>IF($B38=0,"",ROUND(SUM(BX$8:BX$37)/COUNTIF($B$8:$B$37,"&gt;0"),$B$3))</f>
        <v>59.2</v>
      </c>
      <c r="BY38" s="771">
        <f>IF($B38=0,"",RANK(BX38,BX$8:BX$38,0)+COUNTIF(BX$8:BX38,BX38)-1)</f>
        <v>18</v>
      </c>
      <c r="BZ38" s="116"/>
      <c r="CA38" s="19"/>
      <c r="CB38" s="772">
        <f t="shared" si="47"/>
        <v>1</v>
      </c>
      <c r="CC38" s="780">
        <f t="shared" si="76"/>
        <v>30</v>
      </c>
      <c r="CD38" s="116" t="str">
        <f t="shared" si="48"/>
        <v>Bangkok</v>
      </c>
      <c r="CE38" s="774">
        <f t="shared" si="49"/>
        <v>43.4</v>
      </c>
      <c r="CF38" s="775">
        <f t="shared" si="50"/>
        <v>43.4</v>
      </c>
      <c r="CG38" s="20">
        <f t="shared" si="51"/>
        <v>43.4</v>
      </c>
      <c r="CH38" s="776" t="str">
        <f t="shared" si="52"/>
        <v>=</v>
      </c>
      <c r="CI38" s="777" t="str">
        <f t="shared" si="53"/>
        <v/>
      </c>
      <c r="CJ38" s="781">
        <f t="shared" ca="1" si="54"/>
        <v>30</v>
      </c>
      <c r="CK38" s="767"/>
      <c r="CL38" s="782"/>
      <c r="CM38" s="764"/>
      <c r="CN38" s="770">
        <f>IF($B38=0,"",ROUND(SUM(CN$8:CN$37)/COUNTIF($B$8:$B$37,"&gt;0"),$B$3))</f>
        <v>66.3</v>
      </c>
      <c r="CO38" s="771">
        <f>IF($B38=0,"",RANK(CN38,CN$8:CN$38,0)+COUNTIF(CN$8:CN38,CN38)-1)</f>
        <v>19</v>
      </c>
      <c r="CP38" s="116">
        <f t="shared" si="56"/>
        <v>17</v>
      </c>
      <c r="CQ38" s="772">
        <f t="shared" si="57"/>
        <v>30</v>
      </c>
      <c r="CR38" s="19">
        <f t="shared" si="58"/>
        <v>1</v>
      </c>
      <c r="CS38" s="770">
        <f>IF($B38=0,"",ROUND(SUM(CS$8:CS$37)/COUNTIF($B$8:$B$37,"&gt;0"),$B$3))</f>
        <v>66.3</v>
      </c>
      <c r="CT38" s="771">
        <f>IF($B38=0,"",RANK(CS38,CS$8:CS$38,0)+COUNTIF(CS$8:CS38,CS38)-1)</f>
        <v>19</v>
      </c>
      <c r="CU38" s="116"/>
      <c r="CV38" s="19"/>
      <c r="CW38" s="772">
        <f t="shared" si="60"/>
        <v>1</v>
      </c>
      <c r="CX38" s="780">
        <f t="shared" si="78"/>
        <v>30</v>
      </c>
      <c r="CY38" s="116" t="str">
        <f t="shared" si="61"/>
        <v>Manila</v>
      </c>
      <c r="CZ38" s="774">
        <f t="shared" si="62"/>
        <v>28</v>
      </c>
      <c r="DA38" s="775">
        <f t="shared" si="63"/>
        <v>28</v>
      </c>
      <c r="DB38" s="20">
        <f t="shared" si="64"/>
        <v>28</v>
      </c>
      <c r="DC38" s="776" t="str">
        <f t="shared" si="65"/>
        <v>=</v>
      </c>
      <c r="DD38" s="777" t="str">
        <f t="shared" si="66"/>
        <v/>
      </c>
      <c r="DE38" s="781">
        <f t="shared" ca="1" si="67"/>
        <v>30</v>
      </c>
      <c r="DF38" s="767"/>
      <c r="DG38" s="782"/>
      <c r="DH38" s="764"/>
    </row>
    <row r="39" spans="1:112">
      <c r="U39" s="760"/>
      <c r="V39" s="760"/>
      <c r="W39" s="760"/>
      <c r="X39" s="760"/>
      <c r="Y39" s="760"/>
      <c r="Z39" s="760"/>
      <c r="AA39" s="760"/>
      <c r="AB39" s="760"/>
      <c r="AP39" s="760"/>
      <c r="AQ39" s="760"/>
      <c r="AR39" s="760"/>
      <c r="AS39" s="760"/>
      <c r="AT39" s="760"/>
      <c r="AU39" s="760"/>
      <c r="AV39" s="760"/>
      <c r="AW39" s="760"/>
      <c r="BK39" s="760"/>
      <c r="BL39" s="760"/>
      <c r="BM39" s="760"/>
      <c r="BN39" s="760"/>
      <c r="BO39" s="760"/>
      <c r="BP39" s="760"/>
      <c r="BQ39" s="760"/>
      <c r="BR39" s="760"/>
      <c r="CF39" s="760"/>
      <c r="CG39" s="760"/>
      <c r="CH39" s="760"/>
      <c r="CI39" s="760"/>
      <c r="CJ39" s="760"/>
      <c r="CK39" s="760"/>
      <c r="CL39" s="760"/>
      <c r="CM39" s="760"/>
      <c r="DA39" s="760"/>
      <c r="DB39" s="760"/>
      <c r="DC39" s="760"/>
      <c r="DD39" s="760"/>
      <c r="DE39" s="760"/>
      <c r="DF39" s="760"/>
      <c r="DG39" s="760"/>
      <c r="DH39" s="760"/>
    </row>
    <row r="40" spans="1:112">
      <c r="U40" s="760"/>
      <c r="V40" s="760"/>
      <c r="W40" s="760"/>
      <c r="X40" s="760"/>
      <c r="Y40" s="760"/>
      <c r="Z40" s="760"/>
      <c r="AA40" s="760"/>
      <c r="AB40" s="760"/>
      <c r="AC40" s="18">
        <f>SUM(AI8:AI37)</f>
        <v>479</v>
      </c>
      <c r="AP40" s="760"/>
      <c r="AQ40" s="760"/>
      <c r="AR40" s="760"/>
      <c r="AS40" s="760"/>
      <c r="AT40" s="760"/>
      <c r="AU40" s="760"/>
      <c r="AV40" s="760"/>
      <c r="AW40" s="760"/>
      <c r="AX40" s="18">
        <f>SUM(BD8:BD37)</f>
        <v>475</v>
      </c>
      <c r="BK40" s="760"/>
      <c r="BL40" s="760"/>
      <c r="BM40" s="760"/>
      <c r="BN40" s="760"/>
      <c r="BO40" s="760"/>
      <c r="BP40" s="760"/>
      <c r="BQ40" s="760"/>
      <c r="BR40" s="760"/>
      <c r="BS40" s="18">
        <f>SUM(BY8:BY37)</f>
        <v>478</v>
      </c>
      <c r="CF40" s="760"/>
      <c r="CG40" s="760"/>
      <c r="CH40" s="760"/>
      <c r="CI40" s="760"/>
      <c r="CJ40" s="760"/>
      <c r="CK40" s="760"/>
      <c r="CL40" s="760"/>
      <c r="CM40" s="760"/>
      <c r="CN40" s="18">
        <f>SUM(CT8:CT37)</f>
        <v>477</v>
      </c>
      <c r="DA40" s="760"/>
      <c r="DB40" s="760"/>
      <c r="DC40" s="760"/>
      <c r="DD40" s="760"/>
      <c r="DE40" s="760"/>
      <c r="DF40" s="760"/>
      <c r="DG40" s="760"/>
      <c r="DH40" s="760"/>
    </row>
    <row r="41" spans="1:112">
      <c r="S41" s="3">
        <v>1</v>
      </c>
      <c r="T41" s="3">
        <v>0.25</v>
      </c>
      <c r="AO41" s="3">
        <f>T41</f>
        <v>0.25</v>
      </c>
      <c r="BJ41" s="3">
        <f>AO41</f>
        <v>0.25</v>
      </c>
      <c r="CE41" s="3">
        <f>BJ41</f>
        <v>0.25</v>
      </c>
      <c r="CZ41" s="3">
        <f>CE41</f>
        <v>0.25</v>
      </c>
    </row>
    <row r="42" spans="1:112">
      <c r="S42" s="3">
        <v>2</v>
      </c>
      <c r="T42" s="3">
        <v>0.5</v>
      </c>
      <c r="AO42" s="3">
        <f t="shared" ref="AO42:AO43" si="97">T42</f>
        <v>0.5</v>
      </c>
      <c r="BJ42" s="3">
        <f t="shared" ref="BJ42:BJ43" si="98">AO42</f>
        <v>0.5</v>
      </c>
      <c r="CE42" s="3">
        <f t="shared" ref="CE42:CE43" si="99">BJ42</f>
        <v>0.5</v>
      </c>
      <c r="CZ42" s="3">
        <f t="shared" ref="CZ42:CZ43" si="100">CE42</f>
        <v>0.5</v>
      </c>
    </row>
    <row r="43" spans="1:112">
      <c r="S43" s="3">
        <v>3</v>
      </c>
      <c r="T43" s="3">
        <v>0.75</v>
      </c>
      <c r="AO43" s="3">
        <f t="shared" si="97"/>
        <v>0.75</v>
      </c>
      <c r="BJ43" s="3">
        <f t="shared" si="98"/>
        <v>0.75</v>
      </c>
      <c r="CE43" s="3">
        <f t="shared" si="99"/>
        <v>0.75</v>
      </c>
      <c r="CZ43" s="3">
        <f t="shared" si="100"/>
        <v>0.75</v>
      </c>
    </row>
    <row r="45" spans="1:112">
      <c r="A45" s="783"/>
      <c r="H45" s="783"/>
      <c r="I45" s="784"/>
      <c r="AC45" s="783"/>
      <c r="AD45" s="784"/>
      <c r="AX45" s="783"/>
      <c r="AY45" s="784"/>
      <c r="BS45" s="783"/>
      <c r="BT45" s="784"/>
      <c r="CN45" s="783"/>
      <c r="CO45" s="784"/>
    </row>
    <row r="46" spans="1:112">
      <c r="A46" s="783"/>
      <c r="H46" s="783"/>
      <c r="I46" s="784"/>
      <c r="AC46" s="783"/>
      <c r="AD46" s="784"/>
      <c r="AX46" s="783"/>
      <c r="AY46" s="784"/>
      <c r="BS46" s="783"/>
      <c r="BT46" s="784"/>
      <c r="CN46" s="783"/>
      <c r="CO46" s="784"/>
    </row>
    <row r="48" spans="1:112">
      <c r="A48" s="783"/>
      <c r="H48" s="783"/>
      <c r="I48" s="784"/>
      <c r="AC48" s="783"/>
      <c r="AD48" s="784"/>
      <c r="AX48" s="783"/>
      <c r="AY48" s="784"/>
      <c r="BS48" s="783"/>
      <c r="BT48" s="784"/>
      <c r="CN48" s="783"/>
      <c r="CO48" s="784"/>
    </row>
    <row r="49" spans="1:112">
      <c r="A49" s="783"/>
      <c r="H49" s="783"/>
      <c r="I49" s="784"/>
      <c r="AC49" s="783"/>
      <c r="AD49" s="784"/>
      <c r="AX49" s="783"/>
      <c r="AY49" s="784"/>
      <c r="BS49" s="783"/>
      <c r="BT49" s="784"/>
      <c r="CN49" s="783"/>
      <c r="CO49" s="784"/>
    </row>
    <row r="57" spans="1:112">
      <c r="U57" s="3"/>
      <c r="V57" s="3"/>
      <c r="W57" s="3"/>
      <c r="X57" s="3"/>
      <c r="Y57" s="3"/>
      <c r="Z57" s="3"/>
      <c r="AA57" s="3"/>
      <c r="AB57" s="3"/>
      <c r="AP57" s="3"/>
      <c r="AQ57" s="3"/>
      <c r="AR57" s="3"/>
      <c r="AS57" s="3"/>
      <c r="AT57" s="3"/>
      <c r="AU57" s="3"/>
      <c r="AV57" s="3"/>
      <c r="AW57" s="3"/>
      <c r="BK57" s="3"/>
      <c r="BL57" s="3"/>
      <c r="BM57" s="3"/>
      <c r="BN57" s="3"/>
      <c r="BO57" s="3"/>
      <c r="BP57" s="3"/>
      <c r="BQ57" s="3"/>
      <c r="BR57" s="3"/>
      <c r="CF57" s="3"/>
      <c r="CG57" s="3"/>
      <c r="CH57" s="3"/>
      <c r="CI57" s="3"/>
      <c r="CJ57" s="3"/>
      <c r="CK57" s="3"/>
      <c r="CL57" s="3"/>
      <c r="CM57" s="3"/>
      <c r="DA57" s="3"/>
      <c r="DB57" s="3"/>
      <c r="DC57" s="3"/>
      <c r="DD57" s="3"/>
      <c r="DE57" s="3"/>
      <c r="DF57" s="3"/>
      <c r="DG57" s="3"/>
      <c r="DH57" s="3"/>
    </row>
    <row r="58" spans="1:112">
      <c r="U58" s="3"/>
      <c r="V58" s="3"/>
      <c r="W58" s="3"/>
      <c r="X58" s="3"/>
      <c r="Y58" s="3"/>
      <c r="Z58" s="3"/>
      <c r="AA58" s="3"/>
      <c r="AB58" s="3"/>
      <c r="AP58" s="3"/>
      <c r="AQ58" s="3"/>
      <c r="AR58" s="3"/>
      <c r="AS58" s="3"/>
      <c r="AT58" s="3"/>
      <c r="AU58" s="3"/>
      <c r="AV58" s="3"/>
      <c r="AW58" s="3"/>
      <c r="BK58" s="3"/>
      <c r="BL58" s="3"/>
      <c r="BM58" s="3"/>
      <c r="BN58" s="3"/>
      <c r="BO58" s="3"/>
      <c r="BP58" s="3"/>
      <c r="BQ58" s="3"/>
      <c r="BR58" s="3"/>
      <c r="CF58" s="3"/>
      <c r="CG58" s="3"/>
      <c r="CH58" s="3"/>
      <c r="CI58" s="3"/>
      <c r="CJ58" s="3"/>
      <c r="CK58" s="3"/>
      <c r="CL58" s="3"/>
      <c r="CM58" s="3"/>
      <c r="DA58" s="3"/>
      <c r="DB58" s="3"/>
      <c r="DC58" s="3"/>
      <c r="DD58" s="3"/>
      <c r="DE58" s="3"/>
      <c r="DF58" s="3"/>
      <c r="DG58" s="3"/>
      <c r="DH58" s="3"/>
    </row>
    <row r="59" spans="1:112">
      <c r="U59" s="3"/>
      <c r="V59" s="3"/>
      <c r="W59" s="3"/>
      <c r="X59" s="3"/>
      <c r="Y59" s="3"/>
      <c r="Z59" s="3"/>
      <c r="AA59" s="3"/>
      <c r="AB59" s="3"/>
      <c r="AP59" s="3"/>
      <c r="AQ59" s="3"/>
      <c r="AR59" s="3"/>
      <c r="AS59" s="3"/>
      <c r="AT59" s="3"/>
      <c r="AU59" s="3"/>
      <c r="AV59" s="3"/>
      <c r="AW59" s="3"/>
      <c r="BK59" s="3"/>
      <c r="BL59" s="3"/>
      <c r="BM59" s="3"/>
      <c r="BN59" s="3"/>
      <c r="BO59" s="3"/>
      <c r="BP59" s="3"/>
      <c r="BQ59" s="3"/>
      <c r="BR59" s="3"/>
      <c r="CF59" s="3"/>
      <c r="CG59" s="3"/>
      <c r="CH59" s="3"/>
      <c r="CI59" s="3"/>
      <c r="CJ59" s="3"/>
      <c r="CK59" s="3"/>
      <c r="CL59" s="3"/>
      <c r="CM59" s="3"/>
      <c r="DA59" s="3"/>
      <c r="DB59" s="3"/>
      <c r="DC59" s="3"/>
      <c r="DD59" s="3"/>
      <c r="DE59" s="3"/>
      <c r="DF59" s="3"/>
      <c r="DG59" s="3"/>
      <c r="DH59" s="3"/>
    </row>
    <row r="60" spans="1:112">
      <c r="U60" s="3"/>
      <c r="V60" s="3"/>
      <c r="W60" s="3"/>
      <c r="X60" s="3"/>
      <c r="Y60" s="3"/>
      <c r="Z60" s="3"/>
      <c r="AA60" s="3"/>
      <c r="AB60" s="3"/>
      <c r="AP60" s="3"/>
      <c r="AQ60" s="3"/>
      <c r="AR60" s="3"/>
      <c r="AS60" s="3"/>
      <c r="AT60" s="3"/>
      <c r="AU60" s="3"/>
      <c r="AV60" s="3"/>
      <c r="AW60" s="3"/>
      <c r="BK60" s="3"/>
      <c r="BL60" s="3"/>
      <c r="BM60" s="3"/>
      <c r="BN60" s="3"/>
      <c r="BO60" s="3"/>
      <c r="BP60" s="3"/>
      <c r="BQ60" s="3"/>
      <c r="BR60" s="3"/>
      <c r="CF60" s="3"/>
      <c r="CG60" s="3"/>
      <c r="CH60" s="3"/>
      <c r="CI60" s="3"/>
      <c r="CJ60" s="3"/>
      <c r="CK60" s="3"/>
      <c r="CL60" s="3"/>
      <c r="CM60" s="3"/>
      <c r="DA60" s="3"/>
      <c r="DB60" s="3"/>
      <c r="DC60" s="3"/>
      <c r="DD60" s="3"/>
      <c r="DE60" s="3"/>
      <c r="DF60" s="3"/>
      <c r="DG60" s="3"/>
      <c r="DH60" s="3"/>
    </row>
    <row r="61" spans="1:112">
      <c r="U61" s="3"/>
      <c r="V61" s="3"/>
      <c r="W61" s="3"/>
      <c r="X61" s="3"/>
      <c r="Y61" s="3"/>
      <c r="Z61" s="3"/>
      <c r="AA61" s="3"/>
      <c r="AB61" s="3"/>
      <c r="AP61" s="3"/>
      <c r="AQ61" s="3"/>
      <c r="AR61" s="3"/>
      <c r="AS61" s="3"/>
      <c r="AT61" s="3"/>
      <c r="AU61" s="3"/>
      <c r="AV61" s="3"/>
      <c r="AW61" s="3"/>
      <c r="BK61" s="3"/>
      <c r="BL61" s="3"/>
      <c r="BM61" s="3"/>
      <c r="BN61" s="3"/>
      <c r="BO61" s="3"/>
      <c r="BP61" s="3"/>
      <c r="BQ61" s="3"/>
      <c r="BR61" s="3"/>
      <c r="CF61" s="3"/>
      <c r="CG61" s="3"/>
      <c r="CH61" s="3"/>
      <c r="CI61" s="3"/>
      <c r="CJ61" s="3"/>
      <c r="CK61" s="3"/>
      <c r="CL61" s="3"/>
      <c r="CM61" s="3"/>
      <c r="DA61" s="3"/>
      <c r="DB61" s="3"/>
      <c r="DC61" s="3"/>
      <c r="DD61" s="3"/>
      <c r="DE61" s="3"/>
      <c r="DF61" s="3"/>
      <c r="DG61" s="3"/>
      <c r="DH61" s="3"/>
    </row>
    <row r="62" spans="1:112">
      <c r="U62" s="3"/>
      <c r="V62" s="3"/>
      <c r="W62" s="3"/>
      <c r="X62" s="3"/>
      <c r="Y62" s="3"/>
      <c r="Z62" s="3"/>
      <c r="AA62" s="3"/>
      <c r="AB62" s="3"/>
      <c r="AP62" s="3"/>
      <c r="AQ62" s="3"/>
      <c r="AR62" s="3"/>
      <c r="AS62" s="3"/>
      <c r="AT62" s="3"/>
      <c r="AU62" s="3"/>
      <c r="AV62" s="3"/>
      <c r="AW62" s="3"/>
      <c r="BK62" s="3"/>
      <c r="BL62" s="3"/>
      <c r="BM62" s="3"/>
      <c r="BN62" s="3"/>
      <c r="BO62" s="3"/>
      <c r="BP62" s="3"/>
      <c r="BQ62" s="3"/>
      <c r="BR62" s="3"/>
      <c r="CF62" s="3"/>
      <c r="CG62" s="3"/>
      <c r="CH62" s="3"/>
      <c r="CI62" s="3"/>
      <c r="CJ62" s="3"/>
      <c r="CK62" s="3"/>
      <c r="CL62" s="3"/>
      <c r="CM62" s="3"/>
      <c r="DA62" s="3"/>
      <c r="DB62" s="3"/>
      <c r="DC62" s="3"/>
      <c r="DD62" s="3"/>
      <c r="DE62" s="3"/>
      <c r="DF62" s="3"/>
      <c r="DG62" s="3"/>
      <c r="DH62" s="3"/>
    </row>
    <row r="63" spans="1:112">
      <c r="U63" s="3"/>
      <c r="V63" s="3"/>
      <c r="W63" s="3"/>
      <c r="X63" s="3"/>
      <c r="Y63" s="3"/>
      <c r="Z63" s="3"/>
      <c r="AA63" s="3"/>
      <c r="AB63" s="3"/>
      <c r="AP63" s="3"/>
      <c r="AQ63" s="3"/>
      <c r="AR63" s="3"/>
      <c r="AS63" s="3"/>
      <c r="AT63" s="3"/>
      <c r="AU63" s="3"/>
      <c r="AV63" s="3"/>
      <c r="AW63" s="3"/>
      <c r="BK63" s="3"/>
      <c r="BL63" s="3"/>
      <c r="BM63" s="3"/>
      <c r="BN63" s="3"/>
      <c r="BO63" s="3"/>
      <c r="BP63" s="3"/>
      <c r="BQ63" s="3"/>
      <c r="BR63" s="3"/>
      <c r="CF63" s="3"/>
      <c r="CG63" s="3"/>
      <c r="CH63" s="3"/>
      <c r="CI63" s="3"/>
      <c r="CJ63" s="3"/>
      <c r="CK63" s="3"/>
      <c r="CL63" s="3"/>
      <c r="CM63" s="3"/>
      <c r="DA63" s="3"/>
      <c r="DB63" s="3"/>
      <c r="DC63" s="3"/>
      <c r="DD63" s="3"/>
      <c r="DE63" s="3"/>
      <c r="DF63" s="3"/>
      <c r="DG63" s="3"/>
      <c r="DH63" s="3"/>
    </row>
    <row r="64" spans="1:112">
      <c r="U64" s="3"/>
      <c r="V64" s="3"/>
      <c r="W64" s="3"/>
      <c r="X64" s="3"/>
      <c r="Y64" s="3"/>
      <c r="Z64" s="3"/>
      <c r="AA64" s="3"/>
      <c r="AB64" s="3"/>
      <c r="AP64" s="3"/>
      <c r="AQ64" s="3"/>
      <c r="AR64" s="3"/>
      <c r="AS64" s="3"/>
      <c r="AT64" s="3"/>
      <c r="AU64" s="3"/>
      <c r="AV64" s="3"/>
      <c r="AW64" s="3"/>
      <c r="BK64" s="3"/>
      <c r="BL64" s="3"/>
      <c r="BM64" s="3"/>
      <c r="BN64" s="3"/>
      <c r="BO64" s="3"/>
      <c r="BP64" s="3"/>
      <c r="BQ64" s="3"/>
      <c r="BR64" s="3"/>
      <c r="CF64" s="3"/>
      <c r="CG64" s="3"/>
      <c r="CH64" s="3"/>
      <c r="CI64" s="3"/>
      <c r="CJ64" s="3"/>
      <c r="CK64" s="3"/>
      <c r="CL64" s="3"/>
      <c r="CM64" s="3"/>
      <c r="DA64" s="3"/>
      <c r="DB64" s="3"/>
      <c r="DC64" s="3"/>
      <c r="DD64" s="3"/>
      <c r="DE64" s="3"/>
      <c r="DF64" s="3"/>
      <c r="DG64" s="3"/>
      <c r="DH64" s="3"/>
    </row>
    <row r="65" spans="21:112">
      <c r="U65" s="3"/>
      <c r="V65" s="3"/>
      <c r="W65" s="3"/>
      <c r="X65" s="3"/>
      <c r="Y65" s="3"/>
      <c r="Z65" s="3"/>
      <c r="AA65" s="3"/>
      <c r="AB65" s="3"/>
      <c r="AP65" s="3"/>
      <c r="AQ65" s="3"/>
      <c r="AR65" s="3"/>
      <c r="AS65" s="3"/>
      <c r="AT65" s="3"/>
      <c r="AU65" s="3"/>
      <c r="AV65" s="3"/>
      <c r="AW65" s="3"/>
      <c r="BK65" s="3"/>
      <c r="BL65" s="3"/>
      <c r="BM65" s="3"/>
      <c r="BN65" s="3"/>
      <c r="BO65" s="3"/>
      <c r="BP65" s="3"/>
      <c r="BQ65" s="3"/>
      <c r="BR65" s="3"/>
      <c r="CF65" s="3"/>
      <c r="CG65" s="3"/>
      <c r="CH65" s="3"/>
      <c r="CI65" s="3"/>
      <c r="CJ65" s="3"/>
      <c r="CK65" s="3"/>
      <c r="CL65" s="3"/>
      <c r="CM65" s="3"/>
      <c r="DA65" s="3"/>
      <c r="DB65" s="3"/>
      <c r="DC65" s="3"/>
      <c r="DD65" s="3"/>
      <c r="DE65" s="3"/>
      <c r="DF65" s="3"/>
      <c r="DG65" s="3"/>
      <c r="DH65" s="3"/>
    </row>
    <row r="66" spans="21:112">
      <c r="U66" s="3"/>
      <c r="V66" s="3"/>
      <c r="W66" s="3"/>
      <c r="X66" s="3"/>
      <c r="Y66" s="3"/>
      <c r="Z66" s="3"/>
      <c r="AA66" s="3"/>
      <c r="AB66" s="3"/>
      <c r="AP66" s="3"/>
      <c r="AQ66" s="3"/>
      <c r="AR66" s="3"/>
      <c r="AS66" s="3"/>
      <c r="AT66" s="3"/>
      <c r="AU66" s="3"/>
      <c r="AV66" s="3"/>
      <c r="AW66" s="3"/>
      <c r="BK66" s="3"/>
      <c r="BL66" s="3"/>
      <c r="BM66" s="3"/>
      <c r="BN66" s="3"/>
      <c r="BO66" s="3"/>
      <c r="BP66" s="3"/>
      <c r="BQ66" s="3"/>
      <c r="BR66" s="3"/>
      <c r="CF66" s="3"/>
      <c r="CG66" s="3"/>
      <c r="CH66" s="3"/>
      <c r="CI66" s="3"/>
      <c r="CJ66" s="3"/>
      <c r="CK66" s="3"/>
      <c r="CL66" s="3"/>
      <c r="CM66" s="3"/>
      <c r="DA66" s="3"/>
      <c r="DB66" s="3"/>
      <c r="DC66" s="3"/>
      <c r="DD66" s="3"/>
      <c r="DE66" s="3"/>
      <c r="DF66" s="3"/>
      <c r="DG66" s="3"/>
      <c r="DH66" s="3"/>
    </row>
    <row r="67" spans="21:112">
      <c r="U67" s="3"/>
      <c r="V67" s="3"/>
      <c r="W67" s="3"/>
      <c r="X67" s="3"/>
      <c r="Y67" s="3"/>
      <c r="Z67" s="3"/>
      <c r="AA67" s="3"/>
      <c r="AB67" s="3"/>
      <c r="AP67" s="3"/>
      <c r="AQ67" s="3"/>
      <c r="AR67" s="3"/>
      <c r="AS67" s="3"/>
      <c r="AT67" s="3"/>
      <c r="AU67" s="3"/>
      <c r="AV67" s="3"/>
      <c r="AW67" s="3"/>
      <c r="BK67" s="3"/>
      <c r="BL67" s="3"/>
      <c r="BM67" s="3"/>
      <c r="BN67" s="3"/>
      <c r="BO67" s="3"/>
      <c r="BP67" s="3"/>
      <c r="BQ67" s="3"/>
      <c r="BR67" s="3"/>
      <c r="CF67" s="3"/>
      <c r="CG67" s="3"/>
      <c r="CH67" s="3"/>
      <c r="CI67" s="3"/>
      <c r="CJ67" s="3"/>
      <c r="CK67" s="3"/>
      <c r="CL67" s="3"/>
      <c r="CM67" s="3"/>
      <c r="DA67" s="3"/>
      <c r="DB67" s="3"/>
      <c r="DC67" s="3"/>
      <c r="DD67" s="3"/>
      <c r="DE67" s="3"/>
      <c r="DF67" s="3"/>
      <c r="DG67" s="3"/>
      <c r="DH67" s="3"/>
    </row>
    <row r="68" spans="21:112">
      <c r="U68" s="3"/>
      <c r="V68" s="3"/>
      <c r="W68" s="3"/>
      <c r="X68" s="3"/>
      <c r="Y68" s="3"/>
      <c r="Z68" s="3"/>
      <c r="AA68" s="3"/>
      <c r="AB68" s="3"/>
      <c r="AP68" s="3"/>
      <c r="AQ68" s="3"/>
      <c r="AR68" s="3"/>
      <c r="AS68" s="3"/>
      <c r="AT68" s="3"/>
      <c r="AU68" s="3"/>
      <c r="AV68" s="3"/>
      <c r="AW68" s="3"/>
      <c r="BK68" s="3"/>
      <c r="BL68" s="3"/>
      <c r="BM68" s="3"/>
      <c r="BN68" s="3"/>
      <c r="BO68" s="3"/>
      <c r="BP68" s="3"/>
      <c r="BQ68" s="3"/>
      <c r="BR68" s="3"/>
      <c r="CF68" s="3"/>
      <c r="CG68" s="3"/>
      <c r="CH68" s="3"/>
      <c r="CI68" s="3"/>
      <c r="CJ68" s="3"/>
      <c r="CK68" s="3"/>
      <c r="CL68" s="3"/>
      <c r="CM68" s="3"/>
      <c r="DA68" s="3"/>
      <c r="DB68" s="3"/>
      <c r="DC68" s="3"/>
      <c r="DD68" s="3"/>
      <c r="DE68" s="3"/>
      <c r="DF68" s="3"/>
      <c r="DG68" s="3"/>
      <c r="DH68" s="3"/>
    </row>
    <row r="69" spans="21:112">
      <c r="U69" s="3"/>
      <c r="V69" s="3"/>
      <c r="W69" s="3"/>
      <c r="X69" s="3"/>
      <c r="Y69" s="3"/>
      <c r="Z69" s="3"/>
      <c r="AA69" s="3"/>
      <c r="AB69" s="3"/>
      <c r="AP69" s="3"/>
      <c r="AQ69" s="3"/>
      <c r="AR69" s="3"/>
      <c r="AS69" s="3"/>
      <c r="AT69" s="3"/>
      <c r="AU69" s="3"/>
      <c r="AV69" s="3"/>
      <c r="AW69" s="3"/>
      <c r="BK69" s="3"/>
      <c r="BL69" s="3"/>
      <c r="BM69" s="3"/>
      <c r="BN69" s="3"/>
      <c r="BO69" s="3"/>
      <c r="BP69" s="3"/>
      <c r="BQ69" s="3"/>
      <c r="BR69" s="3"/>
      <c r="CF69" s="3"/>
      <c r="CG69" s="3"/>
      <c r="CH69" s="3"/>
      <c r="CI69" s="3"/>
      <c r="CJ69" s="3"/>
      <c r="CK69" s="3"/>
      <c r="CL69" s="3"/>
      <c r="CM69" s="3"/>
      <c r="DA69" s="3"/>
      <c r="DB69" s="3"/>
      <c r="DC69" s="3"/>
      <c r="DD69" s="3"/>
      <c r="DE69" s="3"/>
      <c r="DF69" s="3"/>
      <c r="DG69" s="3"/>
      <c r="DH69" s="3"/>
    </row>
    <row r="70" spans="21:112">
      <c r="U70" s="3"/>
      <c r="V70" s="3"/>
      <c r="W70" s="3"/>
      <c r="X70" s="3"/>
      <c r="Y70" s="3"/>
      <c r="Z70" s="3"/>
      <c r="AA70" s="3"/>
      <c r="AB70" s="3"/>
      <c r="AP70" s="3"/>
      <c r="AQ70" s="3"/>
      <c r="AR70" s="3"/>
      <c r="AS70" s="3"/>
      <c r="AT70" s="3"/>
      <c r="AU70" s="3"/>
      <c r="AV70" s="3"/>
      <c r="AW70" s="3"/>
      <c r="BK70" s="3"/>
      <c r="BL70" s="3"/>
      <c r="BM70" s="3"/>
      <c r="BN70" s="3"/>
      <c r="BO70" s="3"/>
      <c r="BP70" s="3"/>
      <c r="BQ70" s="3"/>
      <c r="BR70" s="3"/>
      <c r="CF70" s="3"/>
      <c r="CG70" s="3"/>
      <c r="CH70" s="3"/>
      <c r="CI70" s="3"/>
      <c r="CJ70" s="3"/>
      <c r="CK70" s="3"/>
      <c r="CL70" s="3"/>
      <c r="CM70" s="3"/>
      <c r="DA70" s="3"/>
      <c r="DB70" s="3"/>
      <c r="DC70" s="3"/>
      <c r="DD70" s="3"/>
      <c r="DE70" s="3"/>
      <c r="DF70" s="3"/>
      <c r="DG70" s="3"/>
      <c r="DH70" s="3"/>
    </row>
    <row r="71" spans="21:112">
      <c r="U71" s="3"/>
      <c r="V71" s="3"/>
      <c r="W71" s="3"/>
      <c r="X71" s="3"/>
      <c r="Y71" s="3"/>
      <c r="Z71" s="3"/>
      <c r="AA71" s="3"/>
      <c r="AB71" s="3"/>
      <c r="AP71" s="3"/>
      <c r="AQ71" s="3"/>
      <c r="AR71" s="3"/>
      <c r="AS71" s="3"/>
      <c r="AT71" s="3"/>
      <c r="AU71" s="3"/>
      <c r="AV71" s="3"/>
      <c r="AW71" s="3"/>
      <c r="BK71" s="3"/>
      <c r="BL71" s="3"/>
      <c r="BM71" s="3"/>
      <c r="BN71" s="3"/>
      <c r="BO71" s="3"/>
      <c r="BP71" s="3"/>
      <c r="BQ71" s="3"/>
      <c r="BR71" s="3"/>
      <c r="CF71" s="3"/>
      <c r="CG71" s="3"/>
      <c r="CH71" s="3"/>
      <c r="CI71" s="3"/>
      <c r="CJ71" s="3"/>
      <c r="CK71" s="3"/>
      <c r="CL71" s="3"/>
      <c r="CM71" s="3"/>
      <c r="DA71" s="3"/>
      <c r="DB71" s="3"/>
      <c r="DC71" s="3"/>
      <c r="DD71" s="3"/>
      <c r="DE71" s="3"/>
      <c r="DF71" s="3"/>
      <c r="DG71" s="3"/>
      <c r="DH71" s="3"/>
    </row>
    <row r="72" spans="21:112">
      <c r="U72" s="3"/>
      <c r="V72" s="3"/>
      <c r="W72" s="3"/>
      <c r="X72" s="3"/>
      <c r="Y72" s="3"/>
      <c r="Z72" s="3"/>
      <c r="AA72" s="3"/>
      <c r="AB72" s="3"/>
      <c r="AP72" s="3"/>
      <c r="AQ72" s="3"/>
      <c r="AR72" s="3"/>
      <c r="AS72" s="3"/>
      <c r="AT72" s="3"/>
      <c r="AU72" s="3"/>
      <c r="AV72" s="3"/>
      <c r="AW72" s="3"/>
      <c r="BK72" s="3"/>
      <c r="BL72" s="3"/>
      <c r="BM72" s="3"/>
      <c r="BN72" s="3"/>
      <c r="BO72" s="3"/>
      <c r="BP72" s="3"/>
      <c r="BQ72" s="3"/>
      <c r="BR72" s="3"/>
      <c r="CF72" s="3"/>
      <c r="CG72" s="3"/>
      <c r="CH72" s="3"/>
      <c r="CI72" s="3"/>
      <c r="CJ72" s="3"/>
      <c r="CK72" s="3"/>
      <c r="CL72" s="3"/>
      <c r="CM72" s="3"/>
      <c r="DA72" s="3"/>
      <c r="DB72" s="3"/>
      <c r="DC72" s="3"/>
      <c r="DD72" s="3"/>
      <c r="DE72" s="3"/>
      <c r="DF72" s="3"/>
      <c r="DG72" s="3"/>
      <c r="DH72" s="3"/>
    </row>
    <row r="73" spans="21:112">
      <c r="U73" s="3"/>
      <c r="V73" s="3"/>
      <c r="W73" s="3"/>
      <c r="X73" s="3"/>
      <c r="Y73" s="3"/>
      <c r="Z73" s="3"/>
      <c r="AA73" s="3"/>
      <c r="AB73" s="3"/>
      <c r="AP73" s="3"/>
      <c r="AQ73" s="3"/>
      <c r="AR73" s="3"/>
      <c r="AS73" s="3"/>
      <c r="AT73" s="3"/>
      <c r="AU73" s="3"/>
      <c r="AV73" s="3"/>
      <c r="AW73" s="3"/>
      <c r="BK73" s="3"/>
      <c r="BL73" s="3"/>
      <c r="BM73" s="3"/>
      <c r="BN73" s="3"/>
      <c r="BO73" s="3"/>
      <c r="BP73" s="3"/>
      <c r="BQ73" s="3"/>
      <c r="BR73" s="3"/>
      <c r="CF73" s="3"/>
      <c r="CG73" s="3"/>
      <c r="CH73" s="3"/>
      <c r="CI73" s="3"/>
      <c r="CJ73" s="3"/>
      <c r="CK73" s="3"/>
      <c r="CL73" s="3"/>
      <c r="CM73" s="3"/>
      <c r="DA73" s="3"/>
      <c r="DB73" s="3"/>
      <c r="DC73" s="3"/>
      <c r="DD73" s="3"/>
      <c r="DE73" s="3"/>
      <c r="DF73" s="3"/>
      <c r="DG73" s="3"/>
      <c r="DH73" s="3"/>
    </row>
    <row r="74" spans="21:112">
      <c r="U74" s="3"/>
      <c r="V74" s="3"/>
      <c r="W74" s="3"/>
      <c r="X74" s="3"/>
      <c r="Y74" s="3"/>
      <c r="Z74" s="3"/>
      <c r="AA74" s="3"/>
      <c r="AB74" s="3"/>
      <c r="AP74" s="3"/>
      <c r="AQ74" s="3"/>
      <c r="AR74" s="3"/>
      <c r="AS74" s="3"/>
      <c r="AT74" s="3"/>
      <c r="AU74" s="3"/>
      <c r="AV74" s="3"/>
      <c r="AW74" s="3"/>
      <c r="BK74" s="3"/>
      <c r="BL74" s="3"/>
      <c r="BM74" s="3"/>
      <c r="BN74" s="3"/>
      <c r="BO74" s="3"/>
      <c r="BP74" s="3"/>
      <c r="BQ74" s="3"/>
      <c r="BR74" s="3"/>
      <c r="CF74" s="3"/>
      <c r="CG74" s="3"/>
      <c r="CH74" s="3"/>
      <c r="CI74" s="3"/>
      <c r="CJ74" s="3"/>
      <c r="CK74" s="3"/>
      <c r="CL74" s="3"/>
      <c r="CM74" s="3"/>
      <c r="DA74" s="3"/>
      <c r="DB74" s="3"/>
      <c r="DC74" s="3"/>
      <c r="DD74" s="3"/>
      <c r="DE74" s="3"/>
      <c r="DF74" s="3"/>
      <c r="DG74" s="3"/>
      <c r="DH74" s="3"/>
    </row>
    <row r="75" spans="21:112">
      <c r="U75" s="3"/>
      <c r="V75" s="3"/>
      <c r="W75" s="3"/>
      <c r="X75" s="3"/>
      <c r="Y75" s="3"/>
      <c r="Z75" s="3"/>
      <c r="AA75" s="3"/>
      <c r="AB75" s="3"/>
      <c r="AP75" s="3"/>
      <c r="AQ75" s="3"/>
      <c r="AR75" s="3"/>
      <c r="AS75" s="3"/>
      <c r="AT75" s="3"/>
      <c r="AU75" s="3"/>
      <c r="AV75" s="3"/>
      <c r="AW75" s="3"/>
      <c r="BK75" s="3"/>
      <c r="BL75" s="3"/>
      <c r="BM75" s="3"/>
      <c r="BN75" s="3"/>
      <c r="BO75" s="3"/>
      <c r="BP75" s="3"/>
      <c r="BQ75" s="3"/>
      <c r="BR75" s="3"/>
      <c r="CF75" s="3"/>
      <c r="CG75" s="3"/>
      <c r="CH75" s="3"/>
      <c r="CI75" s="3"/>
      <c r="CJ75" s="3"/>
      <c r="CK75" s="3"/>
      <c r="CL75" s="3"/>
      <c r="CM75" s="3"/>
      <c r="DA75" s="3"/>
      <c r="DB75" s="3"/>
      <c r="DC75" s="3"/>
      <c r="DD75" s="3"/>
      <c r="DE75" s="3"/>
      <c r="DF75" s="3"/>
      <c r="DG75" s="3"/>
      <c r="DH75" s="3"/>
    </row>
    <row r="76" spans="21:112">
      <c r="U76" s="3"/>
      <c r="V76" s="3"/>
      <c r="W76" s="3"/>
      <c r="X76" s="3"/>
      <c r="Y76" s="3"/>
      <c r="Z76" s="3"/>
      <c r="AA76" s="3"/>
      <c r="AB76" s="3"/>
      <c r="AP76" s="3"/>
      <c r="AQ76" s="3"/>
      <c r="AR76" s="3"/>
      <c r="AS76" s="3"/>
      <c r="AT76" s="3"/>
      <c r="AU76" s="3"/>
      <c r="AV76" s="3"/>
      <c r="AW76" s="3"/>
      <c r="BK76" s="3"/>
      <c r="BL76" s="3"/>
      <c r="BM76" s="3"/>
      <c r="BN76" s="3"/>
      <c r="BO76" s="3"/>
      <c r="BP76" s="3"/>
      <c r="BQ76" s="3"/>
      <c r="BR76" s="3"/>
      <c r="CF76" s="3"/>
      <c r="CG76" s="3"/>
      <c r="CH76" s="3"/>
      <c r="CI76" s="3"/>
      <c r="CJ76" s="3"/>
      <c r="CK76" s="3"/>
      <c r="CL76" s="3"/>
      <c r="CM76" s="3"/>
      <c r="DA76" s="3"/>
      <c r="DB76" s="3"/>
      <c r="DC76" s="3"/>
      <c r="DD76" s="3"/>
      <c r="DE76" s="3"/>
      <c r="DF76" s="3"/>
      <c r="DG76" s="3"/>
      <c r="DH76" s="3"/>
    </row>
    <row r="77" spans="21:112">
      <c r="U77" s="3"/>
      <c r="V77" s="3"/>
      <c r="W77" s="3"/>
      <c r="X77" s="3"/>
      <c r="Y77" s="3"/>
      <c r="Z77" s="3"/>
      <c r="AA77" s="3"/>
      <c r="AB77" s="3"/>
      <c r="AP77" s="3"/>
      <c r="AQ77" s="3"/>
      <c r="AR77" s="3"/>
      <c r="AS77" s="3"/>
      <c r="AT77" s="3"/>
      <c r="AU77" s="3"/>
      <c r="AV77" s="3"/>
      <c r="AW77" s="3"/>
      <c r="BK77" s="3"/>
      <c r="BL77" s="3"/>
      <c r="BM77" s="3"/>
      <c r="BN77" s="3"/>
      <c r="BO77" s="3"/>
      <c r="BP77" s="3"/>
      <c r="BQ77" s="3"/>
      <c r="BR77" s="3"/>
      <c r="CF77" s="3"/>
      <c r="CG77" s="3"/>
      <c r="CH77" s="3"/>
      <c r="CI77" s="3"/>
      <c r="CJ77" s="3"/>
      <c r="CK77" s="3"/>
      <c r="CL77" s="3"/>
      <c r="CM77" s="3"/>
      <c r="DA77" s="3"/>
      <c r="DB77" s="3"/>
      <c r="DC77" s="3"/>
      <c r="DD77" s="3"/>
      <c r="DE77" s="3"/>
      <c r="DF77" s="3"/>
      <c r="DG77" s="3"/>
      <c r="DH77" s="3"/>
    </row>
    <row r="78" spans="21:112">
      <c r="U78" s="3"/>
      <c r="V78" s="3"/>
      <c r="W78" s="3"/>
      <c r="X78" s="3"/>
      <c r="Y78" s="3"/>
      <c r="Z78" s="3"/>
      <c r="AA78" s="3"/>
      <c r="AB78" s="3"/>
      <c r="AP78" s="3"/>
      <c r="AQ78" s="3"/>
      <c r="AR78" s="3"/>
      <c r="AS78" s="3"/>
      <c r="AT78" s="3"/>
      <c r="AU78" s="3"/>
      <c r="AV78" s="3"/>
      <c r="AW78" s="3"/>
      <c r="BK78" s="3"/>
      <c r="BL78" s="3"/>
      <c r="BM78" s="3"/>
      <c r="BN78" s="3"/>
      <c r="BO78" s="3"/>
      <c r="BP78" s="3"/>
      <c r="BQ78" s="3"/>
      <c r="BR78" s="3"/>
      <c r="CF78" s="3"/>
      <c r="CG78" s="3"/>
      <c r="CH78" s="3"/>
      <c r="CI78" s="3"/>
      <c r="CJ78" s="3"/>
      <c r="CK78" s="3"/>
      <c r="CL78" s="3"/>
      <c r="CM78" s="3"/>
      <c r="DA78" s="3"/>
      <c r="DB78" s="3"/>
      <c r="DC78" s="3"/>
      <c r="DD78" s="3"/>
      <c r="DE78" s="3"/>
      <c r="DF78" s="3"/>
      <c r="DG78" s="3"/>
      <c r="DH78" s="3"/>
    </row>
    <row r="79" spans="21:112">
      <c r="U79" s="3"/>
      <c r="V79" s="3"/>
      <c r="W79" s="3"/>
      <c r="X79" s="3"/>
      <c r="Y79" s="3"/>
      <c r="Z79" s="3"/>
      <c r="AA79" s="3"/>
      <c r="AB79" s="3"/>
      <c r="AP79" s="3"/>
      <c r="AQ79" s="3"/>
      <c r="AR79" s="3"/>
      <c r="AS79" s="3"/>
      <c r="AT79" s="3"/>
      <c r="AU79" s="3"/>
      <c r="AV79" s="3"/>
      <c r="AW79" s="3"/>
      <c r="BK79" s="3"/>
      <c r="BL79" s="3"/>
      <c r="BM79" s="3"/>
      <c r="BN79" s="3"/>
      <c r="BO79" s="3"/>
      <c r="BP79" s="3"/>
      <c r="BQ79" s="3"/>
      <c r="BR79" s="3"/>
      <c r="CF79" s="3"/>
      <c r="CG79" s="3"/>
      <c r="CH79" s="3"/>
      <c r="CI79" s="3"/>
      <c r="CJ79" s="3"/>
      <c r="CK79" s="3"/>
      <c r="CL79" s="3"/>
      <c r="CM79" s="3"/>
      <c r="DA79" s="3"/>
      <c r="DB79" s="3"/>
      <c r="DC79" s="3"/>
      <c r="DD79" s="3"/>
      <c r="DE79" s="3"/>
      <c r="DF79" s="3"/>
      <c r="DG79" s="3"/>
      <c r="DH79" s="3"/>
    </row>
    <row r="80" spans="21:112">
      <c r="U80" s="3"/>
      <c r="V80" s="3"/>
      <c r="W80" s="3"/>
      <c r="X80" s="3"/>
      <c r="Y80" s="3"/>
      <c r="Z80" s="3"/>
      <c r="AA80" s="3"/>
      <c r="AB80" s="3"/>
      <c r="AP80" s="3"/>
      <c r="AQ80" s="3"/>
      <c r="AR80" s="3"/>
      <c r="AS80" s="3"/>
      <c r="AT80" s="3"/>
      <c r="AU80" s="3"/>
      <c r="AV80" s="3"/>
      <c r="AW80" s="3"/>
      <c r="BK80" s="3"/>
      <c r="BL80" s="3"/>
      <c r="BM80" s="3"/>
      <c r="BN80" s="3"/>
      <c r="BO80" s="3"/>
      <c r="BP80" s="3"/>
      <c r="BQ80" s="3"/>
      <c r="BR80" s="3"/>
      <c r="CF80" s="3"/>
      <c r="CG80" s="3"/>
      <c r="CH80" s="3"/>
      <c r="CI80" s="3"/>
      <c r="CJ80" s="3"/>
      <c r="CK80" s="3"/>
      <c r="CL80" s="3"/>
      <c r="CM80" s="3"/>
      <c r="DA80" s="3"/>
      <c r="DB80" s="3"/>
      <c r="DC80" s="3"/>
      <c r="DD80" s="3"/>
      <c r="DE80" s="3"/>
      <c r="DF80" s="3"/>
      <c r="DG80" s="3"/>
      <c r="DH80" s="3"/>
    </row>
    <row r="81" spans="21:112">
      <c r="U81" s="3"/>
      <c r="V81" s="3"/>
      <c r="W81" s="3"/>
      <c r="X81" s="3"/>
      <c r="Y81" s="3"/>
      <c r="Z81" s="3"/>
      <c r="AA81" s="3"/>
      <c r="AB81" s="3"/>
      <c r="AP81" s="3"/>
      <c r="AQ81" s="3"/>
      <c r="AR81" s="3"/>
      <c r="AS81" s="3"/>
      <c r="AT81" s="3"/>
      <c r="AU81" s="3"/>
      <c r="AV81" s="3"/>
      <c r="AW81" s="3"/>
      <c r="BK81" s="3"/>
      <c r="BL81" s="3"/>
      <c r="BM81" s="3"/>
      <c r="BN81" s="3"/>
      <c r="BO81" s="3"/>
      <c r="BP81" s="3"/>
      <c r="BQ81" s="3"/>
      <c r="BR81" s="3"/>
      <c r="CF81" s="3"/>
      <c r="CG81" s="3"/>
      <c r="CH81" s="3"/>
      <c r="CI81" s="3"/>
      <c r="CJ81" s="3"/>
      <c r="CK81" s="3"/>
      <c r="CL81" s="3"/>
      <c r="CM81" s="3"/>
      <c r="DA81" s="3"/>
      <c r="DB81" s="3"/>
      <c r="DC81" s="3"/>
      <c r="DD81" s="3"/>
      <c r="DE81" s="3"/>
      <c r="DF81" s="3"/>
      <c r="DG81" s="3"/>
      <c r="DH81" s="3"/>
    </row>
    <row r="82" spans="21:112">
      <c r="U82" s="3"/>
      <c r="V82" s="3"/>
      <c r="W82" s="3"/>
      <c r="X82" s="3"/>
      <c r="Y82" s="3"/>
      <c r="Z82" s="3"/>
      <c r="AA82" s="3"/>
      <c r="AB82" s="3"/>
      <c r="AP82" s="3"/>
      <c r="AQ82" s="3"/>
      <c r="AR82" s="3"/>
      <c r="AS82" s="3"/>
      <c r="AT82" s="3"/>
      <c r="AU82" s="3"/>
      <c r="AV82" s="3"/>
      <c r="AW82" s="3"/>
      <c r="BK82" s="3"/>
      <c r="BL82" s="3"/>
      <c r="BM82" s="3"/>
      <c r="BN82" s="3"/>
      <c r="BO82" s="3"/>
      <c r="BP82" s="3"/>
      <c r="BQ82" s="3"/>
      <c r="BR82" s="3"/>
      <c r="CF82" s="3"/>
      <c r="CG82" s="3"/>
      <c r="CH82" s="3"/>
      <c r="CI82" s="3"/>
      <c r="CJ82" s="3"/>
      <c r="CK82" s="3"/>
      <c r="CL82" s="3"/>
      <c r="CM82" s="3"/>
      <c r="DA82" s="3"/>
      <c r="DB82" s="3"/>
      <c r="DC82" s="3"/>
      <c r="DD82" s="3"/>
      <c r="DE82" s="3"/>
      <c r="DF82" s="3"/>
      <c r="DG82" s="3"/>
      <c r="DH82" s="3"/>
    </row>
    <row r="83" spans="21:112">
      <c r="U83" s="3"/>
      <c r="V83" s="3"/>
      <c r="W83" s="3"/>
      <c r="X83" s="3"/>
      <c r="Y83" s="3"/>
      <c r="Z83" s="3"/>
      <c r="AA83" s="3"/>
      <c r="AB83" s="3"/>
      <c r="AP83" s="3"/>
      <c r="AQ83" s="3"/>
      <c r="AR83" s="3"/>
      <c r="AS83" s="3"/>
      <c r="AT83" s="3"/>
      <c r="AU83" s="3"/>
      <c r="AV83" s="3"/>
      <c r="AW83" s="3"/>
      <c r="BK83" s="3"/>
      <c r="BL83" s="3"/>
      <c r="BM83" s="3"/>
      <c r="BN83" s="3"/>
      <c r="BO83" s="3"/>
      <c r="BP83" s="3"/>
      <c r="BQ83" s="3"/>
      <c r="BR83" s="3"/>
      <c r="CF83" s="3"/>
      <c r="CG83" s="3"/>
      <c r="CH83" s="3"/>
      <c r="CI83" s="3"/>
      <c r="CJ83" s="3"/>
      <c r="CK83" s="3"/>
      <c r="CL83" s="3"/>
      <c r="CM83" s="3"/>
      <c r="DA83" s="3"/>
      <c r="DB83" s="3"/>
      <c r="DC83" s="3"/>
      <c r="DD83" s="3"/>
      <c r="DE83" s="3"/>
      <c r="DF83" s="3"/>
      <c r="DG83" s="3"/>
      <c r="DH83" s="3"/>
    </row>
    <row r="84" spans="21:112">
      <c r="U84" s="3"/>
      <c r="V84" s="3"/>
      <c r="W84" s="3"/>
      <c r="X84" s="3"/>
      <c r="Y84" s="3"/>
      <c r="Z84" s="3"/>
      <c r="AA84" s="3"/>
      <c r="AB84" s="3"/>
      <c r="AP84" s="3"/>
      <c r="AQ84" s="3"/>
      <c r="AR84" s="3"/>
      <c r="AS84" s="3"/>
      <c r="AT84" s="3"/>
      <c r="AU84" s="3"/>
      <c r="AV84" s="3"/>
      <c r="AW84" s="3"/>
      <c r="BK84" s="3"/>
      <c r="BL84" s="3"/>
      <c r="BM84" s="3"/>
      <c r="BN84" s="3"/>
      <c r="BO84" s="3"/>
      <c r="BP84" s="3"/>
      <c r="BQ84" s="3"/>
      <c r="BR84" s="3"/>
      <c r="CF84" s="3"/>
      <c r="CG84" s="3"/>
      <c r="CH84" s="3"/>
      <c r="CI84" s="3"/>
      <c r="CJ84" s="3"/>
      <c r="CK84" s="3"/>
      <c r="CL84" s="3"/>
      <c r="CM84" s="3"/>
      <c r="DA84" s="3"/>
      <c r="DB84" s="3"/>
      <c r="DC84" s="3"/>
      <c r="DD84" s="3"/>
      <c r="DE84" s="3"/>
      <c r="DF84" s="3"/>
      <c r="DG84" s="3"/>
      <c r="DH84" s="3"/>
    </row>
    <row r="85" spans="21:112">
      <c r="U85" s="3"/>
      <c r="V85" s="3"/>
      <c r="W85" s="3"/>
      <c r="X85" s="3"/>
      <c r="Y85" s="3"/>
      <c r="Z85" s="3"/>
      <c r="AA85" s="3"/>
      <c r="AB85" s="3"/>
      <c r="AP85" s="3"/>
      <c r="AQ85" s="3"/>
      <c r="AR85" s="3"/>
      <c r="AS85" s="3"/>
      <c r="AT85" s="3"/>
      <c r="AU85" s="3"/>
      <c r="AV85" s="3"/>
      <c r="AW85" s="3"/>
      <c r="BK85" s="3"/>
      <c r="BL85" s="3"/>
      <c r="BM85" s="3"/>
      <c r="BN85" s="3"/>
      <c r="BO85" s="3"/>
      <c r="BP85" s="3"/>
      <c r="BQ85" s="3"/>
      <c r="BR85" s="3"/>
      <c r="CF85" s="3"/>
      <c r="CG85" s="3"/>
      <c r="CH85" s="3"/>
      <c r="CI85" s="3"/>
      <c r="CJ85" s="3"/>
      <c r="CK85" s="3"/>
      <c r="CL85" s="3"/>
      <c r="CM85" s="3"/>
      <c r="DA85" s="3"/>
      <c r="DB85" s="3"/>
      <c r="DC85" s="3"/>
      <c r="DD85" s="3"/>
      <c r="DE85" s="3"/>
      <c r="DF85" s="3"/>
      <c r="DG85" s="3"/>
      <c r="DH85" s="3"/>
    </row>
    <row r="86" spans="21:112">
      <c r="U86" s="3"/>
      <c r="V86" s="3"/>
      <c r="W86" s="3"/>
      <c r="X86" s="3"/>
      <c r="Y86" s="3"/>
      <c r="Z86" s="3"/>
      <c r="AA86" s="3"/>
      <c r="AB86" s="3"/>
      <c r="AP86" s="3"/>
      <c r="AQ86" s="3"/>
      <c r="AR86" s="3"/>
      <c r="AS86" s="3"/>
      <c r="AT86" s="3"/>
      <c r="AU86" s="3"/>
      <c r="AV86" s="3"/>
      <c r="AW86" s="3"/>
      <c r="BK86" s="3"/>
      <c r="BL86" s="3"/>
      <c r="BM86" s="3"/>
      <c r="BN86" s="3"/>
      <c r="BO86" s="3"/>
      <c r="BP86" s="3"/>
      <c r="BQ86" s="3"/>
      <c r="BR86" s="3"/>
      <c r="CF86" s="3"/>
      <c r="CG86" s="3"/>
      <c r="CH86" s="3"/>
      <c r="CI86" s="3"/>
      <c r="CJ86" s="3"/>
      <c r="CK86" s="3"/>
      <c r="CL86" s="3"/>
      <c r="CM86" s="3"/>
      <c r="DA86" s="3"/>
      <c r="DB86" s="3"/>
      <c r="DC86" s="3"/>
      <c r="DD86" s="3"/>
      <c r="DE86" s="3"/>
      <c r="DF86" s="3"/>
      <c r="DG86" s="3"/>
      <c r="DH86" s="3"/>
    </row>
    <row r="87" spans="21:112">
      <c r="U87" s="3"/>
      <c r="V87" s="3"/>
      <c r="W87" s="3"/>
      <c r="X87" s="3"/>
      <c r="Y87" s="3"/>
      <c r="Z87" s="3"/>
      <c r="AA87" s="3"/>
      <c r="AB87" s="3"/>
      <c r="AP87" s="3"/>
      <c r="AQ87" s="3"/>
      <c r="AR87" s="3"/>
      <c r="AS87" s="3"/>
      <c r="AT87" s="3"/>
      <c r="AU87" s="3"/>
      <c r="AV87" s="3"/>
      <c r="AW87" s="3"/>
      <c r="BK87" s="3"/>
      <c r="BL87" s="3"/>
      <c r="BM87" s="3"/>
      <c r="BN87" s="3"/>
      <c r="BO87" s="3"/>
      <c r="BP87" s="3"/>
      <c r="BQ87" s="3"/>
      <c r="BR87" s="3"/>
      <c r="CF87" s="3"/>
      <c r="CG87" s="3"/>
      <c r="CH87" s="3"/>
      <c r="CI87" s="3"/>
      <c r="CJ87" s="3"/>
      <c r="CK87" s="3"/>
      <c r="CL87" s="3"/>
      <c r="CM87" s="3"/>
      <c r="DA87" s="3"/>
      <c r="DB87" s="3"/>
      <c r="DC87" s="3"/>
      <c r="DD87" s="3"/>
      <c r="DE87" s="3"/>
      <c r="DF87" s="3"/>
      <c r="DG87" s="3"/>
      <c r="DH87" s="3"/>
    </row>
    <row r="88" spans="21:112">
      <c r="U88" s="3"/>
      <c r="V88" s="3"/>
      <c r="W88" s="3"/>
      <c r="X88" s="3"/>
      <c r="Y88" s="3"/>
      <c r="Z88" s="3"/>
      <c r="AA88" s="3"/>
      <c r="AB88" s="3"/>
      <c r="AP88" s="3"/>
      <c r="AQ88" s="3"/>
      <c r="AR88" s="3"/>
      <c r="AS88" s="3"/>
      <c r="AT88" s="3"/>
      <c r="AU88" s="3"/>
      <c r="AV88" s="3"/>
      <c r="AW88" s="3"/>
      <c r="BK88" s="3"/>
      <c r="BL88" s="3"/>
      <c r="BM88" s="3"/>
      <c r="BN88" s="3"/>
      <c r="BO88" s="3"/>
      <c r="BP88" s="3"/>
      <c r="BQ88" s="3"/>
      <c r="BR88" s="3"/>
      <c r="CF88" s="3"/>
      <c r="CG88" s="3"/>
      <c r="CH88" s="3"/>
      <c r="CI88" s="3"/>
      <c r="CJ88" s="3"/>
      <c r="CK88" s="3"/>
      <c r="CL88" s="3"/>
      <c r="CM88" s="3"/>
      <c r="DA88" s="3"/>
      <c r="DB88" s="3"/>
      <c r="DC88" s="3"/>
      <c r="DD88" s="3"/>
      <c r="DE88" s="3"/>
      <c r="DF88" s="3"/>
      <c r="DG88" s="3"/>
      <c r="DH88" s="3"/>
    </row>
    <row r="89" spans="21:112">
      <c r="U89" s="3"/>
      <c r="V89" s="3"/>
      <c r="W89" s="3"/>
      <c r="X89" s="3"/>
      <c r="Y89" s="3"/>
      <c r="Z89" s="3"/>
      <c r="AA89" s="3"/>
      <c r="AB89" s="3"/>
      <c r="AP89" s="3"/>
      <c r="AQ89" s="3"/>
      <c r="AR89" s="3"/>
      <c r="AS89" s="3"/>
      <c r="AT89" s="3"/>
      <c r="AU89" s="3"/>
      <c r="AV89" s="3"/>
      <c r="AW89" s="3"/>
      <c r="BK89" s="3"/>
      <c r="BL89" s="3"/>
      <c r="BM89" s="3"/>
      <c r="BN89" s="3"/>
      <c r="BO89" s="3"/>
      <c r="BP89" s="3"/>
      <c r="BQ89" s="3"/>
      <c r="BR89" s="3"/>
      <c r="CF89" s="3"/>
      <c r="CG89" s="3"/>
      <c r="CH89" s="3"/>
      <c r="CI89" s="3"/>
      <c r="CJ89" s="3"/>
      <c r="CK89" s="3"/>
      <c r="CL89" s="3"/>
      <c r="CM89" s="3"/>
      <c r="DA89" s="3"/>
      <c r="DB89" s="3"/>
      <c r="DC89" s="3"/>
      <c r="DD89" s="3"/>
      <c r="DE89" s="3"/>
      <c r="DF89" s="3"/>
      <c r="DG89" s="3"/>
      <c r="DH89" s="3"/>
    </row>
    <row r="90" spans="21:112">
      <c r="U90" s="3"/>
      <c r="V90" s="3"/>
      <c r="W90" s="3"/>
      <c r="X90" s="3"/>
      <c r="Y90" s="3"/>
      <c r="Z90" s="3"/>
      <c r="AA90" s="3"/>
      <c r="AB90" s="3"/>
      <c r="AP90" s="3"/>
      <c r="AQ90" s="3"/>
      <c r="AR90" s="3"/>
      <c r="AS90" s="3"/>
      <c r="AT90" s="3"/>
      <c r="AU90" s="3"/>
      <c r="AV90" s="3"/>
      <c r="AW90" s="3"/>
      <c r="BK90" s="3"/>
      <c r="BL90" s="3"/>
      <c r="BM90" s="3"/>
      <c r="BN90" s="3"/>
      <c r="BO90" s="3"/>
      <c r="BP90" s="3"/>
      <c r="BQ90" s="3"/>
      <c r="BR90" s="3"/>
      <c r="CF90" s="3"/>
      <c r="CG90" s="3"/>
      <c r="CH90" s="3"/>
      <c r="CI90" s="3"/>
      <c r="CJ90" s="3"/>
      <c r="CK90" s="3"/>
      <c r="CL90" s="3"/>
      <c r="CM90" s="3"/>
      <c r="DA90" s="3"/>
      <c r="DB90" s="3"/>
      <c r="DC90" s="3"/>
      <c r="DD90" s="3"/>
      <c r="DE90" s="3"/>
      <c r="DF90" s="3"/>
      <c r="DG90" s="3"/>
      <c r="DH90" s="3"/>
    </row>
    <row r="91" spans="21:112">
      <c r="U91" s="3"/>
      <c r="V91" s="3"/>
      <c r="W91" s="3"/>
      <c r="X91" s="3"/>
      <c r="Y91" s="3"/>
      <c r="Z91" s="3"/>
      <c r="AA91" s="3"/>
      <c r="AB91" s="3"/>
      <c r="AP91" s="3"/>
      <c r="AQ91" s="3"/>
      <c r="AR91" s="3"/>
      <c r="AS91" s="3"/>
      <c r="AT91" s="3"/>
      <c r="AU91" s="3"/>
      <c r="AV91" s="3"/>
      <c r="AW91" s="3"/>
      <c r="BK91" s="3"/>
      <c r="BL91" s="3"/>
      <c r="BM91" s="3"/>
      <c r="BN91" s="3"/>
      <c r="BO91" s="3"/>
      <c r="BP91" s="3"/>
      <c r="BQ91" s="3"/>
      <c r="BR91" s="3"/>
      <c r="CF91" s="3"/>
      <c r="CG91" s="3"/>
      <c r="CH91" s="3"/>
      <c r="CI91" s="3"/>
      <c r="CJ91" s="3"/>
      <c r="CK91" s="3"/>
      <c r="CL91" s="3"/>
      <c r="CM91" s="3"/>
      <c r="DA91" s="3"/>
      <c r="DB91" s="3"/>
      <c r="DC91" s="3"/>
      <c r="DD91" s="3"/>
      <c r="DE91" s="3"/>
      <c r="DF91" s="3"/>
      <c r="DG91" s="3"/>
      <c r="DH91" s="3"/>
    </row>
    <row r="92" spans="21:112">
      <c r="U92" s="3"/>
      <c r="V92" s="3"/>
      <c r="W92" s="3"/>
      <c r="X92" s="3"/>
      <c r="Y92" s="3"/>
      <c r="Z92" s="3"/>
      <c r="AA92" s="3"/>
      <c r="AB92" s="3"/>
      <c r="AP92" s="3"/>
      <c r="AQ92" s="3"/>
      <c r="AR92" s="3"/>
      <c r="AS92" s="3"/>
      <c r="AT92" s="3"/>
      <c r="AU92" s="3"/>
      <c r="AV92" s="3"/>
      <c r="AW92" s="3"/>
      <c r="BK92" s="3"/>
      <c r="BL92" s="3"/>
      <c r="BM92" s="3"/>
      <c r="BN92" s="3"/>
      <c r="BO92" s="3"/>
      <c r="BP92" s="3"/>
      <c r="BQ92" s="3"/>
      <c r="BR92" s="3"/>
      <c r="CF92" s="3"/>
      <c r="CG92" s="3"/>
      <c r="CH92" s="3"/>
      <c r="CI92" s="3"/>
      <c r="CJ92" s="3"/>
      <c r="CK92" s="3"/>
      <c r="CL92" s="3"/>
      <c r="CM92" s="3"/>
      <c r="DA92" s="3"/>
      <c r="DB92" s="3"/>
      <c r="DC92" s="3"/>
      <c r="DD92" s="3"/>
      <c r="DE92" s="3"/>
      <c r="DF92" s="3"/>
      <c r="DG92" s="3"/>
      <c r="DH92" s="3"/>
    </row>
    <row r="93" spans="21:112">
      <c r="U93" s="3"/>
      <c r="V93" s="3"/>
      <c r="W93" s="3"/>
      <c r="X93" s="3"/>
      <c r="Y93" s="3"/>
      <c r="Z93" s="3"/>
      <c r="AA93" s="3"/>
      <c r="AB93" s="3"/>
      <c r="AP93" s="3"/>
      <c r="AQ93" s="3"/>
      <c r="AR93" s="3"/>
      <c r="AS93" s="3"/>
      <c r="AT93" s="3"/>
      <c r="AU93" s="3"/>
      <c r="AV93" s="3"/>
      <c r="AW93" s="3"/>
      <c r="BK93" s="3"/>
      <c r="BL93" s="3"/>
      <c r="BM93" s="3"/>
      <c r="BN93" s="3"/>
      <c r="BO93" s="3"/>
      <c r="BP93" s="3"/>
      <c r="BQ93" s="3"/>
      <c r="BR93" s="3"/>
      <c r="CF93" s="3"/>
      <c r="CG93" s="3"/>
      <c r="CH93" s="3"/>
      <c r="CI93" s="3"/>
      <c r="CJ93" s="3"/>
      <c r="CK93" s="3"/>
      <c r="CL93" s="3"/>
      <c r="CM93" s="3"/>
      <c r="DA93" s="3"/>
      <c r="DB93" s="3"/>
      <c r="DC93" s="3"/>
      <c r="DD93" s="3"/>
      <c r="DE93" s="3"/>
      <c r="DF93" s="3"/>
      <c r="DG93" s="3"/>
      <c r="DH93" s="3"/>
    </row>
    <row r="94" spans="21:112">
      <c r="U94" s="3"/>
      <c r="V94" s="3"/>
      <c r="W94" s="3"/>
      <c r="X94" s="3"/>
      <c r="Y94" s="3"/>
      <c r="Z94" s="3"/>
      <c r="AA94" s="3"/>
      <c r="AB94" s="3"/>
      <c r="AP94" s="3"/>
      <c r="AQ94" s="3"/>
      <c r="AR94" s="3"/>
      <c r="AS94" s="3"/>
      <c r="AT94" s="3"/>
      <c r="AU94" s="3"/>
      <c r="AV94" s="3"/>
      <c r="AW94" s="3"/>
      <c r="BK94" s="3"/>
      <c r="BL94" s="3"/>
      <c r="BM94" s="3"/>
      <c r="BN94" s="3"/>
      <c r="BO94" s="3"/>
      <c r="BP94" s="3"/>
      <c r="BQ94" s="3"/>
      <c r="BR94" s="3"/>
      <c r="CF94" s="3"/>
      <c r="CG94" s="3"/>
      <c r="CH94" s="3"/>
      <c r="CI94" s="3"/>
      <c r="CJ94" s="3"/>
      <c r="CK94" s="3"/>
      <c r="CL94" s="3"/>
      <c r="CM94" s="3"/>
      <c r="DA94" s="3"/>
      <c r="DB94" s="3"/>
      <c r="DC94" s="3"/>
      <c r="DD94" s="3"/>
      <c r="DE94" s="3"/>
      <c r="DF94" s="3"/>
      <c r="DG94" s="3"/>
      <c r="DH94" s="3"/>
    </row>
    <row r="95" spans="21:112">
      <c r="U95" s="3"/>
      <c r="V95" s="3"/>
      <c r="W95" s="3"/>
      <c r="X95" s="3"/>
      <c r="Y95" s="3"/>
      <c r="Z95" s="3"/>
      <c r="AA95" s="3"/>
      <c r="AB95" s="3"/>
      <c r="AP95" s="3"/>
      <c r="AQ95" s="3"/>
      <c r="AR95" s="3"/>
      <c r="AS95" s="3"/>
      <c r="AT95" s="3"/>
      <c r="AU95" s="3"/>
      <c r="AV95" s="3"/>
      <c r="AW95" s="3"/>
      <c r="BK95" s="3"/>
      <c r="BL95" s="3"/>
      <c r="BM95" s="3"/>
      <c r="BN95" s="3"/>
      <c r="BO95" s="3"/>
      <c r="BP95" s="3"/>
      <c r="BQ95" s="3"/>
      <c r="BR95" s="3"/>
      <c r="CF95" s="3"/>
      <c r="CG95" s="3"/>
      <c r="CH95" s="3"/>
      <c r="CI95" s="3"/>
      <c r="CJ95" s="3"/>
      <c r="CK95" s="3"/>
      <c r="CL95" s="3"/>
      <c r="CM95" s="3"/>
      <c r="DA95" s="3"/>
      <c r="DB95" s="3"/>
      <c r="DC95" s="3"/>
      <c r="DD95" s="3"/>
      <c r="DE95" s="3"/>
      <c r="DF95" s="3"/>
      <c r="DG95" s="3"/>
      <c r="DH95" s="3"/>
    </row>
    <row r="96" spans="21:112">
      <c r="U96" s="3"/>
      <c r="V96" s="3"/>
      <c r="W96" s="3"/>
      <c r="X96" s="3"/>
      <c r="Y96" s="3"/>
      <c r="Z96" s="3"/>
      <c r="AA96" s="3"/>
      <c r="AB96" s="3"/>
      <c r="AP96" s="3"/>
      <c r="AQ96" s="3"/>
      <c r="AR96" s="3"/>
      <c r="AS96" s="3"/>
      <c r="AT96" s="3"/>
      <c r="AU96" s="3"/>
      <c r="AV96" s="3"/>
      <c r="AW96" s="3"/>
      <c r="BK96" s="3"/>
      <c r="BL96" s="3"/>
      <c r="BM96" s="3"/>
      <c r="BN96" s="3"/>
      <c r="BO96" s="3"/>
      <c r="BP96" s="3"/>
      <c r="BQ96" s="3"/>
      <c r="BR96" s="3"/>
      <c r="CF96" s="3"/>
      <c r="CG96" s="3"/>
      <c r="CH96" s="3"/>
      <c r="CI96" s="3"/>
      <c r="CJ96" s="3"/>
      <c r="CK96" s="3"/>
      <c r="CL96" s="3"/>
      <c r="CM96" s="3"/>
      <c r="DA96" s="3"/>
      <c r="DB96" s="3"/>
      <c r="DC96" s="3"/>
      <c r="DD96" s="3"/>
      <c r="DE96" s="3"/>
      <c r="DF96" s="3"/>
      <c r="DG96" s="3"/>
      <c r="DH96" s="3"/>
    </row>
    <row r="97" spans="21:112">
      <c r="U97" s="3"/>
      <c r="V97" s="3"/>
      <c r="W97" s="3"/>
      <c r="X97" s="3"/>
      <c r="Y97" s="3"/>
      <c r="Z97" s="3"/>
      <c r="AA97" s="3"/>
      <c r="AB97" s="3"/>
      <c r="AP97" s="3"/>
      <c r="AQ97" s="3"/>
      <c r="AR97" s="3"/>
      <c r="AS97" s="3"/>
      <c r="AT97" s="3"/>
      <c r="AU97" s="3"/>
      <c r="AV97" s="3"/>
      <c r="AW97" s="3"/>
      <c r="BK97" s="3"/>
      <c r="BL97" s="3"/>
      <c r="BM97" s="3"/>
      <c r="BN97" s="3"/>
      <c r="BO97" s="3"/>
      <c r="BP97" s="3"/>
      <c r="BQ97" s="3"/>
      <c r="BR97" s="3"/>
      <c r="CF97" s="3"/>
      <c r="CG97" s="3"/>
      <c r="CH97" s="3"/>
      <c r="CI97" s="3"/>
      <c r="CJ97" s="3"/>
      <c r="CK97" s="3"/>
      <c r="CL97" s="3"/>
      <c r="CM97" s="3"/>
      <c r="DA97" s="3"/>
      <c r="DB97" s="3"/>
      <c r="DC97" s="3"/>
      <c r="DD97" s="3"/>
      <c r="DE97" s="3"/>
      <c r="DF97" s="3"/>
      <c r="DG97" s="3"/>
      <c r="DH97" s="3"/>
    </row>
    <row r="98" spans="21:112">
      <c r="U98" s="3"/>
      <c r="V98" s="3"/>
      <c r="W98" s="3"/>
      <c r="X98" s="3"/>
      <c r="Y98" s="3"/>
      <c r="Z98" s="3"/>
      <c r="AA98" s="3"/>
      <c r="AB98" s="3"/>
      <c r="AP98" s="3"/>
      <c r="AQ98" s="3"/>
      <c r="AR98" s="3"/>
      <c r="AS98" s="3"/>
      <c r="AT98" s="3"/>
      <c r="AU98" s="3"/>
      <c r="AV98" s="3"/>
      <c r="AW98" s="3"/>
      <c r="BK98" s="3"/>
      <c r="BL98" s="3"/>
      <c r="BM98" s="3"/>
      <c r="BN98" s="3"/>
      <c r="BO98" s="3"/>
      <c r="BP98" s="3"/>
      <c r="BQ98" s="3"/>
      <c r="BR98" s="3"/>
      <c r="CF98" s="3"/>
      <c r="CG98" s="3"/>
      <c r="CH98" s="3"/>
      <c r="CI98" s="3"/>
      <c r="CJ98" s="3"/>
      <c r="CK98" s="3"/>
      <c r="CL98" s="3"/>
      <c r="CM98" s="3"/>
      <c r="DA98" s="3"/>
      <c r="DB98" s="3"/>
      <c r="DC98" s="3"/>
      <c r="DD98" s="3"/>
      <c r="DE98" s="3"/>
      <c r="DF98" s="3"/>
      <c r="DG98" s="3"/>
      <c r="DH98" s="3"/>
    </row>
    <row r="99" spans="21:112">
      <c r="U99" s="3"/>
      <c r="V99" s="3"/>
      <c r="W99" s="3"/>
      <c r="X99" s="3"/>
      <c r="Y99" s="3"/>
      <c r="Z99" s="3"/>
      <c r="AA99" s="3"/>
      <c r="AB99" s="3"/>
      <c r="AP99" s="3"/>
      <c r="AQ99" s="3"/>
      <c r="AR99" s="3"/>
      <c r="AS99" s="3"/>
      <c r="AT99" s="3"/>
      <c r="AU99" s="3"/>
      <c r="AV99" s="3"/>
      <c r="AW99" s="3"/>
      <c r="BK99" s="3"/>
      <c r="BL99" s="3"/>
      <c r="BM99" s="3"/>
      <c r="BN99" s="3"/>
      <c r="BO99" s="3"/>
      <c r="BP99" s="3"/>
      <c r="BQ99" s="3"/>
      <c r="BR99" s="3"/>
      <c r="CF99" s="3"/>
      <c r="CG99" s="3"/>
      <c r="CH99" s="3"/>
      <c r="CI99" s="3"/>
      <c r="CJ99" s="3"/>
      <c r="CK99" s="3"/>
      <c r="CL99" s="3"/>
      <c r="CM99" s="3"/>
      <c r="DA99" s="3"/>
      <c r="DB99" s="3"/>
      <c r="DC99" s="3"/>
      <c r="DD99" s="3"/>
      <c r="DE99" s="3"/>
      <c r="DF99" s="3"/>
      <c r="DG99" s="3"/>
      <c r="DH99" s="3"/>
    </row>
    <row r="100" spans="21:112">
      <c r="U100" s="3"/>
      <c r="V100" s="3"/>
      <c r="W100" s="3"/>
      <c r="X100" s="3"/>
      <c r="Y100" s="3"/>
      <c r="Z100" s="3"/>
      <c r="AA100" s="3"/>
      <c r="AB100" s="3"/>
      <c r="AP100" s="3"/>
      <c r="AQ100" s="3"/>
      <c r="AR100" s="3"/>
      <c r="AS100" s="3"/>
      <c r="AT100" s="3"/>
      <c r="AU100" s="3"/>
      <c r="AV100" s="3"/>
      <c r="AW100" s="3"/>
      <c r="BK100" s="3"/>
      <c r="BL100" s="3"/>
      <c r="BM100" s="3"/>
      <c r="BN100" s="3"/>
      <c r="BO100" s="3"/>
      <c r="BP100" s="3"/>
      <c r="BQ100" s="3"/>
      <c r="BR100" s="3"/>
      <c r="CF100" s="3"/>
      <c r="CG100" s="3"/>
      <c r="CH100" s="3"/>
      <c r="CI100" s="3"/>
      <c r="CJ100" s="3"/>
      <c r="CK100" s="3"/>
      <c r="CL100" s="3"/>
      <c r="CM100" s="3"/>
      <c r="DA100" s="3"/>
      <c r="DB100" s="3"/>
      <c r="DC100" s="3"/>
      <c r="DD100" s="3"/>
      <c r="DE100" s="3"/>
      <c r="DF100" s="3"/>
      <c r="DG100" s="3"/>
      <c r="DH100" s="3"/>
    </row>
    <row r="101" spans="21:112">
      <c r="U101" s="3"/>
      <c r="V101" s="3"/>
      <c r="W101" s="3"/>
      <c r="X101" s="3"/>
      <c r="Y101" s="3"/>
      <c r="Z101" s="3"/>
      <c r="AA101" s="3"/>
      <c r="AB101" s="3"/>
      <c r="AP101" s="3"/>
      <c r="AQ101" s="3"/>
      <c r="AR101" s="3"/>
      <c r="AS101" s="3"/>
      <c r="AT101" s="3"/>
      <c r="AU101" s="3"/>
      <c r="AV101" s="3"/>
      <c r="AW101" s="3"/>
      <c r="BK101" s="3"/>
      <c r="BL101" s="3"/>
      <c r="BM101" s="3"/>
      <c r="BN101" s="3"/>
      <c r="BO101" s="3"/>
      <c r="BP101" s="3"/>
      <c r="BQ101" s="3"/>
      <c r="BR101" s="3"/>
      <c r="CF101" s="3"/>
      <c r="CG101" s="3"/>
      <c r="CH101" s="3"/>
      <c r="CI101" s="3"/>
      <c r="CJ101" s="3"/>
      <c r="CK101" s="3"/>
      <c r="CL101" s="3"/>
      <c r="CM101" s="3"/>
      <c r="DA101" s="3"/>
      <c r="DB101" s="3"/>
      <c r="DC101" s="3"/>
      <c r="DD101" s="3"/>
      <c r="DE101" s="3"/>
      <c r="DF101" s="3"/>
      <c r="DG101" s="3"/>
      <c r="DH101" s="3"/>
    </row>
    <row r="102" spans="21:112">
      <c r="U102" s="3"/>
      <c r="V102" s="3"/>
      <c r="W102" s="3"/>
      <c r="X102" s="3"/>
      <c r="Y102" s="3"/>
      <c r="Z102" s="3"/>
      <c r="AA102" s="3"/>
      <c r="AB102" s="3"/>
      <c r="AP102" s="3"/>
      <c r="AQ102" s="3"/>
      <c r="AR102" s="3"/>
      <c r="AS102" s="3"/>
      <c r="AT102" s="3"/>
      <c r="AU102" s="3"/>
      <c r="AV102" s="3"/>
      <c r="AW102" s="3"/>
      <c r="BK102" s="3"/>
      <c r="BL102" s="3"/>
      <c r="BM102" s="3"/>
      <c r="BN102" s="3"/>
      <c r="BO102" s="3"/>
      <c r="BP102" s="3"/>
      <c r="BQ102" s="3"/>
      <c r="BR102" s="3"/>
      <c r="CF102" s="3"/>
      <c r="CG102" s="3"/>
      <c r="CH102" s="3"/>
      <c r="CI102" s="3"/>
      <c r="CJ102" s="3"/>
      <c r="CK102" s="3"/>
      <c r="CL102" s="3"/>
      <c r="CM102" s="3"/>
      <c r="DA102" s="3"/>
      <c r="DB102" s="3"/>
      <c r="DC102" s="3"/>
      <c r="DD102" s="3"/>
      <c r="DE102" s="3"/>
      <c r="DF102" s="3"/>
      <c r="DG102" s="3"/>
      <c r="DH102" s="3"/>
    </row>
    <row r="103" spans="21:112">
      <c r="U103" s="3"/>
      <c r="V103" s="3"/>
      <c r="W103" s="3"/>
      <c r="X103" s="3"/>
      <c r="Y103" s="3"/>
      <c r="Z103" s="3"/>
      <c r="AA103" s="3"/>
      <c r="AB103" s="3"/>
      <c r="AP103" s="3"/>
      <c r="AQ103" s="3"/>
      <c r="AR103" s="3"/>
      <c r="AS103" s="3"/>
      <c r="AT103" s="3"/>
      <c r="AU103" s="3"/>
      <c r="AV103" s="3"/>
      <c r="AW103" s="3"/>
      <c r="BK103" s="3"/>
      <c r="BL103" s="3"/>
      <c r="BM103" s="3"/>
      <c r="BN103" s="3"/>
      <c r="BO103" s="3"/>
      <c r="BP103" s="3"/>
      <c r="BQ103" s="3"/>
      <c r="BR103" s="3"/>
      <c r="CF103" s="3"/>
      <c r="CG103" s="3"/>
      <c r="CH103" s="3"/>
      <c r="CI103" s="3"/>
      <c r="CJ103" s="3"/>
      <c r="CK103" s="3"/>
      <c r="CL103" s="3"/>
      <c r="CM103" s="3"/>
      <c r="DA103" s="3"/>
      <c r="DB103" s="3"/>
      <c r="DC103" s="3"/>
      <c r="DD103" s="3"/>
      <c r="DE103" s="3"/>
      <c r="DF103" s="3"/>
      <c r="DG103" s="3"/>
      <c r="DH103" s="3"/>
    </row>
    <row r="104" spans="21:112">
      <c r="U104" s="3"/>
      <c r="V104" s="3"/>
      <c r="W104" s="3"/>
      <c r="X104" s="3"/>
      <c r="Y104" s="3"/>
      <c r="Z104" s="3"/>
      <c r="AA104" s="3"/>
      <c r="AB104" s="3"/>
      <c r="AP104" s="3"/>
      <c r="AQ104" s="3"/>
      <c r="AR104" s="3"/>
      <c r="AS104" s="3"/>
      <c r="AT104" s="3"/>
      <c r="AU104" s="3"/>
      <c r="AV104" s="3"/>
      <c r="AW104" s="3"/>
      <c r="BK104" s="3"/>
      <c r="BL104" s="3"/>
      <c r="BM104" s="3"/>
      <c r="BN104" s="3"/>
      <c r="BO104" s="3"/>
      <c r="BP104" s="3"/>
      <c r="BQ104" s="3"/>
      <c r="BR104" s="3"/>
      <c r="CF104" s="3"/>
      <c r="CG104" s="3"/>
      <c r="CH104" s="3"/>
      <c r="CI104" s="3"/>
      <c r="CJ104" s="3"/>
      <c r="CK104" s="3"/>
      <c r="CL104" s="3"/>
      <c r="CM104" s="3"/>
      <c r="DA104" s="3"/>
      <c r="DB104" s="3"/>
      <c r="DC104" s="3"/>
      <c r="DD104" s="3"/>
      <c r="DE104" s="3"/>
      <c r="DF104" s="3"/>
      <c r="DG104" s="3"/>
      <c r="DH104" s="3"/>
    </row>
    <row r="105" spans="21:112">
      <c r="U105" s="3"/>
      <c r="V105" s="3"/>
      <c r="W105" s="3"/>
      <c r="X105" s="3"/>
      <c r="Y105" s="3"/>
      <c r="Z105" s="3"/>
      <c r="AA105" s="3"/>
      <c r="AB105" s="3"/>
      <c r="AP105" s="3"/>
      <c r="AQ105" s="3"/>
      <c r="AR105" s="3"/>
      <c r="AS105" s="3"/>
      <c r="AT105" s="3"/>
      <c r="AU105" s="3"/>
      <c r="AV105" s="3"/>
      <c r="AW105" s="3"/>
      <c r="BK105" s="3"/>
      <c r="BL105" s="3"/>
      <c r="BM105" s="3"/>
      <c r="BN105" s="3"/>
      <c r="BO105" s="3"/>
      <c r="BP105" s="3"/>
      <c r="BQ105" s="3"/>
      <c r="BR105" s="3"/>
      <c r="CF105" s="3"/>
      <c r="CG105" s="3"/>
      <c r="CH105" s="3"/>
      <c r="CI105" s="3"/>
      <c r="CJ105" s="3"/>
      <c r="CK105" s="3"/>
      <c r="CL105" s="3"/>
      <c r="CM105" s="3"/>
      <c r="DA105" s="3"/>
      <c r="DB105" s="3"/>
      <c r="DC105" s="3"/>
      <c r="DD105" s="3"/>
      <c r="DE105" s="3"/>
      <c r="DF105" s="3"/>
      <c r="DG105" s="3"/>
      <c r="DH105" s="3"/>
    </row>
    <row r="106" spans="21:112">
      <c r="U106" s="3"/>
      <c r="V106" s="3"/>
      <c r="W106" s="3"/>
      <c r="X106" s="3"/>
      <c r="Y106" s="3"/>
      <c r="Z106" s="3"/>
      <c r="AA106" s="3"/>
      <c r="AB106" s="3"/>
      <c r="AP106" s="3"/>
      <c r="AQ106" s="3"/>
      <c r="AR106" s="3"/>
      <c r="AS106" s="3"/>
      <c r="AT106" s="3"/>
      <c r="AU106" s="3"/>
      <c r="AV106" s="3"/>
      <c r="AW106" s="3"/>
      <c r="BK106" s="3"/>
      <c r="BL106" s="3"/>
      <c r="BM106" s="3"/>
      <c r="BN106" s="3"/>
      <c r="BO106" s="3"/>
      <c r="BP106" s="3"/>
      <c r="BQ106" s="3"/>
      <c r="BR106" s="3"/>
      <c r="CF106" s="3"/>
      <c r="CG106" s="3"/>
      <c r="CH106" s="3"/>
      <c r="CI106" s="3"/>
      <c r="CJ106" s="3"/>
      <c r="CK106" s="3"/>
      <c r="CL106" s="3"/>
      <c r="CM106" s="3"/>
      <c r="DA106" s="3"/>
      <c r="DB106" s="3"/>
      <c r="DC106" s="3"/>
      <c r="DD106" s="3"/>
      <c r="DE106" s="3"/>
      <c r="DF106" s="3"/>
      <c r="DG106" s="3"/>
      <c r="DH106" s="3"/>
    </row>
    <row r="107" spans="21:112">
      <c r="U107" s="3"/>
      <c r="V107" s="3"/>
      <c r="W107" s="3"/>
      <c r="X107" s="3"/>
      <c r="Y107" s="3"/>
      <c r="Z107" s="3"/>
      <c r="AA107" s="3"/>
      <c r="AB107" s="3"/>
      <c r="AP107" s="3"/>
      <c r="AQ107" s="3"/>
      <c r="AR107" s="3"/>
      <c r="AS107" s="3"/>
      <c r="AT107" s="3"/>
      <c r="AU107" s="3"/>
      <c r="AV107" s="3"/>
      <c r="AW107" s="3"/>
      <c r="BK107" s="3"/>
      <c r="BL107" s="3"/>
      <c r="BM107" s="3"/>
      <c r="BN107" s="3"/>
      <c r="BO107" s="3"/>
      <c r="BP107" s="3"/>
      <c r="BQ107" s="3"/>
      <c r="BR107" s="3"/>
      <c r="CF107" s="3"/>
      <c r="CG107" s="3"/>
      <c r="CH107" s="3"/>
      <c r="CI107" s="3"/>
      <c r="CJ107" s="3"/>
      <c r="CK107" s="3"/>
      <c r="CL107" s="3"/>
      <c r="CM107" s="3"/>
      <c r="DA107" s="3"/>
      <c r="DB107" s="3"/>
      <c r="DC107" s="3"/>
      <c r="DD107" s="3"/>
      <c r="DE107" s="3"/>
      <c r="DF107" s="3"/>
      <c r="DG107" s="3"/>
      <c r="DH107" s="3"/>
    </row>
    <row r="108" spans="21:112">
      <c r="U108" s="3"/>
      <c r="V108" s="3"/>
      <c r="W108" s="3"/>
      <c r="X108" s="3"/>
      <c r="Y108" s="3"/>
      <c r="Z108" s="3"/>
      <c r="AA108" s="3"/>
      <c r="AB108" s="3"/>
      <c r="AP108" s="3"/>
      <c r="AQ108" s="3"/>
      <c r="AR108" s="3"/>
      <c r="AS108" s="3"/>
      <c r="AT108" s="3"/>
      <c r="AU108" s="3"/>
      <c r="AV108" s="3"/>
      <c r="AW108" s="3"/>
      <c r="BK108" s="3"/>
      <c r="BL108" s="3"/>
      <c r="BM108" s="3"/>
      <c r="BN108" s="3"/>
      <c r="BO108" s="3"/>
      <c r="BP108" s="3"/>
      <c r="BQ108" s="3"/>
      <c r="BR108" s="3"/>
      <c r="CF108" s="3"/>
      <c r="CG108" s="3"/>
      <c r="CH108" s="3"/>
      <c r="CI108" s="3"/>
      <c r="CJ108" s="3"/>
      <c r="CK108" s="3"/>
      <c r="CL108" s="3"/>
      <c r="CM108" s="3"/>
      <c r="DA108" s="3"/>
      <c r="DB108" s="3"/>
      <c r="DC108" s="3"/>
      <c r="DD108" s="3"/>
      <c r="DE108" s="3"/>
      <c r="DF108" s="3"/>
      <c r="DG108" s="3"/>
      <c r="DH108" s="3"/>
    </row>
    <row r="109" spans="21:112">
      <c r="U109" s="3"/>
      <c r="V109" s="3"/>
      <c r="W109" s="3"/>
      <c r="X109" s="3"/>
      <c r="Y109" s="3"/>
      <c r="Z109" s="3"/>
      <c r="AA109" s="3"/>
      <c r="AB109" s="3"/>
      <c r="AP109" s="3"/>
      <c r="AQ109" s="3"/>
      <c r="AR109" s="3"/>
      <c r="AS109" s="3"/>
      <c r="AT109" s="3"/>
      <c r="AU109" s="3"/>
      <c r="AV109" s="3"/>
      <c r="AW109" s="3"/>
      <c r="BK109" s="3"/>
      <c r="BL109" s="3"/>
      <c r="BM109" s="3"/>
      <c r="BN109" s="3"/>
      <c r="BO109" s="3"/>
      <c r="BP109" s="3"/>
      <c r="BQ109" s="3"/>
      <c r="BR109" s="3"/>
      <c r="CF109" s="3"/>
      <c r="CG109" s="3"/>
      <c r="CH109" s="3"/>
      <c r="CI109" s="3"/>
      <c r="CJ109" s="3"/>
      <c r="CK109" s="3"/>
      <c r="CL109" s="3"/>
      <c r="CM109" s="3"/>
      <c r="DA109" s="3"/>
      <c r="DB109" s="3"/>
      <c r="DC109" s="3"/>
      <c r="DD109" s="3"/>
      <c r="DE109" s="3"/>
      <c r="DF109" s="3"/>
      <c r="DG109" s="3"/>
      <c r="DH109" s="3"/>
    </row>
    <row r="110" spans="21:112">
      <c r="U110" s="3"/>
      <c r="V110" s="3"/>
      <c r="W110" s="3"/>
      <c r="X110" s="3"/>
      <c r="Y110" s="3"/>
      <c r="Z110" s="3"/>
      <c r="AA110" s="3"/>
      <c r="AB110" s="3"/>
      <c r="AP110" s="3"/>
      <c r="AQ110" s="3"/>
      <c r="AR110" s="3"/>
      <c r="AS110" s="3"/>
      <c r="AT110" s="3"/>
      <c r="AU110" s="3"/>
      <c r="AV110" s="3"/>
      <c r="AW110" s="3"/>
      <c r="BK110" s="3"/>
      <c r="BL110" s="3"/>
      <c r="BM110" s="3"/>
      <c r="BN110" s="3"/>
      <c r="BO110" s="3"/>
      <c r="BP110" s="3"/>
      <c r="BQ110" s="3"/>
      <c r="BR110" s="3"/>
      <c r="CF110" s="3"/>
      <c r="CG110" s="3"/>
      <c r="CH110" s="3"/>
      <c r="CI110" s="3"/>
      <c r="CJ110" s="3"/>
      <c r="CK110" s="3"/>
      <c r="CL110" s="3"/>
      <c r="CM110" s="3"/>
      <c r="DA110" s="3"/>
      <c r="DB110" s="3"/>
      <c r="DC110" s="3"/>
      <c r="DD110" s="3"/>
      <c r="DE110" s="3"/>
      <c r="DF110" s="3"/>
      <c r="DG110" s="3"/>
      <c r="DH110" s="3"/>
    </row>
    <row r="111" spans="21:112">
      <c r="U111" s="3"/>
      <c r="V111" s="3"/>
      <c r="W111" s="3"/>
      <c r="X111" s="3"/>
      <c r="Y111" s="3"/>
      <c r="Z111" s="3"/>
      <c r="AA111" s="3"/>
      <c r="AB111" s="3"/>
      <c r="AP111" s="3"/>
      <c r="AQ111" s="3"/>
      <c r="AR111" s="3"/>
      <c r="AS111" s="3"/>
      <c r="AT111" s="3"/>
      <c r="AU111" s="3"/>
      <c r="AV111" s="3"/>
      <c r="AW111" s="3"/>
      <c r="BK111" s="3"/>
      <c r="BL111" s="3"/>
      <c r="BM111" s="3"/>
      <c r="BN111" s="3"/>
      <c r="BO111" s="3"/>
      <c r="BP111" s="3"/>
      <c r="BQ111" s="3"/>
      <c r="BR111" s="3"/>
      <c r="CF111" s="3"/>
      <c r="CG111" s="3"/>
      <c r="CH111" s="3"/>
      <c r="CI111" s="3"/>
      <c r="CJ111" s="3"/>
      <c r="CK111" s="3"/>
      <c r="CL111" s="3"/>
      <c r="CM111" s="3"/>
      <c r="DA111" s="3"/>
      <c r="DB111" s="3"/>
      <c r="DC111" s="3"/>
      <c r="DD111" s="3"/>
      <c r="DE111" s="3"/>
      <c r="DF111" s="3"/>
      <c r="DG111" s="3"/>
      <c r="DH111" s="3"/>
    </row>
    <row r="112" spans="21:112">
      <c r="U112" s="3"/>
      <c r="V112" s="3"/>
      <c r="W112" s="3"/>
      <c r="X112" s="3"/>
      <c r="Y112" s="3"/>
      <c r="Z112" s="3"/>
      <c r="AA112" s="3"/>
      <c r="AB112" s="3"/>
      <c r="AP112" s="3"/>
      <c r="AQ112" s="3"/>
      <c r="AR112" s="3"/>
      <c r="AS112" s="3"/>
      <c r="AT112" s="3"/>
      <c r="AU112" s="3"/>
      <c r="AV112" s="3"/>
      <c r="AW112" s="3"/>
      <c r="BK112" s="3"/>
      <c r="BL112" s="3"/>
      <c r="BM112" s="3"/>
      <c r="BN112" s="3"/>
      <c r="BO112" s="3"/>
      <c r="BP112" s="3"/>
      <c r="BQ112" s="3"/>
      <c r="BR112" s="3"/>
      <c r="CF112" s="3"/>
      <c r="CG112" s="3"/>
      <c r="CH112" s="3"/>
      <c r="CI112" s="3"/>
      <c r="CJ112" s="3"/>
      <c r="CK112" s="3"/>
      <c r="CL112" s="3"/>
      <c r="CM112" s="3"/>
      <c r="DA112" s="3"/>
      <c r="DB112" s="3"/>
      <c r="DC112" s="3"/>
      <c r="DD112" s="3"/>
      <c r="DE112" s="3"/>
      <c r="DF112" s="3"/>
      <c r="DG112" s="3"/>
      <c r="DH112" s="3"/>
    </row>
    <row r="113" spans="21:112">
      <c r="U113" s="3"/>
      <c r="V113" s="3"/>
      <c r="W113" s="3"/>
      <c r="X113" s="3"/>
      <c r="Y113" s="3"/>
      <c r="Z113" s="3"/>
      <c r="AA113" s="3"/>
      <c r="AB113" s="3"/>
      <c r="AP113" s="3"/>
      <c r="AQ113" s="3"/>
      <c r="AR113" s="3"/>
      <c r="AS113" s="3"/>
      <c r="AT113" s="3"/>
      <c r="AU113" s="3"/>
      <c r="AV113" s="3"/>
      <c r="AW113" s="3"/>
      <c r="BK113" s="3"/>
      <c r="BL113" s="3"/>
      <c r="BM113" s="3"/>
      <c r="BN113" s="3"/>
      <c r="BO113" s="3"/>
      <c r="BP113" s="3"/>
      <c r="BQ113" s="3"/>
      <c r="BR113" s="3"/>
      <c r="CF113" s="3"/>
      <c r="CG113" s="3"/>
      <c r="CH113" s="3"/>
      <c r="CI113" s="3"/>
      <c r="CJ113" s="3"/>
      <c r="CK113" s="3"/>
      <c r="CL113" s="3"/>
      <c r="CM113" s="3"/>
      <c r="DA113" s="3"/>
      <c r="DB113" s="3"/>
      <c r="DC113" s="3"/>
      <c r="DD113" s="3"/>
      <c r="DE113" s="3"/>
      <c r="DF113" s="3"/>
      <c r="DG113" s="3"/>
      <c r="DH113" s="3"/>
    </row>
    <row r="114" spans="21:112">
      <c r="U114" s="3"/>
      <c r="V114" s="3"/>
      <c r="W114" s="3"/>
      <c r="X114" s="3"/>
      <c r="Y114" s="3"/>
      <c r="Z114" s="3"/>
      <c r="AA114" s="3"/>
      <c r="AB114" s="3"/>
      <c r="AP114" s="3"/>
      <c r="AQ114" s="3"/>
      <c r="AR114" s="3"/>
      <c r="AS114" s="3"/>
      <c r="AT114" s="3"/>
      <c r="AU114" s="3"/>
      <c r="AV114" s="3"/>
      <c r="AW114" s="3"/>
      <c r="BK114" s="3"/>
      <c r="BL114" s="3"/>
      <c r="BM114" s="3"/>
      <c r="BN114" s="3"/>
      <c r="BO114" s="3"/>
      <c r="BP114" s="3"/>
      <c r="BQ114" s="3"/>
      <c r="BR114" s="3"/>
      <c r="CF114" s="3"/>
      <c r="CG114" s="3"/>
      <c r="CH114" s="3"/>
      <c r="CI114" s="3"/>
      <c r="CJ114" s="3"/>
      <c r="CK114" s="3"/>
      <c r="CL114" s="3"/>
      <c r="CM114" s="3"/>
      <c r="DA114" s="3"/>
      <c r="DB114" s="3"/>
      <c r="DC114" s="3"/>
      <c r="DD114" s="3"/>
      <c r="DE114" s="3"/>
      <c r="DF114" s="3"/>
      <c r="DG114" s="3"/>
      <c r="DH114" s="3"/>
    </row>
    <row r="115" spans="21:112">
      <c r="U115" s="3"/>
      <c r="V115" s="3"/>
      <c r="W115" s="3"/>
      <c r="X115" s="3"/>
      <c r="Y115" s="3"/>
      <c r="Z115" s="3"/>
      <c r="AA115" s="3"/>
      <c r="AB115" s="3"/>
      <c r="AP115" s="3"/>
      <c r="AQ115" s="3"/>
      <c r="AR115" s="3"/>
      <c r="AS115" s="3"/>
      <c r="AT115" s="3"/>
      <c r="AU115" s="3"/>
      <c r="AV115" s="3"/>
      <c r="AW115" s="3"/>
      <c r="BK115" s="3"/>
      <c r="BL115" s="3"/>
      <c r="BM115" s="3"/>
      <c r="BN115" s="3"/>
      <c r="BO115" s="3"/>
      <c r="BP115" s="3"/>
      <c r="BQ115" s="3"/>
      <c r="BR115" s="3"/>
      <c r="CF115" s="3"/>
      <c r="CG115" s="3"/>
      <c r="CH115" s="3"/>
      <c r="CI115" s="3"/>
      <c r="CJ115" s="3"/>
      <c r="CK115" s="3"/>
      <c r="CL115" s="3"/>
      <c r="CM115" s="3"/>
      <c r="DA115" s="3"/>
      <c r="DB115" s="3"/>
      <c r="DC115" s="3"/>
      <c r="DD115" s="3"/>
      <c r="DE115" s="3"/>
      <c r="DF115" s="3"/>
      <c r="DG115" s="3"/>
      <c r="DH115" s="3"/>
    </row>
    <row r="116" spans="21:112">
      <c r="U116" s="3"/>
      <c r="V116" s="3"/>
      <c r="W116" s="3"/>
      <c r="X116" s="3"/>
      <c r="Y116" s="3"/>
      <c r="Z116" s="3"/>
      <c r="AA116" s="3"/>
      <c r="AB116" s="3"/>
      <c r="AP116" s="3"/>
      <c r="AQ116" s="3"/>
      <c r="AR116" s="3"/>
      <c r="AS116" s="3"/>
      <c r="AT116" s="3"/>
      <c r="AU116" s="3"/>
      <c r="AV116" s="3"/>
      <c r="AW116" s="3"/>
      <c r="BK116" s="3"/>
      <c r="BL116" s="3"/>
      <c r="BM116" s="3"/>
      <c r="BN116" s="3"/>
      <c r="BO116" s="3"/>
      <c r="BP116" s="3"/>
      <c r="BQ116" s="3"/>
      <c r="BR116" s="3"/>
      <c r="CF116" s="3"/>
      <c r="CG116" s="3"/>
      <c r="CH116" s="3"/>
      <c r="CI116" s="3"/>
      <c r="CJ116" s="3"/>
      <c r="CK116" s="3"/>
      <c r="CL116" s="3"/>
      <c r="CM116" s="3"/>
      <c r="DA116" s="3"/>
      <c r="DB116" s="3"/>
      <c r="DC116" s="3"/>
      <c r="DD116" s="3"/>
      <c r="DE116" s="3"/>
      <c r="DF116" s="3"/>
      <c r="DG116" s="3"/>
      <c r="DH116" s="3"/>
    </row>
    <row r="117" spans="21:112">
      <c r="U117" s="3"/>
      <c r="V117" s="3"/>
      <c r="W117" s="3"/>
      <c r="X117" s="3"/>
      <c r="Y117" s="3"/>
      <c r="Z117" s="3"/>
      <c r="AA117" s="3"/>
      <c r="AB117" s="3"/>
      <c r="AP117" s="3"/>
      <c r="AQ117" s="3"/>
      <c r="AR117" s="3"/>
      <c r="AS117" s="3"/>
      <c r="AT117" s="3"/>
      <c r="AU117" s="3"/>
      <c r="AV117" s="3"/>
      <c r="AW117" s="3"/>
      <c r="BK117" s="3"/>
      <c r="BL117" s="3"/>
      <c r="BM117" s="3"/>
      <c r="BN117" s="3"/>
      <c r="BO117" s="3"/>
      <c r="BP117" s="3"/>
      <c r="BQ117" s="3"/>
      <c r="BR117" s="3"/>
      <c r="CF117" s="3"/>
      <c r="CG117" s="3"/>
      <c r="CH117" s="3"/>
      <c r="CI117" s="3"/>
      <c r="CJ117" s="3"/>
      <c r="CK117" s="3"/>
      <c r="CL117" s="3"/>
      <c r="CM117" s="3"/>
      <c r="DA117" s="3"/>
      <c r="DB117" s="3"/>
      <c r="DC117" s="3"/>
      <c r="DD117" s="3"/>
      <c r="DE117" s="3"/>
      <c r="DF117" s="3"/>
      <c r="DG117" s="3"/>
      <c r="DH117" s="3"/>
    </row>
    <row r="118" spans="21:112">
      <c r="U118" s="3"/>
      <c r="V118" s="3"/>
      <c r="W118" s="3"/>
      <c r="X118" s="3"/>
      <c r="Y118" s="3"/>
      <c r="Z118" s="3"/>
      <c r="AA118" s="3"/>
      <c r="AB118" s="3"/>
      <c r="AP118" s="3"/>
      <c r="AQ118" s="3"/>
      <c r="AR118" s="3"/>
      <c r="AS118" s="3"/>
      <c r="AT118" s="3"/>
      <c r="AU118" s="3"/>
      <c r="AV118" s="3"/>
      <c r="AW118" s="3"/>
      <c r="BK118" s="3"/>
      <c r="BL118" s="3"/>
      <c r="BM118" s="3"/>
      <c r="BN118" s="3"/>
      <c r="BO118" s="3"/>
      <c r="BP118" s="3"/>
      <c r="BQ118" s="3"/>
      <c r="BR118" s="3"/>
      <c r="CF118" s="3"/>
      <c r="CG118" s="3"/>
      <c r="CH118" s="3"/>
      <c r="CI118" s="3"/>
      <c r="CJ118" s="3"/>
      <c r="CK118" s="3"/>
      <c r="CL118" s="3"/>
      <c r="CM118" s="3"/>
      <c r="DA118" s="3"/>
      <c r="DB118" s="3"/>
      <c r="DC118" s="3"/>
      <c r="DD118" s="3"/>
      <c r="DE118" s="3"/>
      <c r="DF118" s="3"/>
      <c r="DG118" s="3"/>
      <c r="DH118" s="3"/>
    </row>
    <row r="119" spans="21:112">
      <c r="U119" s="3"/>
      <c r="V119" s="3"/>
      <c r="W119" s="3"/>
      <c r="X119" s="3"/>
      <c r="Y119" s="3"/>
      <c r="Z119" s="3"/>
      <c r="AA119" s="3"/>
      <c r="AB119" s="3"/>
      <c r="AP119" s="3"/>
      <c r="AQ119" s="3"/>
      <c r="AR119" s="3"/>
      <c r="AS119" s="3"/>
      <c r="AT119" s="3"/>
      <c r="AU119" s="3"/>
      <c r="AV119" s="3"/>
      <c r="AW119" s="3"/>
      <c r="BK119" s="3"/>
      <c r="BL119" s="3"/>
      <c r="BM119" s="3"/>
      <c r="BN119" s="3"/>
      <c r="BO119" s="3"/>
      <c r="BP119" s="3"/>
      <c r="BQ119" s="3"/>
      <c r="BR119" s="3"/>
      <c r="CF119" s="3"/>
      <c r="CG119" s="3"/>
      <c r="CH119" s="3"/>
      <c r="CI119" s="3"/>
      <c r="CJ119" s="3"/>
      <c r="CK119" s="3"/>
      <c r="CL119" s="3"/>
      <c r="CM119" s="3"/>
      <c r="DA119" s="3"/>
      <c r="DB119" s="3"/>
      <c r="DC119" s="3"/>
      <c r="DD119" s="3"/>
      <c r="DE119" s="3"/>
      <c r="DF119" s="3"/>
      <c r="DG119" s="3"/>
      <c r="DH119" s="3"/>
    </row>
    <row r="120" spans="21:112">
      <c r="U120" s="3"/>
      <c r="V120" s="3"/>
      <c r="W120" s="3"/>
      <c r="X120" s="3"/>
      <c r="Y120" s="3"/>
      <c r="Z120" s="3"/>
      <c r="AA120" s="3"/>
      <c r="AB120" s="3"/>
      <c r="AP120" s="3"/>
      <c r="AQ120" s="3"/>
      <c r="AR120" s="3"/>
      <c r="AS120" s="3"/>
      <c r="AT120" s="3"/>
      <c r="AU120" s="3"/>
      <c r="AV120" s="3"/>
      <c r="AW120" s="3"/>
      <c r="BK120" s="3"/>
      <c r="BL120" s="3"/>
      <c r="BM120" s="3"/>
      <c r="BN120" s="3"/>
      <c r="BO120" s="3"/>
      <c r="BP120" s="3"/>
      <c r="BQ120" s="3"/>
      <c r="BR120" s="3"/>
      <c r="CF120" s="3"/>
      <c r="CG120" s="3"/>
      <c r="CH120" s="3"/>
      <c r="CI120" s="3"/>
      <c r="CJ120" s="3"/>
      <c r="CK120" s="3"/>
      <c r="CL120" s="3"/>
      <c r="CM120" s="3"/>
      <c r="DA120" s="3"/>
      <c r="DB120" s="3"/>
      <c r="DC120" s="3"/>
      <c r="DD120" s="3"/>
      <c r="DE120" s="3"/>
      <c r="DF120" s="3"/>
      <c r="DG120" s="3"/>
      <c r="DH120" s="3"/>
    </row>
    <row r="121" spans="21:112">
      <c r="U121" s="3"/>
      <c r="V121" s="3"/>
      <c r="W121" s="3"/>
      <c r="X121" s="3"/>
      <c r="Y121" s="3"/>
      <c r="Z121" s="3"/>
      <c r="AA121" s="3"/>
      <c r="AB121" s="3"/>
      <c r="AP121" s="3"/>
      <c r="AQ121" s="3"/>
      <c r="AR121" s="3"/>
      <c r="AS121" s="3"/>
      <c r="AT121" s="3"/>
      <c r="AU121" s="3"/>
      <c r="AV121" s="3"/>
      <c r="AW121" s="3"/>
      <c r="BK121" s="3"/>
      <c r="BL121" s="3"/>
      <c r="BM121" s="3"/>
      <c r="BN121" s="3"/>
      <c r="BO121" s="3"/>
      <c r="BP121" s="3"/>
      <c r="BQ121" s="3"/>
      <c r="BR121" s="3"/>
      <c r="CF121" s="3"/>
      <c r="CG121" s="3"/>
      <c r="CH121" s="3"/>
      <c r="CI121" s="3"/>
      <c r="CJ121" s="3"/>
      <c r="CK121" s="3"/>
      <c r="CL121" s="3"/>
      <c r="CM121" s="3"/>
      <c r="DA121" s="3"/>
      <c r="DB121" s="3"/>
      <c r="DC121" s="3"/>
      <c r="DD121" s="3"/>
      <c r="DE121" s="3"/>
      <c r="DF121" s="3"/>
      <c r="DG121" s="3"/>
      <c r="DH121" s="3"/>
    </row>
    <row r="122" spans="21:112">
      <c r="U122" s="3"/>
      <c r="V122" s="3"/>
      <c r="W122" s="3"/>
      <c r="X122" s="3"/>
      <c r="Y122" s="3"/>
      <c r="Z122" s="3"/>
      <c r="AA122" s="3"/>
      <c r="AB122" s="3"/>
      <c r="AP122" s="3"/>
      <c r="AQ122" s="3"/>
      <c r="AR122" s="3"/>
      <c r="AS122" s="3"/>
      <c r="AT122" s="3"/>
      <c r="AU122" s="3"/>
      <c r="AV122" s="3"/>
      <c r="AW122" s="3"/>
      <c r="BK122" s="3"/>
      <c r="BL122" s="3"/>
      <c r="BM122" s="3"/>
      <c r="BN122" s="3"/>
      <c r="BO122" s="3"/>
      <c r="BP122" s="3"/>
      <c r="BQ122" s="3"/>
      <c r="BR122" s="3"/>
      <c r="CF122" s="3"/>
      <c r="CG122" s="3"/>
      <c r="CH122" s="3"/>
      <c r="CI122" s="3"/>
      <c r="CJ122" s="3"/>
      <c r="CK122" s="3"/>
      <c r="CL122" s="3"/>
      <c r="CM122" s="3"/>
      <c r="DA122" s="3"/>
      <c r="DB122" s="3"/>
      <c r="DC122" s="3"/>
      <c r="DD122" s="3"/>
      <c r="DE122" s="3"/>
      <c r="DF122" s="3"/>
      <c r="DG122" s="3"/>
      <c r="DH122" s="3"/>
    </row>
    <row r="123" spans="21:112">
      <c r="U123" s="3"/>
      <c r="V123" s="3"/>
      <c r="W123" s="3"/>
      <c r="X123" s="3"/>
      <c r="Y123" s="3"/>
      <c r="Z123" s="3"/>
      <c r="AA123" s="3"/>
      <c r="AB123" s="3"/>
      <c r="AP123" s="3"/>
      <c r="AQ123" s="3"/>
      <c r="AR123" s="3"/>
      <c r="AS123" s="3"/>
      <c r="AT123" s="3"/>
      <c r="AU123" s="3"/>
      <c r="AV123" s="3"/>
      <c r="AW123" s="3"/>
      <c r="BK123" s="3"/>
      <c r="BL123" s="3"/>
      <c r="BM123" s="3"/>
      <c r="BN123" s="3"/>
      <c r="BO123" s="3"/>
      <c r="BP123" s="3"/>
      <c r="BQ123" s="3"/>
      <c r="BR123" s="3"/>
      <c r="CF123" s="3"/>
      <c r="CG123" s="3"/>
      <c r="CH123" s="3"/>
      <c r="CI123" s="3"/>
      <c r="CJ123" s="3"/>
      <c r="CK123" s="3"/>
      <c r="CL123" s="3"/>
      <c r="CM123" s="3"/>
      <c r="DA123" s="3"/>
      <c r="DB123" s="3"/>
      <c r="DC123" s="3"/>
      <c r="DD123" s="3"/>
      <c r="DE123" s="3"/>
      <c r="DF123" s="3"/>
      <c r="DG123" s="3"/>
      <c r="DH123" s="3"/>
    </row>
    <row r="124" spans="21:112">
      <c r="U124" s="3"/>
      <c r="V124" s="3"/>
      <c r="W124" s="3"/>
      <c r="X124" s="3"/>
      <c r="Y124" s="3"/>
      <c r="Z124" s="3"/>
      <c r="AA124" s="3"/>
      <c r="AB124" s="3"/>
      <c r="AP124" s="3"/>
      <c r="AQ124" s="3"/>
      <c r="AR124" s="3"/>
      <c r="AS124" s="3"/>
      <c r="AT124" s="3"/>
      <c r="AU124" s="3"/>
      <c r="AV124" s="3"/>
      <c r="AW124" s="3"/>
      <c r="BK124" s="3"/>
      <c r="BL124" s="3"/>
      <c r="BM124" s="3"/>
      <c r="BN124" s="3"/>
      <c r="BO124" s="3"/>
      <c r="BP124" s="3"/>
      <c r="BQ124" s="3"/>
      <c r="BR124" s="3"/>
      <c r="CF124" s="3"/>
      <c r="CG124" s="3"/>
      <c r="CH124" s="3"/>
      <c r="CI124" s="3"/>
      <c r="CJ124" s="3"/>
      <c r="CK124" s="3"/>
      <c r="CL124" s="3"/>
      <c r="CM124" s="3"/>
      <c r="DA124" s="3"/>
      <c r="DB124" s="3"/>
      <c r="DC124" s="3"/>
      <c r="DD124" s="3"/>
      <c r="DE124" s="3"/>
      <c r="DF124" s="3"/>
      <c r="DG124" s="3"/>
      <c r="DH124" s="3"/>
    </row>
    <row r="125" spans="21:112">
      <c r="U125" s="3"/>
      <c r="V125" s="3"/>
      <c r="W125" s="3"/>
      <c r="X125" s="3"/>
      <c r="Y125" s="3"/>
      <c r="Z125" s="3"/>
      <c r="AA125" s="3"/>
      <c r="AB125" s="3"/>
      <c r="AP125" s="3"/>
      <c r="AQ125" s="3"/>
      <c r="AR125" s="3"/>
      <c r="AS125" s="3"/>
      <c r="AT125" s="3"/>
      <c r="AU125" s="3"/>
      <c r="AV125" s="3"/>
      <c r="AW125" s="3"/>
      <c r="BK125" s="3"/>
      <c r="BL125" s="3"/>
      <c r="BM125" s="3"/>
      <c r="BN125" s="3"/>
      <c r="BO125" s="3"/>
      <c r="BP125" s="3"/>
      <c r="BQ125" s="3"/>
      <c r="BR125" s="3"/>
      <c r="CF125" s="3"/>
      <c r="CG125" s="3"/>
      <c r="CH125" s="3"/>
      <c r="CI125" s="3"/>
      <c r="CJ125" s="3"/>
      <c r="CK125" s="3"/>
      <c r="CL125" s="3"/>
      <c r="CM125" s="3"/>
      <c r="DA125" s="3"/>
      <c r="DB125" s="3"/>
      <c r="DC125" s="3"/>
      <c r="DD125" s="3"/>
      <c r="DE125" s="3"/>
      <c r="DF125" s="3"/>
      <c r="DG125" s="3"/>
      <c r="DH125" s="3"/>
    </row>
    <row r="126" spans="21:112">
      <c r="U126" s="3"/>
      <c r="V126" s="3"/>
      <c r="W126" s="3"/>
      <c r="X126" s="3"/>
      <c r="Y126" s="3"/>
      <c r="Z126" s="3"/>
      <c r="AA126" s="3"/>
      <c r="AB126" s="3"/>
      <c r="AP126" s="3"/>
      <c r="AQ126" s="3"/>
      <c r="AR126" s="3"/>
      <c r="AS126" s="3"/>
      <c r="AT126" s="3"/>
      <c r="AU126" s="3"/>
      <c r="AV126" s="3"/>
      <c r="AW126" s="3"/>
      <c r="BK126" s="3"/>
      <c r="BL126" s="3"/>
      <c r="BM126" s="3"/>
      <c r="BN126" s="3"/>
      <c r="BO126" s="3"/>
      <c r="BP126" s="3"/>
      <c r="BQ126" s="3"/>
      <c r="BR126" s="3"/>
      <c r="CF126" s="3"/>
      <c r="CG126" s="3"/>
      <c r="CH126" s="3"/>
      <c r="CI126" s="3"/>
      <c r="CJ126" s="3"/>
      <c r="CK126" s="3"/>
      <c r="CL126" s="3"/>
      <c r="CM126" s="3"/>
      <c r="DA126" s="3"/>
      <c r="DB126" s="3"/>
      <c r="DC126" s="3"/>
      <c r="DD126" s="3"/>
      <c r="DE126" s="3"/>
      <c r="DF126" s="3"/>
      <c r="DG126" s="3"/>
      <c r="DH126" s="3"/>
    </row>
    <row r="127" spans="21:112">
      <c r="U127" s="3"/>
      <c r="V127" s="3"/>
      <c r="W127" s="3"/>
      <c r="X127" s="3"/>
      <c r="Y127" s="3"/>
      <c r="Z127" s="3"/>
      <c r="AA127" s="3"/>
      <c r="AB127" s="3"/>
      <c r="AP127" s="3"/>
      <c r="AQ127" s="3"/>
      <c r="AR127" s="3"/>
      <c r="AS127" s="3"/>
      <c r="AT127" s="3"/>
      <c r="AU127" s="3"/>
      <c r="AV127" s="3"/>
      <c r="AW127" s="3"/>
      <c r="BK127" s="3"/>
      <c r="BL127" s="3"/>
      <c r="BM127" s="3"/>
      <c r="BN127" s="3"/>
      <c r="BO127" s="3"/>
      <c r="BP127" s="3"/>
      <c r="BQ127" s="3"/>
      <c r="BR127" s="3"/>
      <c r="CF127" s="3"/>
      <c r="CG127" s="3"/>
      <c r="CH127" s="3"/>
      <c r="CI127" s="3"/>
      <c r="CJ127" s="3"/>
      <c r="CK127" s="3"/>
      <c r="CL127" s="3"/>
      <c r="CM127" s="3"/>
      <c r="DA127" s="3"/>
      <c r="DB127" s="3"/>
      <c r="DC127" s="3"/>
      <c r="DD127" s="3"/>
      <c r="DE127" s="3"/>
      <c r="DF127" s="3"/>
      <c r="DG127" s="3"/>
      <c r="DH127" s="3"/>
    </row>
    <row r="128" spans="21:112">
      <c r="U128" s="3"/>
      <c r="V128" s="3"/>
      <c r="W128" s="3"/>
      <c r="X128" s="3"/>
      <c r="Y128" s="3"/>
      <c r="Z128" s="3"/>
      <c r="AA128" s="3"/>
      <c r="AB128" s="3"/>
      <c r="AP128" s="3"/>
      <c r="AQ128" s="3"/>
      <c r="AR128" s="3"/>
      <c r="AS128" s="3"/>
      <c r="AT128" s="3"/>
      <c r="AU128" s="3"/>
      <c r="AV128" s="3"/>
      <c r="AW128" s="3"/>
      <c r="BK128" s="3"/>
      <c r="BL128" s="3"/>
      <c r="BM128" s="3"/>
      <c r="BN128" s="3"/>
      <c r="BO128" s="3"/>
      <c r="BP128" s="3"/>
      <c r="BQ128" s="3"/>
      <c r="BR128" s="3"/>
      <c r="CF128" s="3"/>
      <c r="CG128" s="3"/>
      <c r="CH128" s="3"/>
      <c r="CI128" s="3"/>
      <c r="CJ128" s="3"/>
      <c r="CK128" s="3"/>
      <c r="CL128" s="3"/>
      <c r="CM128" s="3"/>
      <c r="DA128" s="3"/>
      <c r="DB128" s="3"/>
      <c r="DC128" s="3"/>
      <c r="DD128" s="3"/>
      <c r="DE128" s="3"/>
      <c r="DF128" s="3"/>
      <c r="DG128" s="3"/>
      <c r="DH128" s="3"/>
    </row>
    <row r="129" spans="21:112">
      <c r="U129" s="3"/>
      <c r="V129" s="3"/>
      <c r="W129" s="3"/>
      <c r="X129" s="3"/>
      <c r="Y129" s="3"/>
      <c r="Z129" s="3"/>
      <c r="AA129" s="3"/>
      <c r="AB129" s="3"/>
      <c r="AP129" s="3"/>
      <c r="AQ129" s="3"/>
      <c r="AR129" s="3"/>
      <c r="AS129" s="3"/>
      <c r="AT129" s="3"/>
      <c r="AU129" s="3"/>
      <c r="AV129" s="3"/>
      <c r="AW129" s="3"/>
      <c r="BK129" s="3"/>
      <c r="BL129" s="3"/>
      <c r="BM129" s="3"/>
      <c r="BN129" s="3"/>
      <c r="BO129" s="3"/>
      <c r="BP129" s="3"/>
      <c r="BQ129" s="3"/>
      <c r="BR129" s="3"/>
      <c r="CF129" s="3"/>
      <c r="CG129" s="3"/>
      <c r="CH129" s="3"/>
      <c r="CI129" s="3"/>
      <c r="CJ129" s="3"/>
      <c r="CK129" s="3"/>
      <c r="CL129" s="3"/>
      <c r="CM129" s="3"/>
      <c r="DA129" s="3"/>
      <c r="DB129" s="3"/>
      <c r="DC129" s="3"/>
      <c r="DD129" s="3"/>
      <c r="DE129" s="3"/>
      <c r="DF129" s="3"/>
      <c r="DG129" s="3"/>
      <c r="DH129" s="3"/>
    </row>
    <row r="130" spans="21:112">
      <c r="U130" s="3"/>
      <c r="V130" s="3"/>
      <c r="W130" s="3"/>
      <c r="X130" s="3"/>
      <c r="Y130" s="3"/>
      <c r="Z130" s="3"/>
      <c r="AA130" s="3"/>
      <c r="AB130" s="3"/>
      <c r="AP130" s="3"/>
      <c r="AQ130" s="3"/>
      <c r="AR130" s="3"/>
      <c r="AS130" s="3"/>
      <c r="AT130" s="3"/>
      <c r="AU130" s="3"/>
      <c r="AV130" s="3"/>
      <c r="AW130" s="3"/>
      <c r="BK130" s="3"/>
      <c r="BL130" s="3"/>
      <c r="BM130" s="3"/>
      <c r="BN130" s="3"/>
      <c r="BO130" s="3"/>
      <c r="BP130" s="3"/>
      <c r="BQ130" s="3"/>
      <c r="BR130" s="3"/>
      <c r="CF130" s="3"/>
      <c r="CG130" s="3"/>
      <c r="CH130" s="3"/>
      <c r="CI130" s="3"/>
      <c r="CJ130" s="3"/>
      <c r="CK130" s="3"/>
      <c r="CL130" s="3"/>
      <c r="CM130" s="3"/>
      <c r="DA130" s="3"/>
      <c r="DB130" s="3"/>
      <c r="DC130" s="3"/>
      <c r="DD130" s="3"/>
      <c r="DE130" s="3"/>
      <c r="DF130" s="3"/>
      <c r="DG130" s="3"/>
      <c r="DH130" s="3"/>
    </row>
    <row r="131" spans="21:112">
      <c r="U131" s="3"/>
      <c r="V131" s="3"/>
      <c r="W131" s="3"/>
      <c r="X131" s="3"/>
      <c r="Y131" s="3"/>
      <c r="Z131" s="3"/>
      <c r="AA131" s="3"/>
      <c r="AB131" s="3"/>
      <c r="AP131" s="3"/>
      <c r="AQ131" s="3"/>
      <c r="AR131" s="3"/>
      <c r="AS131" s="3"/>
      <c r="AT131" s="3"/>
      <c r="AU131" s="3"/>
      <c r="AV131" s="3"/>
      <c r="AW131" s="3"/>
      <c r="BK131" s="3"/>
      <c r="BL131" s="3"/>
      <c r="BM131" s="3"/>
      <c r="BN131" s="3"/>
      <c r="BO131" s="3"/>
      <c r="BP131" s="3"/>
      <c r="BQ131" s="3"/>
      <c r="BR131" s="3"/>
      <c r="CF131" s="3"/>
      <c r="CG131" s="3"/>
      <c r="CH131" s="3"/>
      <c r="CI131" s="3"/>
      <c r="CJ131" s="3"/>
      <c r="CK131" s="3"/>
      <c r="CL131" s="3"/>
      <c r="CM131" s="3"/>
      <c r="DA131" s="3"/>
      <c r="DB131" s="3"/>
      <c r="DC131" s="3"/>
      <c r="DD131" s="3"/>
      <c r="DE131" s="3"/>
      <c r="DF131" s="3"/>
      <c r="DG131" s="3"/>
      <c r="DH131" s="3"/>
    </row>
    <row r="132" spans="21:112">
      <c r="U132" s="3"/>
      <c r="V132" s="3"/>
      <c r="W132" s="3"/>
      <c r="X132" s="3"/>
      <c r="Y132" s="3"/>
      <c r="Z132" s="3"/>
      <c r="AA132" s="3"/>
      <c r="AB132" s="3"/>
      <c r="AP132" s="3"/>
      <c r="AQ132" s="3"/>
      <c r="AR132" s="3"/>
      <c r="AS132" s="3"/>
      <c r="AT132" s="3"/>
      <c r="AU132" s="3"/>
      <c r="AV132" s="3"/>
      <c r="AW132" s="3"/>
      <c r="BK132" s="3"/>
      <c r="BL132" s="3"/>
      <c r="BM132" s="3"/>
      <c r="BN132" s="3"/>
      <c r="BO132" s="3"/>
      <c r="BP132" s="3"/>
      <c r="BQ132" s="3"/>
      <c r="BR132" s="3"/>
      <c r="CF132" s="3"/>
      <c r="CG132" s="3"/>
      <c r="CH132" s="3"/>
      <c r="CI132" s="3"/>
      <c r="CJ132" s="3"/>
      <c r="CK132" s="3"/>
      <c r="CL132" s="3"/>
      <c r="CM132" s="3"/>
      <c r="DA132" s="3"/>
      <c r="DB132" s="3"/>
      <c r="DC132" s="3"/>
      <c r="DD132" s="3"/>
      <c r="DE132" s="3"/>
      <c r="DF132" s="3"/>
      <c r="DG132" s="3"/>
      <c r="DH132" s="3"/>
    </row>
    <row r="133" spans="21:112">
      <c r="U133" s="3"/>
      <c r="V133" s="3"/>
      <c r="W133" s="3"/>
      <c r="X133" s="3"/>
      <c r="Y133" s="3"/>
      <c r="Z133" s="3"/>
      <c r="AA133" s="3"/>
      <c r="AB133" s="3"/>
      <c r="AP133" s="3"/>
      <c r="AQ133" s="3"/>
      <c r="AR133" s="3"/>
      <c r="AS133" s="3"/>
      <c r="AT133" s="3"/>
      <c r="AU133" s="3"/>
      <c r="AV133" s="3"/>
      <c r="AW133" s="3"/>
      <c r="BK133" s="3"/>
      <c r="BL133" s="3"/>
      <c r="BM133" s="3"/>
      <c r="BN133" s="3"/>
      <c r="BO133" s="3"/>
      <c r="BP133" s="3"/>
      <c r="BQ133" s="3"/>
      <c r="BR133" s="3"/>
      <c r="CF133" s="3"/>
      <c r="CG133" s="3"/>
      <c r="CH133" s="3"/>
      <c r="CI133" s="3"/>
      <c r="CJ133" s="3"/>
      <c r="CK133" s="3"/>
      <c r="CL133" s="3"/>
      <c r="CM133" s="3"/>
      <c r="DA133" s="3"/>
      <c r="DB133" s="3"/>
      <c r="DC133" s="3"/>
      <c r="DD133" s="3"/>
      <c r="DE133" s="3"/>
      <c r="DF133" s="3"/>
      <c r="DG133" s="3"/>
      <c r="DH133" s="3"/>
    </row>
    <row r="134" spans="21:112">
      <c r="U134" s="3"/>
      <c r="V134" s="3"/>
      <c r="W134" s="3"/>
      <c r="X134" s="3"/>
      <c r="Y134" s="3"/>
      <c r="Z134" s="3"/>
      <c r="AA134" s="3"/>
      <c r="AB134" s="3"/>
      <c r="AP134" s="3"/>
      <c r="AQ134" s="3"/>
      <c r="AR134" s="3"/>
      <c r="AS134" s="3"/>
      <c r="AT134" s="3"/>
      <c r="AU134" s="3"/>
      <c r="AV134" s="3"/>
      <c r="AW134" s="3"/>
      <c r="BK134" s="3"/>
      <c r="BL134" s="3"/>
      <c r="BM134" s="3"/>
      <c r="BN134" s="3"/>
      <c r="BO134" s="3"/>
      <c r="BP134" s="3"/>
      <c r="BQ134" s="3"/>
      <c r="BR134" s="3"/>
      <c r="CF134" s="3"/>
      <c r="CG134" s="3"/>
      <c r="CH134" s="3"/>
      <c r="CI134" s="3"/>
      <c r="CJ134" s="3"/>
      <c r="CK134" s="3"/>
      <c r="CL134" s="3"/>
      <c r="CM134" s="3"/>
      <c r="DA134" s="3"/>
      <c r="DB134" s="3"/>
      <c r="DC134" s="3"/>
      <c r="DD134" s="3"/>
      <c r="DE134" s="3"/>
      <c r="DF134" s="3"/>
      <c r="DG134" s="3"/>
      <c r="DH134" s="3"/>
    </row>
    <row r="135" spans="21:112">
      <c r="U135" s="3"/>
      <c r="V135" s="3"/>
      <c r="W135" s="3"/>
      <c r="X135" s="3"/>
      <c r="Y135" s="3"/>
      <c r="Z135" s="3"/>
      <c r="AA135" s="3"/>
      <c r="AB135" s="3"/>
      <c r="AP135" s="3"/>
      <c r="AQ135" s="3"/>
      <c r="AR135" s="3"/>
      <c r="AS135" s="3"/>
      <c r="AT135" s="3"/>
      <c r="AU135" s="3"/>
      <c r="AV135" s="3"/>
      <c r="AW135" s="3"/>
      <c r="BK135" s="3"/>
      <c r="BL135" s="3"/>
      <c r="BM135" s="3"/>
      <c r="BN135" s="3"/>
      <c r="BO135" s="3"/>
      <c r="BP135" s="3"/>
      <c r="BQ135" s="3"/>
      <c r="BR135" s="3"/>
      <c r="CF135" s="3"/>
      <c r="CG135" s="3"/>
      <c r="CH135" s="3"/>
      <c r="CI135" s="3"/>
      <c r="CJ135" s="3"/>
      <c r="CK135" s="3"/>
      <c r="CL135" s="3"/>
      <c r="CM135" s="3"/>
      <c r="DA135" s="3"/>
      <c r="DB135" s="3"/>
      <c r="DC135" s="3"/>
      <c r="DD135" s="3"/>
      <c r="DE135" s="3"/>
      <c r="DF135" s="3"/>
      <c r="DG135" s="3"/>
      <c r="DH135" s="3"/>
    </row>
    <row r="136" spans="21:112">
      <c r="U136" s="3"/>
      <c r="V136" s="3"/>
      <c r="W136" s="3"/>
      <c r="X136" s="3"/>
      <c r="Y136" s="3"/>
      <c r="Z136" s="3"/>
      <c r="AA136" s="3"/>
      <c r="AB136" s="3"/>
      <c r="AP136" s="3"/>
      <c r="AQ136" s="3"/>
      <c r="AR136" s="3"/>
      <c r="AS136" s="3"/>
      <c r="AT136" s="3"/>
      <c r="AU136" s="3"/>
      <c r="AV136" s="3"/>
      <c r="AW136" s="3"/>
      <c r="BK136" s="3"/>
      <c r="BL136" s="3"/>
      <c r="BM136" s="3"/>
      <c r="BN136" s="3"/>
      <c r="BO136" s="3"/>
      <c r="BP136" s="3"/>
      <c r="BQ136" s="3"/>
      <c r="BR136" s="3"/>
      <c r="CF136" s="3"/>
      <c r="CG136" s="3"/>
      <c r="CH136" s="3"/>
      <c r="CI136" s="3"/>
      <c r="CJ136" s="3"/>
      <c r="CK136" s="3"/>
      <c r="CL136" s="3"/>
      <c r="CM136" s="3"/>
      <c r="DA136" s="3"/>
      <c r="DB136" s="3"/>
      <c r="DC136" s="3"/>
      <c r="DD136" s="3"/>
      <c r="DE136" s="3"/>
      <c r="DF136" s="3"/>
      <c r="DG136" s="3"/>
      <c r="DH136" s="3"/>
    </row>
    <row r="137" spans="21:112">
      <c r="U137" s="3"/>
      <c r="V137" s="3"/>
      <c r="W137" s="3"/>
      <c r="X137" s="3"/>
      <c r="Y137" s="3"/>
      <c r="Z137" s="3"/>
      <c r="AA137" s="3"/>
      <c r="AB137" s="3"/>
      <c r="AP137" s="3"/>
      <c r="AQ137" s="3"/>
      <c r="AR137" s="3"/>
      <c r="AS137" s="3"/>
      <c r="AT137" s="3"/>
      <c r="AU137" s="3"/>
      <c r="AV137" s="3"/>
      <c r="AW137" s="3"/>
      <c r="BK137" s="3"/>
      <c r="BL137" s="3"/>
      <c r="BM137" s="3"/>
      <c r="BN137" s="3"/>
      <c r="BO137" s="3"/>
      <c r="BP137" s="3"/>
      <c r="BQ137" s="3"/>
      <c r="BR137" s="3"/>
      <c r="CF137" s="3"/>
      <c r="CG137" s="3"/>
      <c r="CH137" s="3"/>
      <c r="CI137" s="3"/>
      <c r="CJ137" s="3"/>
      <c r="CK137" s="3"/>
      <c r="CL137" s="3"/>
      <c r="CM137" s="3"/>
      <c r="DA137" s="3"/>
      <c r="DB137" s="3"/>
      <c r="DC137" s="3"/>
      <c r="DD137" s="3"/>
      <c r="DE137" s="3"/>
      <c r="DF137" s="3"/>
      <c r="DG137" s="3"/>
      <c r="DH137" s="3"/>
    </row>
    <row r="138" spans="21:112">
      <c r="U138" s="3"/>
      <c r="V138" s="3"/>
      <c r="W138" s="3"/>
      <c r="X138" s="3"/>
      <c r="Y138" s="3"/>
      <c r="Z138" s="3"/>
      <c r="AA138" s="3"/>
      <c r="AB138" s="3"/>
      <c r="AP138" s="3"/>
      <c r="AQ138" s="3"/>
      <c r="AR138" s="3"/>
      <c r="AS138" s="3"/>
      <c r="AT138" s="3"/>
      <c r="AU138" s="3"/>
      <c r="AV138" s="3"/>
      <c r="AW138" s="3"/>
      <c r="BK138" s="3"/>
      <c r="BL138" s="3"/>
      <c r="BM138" s="3"/>
      <c r="BN138" s="3"/>
      <c r="BO138" s="3"/>
      <c r="BP138" s="3"/>
      <c r="BQ138" s="3"/>
      <c r="BR138" s="3"/>
      <c r="CF138" s="3"/>
      <c r="CG138" s="3"/>
      <c r="CH138" s="3"/>
      <c r="CI138" s="3"/>
      <c r="CJ138" s="3"/>
      <c r="CK138" s="3"/>
      <c r="CL138" s="3"/>
      <c r="CM138" s="3"/>
      <c r="DA138" s="3"/>
      <c r="DB138" s="3"/>
      <c r="DC138" s="3"/>
      <c r="DD138" s="3"/>
      <c r="DE138" s="3"/>
      <c r="DF138" s="3"/>
      <c r="DG138" s="3"/>
      <c r="DH138" s="3"/>
    </row>
    <row r="139" spans="21:112">
      <c r="U139" s="3"/>
      <c r="V139" s="3"/>
      <c r="W139" s="3"/>
      <c r="X139" s="3"/>
      <c r="Y139" s="3"/>
      <c r="Z139" s="3"/>
      <c r="AA139" s="3"/>
      <c r="AB139" s="3"/>
      <c r="AP139" s="3"/>
      <c r="AQ139" s="3"/>
      <c r="AR139" s="3"/>
      <c r="AS139" s="3"/>
      <c r="AT139" s="3"/>
      <c r="AU139" s="3"/>
      <c r="AV139" s="3"/>
      <c r="AW139" s="3"/>
      <c r="BK139" s="3"/>
      <c r="BL139" s="3"/>
      <c r="BM139" s="3"/>
      <c r="BN139" s="3"/>
      <c r="BO139" s="3"/>
      <c r="BP139" s="3"/>
      <c r="BQ139" s="3"/>
      <c r="BR139" s="3"/>
      <c r="CF139" s="3"/>
      <c r="CG139" s="3"/>
      <c r="CH139" s="3"/>
      <c r="CI139" s="3"/>
      <c r="CJ139" s="3"/>
      <c r="CK139" s="3"/>
      <c r="CL139" s="3"/>
      <c r="CM139" s="3"/>
      <c r="DA139" s="3"/>
      <c r="DB139" s="3"/>
      <c r="DC139" s="3"/>
      <c r="DD139" s="3"/>
      <c r="DE139" s="3"/>
      <c r="DF139" s="3"/>
      <c r="DG139" s="3"/>
      <c r="DH139" s="3"/>
    </row>
    <row r="140" spans="21:112">
      <c r="U140" s="3"/>
      <c r="V140" s="3"/>
      <c r="W140" s="3"/>
      <c r="X140" s="3"/>
      <c r="Y140" s="3"/>
      <c r="Z140" s="3"/>
      <c r="AA140" s="3"/>
      <c r="AB140" s="3"/>
      <c r="AP140" s="3"/>
      <c r="AQ140" s="3"/>
      <c r="AR140" s="3"/>
      <c r="AS140" s="3"/>
      <c r="AT140" s="3"/>
      <c r="AU140" s="3"/>
      <c r="AV140" s="3"/>
      <c r="AW140" s="3"/>
      <c r="BK140" s="3"/>
      <c r="BL140" s="3"/>
      <c r="BM140" s="3"/>
      <c r="BN140" s="3"/>
      <c r="BO140" s="3"/>
      <c r="BP140" s="3"/>
      <c r="BQ140" s="3"/>
      <c r="BR140" s="3"/>
      <c r="CF140" s="3"/>
      <c r="CG140" s="3"/>
      <c r="CH140" s="3"/>
      <c r="CI140" s="3"/>
      <c r="CJ140" s="3"/>
      <c r="CK140" s="3"/>
      <c r="CL140" s="3"/>
      <c r="CM140" s="3"/>
      <c r="DA140" s="3"/>
      <c r="DB140" s="3"/>
      <c r="DC140" s="3"/>
      <c r="DD140" s="3"/>
      <c r="DE140" s="3"/>
      <c r="DF140" s="3"/>
      <c r="DG140" s="3"/>
      <c r="DH140" s="3"/>
    </row>
    <row r="141" spans="21:112">
      <c r="U141" s="3"/>
      <c r="V141" s="3"/>
      <c r="W141" s="3"/>
      <c r="X141" s="3"/>
      <c r="Y141" s="3"/>
      <c r="Z141" s="3"/>
      <c r="AA141" s="3"/>
      <c r="AB141" s="3"/>
      <c r="AP141" s="3"/>
      <c r="AQ141" s="3"/>
      <c r="AR141" s="3"/>
      <c r="AS141" s="3"/>
      <c r="AT141" s="3"/>
      <c r="AU141" s="3"/>
      <c r="AV141" s="3"/>
      <c r="AW141" s="3"/>
      <c r="BK141" s="3"/>
      <c r="BL141" s="3"/>
      <c r="BM141" s="3"/>
      <c r="BN141" s="3"/>
      <c r="BO141" s="3"/>
      <c r="BP141" s="3"/>
      <c r="BQ141" s="3"/>
      <c r="BR141" s="3"/>
      <c r="CF141" s="3"/>
      <c r="CG141" s="3"/>
      <c r="CH141" s="3"/>
      <c r="CI141" s="3"/>
      <c r="CJ141" s="3"/>
      <c r="CK141" s="3"/>
      <c r="CL141" s="3"/>
      <c r="CM141" s="3"/>
      <c r="DA141" s="3"/>
      <c r="DB141" s="3"/>
      <c r="DC141" s="3"/>
      <c r="DD141" s="3"/>
      <c r="DE141" s="3"/>
      <c r="DF141" s="3"/>
      <c r="DG141" s="3"/>
      <c r="DH141" s="3"/>
    </row>
    <row r="142" spans="21:112">
      <c r="U142" s="3"/>
      <c r="V142" s="3"/>
      <c r="W142" s="3"/>
      <c r="X142" s="3"/>
      <c r="Y142" s="3"/>
      <c r="Z142" s="3"/>
      <c r="AA142" s="3"/>
      <c r="AB142" s="3"/>
      <c r="AP142" s="3"/>
      <c r="AQ142" s="3"/>
      <c r="AR142" s="3"/>
      <c r="AS142" s="3"/>
      <c r="AT142" s="3"/>
      <c r="AU142" s="3"/>
      <c r="AV142" s="3"/>
      <c r="AW142" s="3"/>
      <c r="BK142" s="3"/>
      <c r="BL142" s="3"/>
      <c r="BM142" s="3"/>
      <c r="BN142" s="3"/>
      <c r="BO142" s="3"/>
      <c r="BP142" s="3"/>
      <c r="BQ142" s="3"/>
      <c r="BR142" s="3"/>
      <c r="CF142" s="3"/>
      <c r="CG142" s="3"/>
      <c r="CH142" s="3"/>
      <c r="CI142" s="3"/>
      <c r="CJ142" s="3"/>
      <c r="CK142" s="3"/>
      <c r="CL142" s="3"/>
      <c r="CM142" s="3"/>
      <c r="DA142" s="3"/>
      <c r="DB142" s="3"/>
      <c r="DC142" s="3"/>
      <c r="DD142" s="3"/>
      <c r="DE142" s="3"/>
      <c r="DF142" s="3"/>
      <c r="DG142" s="3"/>
      <c r="DH142" s="3"/>
    </row>
    <row r="143" spans="21:112">
      <c r="U143" s="3"/>
      <c r="V143" s="3"/>
      <c r="W143" s="3"/>
      <c r="X143" s="3"/>
      <c r="Y143" s="3"/>
      <c r="Z143" s="3"/>
      <c r="AA143" s="3"/>
      <c r="AB143" s="3"/>
      <c r="AP143" s="3"/>
      <c r="AQ143" s="3"/>
      <c r="AR143" s="3"/>
      <c r="AS143" s="3"/>
      <c r="AT143" s="3"/>
      <c r="AU143" s="3"/>
      <c r="AV143" s="3"/>
      <c r="AW143" s="3"/>
      <c r="BK143" s="3"/>
      <c r="BL143" s="3"/>
      <c r="BM143" s="3"/>
      <c r="BN143" s="3"/>
      <c r="BO143" s="3"/>
      <c r="BP143" s="3"/>
      <c r="BQ143" s="3"/>
      <c r="BR143" s="3"/>
      <c r="CF143" s="3"/>
      <c r="CG143" s="3"/>
      <c r="CH143" s="3"/>
      <c r="CI143" s="3"/>
      <c r="CJ143" s="3"/>
      <c r="CK143" s="3"/>
      <c r="CL143" s="3"/>
      <c r="CM143" s="3"/>
      <c r="DA143" s="3"/>
      <c r="DB143" s="3"/>
      <c r="DC143" s="3"/>
      <c r="DD143" s="3"/>
      <c r="DE143" s="3"/>
      <c r="DF143" s="3"/>
      <c r="DG143" s="3"/>
      <c r="DH143" s="3"/>
    </row>
    <row r="144" spans="21:112">
      <c r="U144" s="3"/>
      <c r="V144" s="3"/>
      <c r="W144" s="3"/>
      <c r="X144" s="3"/>
      <c r="Y144" s="3"/>
      <c r="Z144" s="3"/>
      <c r="AA144" s="3"/>
      <c r="AB144" s="3"/>
      <c r="AP144" s="3"/>
      <c r="AQ144" s="3"/>
      <c r="AR144" s="3"/>
      <c r="AS144" s="3"/>
      <c r="AT144" s="3"/>
      <c r="AU144" s="3"/>
      <c r="AV144" s="3"/>
      <c r="AW144" s="3"/>
      <c r="BK144" s="3"/>
      <c r="BL144" s="3"/>
      <c r="BM144" s="3"/>
      <c r="BN144" s="3"/>
      <c r="BO144" s="3"/>
      <c r="BP144" s="3"/>
      <c r="BQ144" s="3"/>
      <c r="BR144" s="3"/>
      <c r="CF144" s="3"/>
      <c r="CG144" s="3"/>
      <c r="CH144" s="3"/>
      <c r="CI144" s="3"/>
      <c r="CJ144" s="3"/>
      <c r="CK144" s="3"/>
      <c r="CL144" s="3"/>
      <c r="CM144" s="3"/>
      <c r="DA144" s="3"/>
      <c r="DB144" s="3"/>
      <c r="DC144" s="3"/>
      <c r="DD144" s="3"/>
      <c r="DE144" s="3"/>
      <c r="DF144" s="3"/>
      <c r="DG144" s="3"/>
      <c r="DH144" s="3"/>
    </row>
    <row r="145" spans="21:112">
      <c r="U145" s="3"/>
      <c r="V145" s="3"/>
      <c r="W145" s="3"/>
      <c r="X145" s="3"/>
      <c r="Y145" s="3"/>
      <c r="Z145" s="3"/>
      <c r="AA145" s="3"/>
      <c r="AB145" s="3"/>
      <c r="AP145" s="3"/>
      <c r="AQ145" s="3"/>
      <c r="AR145" s="3"/>
      <c r="AS145" s="3"/>
      <c r="AT145" s="3"/>
      <c r="AU145" s="3"/>
      <c r="AV145" s="3"/>
      <c r="AW145" s="3"/>
      <c r="BK145" s="3"/>
      <c r="BL145" s="3"/>
      <c r="BM145" s="3"/>
      <c r="BN145" s="3"/>
      <c r="BO145" s="3"/>
      <c r="BP145" s="3"/>
      <c r="BQ145" s="3"/>
      <c r="BR145" s="3"/>
      <c r="CF145" s="3"/>
      <c r="CG145" s="3"/>
      <c r="CH145" s="3"/>
      <c r="CI145" s="3"/>
      <c r="CJ145" s="3"/>
      <c r="CK145" s="3"/>
      <c r="CL145" s="3"/>
      <c r="CM145" s="3"/>
      <c r="DA145" s="3"/>
      <c r="DB145" s="3"/>
      <c r="DC145" s="3"/>
      <c r="DD145" s="3"/>
      <c r="DE145" s="3"/>
      <c r="DF145" s="3"/>
      <c r="DG145" s="3"/>
      <c r="DH145" s="3"/>
    </row>
    <row r="146" spans="21:112">
      <c r="U146" s="3"/>
      <c r="V146" s="3"/>
      <c r="W146" s="3"/>
      <c r="X146" s="3"/>
      <c r="Y146" s="3"/>
      <c r="Z146" s="3"/>
      <c r="AA146" s="3"/>
      <c r="AB146" s="3"/>
      <c r="AP146" s="3"/>
      <c r="AQ146" s="3"/>
      <c r="AR146" s="3"/>
      <c r="AS146" s="3"/>
      <c r="AT146" s="3"/>
      <c r="AU146" s="3"/>
      <c r="AV146" s="3"/>
      <c r="AW146" s="3"/>
      <c r="BK146" s="3"/>
      <c r="BL146" s="3"/>
      <c r="BM146" s="3"/>
      <c r="BN146" s="3"/>
      <c r="BO146" s="3"/>
      <c r="BP146" s="3"/>
      <c r="BQ146" s="3"/>
      <c r="BR146" s="3"/>
      <c r="CF146" s="3"/>
      <c r="CG146" s="3"/>
      <c r="CH146" s="3"/>
      <c r="CI146" s="3"/>
      <c r="CJ146" s="3"/>
      <c r="CK146" s="3"/>
      <c r="CL146" s="3"/>
      <c r="CM146" s="3"/>
      <c r="DA146" s="3"/>
      <c r="DB146" s="3"/>
      <c r="DC146" s="3"/>
      <c r="DD146" s="3"/>
      <c r="DE146" s="3"/>
      <c r="DF146" s="3"/>
      <c r="DG146" s="3"/>
      <c r="DH146" s="3"/>
    </row>
    <row r="147" spans="21:112">
      <c r="U147" s="3"/>
      <c r="V147" s="3"/>
      <c r="W147" s="3"/>
      <c r="X147" s="3"/>
      <c r="Y147" s="3"/>
      <c r="Z147" s="3"/>
      <c r="AA147" s="3"/>
      <c r="AB147" s="3"/>
      <c r="AP147" s="3"/>
      <c r="AQ147" s="3"/>
      <c r="AR147" s="3"/>
      <c r="AS147" s="3"/>
      <c r="AT147" s="3"/>
      <c r="AU147" s="3"/>
      <c r="AV147" s="3"/>
      <c r="AW147" s="3"/>
      <c r="BK147" s="3"/>
      <c r="BL147" s="3"/>
      <c r="BM147" s="3"/>
      <c r="BN147" s="3"/>
      <c r="BO147" s="3"/>
      <c r="BP147" s="3"/>
      <c r="BQ147" s="3"/>
      <c r="BR147" s="3"/>
      <c r="CF147" s="3"/>
      <c r="CG147" s="3"/>
      <c r="CH147" s="3"/>
      <c r="CI147" s="3"/>
      <c r="CJ147" s="3"/>
      <c r="CK147" s="3"/>
      <c r="CL147" s="3"/>
      <c r="CM147" s="3"/>
      <c r="DA147" s="3"/>
      <c r="DB147" s="3"/>
      <c r="DC147" s="3"/>
      <c r="DD147" s="3"/>
      <c r="DE147" s="3"/>
      <c r="DF147" s="3"/>
      <c r="DG147" s="3"/>
      <c r="DH147" s="3"/>
    </row>
    <row r="148" spans="21:112">
      <c r="U148" s="3"/>
      <c r="V148" s="3"/>
      <c r="W148" s="3"/>
      <c r="X148" s="3"/>
      <c r="Y148" s="3"/>
      <c r="Z148" s="3"/>
      <c r="AA148" s="3"/>
      <c r="AB148" s="3"/>
      <c r="AP148" s="3"/>
      <c r="AQ148" s="3"/>
      <c r="AR148" s="3"/>
      <c r="AS148" s="3"/>
      <c r="AT148" s="3"/>
      <c r="AU148" s="3"/>
      <c r="AV148" s="3"/>
      <c r="AW148" s="3"/>
      <c r="BK148" s="3"/>
      <c r="BL148" s="3"/>
      <c r="BM148" s="3"/>
      <c r="BN148" s="3"/>
      <c r="BO148" s="3"/>
      <c r="BP148" s="3"/>
      <c r="BQ148" s="3"/>
      <c r="BR148" s="3"/>
      <c r="CF148" s="3"/>
      <c r="CG148" s="3"/>
      <c r="CH148" s="3"/>
      <c r="CI148" s="3"/>
      <c r="CJ148" s="3"/>
      <c r="CK148" s="3"/>
      <c r="CL148" s="3"/>
      <c r="CM148" s="3"/>
      <c r="DA148" s="3"/>
      <c r="DB148" s="3"/>
      <c r="DC148" s="3"/>
      <c r="DD148" s="3"/>
      <c r="DE148" s="3"/>
      <c r="DF148" s="3"/>
      <c r="DG148" s="3"/>
      <c r="DH148" s="3"/>
    </row>
    <row r="149" spans="21:112">
      <c r="U149" s="3"/>
      <c r="V149" s="3"/>
      <c r="W149" s="3"/>
      <c r="X149" s="3"/>
      <c r="Y149" s="3"/>
      <c r="Z149" s="3"/>
      <c r="AA149" s="3"/>
      <c r="AB149" s="3"/>
      <c r="AP149" s="3"/>
      <c r="AQ149" s="3"/>
      <c r="AR149" s="3"/>
      <c r="AS149" s="3"/>
      <c r="AT149" s="3"/>
      <c r="AU149" s="3"/>
      <c r="AV149" s="3"/>
      <c r="AW149" s="3"/>
      <c r="BK149" s="3"/>
      <c r="BL149" s="3"/>
      <c r="BM149" s="3"/>
      <c r="BN149" s="3"/>
      <c r="BO149" s="3"/>
      <c r="BP149" s="3"/>
      <c r="BQ149" s="3"/>
      <c r="BR149" s="3"/>
      <c r="CF149" s="3"/>
      <c r="CG149" s="3"/>
      <c r="CH149" s="3"/>
      <c r="CI149" s="3"/>
      <c r="CJ149" s="3"/>
      <c r="CK149" s="3"/>
      <c r="CL149" s="3"/>
      <c r="CM149" s="3"/>
      <c r="DA149" s="3"/>
      <c r="DB149" s="3"/>
      <c r="DC149" s="3"/>
      <c r="DD149" s="3"/>
      <c r="DE149" s="3"/>
      <c r="DF149" s="3"/>
      <c r="DG149" s="3"/>
      <c r="DH149" s="3"/>
    </row>
    <row r="150" spans="21:112">
      <c r="U150" s="3"/>
      <c r="V150" s="3"/>
      <c r="W150" s="3"/>
      <c r="X150" s="3"/>
      <c r="Y150" s="3"/>
      <c r="Z150" s="3"/>
      <c r="AA150" s="3"/>
      <c r="AB150" s="3"/>
      <c r="AP150" s="3"/>
      <c r="AQ150" s="3"/>
      <c r="AR150" s="3"/>
      <c r="AS150" s="3"/>
      <c r="AT150" s="3"/>
      <c r="AU150" s="3"/>
      <c r="AV150" s="3"/>
      <c r="AW150" s="3"/>
      <c r="BK150" s="3"/>
      <c r="BL150" s="3"/>
      <c r="BM150" s="3"/>
      <c r="BN150" s="3"/>
      <c r="BO150" s="3"/>
      <c r="BP150" s="3"/>
      <c r="BQ150" s="3"/>
      <c r="BR150" s="3"/>
      <c r="CF150" s="3"/>
      <c r="CG150" s="3"/>
      <c r="CH150" s="3"/>
      <c r="CI150" s="3"/>
      <c r="CJ150" s="3"/>
      <c r="CK150" s="3"/>
      <c r="CL150" s="3"/>
      <c r="CM150" s="3"/>
      <c r="DA150" s="3"/>
      <c r="DB150" s="3"/>
      <c r="DC150" s="3"/>
      <c r="DD150" s="3"/>
      <c r="DE150" s="3"/>
      <c r="DF150" s="3"/>
      <c r="DG150" s="3"/>
      <c r="DH150" s="3"/>
    </row>
    <row r="151" spans="21:112">
      <c r="U151" s="3"/>
      <c r="V151" s="3"/>
      <c r="W151" s="3"/>
      <c r="X151" s="3"/>
      <c r="Y151" s="3"/>
      <c r="Z151" s="3"/>
      <c r="AA151" s="3"/>
      <c r="AB151" s="3"/>
      <c r="AP151" s="3"/>
      <c r="AQ151" s="3"/>
      <c r="AR151" s="3"/>
      <c r="AS151" s="3"/>
      <c r="AT151" s="3"/>
      <c r="AU151" s="3"/>
      <c r="AV151" s="3"/>
      <c r="AW151" s="3"/>
      <c r="BK151" s="3"/>
      <c r="BL151" s="3"/>
      <c r="BM151" s="3"/>
      <c r="BN151" s="3"/>
      <c r="BO151" s="3"/>
      <c r="BP151" s="3"/>
      <c r="BQ151" s="3"/>
      <c r="BR151" s="3"/>
      <c r="CF151" s="3"/>
      <c r="CG151" s="3"/>
      <c r="CH151" s="3"/>
      <c r="CI151" s="3"/>
      <c r="CJ151" s="3"/>
      <c r="CK151" s="3"/>
      <c r="CL151" s="3"/>
      <c r="CM151" s="3"/>
      <c r="DA151" s="3"/>
      <c r="DB151" s="3"/>
      <c r="DC151" s="3"/>
      <c r="DD151" s="3"/>
      <c r="DE151" s="3"/>
      <c r="DF151" s="3"/>
      <c r="DG151" s="3"/>
      <c r="DH151" s="3"/>
    </row>
    <row r="152" spans="21:112">
      <c r="U152" s="3"/>
      <c r="V152" s="3"/>
      <c r="W152" s="3"/>
      <c r="X152" s="3"/>
      <c r="Y152" s="3"/>
      <c r="Z152" s="3"/>
      <c r="AA152" s="3"/>
      <c r="AB152" s="3"/>
      <c r="AP152" s="3"/>
      <c r="AQ152" s="3"/>
      <c r="AR152" s="3"/>
      <c r="AS152" s="3"/>
      <c r="AT152" s="3"/>
      <c r="AU152" s="3"/>
      <c r="AV152" s="3"/>
      <c r="AW152" s="3"/>
      <c r="BK152" s="3"/>
      <c r="BL152" s="3"/>
      <c r="BM152" s="3"/>
      <c r="BN152" s="3"/>
      <c r="BO152" s="3"/>
      <c r="BP152" s="3"/>
      <c r="BQ152" s="3"/>
      <c r="BR152" s="3"/>
      <c r="CF152" s="3"/>
      <c r="CG152" s="3"/>
      <c r="CH152" s="3"/>
      <c r="CI152" s="3"/>
      <c r="CJ152" s="3"/>
      <c r="CK152" s="3"/>
      <c r="CL152" s="3"/>
      <c r="CM152" s="3"/>
      <c r="DA152" s="3"/>
      <c r="DB152" s="3"/>
      <c r="DC152" s="3"/>
      <c r="DD152" s="3"/>
      <c r="DE152" s="3"/>
      <c r="DF152" s="3"/>
      <c r="DG152" s="3"/>
      <c r="DH152" s="3"/>
    </row>
    <row r="153" spans="21:112">
      <c r="U153" s="3"/>
      <c r="V153" s="3"/>
      <c r="W153" s="3"/>
      <c r="X153" s="3"/>
      <c r="Y153" s="3"/>
      <c r="Z153" s="3"/>
      <c r="AA153" s="3"/>
      <c r="AB153" s="3"/>
      <c r="AP153" s="3"/>
      <c r="AQ153" s="3"/>
      <c r="AR153" s="3"/>
      <c r="AS153" s="3"/>
      <c r="AT153" s="3"/>
      <c r="AU153" s="3"/>
      <c r="AV153" s="3"/>
      <c r="AW153" s="3"/>
      <c r="BK153" s="3"/>
      <c r="BL153" s="3"/>
      <c r="BM153" s="3"/>
      <c r="BN153" s="3"/>
      <c r="BO153" s="3"/>
      <c r="BP153" s="3"/>
      <c r="BQ153" s="3"/>
      <c r="BR153" s="3"/>
      <c r="CF153" s="3"/>
      <c r="CG153" s="3"/>
      <c r="CH153" s="3"/>
      <c r="CI153" s="3"/>
      <c r="CJ153" s="3"/>
      <c r="CK153" s="3"/>
      <c r="CL153" s="3"/>
      <c r="CM153" s="3"/>
      <c r="DA153" s="3"/>
      <c r="DB153" s="3"/>
      <c r="DC153" s="3"/>
      <c r="DD153" s="3"/>
      <c r="DE153" s="3"/>
      <c r="DF153" s="3"/>
      <c r="DG153" s="3"/>
      <c r="DH153" s="3"/>
    </row>
    <row r="154" spans="21:112">
      <c r="U154" s="3"/>
      <c r="V154" s="3"/>
      <c r="W154" s="3"/>
      <c r="X154" s="3"/>
      <c r="Y154" s="3"/>
      <c r="Z154" s="3"/>
      <c r="AA154" s="3"/>
      <c r="AB154" s="3"/>
      <c r="AP154" s="3"/>
      <c r="AQ154" s="3"/>
      <c r="AR154" s="3"/>
      <c r="AS154" s="3"/>
      <c r="AT154" s="3"/>
      <c r="AU154" s="3"/>
      <c r="AV154" s="3"/>
      <c r="AW154" s="3"/>
      <c r="BK154" s="3"/>
      <c r="BL154" s="3"/>
      <c r="BM154" s="3"/>
      <c r="BN154" s="3"/>
      <c r="BO154" s="3"/>
      <c r="BP154" s="3"/>
      <c r="BQ154" s="3"/>
      <c r="BR154" s="3"/>
      <c r="CF154" s="3"/>
      <c r="CG154" s="3"/>
      <c r="CH154" s="3"/>
      <c r="CI154" s="3"/>
      <c r="CJ154" s="3"/>
      <c r="CK154" s="3"/>
      <c r="CL154" s="3"/>
      <c r="CM154" s="3"/>
      <c r="DA154" s="3"/>
      <c r="DB154" s="3"/>
      <c r="DC154" s="3"/>
      <c r="DD154" s="3"/>
      <c r="DE154" s="3"/>
      <c r="DF154" s="3"/>
      <c r="DG154" s="3"/>
      <c r="DH154" s="3"/>
    </row>
    <row r="155" spans="21:112">
      <c r="U155" s="3"/>
      <c r="V155" s="3"/>
      <c r="W155" s="3"/>
      <c r="X155" s="3"/>
      <c r="Y155" s="3"/>
      <c r="Z155" s="3"/>
      <c r="AA155" s="3"/>
      <c r="AB155" s="3"/>
      <c r="AP155" s="3"/>
      <c r="AQ155" s="3"/>
      <c r="AR155" s="3"/>
      <c r="AS155" s="3"/>
      <c r="AT155" s="3"/>
      <c r="AU155" s="3"/>
      <c r="AV155" s="3"/>
      <c r="AW155" s="3"/>
      <c r="BK155" s="3"/>
      <c r="BL155" s="3"/>
      <c r="BM155" s="3"/>
      <c r="BN155" s="3"/>
      <c r="BO155" s="3"/>
      <c r="BP155" s="3"/>
      <c r="BQ155" s="3"/>
      <c r="BR155" s="3"/>
      <c r="CF155" s="3"/>
      <c r="CG155" s="3"/>
      <c r="CH155" s="3"/>
      <c r="CI155" s="3"/>
      <c r="CJ155" s="3"/>
      <c r="CK155" s="3"/>
      <c r="CL155" s="3"/>
      <c r="CM155" s="3"/>
      <c r="DA155" s="3"/>
      <c r="DB155" s="3"/>
      <c r="DC155" s="3"/>
      <c r="DD155" s="3"/>
      <c r="DE155" s="3"/>
      <c r="DF155" s="3"/>
      <c r="DG155" s="3"/>
      <c r="DH155" s="3"/>
    </row>
    <row r="156" spans="21:112">
      <c r="U156" s="3"/>
      <c r="V156" s="3"/>
      <c r="W156" s="3"/>
      <c r="X156" s="3"/>
      <c r="Y156" s="3"/>
      <c r="Z156" s="3"/>
      <c r="AA156" s="3"/>
      <c r="AB156" s="3"/>
      <c r="AP156" s="3"/>
      <c r="AQ156" s="3"/>
      <c r="AR156" s="3"/>
      <c r="AS156" s="3"/>
      <c r="AT156" s="3"/>
      <c r="AU156" s="3"/>
      <c r="AV156" s="3"/>
      <c r="AW156" s="3"/>
      <c r="BK156" s="3"/>
      <c r="BL156" s="3"/>
      <c r="BM156" s="3"/>
      <c r="BN156" s="3"/>
      <c r="BO156" s="3"/>
      <c r="BP156" s="3"/>
      <c r="BQ156" s="3"/>
      <c r="BR156" s="3"/>
      <c r="CF156" s="3"/>
      <c r="CG156" s="3"/>
      <c r="CH156" s="3"/>
      <c r="CI156" s="3"/>
      <c r="CJ156" s="3"/>
      <c r="CK156" s="3"/>
      <c r="CL156" s="3"/>
      <c r="CM156" s="3"/>
      <c r="DA156" s="3"/>
      <c r="DB156" s="3"/>
      <c r="DC156" s="3"/>
      <c r="DD156" s="3"/>
      <c r="DE156" s="3"/>
      <c r="DF156" s="3"/>
      <c r="DG156" s="3"/>
      <c r="DH156" s="3"/>
    </row>
    <row r="157" spans="21:112">
      <c r="U157" s="3"/>
      <c r="V157" s="3"/>
      <c r="W157" s="3"/>
      <c r="X157" s="3"/>
      <c r="Y157" s="3"/>
      <c r="Z157" s="3"/>
      <c r="AA157" s="3"/>
      <c r="AB157" s="3"/>
      <c r="AP157" s="3"/>
      <c r="AQ157" s="3"/>
      <c r="AR157" s="3"/>
      <c r="AS157" s="3"/>
      <c r="AT157" s="3"/>
      <c r="AU157" s="3"/>
      <c r="AV157" s="3"/>
      <c r="AW157" s="3"/>
      <c r="BK157" s="3"/>
      <c r="BL157" s="3"/>
      <c r="BM157" s="3"/>
      <c r="BN157" s="3"/>
      <c r="BO157" s="3"/>
      <c r="BP157" s="3"/>
      <c r="BQ157" s="3"/>
      <c r="BR157" s="3"/>
      <c r="CF157" s="3"/>
      <c r="CG157" s="3"/>
      <c r="CH157" s="3"/>
      <c r="CI157" s="3"/>
      <c r="CJ157" s="3"/>
      <c r="CK157" s="3"/>
      <c r="CL157" s="3"/>
      <c r="CM157" s="3"/>
      <c r="DA157" s="3"/>
      <c r="DB157" s="3"/>
      <c r="DC157" s="3"/>
      <c r="DD157" s="3"/>
      <c r="DE157" s="3"/>
      <c r="DF157" s="3"/>
      <c r="DG157" s="3"/>
      <c r="DH157" s="3"/>
    </row>
    <row r="158" spans="21:112">
      <c r="U158" s="3"/>
      <c r="V158" s="3"/>
      <c r="W158" s="3"/>
      <c r="X158" s="3"/>
      <c r="Y158" s="3"/>
      <c r="Z158" s="3"/>
      <c r="AA158" s="3"/>
      <c r="AB158" s="3"/>
      <c r="AP158" s="3"/>
      <c r="AQ158" s="3"/>
      <c r="AR158" s="3"/>
      <c r="AS158" s="3"/>
      <c r="AT158" s="3"/>
      <c r="AU158" s="3"/>
      <c r="AV158" s="3"/>
      <c r="AW158" s="3"/>
      <c r="BK158" s="3"/>
      <c r="BL158" s="3"/>
      <c r="BM158" s="3"/>
      <c r="BN158" s="3"/>
      <c r="BO158" s="3"/>
      <c r="BP158" s="3"/>
      <c r="BQ158" s="3"/>
      <c r="BR158" s="3"/>
      <c r="CF158" s="3"/>
      <c r="CG158" s="3"/>
      <c r="CH158" s="3"/>
      <c r="CI158" s="3"/>
      <c r="CJ158" s="3"/>
      <c r="CK158" s="3"/>
      <c r="CL158" s="3"/>
      <c r="CM158" s="3"/>
      <c r="DA158" s="3"/>
      <c r="DB158" s="3"/>
      <c r="DC158" s="3"/>
      <c r="DD158" s="3"/>
      <c r="DE158" s="3"/>
      <c r="DF158" s="3"/>
      <c r="DG158" s="3"/>
      <c r="DH158" s="3"/>
    </row>
    <row r="159" spans="21:112">
      <c r="U159" s="3"/>
      <c r="V159" s="3"/>
      <c r="W159" s="3"/>
      <c r="X159" s="3"/>
      <c r="Y159" s="3"/>
      <c r="Z159" s="3"/>
      <c r="AA159" s="3"/>
      <c r="AB159" s="3"/>
      <c r="AP159" s="3"/>
      <c r="AQ159" s="3"/>
      <c r="AR159" s="3"/>
      <c r="AS159" s="3"/>
      <c r="AT159" s="3"/>
      <c r="AU159" s="3"/>
      <c r="AV159" s="3"/>
      <c r="AW159" s="3"/>
      <c r="BK159" s="3"/>
      <c r="BL159" s="3"/>
      <c r="BM159" s="3"/>
      <c r="BN159" s="3"/>
      <c r="BO159" s="3"/>
      <c r="BP159" s="3"/>
      <c r="BQ159" s="3"/>
      <c r="BR159" s="3"/>
      <c r="CF159" s="3"/>
      <c r="CG159" s="3"/>
      <c r="CH159" s="3"/>
      <c r="CI159" s="3"/>
      <c r="CJ159" s="3"/>
      <c r="CK159" s="3"/>
      <c r="CL159" s="3"/>
      <c r="CM159" s="3"/>
      <c r="DA159" s="3"/>
      <c r="DB159" s="3"/>
      <c r="DC159" s="3"/>
      <c r="DD159" s="3"/>
      <c r="DE159" s="3"/>
      <c r="DF159" s="3"/>
      <c r="DG159" s="3"/>
      <c r="DH159" s="3"/>
    </row>
    <row r="160" spans="21:112">
      <c r="U160" s="3"/>
      <c r="V160" s="3"/>
      <c r="W160" s="3"/>
      <c r="X160" s="3"/>
      <c r="Y160" s="3"/>
      <c r="Z160" s="3"/>
      <c r="AA160" s="3"/>
      <c r="AB160" s="3"/>
      <c r="AP160" s="3"/>
      <c r="AQ160" s="3"/>
      <c r="AR160" s="3"/>
      <c r="AS160" s="3"/>
      <c r="AT160" s="3"/>
      <c r="AU160" s="3"/>
      <c r="AV160" s="3"/>
      <c r="AW160" s="3"/>
      <c r="BK160" s="3"/>
      <c r="BL160" s="3"/>
      <c r="BM160" s="3"/>
      <c r="BN160" s="3"/>
      <c r="BO160" s="3"/>
      <c r="BP160" s="3"/>
      <c r="BQ160" s="3"/>
      <c r="BR160" s="3"/>
      <c r="CF160" s="3"/>
      <c r="CG160" s="3"/>
      <c r="CH160" s="3"/>
      <c r="CI160" s="3"/>
      <c r="CJ160" s="3"/>
      <c r="CK160" s="3"/>
      <c r="CL160" s="3"/>
      <c r="CM160" s="3"/>
      <c r="DA160" s="3"/>
      <c r="DB160" s="3"/>
      <c r="DC160" s="3"/>
      <c r="DD160" s="3"/>
      <c r="DE160" s="3"/>
      <c r="DF160" s="3"/>
      <c r="DG160" s="3"/>
      <c r="DH160" s="3"/>
    </row>
    <row r="161" spans="21:112">
      <c r="U161" s="3"/>
      <c r="V161" s="3"/>
      <c r="W161" s="3"/>
      <c r="X161" s="3"/>
      <c r="Y161" s="3"/>
      <c r="Z161" s="3"/>
      <c r="AA161" s="3"/>
      <c r="AB161" s="3"/>
      <c r="AP161" s="3"/>
      <c r="AQ161" s="3"/>
      <c r="AR161" s="3"/>
      <c r="AS161" s="3"/>
      <c r="AT161" s="3"/>
      <c r="AU161" s="3"/>
      <c r="AV161" s="3"/>
      <c r="AW161" s="3"/>
      <c r="BK161" s="3"/>
      <c r="BL161" s="3"/>
      <c r="BM161" s="3"/>
      <c r="BN161" s="3"/>
      <c r="BO161" s="3"/>
      <c r="BP161" s="3"/>
      <c r="BQ161" s="3"/>
      <c r="BR161" s="3"/>
      <c r="CF161" s="3"/>
      <c r="CG161" s="3"/>
      <c r="CH161" s="3"/>
      <c r="CI161" s="3"/>
      <c r="CJ161" s="3"/>
      <c r="CK161" s="3"/>
      <c r="CL161" s="3"/>
      <c r="CM161" s="3"/>
      <c r="DA161" s="3"/>
      <c r="DB161" s="3"/>
      <c r="DC161" s="3"/>
      <c r="DD161" s="3"/>
      <c r="DE161" s="3"/>
      <c r="DF161" s="3"/>
      <c r="DG161" s="3"/>
      <c r="DH161" s="3"/>
    </row>
    <row r="162" spans="21:112">
      <c r="U162" s="3"/>
      <c r="V162" s="3"/>
      <c r="W162" s="3"/>
      <c r="X162" s="3"/>
      <c r="Y162" s="3"/>
      <c r="Z162" s="3"/>
      <c r="AA162" s="3"/>
      <c r="AB162" s="3"/>
      <c r="AP162" s="3"/>
      <c r="AQ162" s="3"/>
      <c r="AR162" s="3"/>
      <c r="AS162" s="3"/>
      <c r="AT162" s="3"/>
      <c r="AU162" s="3"/>
      <c r="AV162" s="3"/>
      <c r="AW162" s="3"/>
      <c r="BK162" s="3"/>
      <c r="BL162" s="3"/>
      <c r="BM162" s="3"/>
      <c r="BN162" s="3"/>
      <c r="BO162" s="3"/>
      <c r="BP162" s="3"/>
      <c r="BQ162" s="3"/>
      <c r="BR162" s="3"/>
      <c r="CF162" s="3"/>
      <c r="CG162" s="3"/>
      <c r="CH162" s="3"/>
      <c r="CI162" s="3"/>
      <c r="CJ162" s="3"/>
      <c r="CK162" s="3"/>
      <c r="CL162" s="3"/>
      <c r="CM162" s="3"/>
      <c r="DA162" s="3"/>
      <c r="DB162" s="3"/>
      <c r="DC162" s="3"/>
      <c r="DD162" s="3"/>
      <c r="DE162" s="3"/>
      <c r="DF162" s="3"/>
      <c r="DG162" s="3"/>
      <c r="DH162" s="3"/>
    </row>
    <row r="163" spans="21:112">
      <c r="U163" s="3"/>
      <c r="V163" s="3"/>
      <c r="W163" s="3"/>
      <c r="X163" s="3"/>
      <c r="Y163" s="3"/>
      <c r="Z163" s="3"/>
      <c r="AA163" s="3"/>
      <c r="AB163" s="3"/>
      <c r="AP163" s="3"/>
      <c r="AQ163" s="3"/>
      <c r="AR163" s="3"/>
      <c r="AS163" s="3"/>
      <c r="AT163" s="3"/>
      <c r="AU163" s="3"/>
      <c r="AV163" s="3"/>
      <c r="AW163" s="3"/>
      <c r="BK163" s="3"/>
      <c r="BL163" s="3"/>
      <c r="BM163" s="3"/>
      <c r="BN163" s="3"/>
      <c r="BO163" s="3"/>
      <c r="BP163" s="3"/>
      <c r="BQ163" s="3"/>
      <c r="BR163" s="3"/>
      <c r="CF163" s="3"/>
      <c r="CG163" s="3"/>
      <c r="CH163" s="3"/>
      <c r="CI163" s="3"/>
      <c r="CJ163" s="3"/>
      <c r="CK163" s="3"/>
      <c r="CL163" s="3"/>
      <c r="CM163" s="3"/>
      <c r="DA163" s="3"/>
      <c r="DB163" s="3"/>
      <c r="DC163" s="3"/>
      <c r="DD163" s="3"/>
      <c r="DE163" s="3"/>
      <c r="DF163" s="3"/>
      <c r="DG163" s="3"/>
      <c r="DH163" s="3"/>
    </row>
    <row r="164" spans="21:112">
      <c r="U164" s="3"/>
      <c r="V164" s="3"/>
      <c r="W164" s="3"/>
      <c r="X164" s="3"/>
      <c r="Y164" s="3"/>
      <c r="Z164" s="3"/>
      <c r="AA164" s="3"/>
      <c r="AB164" s="3"/>
      <c r="AP164" s="3"/>
      <c r="AQ164" s="3"/>
      <c r="AR164" s="3"/>
      <c r="AS164" s="3"/>
      <c r="AT164" s="3"/>
      <c r="AU164" s="3"/>
      <c r="AV164" s="3"/>
      <c r="AW164" s="3"/>
      <c r="BK164" s="3"/>
      <c r="BL164" s="3"/>
      <c r="BM164" s="3"/>
      <c r="BN164" s="3"/>
      <c r="BO164" s="3"/>
      <c r="BP164" s="3"/>
      <c r="BQ164" s="3"/>
      <c r="BR164" s="3"/>
      <c r="CF164" s="3"/>
      <c r="CG164" s="3"/>
      <c r="CH164" s="3"/>
      <c r="CI164" s="3"/>
      <c r="CJ164" s="3"/>
      <c r="CK164" s="3"/>
      <c r="CL164" s="3"/>
      <c r="CM164" s="3"/>
      <c r="DA164" s="3"/>
      <c r="DB164" s="3"/>
      <c r="DC164" s="3"/>
      <c r="DD164" s="3"/>
      <c r="DE164" s="3"/>
      <c r="DF164" s="3"/>
      <c r="DG164" s="3"/>
      <c r="DH164" s="3"/>
    </row>
    <row r="165" spans="21:112">
      <c r="U165" s="3"/>
      <c r="V165" s="3"/>
      <c r="W165" s="3"/>
      <c r="X165" s="3"/>
      <c r="Y165" s="3"/>
      <c r="Z165" s="3"/>
      <c r="AA165" s="3"/>
      <c r="AB165" s="3"/>
      <c r="AP165" s="3"/>
      <c r="AQ165" s="3"/>
      <c r="AR165" s="3"/>
      <c r="AS165" s="3"/>
      <c r="AT165" s="3"/>
      <c r="AU165" s="3"/>
      <c r="AV165" s="3"/>
      <c r="AW165" s="3"/>
      <c r="BK165" s="3"/>
      <c r="BL165" s="3"/>
      <c r="BM165" s="3"/>
      <c r="BN165" s="3"/>
      <c r="BO165" s="3"/>
      <c r="BP165" s="3"/>
      <c r="BQ165" s="3"/>
      <c r="BR165" s="3"/>
      <c r="CF165" s="3"/>
      <c r="CG165" s="3"/>
      <c r="CH165" s="3"/>
      <c r="CI165" s="3"/>
      <c r="CJ165" s="3"/>
      <c r="CK165" s="3"/>
      <c r="CL165" s="3"/>
      <c r="CM165" s="3"/>
      <c r="DA165" s="3"/>
      <c r="DB165" s="3"/>
      <c r="DC165" s="3"/>
      <c r="DD165" s="3"/>
      <c r="DE165" s="3"/>
      <c r="DF165" s="3"/>
      <c r="DG165" s="3"/>
      <c r="DH165" s="3"/>
    </row>
    <row r="166" spans="21:112">
      <c r="U166" s="3"/>
      <c r="V166" s="3"/>
      <c r="W166" s="3"/>
      <c r="X166" s="3"/>
      <c r="Y166" s="3"/>
      <c r="Z166" s="3"/>
      <c r="AA166" s="3"/>
      <c r="AB166" s="3"/>
      <c r="AP166" s="3"/>
      <c r="AQ166" s="3"/>
      <c r="AR166" s="3"/>
      <c r="AS166" s="3"/>
      <c r="AT166" s="3"/>
      <c r="AU166" s="3"/>
      <c r="AV166" s="3"/>
      <c r="AW166" s="3"/>
      <c r="BK166" s="3"/>
      <c r="BL166" s="3"/>
      <c r="BM166" s="3"/>
      <c r="BN166" s="3"/>
      <c r="BO166" s="3"/>
      <c r="BP166" s="3"/>
      <c r="BQ166" s="3"/>
      <c r="BR166" s="3"/>
      <c r="CF166" s="3"/>
      <c r="CG166" s="3"/>
      <c r="CH166" s="3"/>
      <c r="CI166" s="3"/>
      <c r="CJ166" s="3"/>
      <c r="CK166" s="3"/>
      <c r="CL166" s="3"/>
      <c r="CM166" s="3"/>
      <c r="DA166" s="3"/>
      <c r="DB166" s="3"/>
      <c r="DC166" s="3"/>
      <c r="DD166" s="3"/>
      <c r="DE166" s="3"/>
      <c r="DF166" s="3"/>
      <c r="DG166" s="3"/>
      <c r="DH166" s="3"/>
    </row>
    <row r="167" spans="21:112">
      <c r="U167" s="3"/>
      <c r="V167" s="3"/>
      <c r="W167" s="3"/>
      <c r="X167" s="3"/>
      <c r="Y167" s="3"/>
      <c r="Z167" s="3"/>
      <c r="AA167" s="3"/>
      <c r="AB167" s="3"/>
      <c r="AP167" s="3"/>
      <c r="AQ167" s="3"/>
      <c r="AR167" s="3"/>
      <c r="AS167" s="3"/>
      <c r="AT167" s="3"/>
      <c r="AU167" s="3"/>
      <c r="AV167" s="3"/>
      <c r="AW167" s="3"/>
      <c r="BK167" s="3"/>
      <c r="BL167" s="3"/>
      <c r="BM167" s="3"/>
      <c r="BN167" s="3"/>
      <c r="BO167" s="3"/>
      <c r="BP167" s="3"/>
      <c r="BQ167" s="3"/>
      <c r="BR167" s="3"/>
      <c r="CF167" s="3"/>
      <c r="CG167" s="3"/>
      <c r="CH167" s="3"/>
      <c r="CI167" s="3"/>
      <c r="CJ167" s="3"/>
      <c r="CK167" s="3"/>
      <c r="CL167" s="3"/>
      <c r="CM167" s="3"/>
      <c r="DA167" s="3"/>
      <c r="DB167" s="3"/>
      <c r="DC167" s="3"/>
      <c r="DD167" s="3"/>
      <c r="DE167" s="3"/>
      <c r="DF167" s="3"/>
      <c r="DG167" s="3"/>
      <c r="DH167" s="3"/>
    </row>
    <row r="168" spans="21:112">
      <c r="U168" s="3"/>
      <c r="V168" s="3"/>
      <c r="W168" s="3"/>
      <c r="X168" s="3"/>
      <c r="Y168" s="3"/>
      <c r="Z168" s="3"/>
      <c r="AA168" s="3"/>
      <c r="AB168" s="3"/>
      <c r="AP168" s="3"/>
      <c r="AQ168" s="3"/>
      <c r="AR168" s="3"/>
      <c r="AS168" s="3"/>
      <c r="AT168" s="3"/>
      <c r="AU168" s="3"/>
      <c r="AV168" s="3"/>
      <c r="AW168" s="3"/>
      <c r="BK168" s="3"/>
      <c r="BL168" s="3"/>
      <c r="BM168" s="3"/>
      <c r="BN168" s="3"/>
      <c r="BO168" s="3"/>
      <c r="BP168" s="3"/>
      <c r="BQ168" s="3"/>
      <c r="BR168" s="3"/>
      <c r="CF168" s="3"/>
      <c r="CG168" s="3"/>
      <c r="CH168" s="3"/>
      <c r="CI168" s="3"/>
      <c r="CJ168" s="3"/>
      <c r="CK168" s="3"/>
      <c r="CL168" s="3"/>
      <c r="CM168" s="3"/>
      <c r="DA168" s="3"/>
      <c r="DB168" s="3"/>
      <c r="DC168" s="3"/>
      <c r="DD168" s="3"/>
      <c r="DE168" s="3"/>
      <c r="DF168" s="3"/>
      <c r="DG168" s="3"/>
      <c r="DH168" s="3"/>
    </row>
    <row r="169" spans="21:112">
      <c r="U169" s="3"/>
      <c r="V169" s="3"/>
      <c r="W169" s="3"/>
      <c r="X169" s="3"/>
      <c r="Y169" s="3"/>
      <c r="Z169" s="3"/>
      <c r="AA169" s="3"/>
      <c r="AB169" s="3"/>
      <c r="AP169" s="3"/>
      <c r="AQ169" s="3"/>
      <c r="AR169" s="3"/>
      <c r="AS169" s="3"/>
      <c r="AT169" s="3"/>
      <c r="AU169" s="3"/>
      <c r="AV169" s="3"/>
      <c r="AW169" s="3"/>
      <c r="BK169" s="3"/>
      <c r="BL169" s="3"/>
      <c r="BM169" s="3"/>
      <c r="BN169" s="3"/>
      <c r="BO169" s="3"/>
      <c r="BP169" s="3"/>
      <c r="BQ169" s="3"/>
      <c r="BR169" s="3"/>
      <c r="CF169" s="3"/>
      <c r="CG169" s="3"/>
      <c r="CH169" s="3"/>
      <c r="CI169" s="3"/>
      <c r="CJ169" s="3"/>
      <c r="CK169" s="3"/>
      <c r="CL169" s="3"/>
      <c r="CM169" s="3"/>
      <c r="DA169" s="3"/>
      <c r="DB169" s="3"/>
      <c r="DC169" s="3"/>
      <c r="DD169" s="3"/>
      <c r="DE169" s="3"/>
      <c r="DF169" s="3"/>
      <c r="DG169" s="3"/>
      <c r="DH169" s="3"/>
    </row>
    <row r="170" spans="21:112">
      <c r="U170" s="3"/>
      <c r="V170" s="3"/>
      <c r="W170" s="3"/>
      <c r="X170" s="3"/>
      <c r="Y170" s="3"/>
      <c r="Z170" s="3"/>
      <c r="AA170" s="3"/>
      <c r="AB170" s="3"/>
      <c r="AP170" s="3"/>
      <c r="AQ170" s="3"/>
      <c r="AR170" s="3"/>
      <c r="AS170" s="3"/>
      <c r="AT170" s="3"/>
      <c r="AU170" s="3"/>
      <c r="AV170" s="3"/>
      <c r="AW170" s="3"/>
      <c r="BK170" s="3"/>
      <c r="BL170" s="3"/>
      <c r="BM170" s="3"/>
      <c r="BN170" s="3"/>
      <c r="BO170" s="3"/>
      <c r="BP170" s="3"/>
      <c r="BQ170" s="3"/>
      <c r="BR170" s="3"/>
      <c r="CF170" s="3"/>
      <c r="CG170" s="3"/>
      <c r="CH170" s="3"/>
      <c r="CI170" s="3"/>
      <c r="CJ170" s="3"/>
      <c r="CK170" s="3"/>
      <c r="CL170" s="3"/>
      <c r="CM170" s="3"/>
      <c r="DA170" s="3"/>
      <c r="DB170" s="3"/>
      <c r="DC170" s="3"/>
      <c r="DD170" s="3"/>
      <c r="DE170" s="3"/>
      <c r="DF170" s="3"/>
      <c r="DG170" s="3"/>
      <c r="DH170" s="3"/>
    </row>
    <row r="171" spans="21:112">
      <c r="U171" s="3"/>
      <c r="V171" s="3"/>
      <c r="W171" s="3"/>
      <c r="X171" s="3"/>
      <c r="Y171" s="3"/>
      <c r="Z171" s="3"/>
      <c r="AA171" s="3"/>
      <c r="AB171" s="3"/>
      <c r="AP171" s="3"/>
      <c r="AQ171" s="3"/>
      <c r="AR171" s="3"/>
      <c r="AS171" s="3"/>
      <c r="AT171" s="3"/>
      <c r="AU171" s="3"/>
      <c r="AV171" s="3"/>
      <c r="AW171" s="3"/>
      <c r="BK171" s="3"/>
      <c r="BL171" s="3"/>
      <c r="BM171" s="3"/>
      <c r="BN171" s="3"/>
      <c r="BO171" s="3"/>
      <c r="BP171" s="3"/>
      <c r="BQ171" s="3"/>
      <c r="BR171" s="3"/>
      <c r="CF171" s="3"/>
      <c r="CG171" s="3"/>
      <c r="CH171" s="3"/>
      <c r="CI171" s="3"/>
      <c r="CJ171" s="3"/>
      <c r="CK171" s="3"/>
      <c r="CL171" s="3"/>
      <c r="CM171" s="3"/>
      <c r="DA171" s="3"/>
      <c r="DB171" s="3"/>
      <c r="DC171" s="3"/>
      <c r="DD171" s="3"/>
      <c r="DE171" s="3"/>
      <c r="DF171" s="3"/>
      <c r="DG171" s="3"/>
      <c r="DH171" s="3"/>
    </row>
    <row r="172" spans="21:112">
      <c r="U172" s="3"/>
      <c r="V172" s="3"/>
      <c r="W172" s="3"/>
      <c r="X172" s="3"/>
      <c r="Y172" s="3"/>
      <c r="Z172" s="3"/>
      <c r="AA172" s="3"/>
      <c r="AB172" s="3"/>
      <c r="AP172" s="3"/>
      <c r="AQ172" s="3"/>
      <c r="AR172" s="3"/>
      <c r="AS172" s="3"/>
      <c r="AT172" s="3"/>
      <c r="AU172" s="3"/>
      <c r="AV172" s="3"/>
      <c r="AW172" s="3"/>
      <c r="BK172" s="3"/>
      <c r="BL172" s="3"/>
      <c r="BM172" s="3"/>
      <c r="BN172" s="3"/>
      <c r="BO172" s="3"/>
      <c r="BP172" s="3"/>
      <c r="BQ172" s="3"/>
      <c r="BR172" s="3"/>
      <c r="CF172" s="3"/>
      <c r="CG172" s="3"/>
      <c r="CH172" s="3"/>
      <c r="CI172" s="3"/>
      <c r="CJ172" s="3"/>
      <c r="CK172" s="3"/>
      <c r="CL172" s="3"/>
      <c r="CM172" s="3"/>
      <c r="DA172" s="3"/>
      <c r="DB172" s="3"/>
      <c r="DC172" s="3"/>
      <c r="DD172" s="3"/>
      <c r="DE172" s="3"/>
      <c r="DF172" s="3"/>
      <c r="DG172" s="3"/>
      <c r="DH172" s="3"/>
    </row>
    <row r="173" spans="21:112">
      <c r="U173" s="3"/>
      <c r="V173" s="3"/>
      <c r="W173" s="3"/>
      <c r="X173" s="3"/>
      <c r="Y173" s="3"/>
      <c r="Z173" s="3"/>
      <c r="AA173" s="3"/>
      <c r="AB173" s="3"/>
      <c r="AP173" s="3"/>
      <c r="AQ173" s="3"/>
      <c r="AR173" s="3"/>
      <c r="AS173" s="3"/>
      <c r="AT173" s="3"/>
      <c r="AU173" s="3"/>
      <c r="AV173" s="3"/>
      <c r="AW173" s="3"/>
      <c r="BK173" s="3"/>
      <c r="BL173" s="3"/>
      <c r="BM173" s="3"/>
      <c r="BN173" s="3"/>
      <c r="BO173" s="3"/>
      <c r="BP173" s="3"/>
      <c r="BQ173" s="3"/>
      <c r="BR173" s="3"/>
      <c r="CF173" s="3"/>
      <c r="CG173" s="3"/>
      <c r="CH173" s="3"/>
      <c r="CI173" s="3"/>
      <c r="CJ173" s="3"/>
      <c r="CK173" s="3"/>
      <c r="CL173" s="3"/>
      <c r="CM173" s="3"/>
      <c r="DA173" s="3"/>
      <c r="DB173" s="3"/>
      <c r="DC173" s="3"/>
      <c r="DD173" s="3"/>
      <c r="DE173" s="3"/>
      <c r="DF173" s="3"/>
      <c r="DG173" s="3"/>
      <c r="DH173" s="3"/>
    </row>
    <row r="174" spans="21:112">
      <c r="U174" s="3"/>
      <c r="V174" s="3"/>
      <c r="W174" s="3"/>
      <c r="X174" s="3"/>
      <c r="Y174" s="3"/>
      <c r="Z174" s="3"/>
      <c r="AA174" s="3"/>
      <c r="AB174" s="3"/>
      <c r="AP174" s="3"/>
      <c r="AQ174" s="3"/>
      <c r="AR174" s="3"/>
      <c r="AS174" s="3"/>
      <c r="AT174" s="3"/>
      <c r="AU174" s="3"/>
      <c r="AV174" s="3"/>
      <c r="AW174" s="3"/>
      <c r="BK174" s="3"/>
      <c r="BL174" s="3"/>
      <c r="BM174" s="3"/>
      <c r="BN174" s="3"/>
      <c r="BO174" s="3"/>
      <c r="BP174" s="3"/>
      <c r="BQ174" s="3"/>
      <c r="BR174" s="3"/>
      <c r="CF174" s="3"/>
      <c r="CG174" s="3"/>
      <c r="CH174" s="3"/>
      <c r="CI174" s="3"/>
      <c r="CJ174" s="3"/>
      <c r="CK174" s="3"/>
      <c r="CL174" s="3"/>
      <c r="CM174" s="3"/>
      <c r="DA174" s="3"/>
      <c r="DB174" s="3"/>
      <c r="DC174" s="3"/>
      <c r="DD174" s="3"/>
      <c r="DE174" s="3"/>
      <c r="DF174" s="3"/>
      <c r="DG174" s="3"/>
      <c r="DH174" s="3"/>
    </row>
    <row r="175" spans="21:112">
      <c r="U175" s="3"/>
      <c r="V175" s="3"/>
      <c r="W175" s="3"/>
      <c r="X175" s="3"/>
      <c r="Y175" s="3"/>
      <c r="Z175" s="3"/>
      <c r="AA175" s="3"/>
      <c r="AB175" s="3"/>
      <c r="AP175" s="3"/>
      <c r="AQ175" s="3"/>
      <c r="AR175" s="3"/>
      <c r="AS175" s="3"/>
      <c r="AT175" s="3"/>
      <c r="AU175" s="3"/>
      <c r="AV175" s="3"/>
      <c r="AW175" s="3"/>
      <c r="BK175" s="3"/>
      <c r="BL175" s="3"/>
      <c r="BM175" s="3"/>
      <c r="BN175" s="3"/>
      <c r="BO175" s="3"/>
      <c r="BP175" s="3"/>
      <c r="BQ175" s="3"/>
      <c r="BR175" s="3"/>
      <c r="CF175" s="3"/>
      <c r="CG175" s="3"/>
      <c r="CH175" s="3"/>
      <c r="CI175" s="3"/>
      <c r="CJ175" s="3"/>
      <c r="CK175" s="3"/>
      <c r="CL175" s="3"/>
      <c r="CM175" s="3"/>
      <c r="DA175" s="3"/>
      <c r="DB175" s="3"/>
      <c r="DC175" s="3"/>
      <c r="DD175" s="3"/>
      <c r="DE175" s="3"/>
      <c r="DF175" s="3"/>
      <c r="DG175" s="3"/>
      <c r="DH175" s="3"/>
    </row>
    <row r="176" spans="21:112">
      <c r="U176" s="3"/>
      <c r="V176" s="3"/>
      <c r="W176" s="3"/>
      <c r="X176" s="3"/>
      <c r="Y176" s="3"/>
      <c r="Z176" s="3"/>
      <c r="AA176" s="3"/>
      <c r="AB176" s="3"/>
      <c r="AP176" s="3"/>
      <c r="AQ176" s="3"/>
      <c r="AR176" s="3"/>
      <c r="AS176" s="3"/>
      <c r="AT176" s="3"/>
      <c r="AU176" s="3"/>
      <c r="AV176" s="3"/>
      <c r="AW176" s="3"/>
      <c r="BK176" s="3"/>
      <c r="BL176" s="3"/>
      <c r="BM176" s="3"/>
      <c r="BN176" s="3"/>
      <c r="BO176" s="3"/>
      <c r="BP176" s="3"/>
      <c r="BQ176" s="3"/>
      <c r="BR176" s="3"/>
      <c r="CF176" s="3"/>
      <c r="CG176" s="3"/>
      <c r="CH176" s="3"/>
      <c r="CI176" s="3"/>
      <c r="CJ176" s="3"/>
      <c r="CK176" s="3"/>
      <c r="CL176" s="3"/>
      <c r="CM176" s="3"/>
      <c r="DA176" s="3"/>
      <c r="DB176" s="3"/>
      <c r="DC176" s="3"/>
      <c r="DD176" s="3"/>
      <c r="DE176" s="3"/>
      <c r="DF176" s="3"/>
      <c r="DG176" s="3"/>
      <c r="DH176" s="3"/>
    </row>
    <row r="177" spans="21:112">
      <c r="U177" s="3"/>
      <c r="V177" s="3"/>
      <c r="W177" s="3"/>
      <c r="X177" s="3"/>
      <c r="Y177" s="3"/>
      <c r="Z177" s="3"/>
      <c r="AA177" s="3"/>
      <c r="AB177" s="3"/>
      <c r="AP177" s="3"/>
      <c r="AQ177" s="3"/>
      <c r="AR177" s="3"/>
      <c r="AS177" s="3"/>
      <c r="AT177" s="3"/>
      <c r="AU177" s="3"/>
      <c r="AV177" s="3"/>
      <c r="AW177" s="3"/>
      <c r="BK177" s="3"/>
      <c r="BL177" s="3"/>
      <c r="BM177" s="3"/>
      <c r="BN177" s="3"/>
      <c r="BO177" s="3"/>
      <c r="BP177" s="3"/>
      <c r="BQ177" s="3"/>
      <c r="BR177" s="3"/>
      <c r="CF177" s="3"/>
      <c r="CG177" s="3"/>
      <c r="CH177" s="3"/>
      <c r="CI177" s="3"/>
      <c r="CJ177" s="3"/>
      <c r="CK177" s="3"/>
      <c r="CL177" s="3"/>
      <c r="CM177" s="3"/>
      <c r="DA177" s="3"/>
      <c r="DB177" s="3"/>
      <c r="DC177" s="3"/>
      <c r="DD177" s="3"/>
      <c r="DE177" s="3"/>
      <c r="DF177" s="3"/>
      <c r="DG177" s="3"/>
      <c r="DH177" s="3"/>
    </row>
    <row r="178" spans="21:112">
      <c r="U178" s="3"/>
      <c r="V178" s="3"/>
      <c r="W178" s="3"/>
      <c r="X178" s="3"/>
      <c r="Y178" s="3"/>
      <c r="Z178" s="3"/>
      <c r="AA178" s="3"/>
      <c r="AB178" s="3"/>
      <c r="AP178" s="3"/>
      <c r="AQ178" s="3"/>
      <c r="AR178" s="3"/>
      <c r="AS178" s="3"/>
      <c r="AT178" s="3"/>
      <c r="AU178" s="3"/>
      <c r="AV178" s="3"/>
      <c r="AW178" s="3"/>
      <c r="BK178" s="3"/>
      <c r="BL178" s="3"/>
      <c r="BM178" s="3"/>
      <c r="BN178" s="3"/>
      <c r="BO178" s="3"/>
      <c r="BP178" s="3"/>
      <c r="BQ178" s="3"/>
      <c r="BR178" s="3"/>
      <c r="CF178" s="3"/>
      <c r="CG178" s="3"/>
      <c r="CH178" s="3"/>
      <c r="CI178" s="3"/>
      <c r="CJ178" s="3"/>
      <c r="CK178" s="3"/>
      <c r="CL178" s="3"/>
      <c r="CM178" s="3"/>
      <c r="DA178" s="3"/>
      <c r="DB178" s="3"/>
      <c r="DC178" s="3"/>
      <c r="DD178" s="3"/>
      <c r="DE178" s="3"/>
      <c r="DF178" s="3"/>
      <c r="DG178" s="3"/>
      <c r="DH178" s="3"/>
    </row>
    <row r="179" spans="21:112">
      <c r="U179" s="3"/>
      <c r="V179" s="3"/>
      <c r="W179" s="3"/>
      <c r="X179" s="3"/>
      <c r="Y179" s="3"/>
      <c r="Z179" s="3"/>
      <c r="AA179" s="3"/>
      <c r="AB179" s="3"/>
      <c r="AP179" s="3"/>
      <c r="AQ179" s="3"/>
      <c r="AR179" s="3"/>
      <c r="AS179" s="3"/>
      <c r="AT179" s="3"/>
      <c r="AU179" s="3"/>
      <c r="AV179" s="3"/>
      <c r="AW179" s="3"/>
      <c r="BK179" s="3"/>
      <c r="BL179" s="3"/>
      <c r="BM179" s="3"/>
      <c r="BN179" s="3"/>
      <c r="BO179" s="3"/>
      <c r="BP179" s="3"/>
      <c r="BQ179" s="3"/>
      <c r="BR179" s="3"/>
      <c r="CF179" s="3"/>
      <c r="CG179" s="3"/>
      <c r="CH179" s="3"/>
      <c r="CI179" s="3"/>
      <c r="CJ179" s="3"/>
      <c r="CK179" s="3"/>
      <c r="CL179" s="3"/>
      <c r="CM179" s="3"/>
      <c r="DA179" s="3"/>
      <c r="DB179" s="3"/>
      <c r="DC179" s="3"/>
      <c r="DD179" s="3"/>
      <c r="DE179" s="3"/>
      <c r="DF179" s="3"/>
      <c r="DG179" s="3"/>
      <c r="DH179" s="3"/>
    </row>
    <row r="180" spans="21:112">
      <c r="U180" s="3"/>
      <c r="V180" s="3"/>
      <c r="W180" s="3"/>
      <c r="X180" s="3"/>
      <c r="Y180" s="3"/>
      <c r="Z180" s="3"/>
      <c r="AA180" s="3"/>
      <c r="AB180" s="3"/>
      <c r="AP180" s="3"/>
      <c r="AQ180" s="3"/>
      <c r="AR180" s="3"/>
      <c r="AS180" s="3"/>
      <c r="AT180" s="3"/>
      <c r="AU180" s="3"/>
      <c r="AV180" s="3"/>
      <c r="AW180" s="3"/>
      <c r="BK180" s="3"/>
      <c r="BL180" s="3"/>
      <c r="BM180" s="3"/>
      <c r="BN180" s="3"/>
      <c r="BO180" s="3"/>
      <c r="BP180" s="3"/>
      <c r="BQ180" s="3"/>
      <c r="BR180" s="3"/>
      <c r="CF180" s="3"/>
      <c r="CG180" s="3"/>
      <c r="CH180" s="3"/>
      <c r="CI180" s="3"/>
      <c r="CJ180" s="3"/>
      <c r="CK180" s="3"/>
      <c r="CL180" s="3"/>
      <c r="CM180" s="3"/>
      <c r="DA180" s="3"/>
      <c r="DB180" s="3"/>
      <c r="DC180" s="3"/>
      <c r="DD180" s="3"/>
      <c r="DE180" s="3"/>
      <c r="DF180" s="3"/>
      <c r="DG180" s="3"/>
      <c r="DH180" s="3"/>
    </row>
    <row r="181" spans="21:112">
      <c r="U181" s="3"/>
      <c r="V181" s="3"/>
      <c r="W181" s="3"/>
      <c r="X181" s="3"/>
      <c r="Y181" s="3"/>
      <c r="Z181" s="3"/>
      <c r="AA181" s="3"/>
      <c r="AB181" s="3"/>
      <c r="AP181" s="3"/>
      <c r="AQ181" s="3"/>
      <c r="AR181" s="3"/>
      <c r="AS181" s="3"/>
      <c r="AT181" s="3"/>
      <c r="AU181" s="3"/>
      <c r="AV181" s="3"/>
      <c r="AW181" s="3"/>
      <c r="BK181" s="3"/>
      <c r="BL181" s="3"/>
      <c r="BM181" s="3"/>
      <c r="BN181" s="3"/>
      <c r="BO181" s="3"/>
      <c r="BP181" s="3"/>
      <c r="BQ181" s="3"/>
      <c r="BR181" s="3"/>
      <c r="CF181" s="3"/>
      <c r="CG181" s="3"/>
      <c r="CH181" s="3"/>
      <c r="CI181" s="3"/>
      <c r="CJ181" s="3"/>
      <c r="CK181" s="3"/>
      <c r="CL181" s="3"/>
      <c r="CM181" s="3"/>
      <c r="DA181" s="3"/>
      <c r="DB181" s="3"/>
      <c r="DC181" s="3"/>
      <c r="DD181" s="3"/>
      <c r="DE181" s="3"/>
      <c r="DF181" s="3"/>
      <c r="DG181" s="3"/>
      <c r="DH181" s="3"/>
    </row>
    <row r="182" spans="21:112">
      <c r="U182" s="3"/>
      <c r="V182" s="3"/>
      <c r="W182" s="3"/>
      <c r="X182" s="3"/>
      <c r="Y182" s="3"/>
      <c r="Z182" s="3"/>
      <c r="AA182" s="3"/>
      <c r="AB182" s="3"/>
      <c r="AP182" s="3"/>
      <c r="AQ182" s="3"/>
      <c r="AR182" s="3"/>
      <c r="AS182" s="3"/>
      <c r="AT182" s="3"/>
      <c r="AU182" s="3"/>
      <c r="AV182" s="3"/>
      <c r="AW182" s="3"/>
      <c r="BK182" s="3"/>
      <c r="BL182" s="3"/>
      <c r="BM182" s="3"/>
      <c r="BN182" s="3"/>
      <c r="BO182" s="3"/>
      <c r="BP182" s="3"/>
      <c r="BQ182" s="3"/>
      <c r="BR182" s="3"/>
      <c r="CF182" s="3"/>
      <c r="CG182" s="3"/>
      <c r="CH182" s="3"/>
      <c r="CI182" s="3"/>
      <c r="CJ182" s="3"/>
      <c r="CK182" s="3"/>
      <c r="CL182" s="3"/>
      <c r="CM182" s="3"/>
      <c r="DA182" s="3"/>
      <c r="DB182" s="3"/>
      <c r="DC182" s="3"/>
      <c r="DD182" s="3"/>
      <c r="DE182" s="3"/>
      <c r="DF182" s="3"/>
      <c r="DG182" s="3"/>
      <c r="DH182" s="3"/>
    </row>
    <row r="183" spans="21:112">
      <c r="U183" s="3"/>
      <c r="V183" s="3"/>
      <c r="W183" s="3"/>
      <c r="X183" s="3"/>
      <c r="Y183" s="3"/>
      <c r="Z183" s="3"/>
      <c r="AA183" s="3"/>
      <c r="AB183" s="3"/>
      <c r="AP183" s="3"/>
      <c r="AQ183" s="3"/>
      <c r="AR183" s="3"/>
      <c r="AS183" s="3"/>
      <c r="AT183" s="3"/>
      <c r="AU183" s="3"/>
      <c r="AV183" s="3"/>
      <c r="AW183" s="3"/>
      <c r="BK183" s="3"/>
      <c r="BL183" s="3"/>
      <c r="BM183" s="3"/>
      <c r="BN183" s="3"/>
      <c r="BO183" s="3"/>
      <c r="BP183" s="3"/>
      <c r="BQ183" s="3"/>
      <c r="BR183" s="3"/>
      <c r="CF183" s="3"/>
      <c r="CG183" s="3"/>
      <c r="CH183" s="3"/>
      <c r="CI183" s="3"/>
      <c r="CJ183" s="3"/>
      <c r="CK183" s="3"/>
      <c r="CL183" s="3"/>
      <c r="CM183" s="3"/>
      <c r="DA183" s="3"/>
      <c r="DB183" s="3"/>
      <c r="DC183" s="3"/>
      <c r="DD183" s="3"/>
      <c r="DE183" s="3"/>
      <c r="DF183" s="3"/>
      <c r="DG183" s="3"/>
      <c r="DH183" s="3"/>
    </row>
    <row r="184" spans="21:112">
      <c r="U184" s="3"/>
      <c r="V184" s="3"/>
      <c r="W184" s="3"/>
      <c r="X184" s="3"/>
      <c r="Y184" s="3"/>
      <c r="Z184" s="3"/>
      <c r="AA184" s="3"/>
      <c r="AB184" s="3"/>
      <c r="AP184" s="3"/>
      <c r="AQ184" s="3"/>
      <c r="AR184" s="3"/>
      <c r="AS184" s="3"/>
      <c r="AT184" s="3"/>
      <c r="AU184" s="3"/>
      <c r="AV184" s="3"/>
      <c r="AW184" s="3"/>
      <c r="BK184" s="3"/>
      <c r="BL184" s="3"/>
      <c r="BM184" s="3"/>
      <c r="BN184" s="3"/>
      <c r="BO184" s="3"/>
      <c r="BP184" s="3"/>
      <c r="BQ184" s="3"/>
      <c r="BR184" s="3"/>
      <c r="CF184" s="3"/>
      <c r="CG184" s="3"/>
      <c r="CH184" s="3"/>
      <c r="CI184" s="3"/>
      <c r="CJ184" s="3"/>
      <c r="CK184" s="3"/>
      <c r="CL184" s="3"/>
      <c r="CM184" s="3"/>
      <c r="DA184" s="3"/>
      <c r="DB184" s="3"/>
      <c r="DC184" s="3"/>
      <c r="DD184" s="3"/>
      <c r="DE184" s="3"/>
      <c r="DF184" s="3"/>
      <c r="DG184" s="3"/>
      <c r="DH184" s="3"/>
    </row>
    <row r="185" spans="21:112">
      <c r="U185" s="3"/>
      <c r="V185" s="3"/>
      <c r="W185" s="3"/>
      <c r="X185" s="3"/>
      <c r="Y185" s="3"/>
      <c r="Z185" s="3"/>
      <c r="AA185" s="3"/>
      <c r="AB185" s="3"/>
      <c r="AP185" s="3"/>
      <c r="AQ185" s="3"/>
      <c r="AR185" s="3"/>
      <c r="AS185" s="3"/>
      <c r="AT185" s="3"/>
      <c r="AU185" s="3"/>
      <c r="AV185" s="3"/>
      <c r="AW185" s="3"/>
      <c r="BK185" s="3"/>
      <c r="BL185" s="3"/>
      <c r="BM185" s="3"/>
      <c r="BN185" s="3"/>
      <c r="BO185" s="3"/>
      <c r="BP185" s="3"/>
      <c r="BQ185" s="3"/>
      <c r="BR185" s="3"/>
      <c r="CF185" s="3"/>
      <c r="CG185" s="3"/>
      <c r="CH185" s="3"/>
      <c r="CI185" s="3"/>
      <c r="CJ185" s="3"/>
      <c r="CK185" s="3"/>
      <c r="CL185" s="3"/>
      <c r="CM185" s="3"/>
      <c r="DA185" s="3"/>
      <c r="DB185" s="3"/>
      <c r="DC185" s="3"/>
      <c r="DD185" s="3"/>
      <c r="DE185" s="3"/>
      <c r="DF185" s="3"/>
      <c r="DG185" s="3"/>
      <c r="DH185" s="3"/>
    </row>
    <row r="186" spans="21:112">
      <c r="U186" s="3"/>
      <c r="V186" s="3"/>
      <c r="W186" s="3"/>
      <c r="X186" s="3"/>
      <c r="Y186" s="3"/>
      <c r="Z186" s="3"/>
      <c r="AA186" s="3"/>
      <c r="AB186" s="3"/>
      <c r="AP186" s="3"/>
      <c r="AQ186" s="3"/>
      <c r="AR186" s="3"/>
      <c r="AS186" s="3"/>
      <c r="AT186" s="3"/>
      <c r="AU186" s="3"/>
      <c r="AV186" s="3"/>
      <c r="AW186" s="3"/>
      <c r="BK186" s="3"/>
      <c r="BL186" s="3"/>
      <c r="BM186" s="3"/>
      <c r="BN186" s="3"/>
      <c r="BO186" s="3"/>
      <c r="BP186" s="3"/>
      <c r="BQ186" s="3"/>
      <c r="BR186" s="3"/>
      <c r="CF186" s="3"/>
      <c r="CG186" s="3"/>
      <c r="CH186" s="3"/>
      <c r="CI186" s="3"/>
      <c r="CJ186" s="3"/>
      <c r="CK186" s="3"/>
      <c r="CL186" s="3"/>
      <c r="CM186" s="3"/>
      <c r="DA186" s="3"/>
      <c r="DB186" s="3"/>
      <c r="DC186" s="3"/>
      <c r="DD186" s="3"/>
      <c r="DE186" s="3"/>
      <c r="DF186" s="3"/>
      <c r="DG186" s="3"/>
      <c r="DH186" s="3"/>
    </row>
    <row r="187" spans="21:112">
      <c r="U187" s="3"/>
      <c r="V187" s="3"/>
      <c r="W187" s="3"/>
      <c r="X187" s="3"/>
      <c r="Y187" s="3"/>
      <c r="Z187" s="3"/>
      <c r="AA187" s="3"/>
      <c r="AB187" s="3"/>
      <c r="AP187" s="3"/>
      <c r="AQ187" s="3"/>
      <c r="AR187" s="3"/>
      <c r="AS187" s="3"/>
      <c r="AT187" s="3"/>
      <c r="AU187" s="3"/>
      <c r="AV187" s="3"/>
      <c r="AW187" s="3"/>
      <c r="BK187" s="3"/>
      <c r="BL187" s="3"/>
      <c r="BM187" s="3"/>
      <c r="BN187" s="3"/>
      <c r="BO187" s="3"/>
      <c r="BP187" s="3"/>
      <c r="BQ187" s="3"/>
      <c r="BR187" s="3"/>
      <c r="CF187" s="3"/>
      <c r="CG187" s="3"/>
      <c r="CH187" s="3"/>
      <c r="CI187" s="3"/>
      <c r="CJ187" s="3"/>
      <c r="CK187" s="3"/>
      <c r="CL187" s="3"/>
      <c r="CM187" s="3"/>
      <c r="DA187" s="3"/>
      <c r="DB187" s="3"/>
      <c r="DC187" s="3"/>
      <c r="DD187" s="3"/>
      <c r="DE187" s="3"/>
      <c r="DF187" s="3"/>
      <c r="DG187" s="3"/>
      <c r="DH187" s="3"/>
    </row>
    <row r="188" spans="21:112">
      <c r="U188" s="3"/>
      <c r="V188" s="3"/>
      <c r="W188" s="3"/>
      <c r="X188" s="3"/>
      <c r="Y188" s="3"/>
      <c r="Z188" s="3"/>
      <c r="AA188" s="3"/>
      <c r="AB188" s="3"/>
      <c r="AP188" s="3"/>
      <c r="AQ188" s="3"/>
      <c r="AR188" s="3"/>
      <c r="AS188" s="3"/>
      <c r="AT188" s="3"/>
      <c r="AU188" s="3"/>
      <c r="AV188" s="3"/>
      <c r="AW188" s="3"/>
      <c r="BK188" s="3"/>
      <c r="BL188" s="3"/>
      <c r="BM188" s="3"/>
      <c r="BN188" s="3"/>
      <c r="BO188" s="3"/>
      <c r="BP188" s="3"/>
      <c r="BQ188" s="3"/>
      <c r="BR188" s="3"/>
      <c r="CF188" s="3"/>
      <c r="CG188" s="3"/>
      <c r="CH188" s="3"/>
      <c r="CI188" s="3"/>
      <c r="CJ188" s="3"/>
      <c r="CK188" s="3"/>
      <c r="CL188" s="3"/>
      <c r="CM188" s="3"/>
      <c r="DA188" s="3"/>
      <c r="DB188" s="3"/>
      <c r="DC188" s="3"/>
      <c r="DD188" s="3"/>
      <c r="DE188" s="3"/>
      <c r="DF188" s="3"/>
      <c r="DG188" s="3"/>
      <c r="DH188" s="3"/>
    </row>
    <row r="189" spans="21:112">
      <c r="U189" s="3"/>
      <c r="V189" s="3"/>
      <c r="W189" s="3"/>
      <c r="X189" s="3"/>
      <c r="Y189" s="3"/>
      <c r="Z189" s="3"/>
      <c r="AA189" s="3"/>
      <c r="AB189" s="3"/>
      <c r="AP189" s="3"/>
      <c r="AQ189" s="3"/>
      <c r="AR189" s="3"/>
      <c r="AS189" s="3"/>
      <c r="AT189" s="3"/>
      <c r="AU189" s="3"/>
      <c r="AV189" s="3"/>
      <c r="AW189" s="3"/>
      <c r="BK189" s="3"/>
      <c r="BL189" s="3"/>
      <c r="BM189" s="3"/>
      <c r="BN189" s="3"/>
      <c r="BO189" s="3"/>
      <c r="BP189" s="3"/>
      <c r="BQ189" s="3"/>
      <c r="BR189" s="3"/>
      <c r="CF189" s="3"/>
      <c r="CG189" s="3"/>
      <c r="CH189" s="3"/>
      <c r="CI189" s="3"/>
      <c r="CJ189" s="3"/>
      <c r="CK189" s="3"/>
      <c r="CL189" s="3"/>
      <c r="CM189" s="3"/>
      <c r="DA189" s="3"/>
      <c r="DB189" s="3"/>
      <c r="DC189" s="3"/>
      <c r="DD189" s="3"/>
      <c r="DE189" s="3"/>
      <c r="DF189" s="3"/>
      <c r="DG189" s="3"/>
      <c r="DH189" s="3"/>
    </row>
    <row r="190" spans="21:112">
      <c r="U190" s="3"/>
      <c r="V190" s="3"/>
      <c r="W190" s="3"/>
      <c r="X190" s="3"/>
      <c r="Y190" s="3"/>
      <c r="Z190" s="3"/>
      <c r="AA190" s="3"/>
      <c r="AB190" s="3"/>
      <c r="AP190" s="3"/>
      <c r="AQ190" s="3"/>
      <c r="AR190" s="3"/>
      <c r="AS190" s="3"/>
      <c r="AT190" s="3"/>
      <c r="AU190" s="3"/>
      <c r="AV190" s="3"/>
      <c r="AW190" s="3"/>
      <c r="BK190" s="3"/>
      <c r="BL190" s="3"/>
      <c r="BM190" s="3"/>
      <c r="BN190" s="3"/>
      <c r="BO190" s="3"/>
      <c r="BP190" s="3"/>
      <c r="BQ190" s="3"/>
      <c r="BR190" s="3"/>
      <c r="CF190" s="3"/>
      <c r="CG190" s="3"/>
      <c r="CH190" s="3"/>
      <c r="CI190" s="3"/>
      <c r="CJ190" s="3"/>
      <c r="CK190" s="3"/>
      <c r="CL190" s="3"/>
      <c r="CM190" s="3"/>
      <c r="DA190" s="3"/>
      <c r="DB190" s="3"/>
      <c r="DC190" s="3"/>
      <c r="DD190" s="3"/>
      <c r="DE190" s="3"/>
      <c r="DF190" s="3"/>
      <c r="DG190" s="3"/>
      <c r="DH190" s="3"/>
    </row>
    <row r="191" spans="21:112">
      <c r="U191" s="3"/>
      <c r="V191" s="3"/>
      <c r="W191" s="3"/>
      <c r="X191" s="3"/>
      <c r="Y191" s="3"/>
      <c r="Z191" s="3"/>
      <c r="AA191" s="3"/>
      <c r="AB191" s="3"/>
      <c r="AP191" s="3"/>
      <c r="AQ191" s="3"/>
      <c r="AR191" s="3"/>
      <c r="AS191" s="3"/>
      <c r="AT191" s="3"/>
      <c r="AU191" s="3"/>
      <c r="AV191" s="3"/>
      <c r="AW191" s="3"/>
      <c r="BK191" s="3"/>
      <c r="BL191" s="3"/>
      <c r="BM191" s="3"/>
      <c r="BN191" s="3"/>
      <c r="BO191" s="3"/>
      <c r="BP191" s="3"/>
      <c r="BQ191" s="3"/>
      <c r="BR191" s="3"/>
      <c r="CF191" s="3"/>
      <c r="CG191" s="3"/>
      <c r="CH191" s="3"/>
      <c r="CI191" s="3"/>
      <c r="CJ191" s="3"/>
      <c r="CK191" s="3"/>
      <c r="CL191" s="3"/>
      <c r="CM191" s="3"/>
      <c r="DA191" s="3"/>
      <c r="DB191" s="3"/>
      <c r="DC191" s="3"/>
      <c r="DD191" s="3"/>
      <c r="DE191" s="3"/>
      <c r="DF191" s="3"/>
      <c r="DG191" s="3"/>
      <c r="DH191" s="3"/>
    </row>
    <row r="192" spans="21:112">
      <c r="U192" s="3"/>
      <c r="V192" s="3"/>
      <c r="W192" s="3"/>
      <c r="X192" s="3"/>
      <c r="Y192" s="3"/>
      <c r="Z192" s="3"/>
      <c r="AA192" s="3"/>
      <c r="AB192" s="3"/>
      <c r="AP192" s="3"/>
      <c r="AQ192" s="3"/>
      <c r="AR192" s="3"/>
      <c r="AS192" s="3"/>
      <c r="AT192" s="3"/>
      <c r="AU192" s="3"/>
      <c r="AV192" s="3"/>
      <c r="AW192" s="3"/>
      <c r="BK192" s="3"/>
      <c r="BL192" s="3"/>
      <c r="BM192" s="3"/>
      <c r="BN192" s="3"/>
      <c r="BO192" s="3"/>
      <c r="BP192" s="3"/>
      <c r="BQ192" s="3"/>
      <c r="BR192" s="3"/>
      <c r="CF192" s="3"/>
      <c r="CG192" s="3"/>
      <c r="CH192" s="3"/>
      <c r="CI192" s="3"/>
      <c r="CJ192" s="3"/>
      <c r="CK192" s="3"/>
      <c r="CL192" s="3"/>
      <c r="CM192" s="3"/>
      <c r="DA192" s="3"/>
      <c r="DB192" s="3"/>
      <c r="DC192" s="3"/>
      <c r="DD192" s="3"/>
      <c r="DE192" s="3"/>
      <c r="DF192" s="3"/>
      <c r="DG192" s="3"/>
      <c r="DH192" s="3"/>
    </row>
    <row r="193" spans="21:112">
      <c r="U193" s="3"/>
      <c r="V193" s="3"/>
      <c r="W193" s="3"/>
      <c r="X193" s="3"/>
      <c r="Y193" s="3"/>
      <c r="Z193" s="3"/>
      <c r="AA193" s="3"/>
      <c r="AB193" s="3"/>
      <c r="AP193" s="3"/>
      <c r="AQ193" s="3"/>
      <c r="AR193" s="3"/>
      <c r="AS193" s="3"/>
      <c r="AT193" s="3"/>
      <c r="AU193" s="3"/>
      <c r="AV193" s="3"/>
      <c r="AW193" s="3"/>
      <c r="BK193" s="3"/>
      <c r="BL193" s="3"/>
      <c r="BM193" s="3"/>
      <c r="BN193" s="3"/>
      <c r="BO193" s="3"/>
      <c r="BP193" s="3"/>
      <c r="BQ193" s="3"/>
      <c r="BR193" s="3"/>
      <c r="CF193" s="3"/>
      <c r="CG193" s="3"/>
      <c r="CH193" s="3"/>
      <c r="CI193" s="3"/>
      <c r="CJ193" s="3"/>
      <c r="CK193" s="3"/>
      <c r="CL193" s="3"/>
      <c r="CM193" s="3"/>
      <c r="DA193" s="3"/>
      <c r="DB193" s="3"/>
      <c r="DC193" s="3"/>
      <c r="DD193" s="3"/>
      <c r="DE193" s="3"/>
      <c r="DF193" s="3"/>
      <c r="DG193" s="3"/>
      <c r="DH193" s="3"/>
    </row>
    <row r="194" spans="21:112">
      <c r="U194" s="3"/>
      <c r="V194" s="3"/>
      <c r="W194" s="3"/>
      <c r="X194" s="3"/>
      <c r="Y194" s="3"/>
      <c r="Z194" s="3"/>
      <c r="AA194" s="3"/>
      <c r="AB194" s="3"/>
      <c r="AP194" s="3"/>
      <c r="AQ194" s="3"/>
      <c r="AR194" s="3"/>
      <c r="AS194" s="3"/>
      <c r="AT194" s="3"/>
      <c r="AU194" s="3"/>
      <c r="AV194" s="3"/>
      <c r="AW194" s="3"/>
      <c r="BK194" s="3"/>
      <c r="BL194" s="3"/>
      <c r="BM194" s="3"/>
      <c r="BN194" s="3"/>
      <c r="BO194" s="3"/>
      <c r="BP194" s="3"/>
      <c r="BQ194" s="3"/>
      <c r="BR194" s="3"/>
      <c r="CF194" s="3"/>
      <c r="CG194" s="3"/>
      <c r="CH194" s="3"/>
      <c r="CI194" s="3"/>
      <c r="CJ194" s="3"/>
      <c r="CK194" s="3"/>
      <c r="CL194" s="3"/>
      <c r="CM194" s="3"/>
      <c r="DA194" s="3"/>
      <c r="DB194" s="3"/>
      <c r="DC194" s="3"/>
      <c r="DD194" s="3"/>
      <c r="DE194" s="3"/>
      <c r="DF194" s="3"/>
      <c r="DG194" s="3"/>
      <c r="DH194" s="3"/>
    </row>
    <row r="195" spans="21:112">
      <c r="U195" s="3"/>
      <c r="V195" s="3"/>
      <c r="W195" s="3"/>
      <c r="X195" s="3"/>
      <c r="Y195" s="3"/>
      <c r="Z195" s="3"/>
      <c r="AA195" s="3"/>
      <c r="AB195" s="3"/>
      <c r="AP195" s="3"/>
      <c r="AQ195" s="3"/>
      <c r="AR195" s="3"/>
      <c r="AS195" s="3"/>
      <c r="AT195" s="3"/>
      <c r="AU195" s="3"/>
      <c r="AV195" s="3"/>
      <c r="AW195" s="3"/>
      <c r="BK195" s="3"/>
      <c r="BL195" s="3"/>
      <c r="BM195" s="3"/>
      <c r="BN195" s="3"/>
      <c r="BO195" s="3"/>
      <c r="BP195" s="3"/>
      <c r="BQ195" s="3"/>
      <c r="BR195" s="3"/>
      <c r="CF195" s="3"/>
      <c r="CG195" s="3"/>
      <c r="CH195" s="3"/>
      <c r="CI195" s="3"/>
      <c r="CJ195" s="3"/>
      <c r="CK195" s="3"/>
      <c r="CL195" s="3"/>
      <c r="CM195" s="3"/>
      <c r="DA195" s="3"/>
      <c r="DB195" s="3"/>
      <c r="DC195" s="3"/>
      <c r="DD195" s="3"/>
      <c r="DE195" s="3"/>
      <c r="DF195" s="3"/>
      <c r="DG195" s="3"/>
      <c r="DH195" s="3"/>
    </row>
    <row r="196" spans="21:112">
      <c r="U196" s="3"/>
      <c r="V196" s="3"/>
      <c r="W196" s="3"/>
      <c r="X196" s="3"/>
      <c r="Y196" s="3"/>
      <c r="Z196" s="3"/>
      <c r="AA196" s="3"/>
      <c r="AB196" s="3"/>
      <c r="AP196" s="3"/>
      <c r="AQ196" s="3"/>
      <c r="AR196" s="3"/>
      <c r="AS196" s="3"/>
      <c r="AT196" s="3"/>
      <c r="AU196" s="3"/>
      <c r="AV196" s="3"/>
      <c r="AW196" s="3"/>
      <c r="BK196" s="3"/>
      <c r="BL196" s="3"/>
      <c r="BM196" s="3"/>
      <c r="BN196" s="3"/>
      <c r="BO196" s="3"/>
      <c r="BP196" s="3"/>
      <c r="BQ196" s="3"/>
      <c r="BR196" s="3"/>
      <c r="CF196" s="3"/>
      <c r="CG196" s="3"/>
      <c r="CH196" s="3"/>
      <c r="CI196" s="3"/>
      <c r="CJ196" s="3"/>
      <c r="CK196" s="3"/>
      <c r="CL196" s="3"/>
      <c r="CM196" s="3"/>
      <c r="DA196" s="3"/>
      <c r="DB196" s="3"/>
      <c r="DC196" s="3"/>
      <c r="DD196" s="3"/>
      <c r="DE196" s="3"/>
      <c r="DF196" s="3"/>
      <c r="DG196" s="3"/>
      <c r="DH196" s="3"/>
    </row>
    <row r="197" spans="21:112">
      <c r="U197" s="3"/>
      <c r="V197" s="3"/>
      <c r="W197" s="3"/>
      <c r="X197" s="3"/>
      <c r="Y197" s="3"/>
      <c r="Z197" s="3"/>
      <c r="AA197" s="3"/>
      <c r="AB197" s="3"/>
      <c r="AP197" s="3"/>
      <c r="AQ197" s="3"/>
      <c r="AR197" s="3"/>
      <c r="AS197" s="3"/>
      <c r="AT197" s="3"/>
      <c r="AU197" s="3"/>
      <c r="AV197" s="3"/>
      <c r="AW197" s="3"/>
      <c r="BK197" s="3"/>
      <c r="BL197" s="3"/>
      <c r="BM197" s="3"/>
      <c r="BN197" s="3"/>
      <c r="BO197" s="3"/>
      <c r="BP197" s="3"/>
      <c r="BQ197" s="3"/>
      <c r="BR197" s="3"/>
      <c r="CF197" s="3"/>
      <c r="CG197" s="3"/>
      <c r="CH197" s="3"/>
      <c r="CI197" s="3"/>
      <c r="CJ197" s="3"/>
      <c r="CK197" s="3"/>
      <c r="CL197" s="3"/>
      <c r="CM197" s="3"/>
      <c r="DA197" s="3"/>
      <c r="DB197" s="3"/>
      <c r="DC197" s="3"/>
      <c r="DD197" s="3"/>
      <c r="DE197" s="3"/>
      <c r="DF197" s="3"/>
      <c r="DG197" s="3"/>
      <c r="DH197" s="3"/>
    </row>
    <row r="198" spans="21:112">
      <c r="U198" s="3"/>
      <c r="V198" s="3"/>
      <c r="W198" s="3"/>
      <c r="X198" s="3"/>
      <c r="Y198" s="3"/>
      <c r="Z198" s="3"/>
      <c r="AA198" s="3"/>
      <c r="AB198" s="3"/>
      <c r="AP198" s="3"/>
      <c r="AQ198" s="3"/>
      <c r="AR198" s="3"/>
      <c r="AS198" s="3"/>
      <c r="AT198" s="3"/>
      <c r="AU198" s="3"/>
      <c r="AV198" s="3"/>
      <c r="AW198" s="3"/>
      <c r="BK198" s="3"/>
      <c r="BL198" s="3"/>
      <c r="BM198" s="3"/>
      <c r="BN198" s="3"/>
      <c r="BO198" s="3"/>
      <c r="BP198" s="3"/>
      <c r="BQ198" s="3"/>
      <c r="BR198" s="3"/>
      <c r="CF198" s="3"/>
      <c r="CG198" s="3"/>
      <c r="CH198" s="3"/>
      <c r="CI198" s="3"/>
      <c r="CJ198" s="3"/>
      <c r="CK198" s="3"/>
      <c r="CL198" s="3"/>
      <c r="CM198" s="3"/>
      <c r="DA198" s="3"/>
      <c r="DB198" s="3"/>
      <c r="DC198" s="3"/>
      <c r="DD198" s="3"/>
      <c r="DE198" s="3"/>
      <c r="DF198" s="3"/>
      <c r="DG198" s="3"/>
      <c r="DH198" s="3"/>
    </row>
    <row r="199" spans="21:112">
      <c r="U199" s="3"/>
      <c r="V199" s="3"/>
      <c r="W199" s="3"/>
      <c r="X199" s="3"/>
      <c r="Y199" s="3"/>
      <c r="Z199" s="3"/>
      <c r="AA199" s="3"/>
      <c r="AB199" s="3"/>
      <c r="AP199" s="3"/>
      <c r="AQ199" s="3"/>
      <c r="AR199" s="3"/>
      <c r="AS199" s="3"/>
      <c r="AT199" s="3"/>
      <c r="AU199" s="3"/>
      <c r="AV199" s="3"/>
      <c r="AW199" s="3"/>
      <c r="BK199" s="3"/>
      <c r="BL199" s="3"/>
      <c r="BM199" s="3"/>
      <c r="BN199" s="3"/>
      <c r="BO199" s="3"/>
      <c r="BP199" s="3"/>
      <c r="BQ199" s="3"/>
      <c r="BR199" s="3"/>
      <c r="CF199" s="3"/>
      <c r="CG199" s="3"/>
      <c r="CH199" s="3"/>
      <c r="CI199" s="3"/>
      <c r="CJ199" s="3"/>
      <c r="CK199" s="3"/>
      <c r="CL199" s="3"/>
      <c r="CM199" s="3"/>
      <c r="DA199" s="3"/>
      <c r="DB199" s="3"/>
      <c r="DC199" s="3"/>
      <c r="DD199" s="3"/>
      <c r="DE199" s="3"/>
      <c r="DF199" s="3"/>
      <c r="DG199" s="3"/>
      <c r="DH199" s="3"/>
    </row>
    <row r="200" spans="21:112">
      <c r="U200" s="3"/>
      <c r="V200" s="3"/>
      <c r="W200" s="3"/>
      <c r="X200" s="3"/>
      <c r="Y200" s="3"/>
      <c r="Z200" s="3"/>
      <c r="AA200" s="3"/>
      <c r="AB200" s="3"/>
      <c r="AP200" s="3"/>
      <c r="AQ200" s="3"/>
      <c r="AR200" s="3"/>
      <c r="AS200" s="3"/>
      <c r="AT200" s="3"/>
      <c r="AU200" s="3"/>
      <c r="AV200" s="3"/>
      <c r="AW200" s="3"/>
      <c r="BK200" s="3"/>
      <c r="BL200" s="3"/>
      <c r="BM200" s="3"/>
      <c r="BN200" s="3"/>
      <c r="BO200" s="3"/>
      <c r="BP200" s="3"/>
      <c r="BQ200" s="3"/>
      <c r="BR200" s="3"/>
      <c r="CF200" s="3"/>
      <c r="CG200" s="3"/>
      <c r="CH200" s="3"/>
      <c r="CI200" s="3"/>
      <c r="CJ200" s="3"/>
      <c r="CK200" s="3"/>
      <c r="CL200" s="3"/>
      <c r="CM200" s="3"/>
      <c r="DA200" s="3"/>
      <c r="DB200" s="3"/>
      <c r="DC200" s="3"/>
      <c r="DD200" s="3"/>
      <c r="DE200" s="3"/>
      <c r="DF200" s="3"/>
      <c r="DG200" s="3"/>
      <c r="DH200" s="3"/>
    </row>
    <row r="201" spans="21:112">
      <c r="U201" s="3"/>
      <c r="V201" s="3"/>
      <c r="W201" s="3"/>
      <c r="X201" s="3"/>
      <c r="Y201" s="3"/>
      <c r="Z201" s="3"/>
      <c r="AA201" s="3"/>
      <c r="AB201" s="3"/>
      <c r="AP201" s="3"/>
      <c r="AQ201" s="3"/>
      <c r="AR201" s="3"/>
      <c r="AS201" s="3"/>
      <c r="AT201" s="3"/>
      <c r="AU201" s="3"/>
      <c r="AV201" s="3"/>
      <c r="AW201" s="3"/>
      <c r="BK201" s="3"/>
      <c r="BL201" s="3"/>
      <c r="BM201" s="3"/>
      <c r="BN201" s="3"/>
      <c r="BO201" s="3"/>
      <c r="BP201" s="3"/>
      <c r="BQ201" s="3"/>
      <c r="BR201" s="3"/>
      <c r="CF201" s="3"/>
      <c r="CG201" s="3"/>
      <c r="CH201" s="3"/>
      <c r="CI201" s="3"/>
      <c r="CJ201" s="3"/>
      <c r="CK201" s="3"/>
      <c r="CL201" s="3"/>
      <c r="CM201" s="3"/>
      <c r="DA201" s="3"/>
      <c r="DB201" s="3"/>
      <c r="DC201" s="3"/>
      <c r="DD201" s="3"/>
      <c r="DE201" s="3"/>
      <c r="DF201" s="3"/>
      <c r="DG201" s="3"/>
      <c r="DH201" s="3"/>
    </row>
    <row r="202" spans="21:112">
      <c r="U202" s="3"/>
      <c r="V202" s="3"/>
      <c r="W202" s="3"/>
      <c r="X202" s="3"/>
      <c r="Y202" s="3"/>
      <c r="Z202" s="3"/>
      <c r="AA202" s="3"/>
      <c r="AB202" s="3"/>
      <c r="AP202" s="3"/>
      <c r="AQ202" s="3"/>
      <c r="AR202" s="3"/>
      <c r="AS202" s="3"/>
      <c r="AT202" s="3"/>
      <c r="AU202" s="3"/>
      <c r="AV202" s="3"/>
      <c r="AW202" s="3"/>
      <c r="BK202" s="3"/>
      <c r="BL202" s="3"/>
      <c r="BM202" s="3"/>
      <c r="BN202" s="3"/>
      <c r="BO202" s="3"/>
      <c r="BP202" s="3"/>
      <c r="BQ202" s="3"/>
      <c r="BR202" s="3"/>
      <c r="CF202" s="3"/>
      <c r="CG202" s="3"/>
      <c r="CH202" s="3"/>
      <c r="CI202" s="3"/>
      <c r="CJ202" s="3"/>
      <c r="CK202" s="3"/>
      <c r="CL202" s="3"/>
      <c r="CM202" s="3"/>
      <c r="DA202" s="3"/>
      <c r="DB202" s="3"/>
      <c r="DC202" s="3"/>
      <c r="DD202" s="3"/>
      <c r="DE202" s="3"/>
      <c r="DF202" s="3"/>
      <c r="DG202" s="3"/>
      <c r="DH202" s="3"/>
    </row>
    <row r="203" spans="21:112">
      <c r="U203" s="3"/>
      <c r="V203" s="3"/>
      <c r="W203" s="3"/>
      <c r="X203" s="3"/>
      <c r="Y203" s="3"/>
      <c r="Z203" s="3"/>
      <c r="AA203" s="3"/>
      <c r="AB203" s="3"/>
      <c r="AP203" s="3"/>
      <c r="AQ203" s="3"/>
      <c r="AR203" s="3"/>
      <c r="AS203" s="3"/>
      <c r="AT203" s="3"/>
      <c r="AU203" s="3"/>
      <c r="AV203" s="3"/>
      <c r="AW203" s="3"/>
      <c r="BK203" s="3"/>
      <c r="BL203" s="3"/>
      <c r="BM203" s="3"/>
      <c r="BN203" s="3"/>
      <c r="BO203" s="3"/>
      <c r="BP203" s="3"/>
      <c r="BQ203" s="3"/>
      <c r="BR203" s="3"/>
      <c r="CF203" s="3"/>
      <c r="CG203" s="3"/>
      <c r="CH203" s="3"/>
      <c r="CI203" s="3"/>
      <c r="CJ203" s="3"/>
      <c r="CK203" s="3"/>
      <c r="CL203" s="3"/>
      <c r="CM203" s="3"/>
      <c r="DA203" s="3"/>
      <c r="DB203" s="3"/>
      <c r="DC203" s="3"/>
      <c r="DD203" s="3"/>
      <c r="DE203" s="3"/>
      <c r="DF203" s="3"/>
      <c r="DG203" s="3"/>
      <c r="DH203" s="3"/>
    </row>
    <row r="204" spans="21:112">
      <c r="U204" s="3"/>
      <c r="V204" s="3"/>
      <c r="W204" s="3"/>
      <c r="X204" s="3"/>
      <c r="Y204" s="3"/>
      <c r="Z204" s="3"/>
      <c r="AA204" s="3"/>
      <c r="AB204" s="3"/>
      <c r="AP204" s="3"/>
      <c r="AQ204" s="3"/>
      <c r="AR204" s="3"/>
      <c r="AS204" s="3"/>
      <c r="AT204" s="3"/>
      <c r="AU204" s="3"/>
      <c r="AV204" s="3"/>
      <c r="AW204" s="3"/>
      <c r="BK204" s="3"/>
      <c r="BL204" s="3"/>
      <c r="BM204" s="3"/>
      <c r="BN204" s="3"/>
      <c r="BO204" s="3"/>
      <c r="BP204" s="3"/>
      <c r="BQ204" s="3"/>
      <c r="BR204" s="3"/>
      <c r="CF204" s="3"/>
      <c r="CG204" s="3"/>
      <c r="CH204" s="3"/>
      <c r="CI204" s="3"/>
      <c r="CJ204" s="3"/>
      <c r="CK204" s="3"/>
      <c r="CL204" s="3"/>
      <c r="CM204" s="3"/>
      <c r="DA204" s="3"/>
      <c r="DB204" s="3"/>
      <c r="DC204" s="3"/>
      <c r="DD204" s="3"/>
      <c r="DE204" s="3"/>
      <c r="DF204" s="3"/>
      <c r="DG204" s="3"/>
      <c r="DH204" s="3"/>
    </row>
    <row r="205" spans="21:112">
      <c r="U205" s="3"/>
      <c r="V205" s="3"/>
      <c r="W205" s="3"/>
      <c r="X205" s="3"/>
      <c r="Y205" s="3"/>
      <c r="Z205" s="3"/>
      <c r="AA205" s="3"/>
      <c r="AB205" s="3"/>
      <c r="AP205" s="3"/>
      <c r="AQ205" s="3"/>
      <c r="AR205" s="3"/>
      <c r="AS205" s="3"/>
      <c r="AT205" s="3"/>
      <c r="AU205" s="3"/>
      <c r="AV205" s="3"/>
      <c r="AW205" s="3"/>
      <c r="BK205" s="3"/>
      <c r="BL205" s="3"/>
      <c r="BM205" s="3"/>
      <c r="BN205" s="3"/>
      <c r="BO205" s="3"/>
      <c r="BP205" s="3"/>
      <c r="BQ205" s="3"/>
      <c r="BR205" s="3"/>
      <c r="CF205" s="3"/>
      <c r="CG205" s="3"/>
      <c r="CH205" s="3"/>
      <c r="CI205" s="3"/>
      <c r="CJ205" s="3"/>
      <c r="CK205" s="3"/>
      <c r="CL205" s="3"/>
      <c r="CM205" s="3"/>
      <c r="DA205" s="3"/>
      <c r="DB205" s="3"/>
      <c r="DC205" s="3"/>
      <c r="DD205" s="3"/>
      <c r="DE205" s="3"/>
      <c r="DF205" s="3"/>
      <c r="DG205" s="3"/>
      <c r="DH205" s="3"/>
    </row>
    <row r="206" spans="21:112">
      <c r="U206" s="3"/>
      <c r="V206" s="3"/>
      <c r="W206" s="3"/>
      <c r="X206" s="3"/>
      <c r="Y206" s="3"/>
      <c r="Z206" s="3"/>
      <c r="AA206" s="3"/>
      <c r="AB206" s="3"/>
      <c r="AP206" s="3"/>
      <c r="AQ206" s="3"/>
      <c r="AR206" s="3"/>
      <c r="AS206" s="3"/>
      <c r="AT206" s="3"/>
      <c r="AU206" s="3"/>
      <c r="AV206" s="3"/>
      <c r="AW206" s="3"/>
      <c r="BK206" s="3"/>
      <c r="BL206" s="3"/>
      <c r="BM206" s="3"/>
      <c r="BN206" s="3"/>
      <c r="BO206" s="3"/>
      <c r="BP206" s="3"/>
      <c r="BQ206" s="3"/>
      <c r="BR206" s="3"/>
      <c r="CF206" s="3"/>
      <c r="CG206" s="3"/>
      <c r="CH206" s="3"/>
      <c r="CI206" s="3"/>
      <c r="CJ206" s="3"/>
      <c r="CK206" s="3"/>
      <c r="CL206" s="3"/>
      <c r="CM206" s="3"/>
      <c r="DA206" s="3"/>
      <c r="DB206" s="3"/>
      <c r="DC206" s="3"/>
      <c r="DD206" s="3"/>
      <c r="DE206" s="3"/>
      <c r="DF206" s="3"/>
      <c r="DG206" s="3"/>
      <c r="DH206" s="3"/>
    </row>
    <row r="207" spans="21:112">
      <c r="U207" s="3"/>
      <c r="V207" s="3"/>
      <c r="W207" s="3"/>
      <c r="X207" s="3"/>
      <c r="Y207" s="3"/>
      <c r="Z207" s="3"/>
      <c r="AA207" s="3"/>
      <c r="AB207" s="3"/>
      <c r="AP207" s="3"/>
      <c r="AQ207" s="3"/>
      <c r="AR207" s="3"/>
      <c r="AS207" s="3"/>
      <c r="AT207" s="3"/>
      <c r="AU207" s="3"/>
      <c r="AV207" s="3"/>
      <c r="AW207" s="3"/>
      <c r="BK207" s="3"/>
      <c r="BL207" s="3"/>
      <c r="BM207" s="3"/>
      <c r="BN207" s="3"/>
      <c r="BO207" s="3"/>
      <c r="BP207" s="3"/>
      <c r="BQ207" s="3"/>
      <c r="BR207" s="3"/>
      <c r="CF207" s="3"/>
      <c r="CG207" s="3"/>
      <c r="CH207" s="3"/>
      <c r="CI207" s="3"/>
      <c r="CJ207" s="3"/>
      <c r="CK207" s="3"/>
      <c r="CL207" s="3"/>
      <c r="CM207" s="3"/>
      <c r="DA207" s="3"/>
      <c r="DB207" s="3"/>
      <c r="DC207" s="3"/>
      <c r="DD207" s="3"/>
      <c r="DE207" s="3"/>
      <c r="DF207" s="3"/>
      <c r="DG207" s="3"/>
      <c r="DH207" s="3"/>
    </row>
    <row r="208" spans="21:112">
      <c r="U208" s="3"/>
      <c r="V208" s="3"/>
      <c r="W208" s="3"/>
      <c r="X208" s="3"/>
      <c r="Y208" s="3"/>
      <c r="Z208" s="3"/>
      <c r="AA208" s="3"/>
      <c r="AB208" s="3"/>
      <c r="AP208" s="3"/>
      <c r="AQ208" s="3"/>
      <c r="AR208" s="3"/>
      <c r="AS208" s="3"/>
      <c r="AT208" s="3"/>
      <c r="AU208" s="3"/>
      <c r="AV208" s="3"/>
      <c r="AW208" s="3"/>
      <c r="BK208" s="3"/>
      <c r="BL208" s="3"/>
      <c r="BM208" s="3"/>
      <c r="BN208" s="3"/>
      <c r="BO208" s="3"/>
      <c r="BP208" s="3"/>
      <c r="BQ208" s="3"/>
      <c r="BR208" s="3"/>
      <c r="CF208" s="3"/>
      <c r="CG208" s="3"/>
      <c r="CH208" s="3"/>
      <c r="CI208" s="3"/>
      <c r="CJ208" s="3"/>
      <c r="CK208" s="3"/>
      <c r="CL208" s="3"/>
      <c r="CM208" s="3"/>
      <c r="DA208" s="3"/>
      <c r="DB208" s="3"/>
      <c r="DC208" s="3"/>
      <c r="DD208" s="3"/>
      <c r="DE208" s="3"/>
      <c r="DF208" s="3"/>
      <c r="DG208" s="3"/>
      <c r="DH208" s="3"/>
    </row>
    <row r="209" spans="21:112">
      <c r="U209" s="3"/>
      <c r="V209" s="3"/>
      <c r="W209" s="3"/>
      <c r="X209" s="3"/>
      <c r="Y209" s="3"/>
      <c r="Z209" s="3"/>
      <c r="AA209" s="3"/>
      <c r="AB209" s="3"/>
      <c r="AP209" s="3"/>
      <c r="AQ209" s="3"/>
      <c r="AR209" s="3"/>
      <c r="AS209" s="3"/>
      <c r="AT209" s="3"/>
      <c r="AU209" s="3"/>
      <c r="AV209" s="3"/>
      <c r="AW209" s="3"/>
      <c r="BK209" s="3"/>
      <c r="BL209" s="3"/>
      <c r="BM209" s="3"/>
      <c r="BN209" s="3"/>
      <c r="BO209" s="3"/>
      <c r="BP209" s="3"/>
      <c r="BQ209" s="3"/>
      <c r="BR209" s="3"/>
      <c r="CF209" s="3"/>
      <c r="CG209" s="3"/>
      <c r="CH209" s="3"/>
      <c r="CI209" s="3"/>
      <c r="CJ209" s="3"/>
      <c r="CK209" s="3"/>
      <c r="CL209" s="3"/>
      <c r="CM209" s="3"/>
      <c r="DA209" s="3"/>
      <c r="DB209" s="3"/>
      <c r="DC209" s="3"/>
      <c r="DD209" s="3"/>
      <c r="DE209" s="3"/>
      <c r="DF209" s="3"/>
      <c r="DG209" s="3"/>
      <c r="DH209" s="3"/>
    </row>
    <row r="210" spans="21:112">
      <c r="U210" s="3"/>
      <c r="V210" s="3"/>
      <c r="W210" s="3"/>
      <c r="X210" s="3"/>
      <c r="Y210" s="3"/>
      <c r="Z210" s="3"/>
      <c r="AA210" s="3"/>
      <c r="AB210" s="3"/>
      <c r="AP210" s="3"/>
      <c r="AQ210" s="3"/>
      <c r="AR210" s="3"/>
      <c r="AS210" s="3"/>
      <c r="AT210" s="3"/>
      <c r="AU210" s="3"/>
      <c r="AV210" s="3"/>
      <c r="AW210" s="3"/>
      <c r="BK210" s="3"/>
      <c r="BL210" s="3"/>
      <c r="BM210" s="3"/>
      <c r="BN210" s="3"/>
      <c r="BO210" s="3"/>
      <c r="BP210" s="3"/>
      <c r="BQ210" s="3"/>
      <c r="BR210" s="3"/>
      <c r="CF210" s="3"/>
      <c r="CG210" s="3"/>
      <c r="CH210" s="3"/>
      <c r="CI210" s="3"/>
      <c r="CJ210" s="3"/>
      <c r="CK210" s="3"/>
      <c r="CL210" s="3"/>
      <c r="CM210" s="3"/>
      <c r="DA210" s="3"/>
      <c r="DB210" s="3"/>
      <c r="DC210" s="3"/>
      <c r="DD210" s="3"/>
      <c r="DE210" s="3"/>
      <c r="DF210" s="3"/>
      <c r="DG210" s="3"/>
      <c r="DH210" s="3"/>
    </row>
    <row r="211" spans="21:112">
      <c r="U211" s="3"/>
      <c r="V211" s="3"/>
      <c r="W211" s="3"/>
      <c r="X211" s="3"/>
      <c r="Y211" s="3"/>
      <c r="Z211" s="3"/>
      <c r="AA211" s="3"/>
      <c r="AB211" s="3"/>
      <c r="AP211" s="3"/>
      <c r="AQ211" s="3"/>
      <c r="AR211" s="3"/>
      <c r="AS211" s="3"/>
      <c r="AT211" s="3"/>
      <c r="AU211" s="3"/>
      <c r="AV211" s="3"/>
      <c r="AW211" s="3"/>
      <c r="BK211" s="3"/>
      <c r="BL211" s="3"/>
      <c r="BM211" s="3"/>
      <c r="BN211" s="3"/>
      <c r="BO211" s="3"/>
      <c r="BP211" s="3"/>
      <c r="BQ211" s="3"/>
      <c r="BR211" s="3"/>
      <c r="CF211" s="3"/>
      <c r="CG211" s="3"/>
      <c r="CH211" s="3"/>
      <c r="CI211" s="3"/>
      <c r="CJ211" s="3"/>
      <c r="CK211" s="3"/>
      <c r="CL211" s="3"/>
      <c r="CM211" s="3"/>
      <c r="DA211" s="3"/>
      <c r="DB211" s="3"/>
      <c r="DC211" s="3"/>
      <c r="DD211" s="3"/>
      <c r="DE211" s="3"/>
      <c r="DF211" s="3"/>
      <c r="DG211" s="3"/>
      <c r="DH211" s="3"/>
    </row>
    <row r="212" spans="21:112">
      <c r="U212" s="3"/>
      <c r="V212" s="3"/>
      <c r="W212" s="3"/>
      <c r="X212" s="3"/>
      <c r="Y212" s="3"/>
      <c r="Z212" s="3"/>
      <c r="AA212" s="3"/>
      <c r="AB212" s="3"/>
      <c r="AP212" s="3"/>
      <c r="AQ212" s="3"/>
      <c r="AR212" s="3"/>
      <c r="AS212" s="3"/>
      <c r="AT212" s="3"/>
      <c r="AU212" s="3"/>
      <c r="AV212" s="3"/>
      <c r="AW212" s="3"/>
      <c r="BK212" s="3"/>
      <c r="BL212" s="3"/>
      <c r="BM212" s="3"/>
      <c r="BN212" s="3"/>
      <c r="BO212" s="3"/>
      <c r="BP212" s="3"/>
      <c r="BQ212" s="3"/>
      <c r="BR212" s="3"/>
      <c r="CF212" s="3"/>
      <c r="CG212" s="3"/>
      <c r="CH212" s="3"/>
      <c r="CI212" s="3"/>
      <c r="CJ212" s="3"/>
      <c r="CK212" s="3"/>
      <c r="CL212" s="3"/>
      <c r="CM212" s="3"/>
      <c r="DA212" s="3"/>
      <c r="DB212" s="3"/>
      <c r="DC212" s="3"/>
      <c r="DD212" s="3"/>
      <c r="DE212" s="3"/>
      <c r="DF212" s="3"/>
      <c r="DG212" s="3"/>
      <c r="DH212" s="3"/>
    </row>
    <row r="213" spans="21:112">
      <c r="U213" s="3"/>
      <c r="V213" s="3"/>
      <c r="W213" s="3"/>
      <c r="X213" s="3"/>
      <c r="Y213" s="3"/>
      <c r="Z213" s="3"/>
      <c r="AA213" s="3"/>
      <c r="AB213" s="3"/>
      <c r="AP213" s="3"/>
      <c r="AQ213" s="3"/>
      <c r="AR213" s="3"/>
      <c r="AS213" s="3"/>
      <c r="AT213" s="3"/>
      <c r="AU213" s="3"/>
      <c r="AV213" s="3"/>
      <c r="AW213" s="3"/>
      <c r="BK213" s="3"/>
      <c r="BL213" s="3"/>
      <c r="BM213" s="3"/>
      <c r="BN213" s="3"/>
      <c r="BO213" s="3"/>
      <c r="BP213" s="3"/>
      <c r="BQ213" s="3"/>
      <c r="BR213" s="3"/>
      <c r="CF213" s="3"/>
      <c r="CG213" s="3"/>
      <c r="CH213" s="3"/>
      <c r="CI213" s="3"/>
      <c r="CJ213" s="3"/>
      <c r="CK213" s="3"/>
      <c r="CL213" s="3"/>
      <c r="CM213" s="3"/>
      <c r="DA213" s="3"/>
      <c r="DB213" s="3"/>
      <c r="DC213" s="3"/>
      <c r="DD213" s="3"/>
      <c r="DE213" s="3"/>
      <c r="DF213" s="3"/>
      <c r="DG213" s="3"/>
      <c r="DH213" s="3"/>
    </row>
    <row r="214" spans="21:112">
      <c r="U214" s="3"/>
      <c r="V214" s="3"/>
      <c r="W214" s="3"/>
      <c r="X214" s="3"/>
      <c r="Y214" s="3"/>
      <c r="Z214" s="3"/>
      <c r="AA214" s="3"/>
      <c r="AB214" s="3"/>
      <c r="AP214" s="3"/>
      <c r="AQ214" s="3"/>
      <c r="AR214" s="3"/>
      <c r="AS214" s="3"/>
      <c r="AT214" s="3"/>
      <c r="AU214" s="3"/>
      <c r="AV214" s="3"/>
      <c r="AW214" s="3"/>
      <c r="BK214" s="3"/>
      <c r="BL214" s="3"/>
      <c r="BM214" s="3"/>
      <c r="BN214" s="3"/>
      <c r="BO214" s="3"/>
      <c r="BP214" s="3"/>
      <c r="BQ214" s="3"/>
      <c r="BR214" s="3"/>
      <c r="CF214" s="3"/>
      <c r="CG214" s="3"/>
      <c r="CH214" s="3"/>
      <c r="CI214" s="3"/>
      <c r="CJ214" s="3"/>
      <c r="CK214" s="3"/>
      <c r="CL214" s="3"/>
      <c r="CM214" s="3"/>
      <c r="DA214" s="3"/>
      <c r="DB214" s="3"/>
      <c r="DC214" s="3"/>
      <c r="DD214" s="3"/>
      <c r="DE214" s="3"/>
      <c r="DF214" s="3"/>
      <c r="DG214" s="3"/>
      <c r="DH214" s="3"/>
    </row>
    <row r="215" spans="21:112">
      <c r="U215" s="3"/>
      <c r="V215" s="3"/>
      <c r="W215" s="3"/>
      <c r="X215" s="3"/>
      <c r="Y215" s="3"/>
      <c r="Z215" s="3"/>
      <c r="AA215" s="3"/>
      <c r="AB215" s="3"/>
      <c r="AP215" s="3"/>
      <c r="AQ215" s="3"/>
      <c r="AR215" s="3"/>
      <c r="AS215" s="3"/>
      <c r="AT215" s="3"/>
      <c r="AU215" s="3"/>
      <c r="AV215" s="3"/>
      <c r="AW215" s="3"/>
      <c r="BK215" s="3"/>
      <c r="BL215" s="3"/>
      <c r="BM215" s="3"/>
      <c r="BN215" s="3"/>
      <c r="BO215" s="3"/>
      <c r="BP215" s="3"/>
      <c r="BQ215" s="3"/>
      <c r="BR215" s="3"/>
      <c r="CF215" s="3"/>
      <c r="CG215" s="3"/>
      <c r="CH215" s="3"/>
      <c r="CI215" s="3"/>
      <c r="CJ215" s="3"/>
      <c r="CK215" s="3"/>
      <c r="CL215" s="3"/>
      <c r="CM215" s="3"/>
      <c r="DA215" s="3"/>
      <c r="DB215" s="3"/>
      <c r="DC215" s="3"/>
      <c r="DD215" s="3"/>
      <c r="DE215" s="3"/>
      <c r="DF215" s="3"/>
      <c r="DG215" s="3"/>
      <c r="DH215" s="3"/>
    </row>
    <row r="216" spans="21:112">
      <c r="U216" s="3"/>
      <c r="V216" s="3"/>
      <c r="W216" s="3"/>
      <c r="X216" s="3"/>
      <c r="Y216" s="3"/>
      <c r="Z216" s="3"/>
      <c r="AA216" s="3"/>
      <c r="AB216" s="3"/>
      <c r="AP216" s="3"/>
      <c r="AQ216" s="3"/>
      <c r="AR216" s="3"/>
      <c r="AS216" s="3"/>
      <c r="AT216" s="3"/>
      <c r="AU216" s="3"/>
      <c r="AV216" s="3"/>
      <c r="AW216" s="3"/>
      <c r="BK216" s="3"/>
      <c r="BL216" s="3"/>
      <c r="BM216" s="3"/>
      <c r="BN216" s="3"/>
      <c r="BO216" s="3"/>
      <c r="BP216" s="3"/>
      <c r="BQ216" s="3"/>
      <c r="BR216" s="3"/>
      <c r="CF216" s="3"/>
      <c r="CG216" s="3"/>
      <c r="CH216" s="3"/>
      <c r="CI216" s="3"/>
      <c r="CJ216" s="3"/>
      <c r="CK216" s="3"/>
      <c r="CL216" s="3"/>
      <c r="CM216" s="3"/>
      <c r="DA216" s="3"/>
      <c r="DB216" s="3"/>
      <c r="DC216" s="3"/>
      <c r="DD216" s="3"/>
      <c r="DE216" s="3"/>
      <c r="DF216" s="3"/>
      <c r="DG216" s="3"/>
      <c r="DH216" s="3"/>
    </row>
    <row r="217" spans="21:112">
      <c r="U217" s="3"/>
      <c r="V217" s="3"/>
      <c r="W217" s="3"/>
      <c r="X217" s="3"/>
      <c r="Y217" s="3"/>
      <c r="Z217" s="3"/>
      <c r="AA217" s="3"/>
      <c r="AB217" s="3"/>
      <c r="AP217" s="3"/>
      <c r="AQ217" s="3"/>
      <c r="AR217" s="3"/>
      <c r="AS217" s="3"/>
      <c r="AT217" s="3"/>
      <c r="AU217" s="3"/>
      <c r="AV217" s="3"/>
      <c r="AW217" s="3"/>
      <c r="BK217" s="3"/>
      <c r="BL217" s="3"/>
      <c r="BM217" s="3"/>
      <c r="BN217" s="3"/>
      <c r="BO217" s="3"/>
      <c r="BP217" s="3"/>
      <c r="BQ217" s="3"/>
      <c r="BR217" s="3"/>
      <c r="CF217" s="3"/>
      <c r="CG217" s="3"/>
      <c r="CH217" s="3"/>
      <c r="CI217" s="3"/>
      <c r="CJ217" s="3"/>
      <c r="CK217" s="3"/>
      <c r="CL217" s="3"/>
      <c r="CM217" s="3"/>
      <c r="DA217" s="3"/>
      <c r="DB217" s="3"/>
      <c r="DC217" s="3"/>
      <c r="DD217" s="3"/>
      <c r="DE217" s="3"/>
      <c r="DF217" s="3"/>
      <c r="DG217" s="3"/>
      <c r="DH217" s="3"/>
    </row>
    <row r="218" spans="21:112">
      <c r="U218" s="3"/>
      <c r="V218" s="3"/>
      <c r="W218" s="3"/>
      <c r="X218" s="3"/>
      <c r="Y218" s="3"/>
      <c r="Z218" s="3"/>
      <c r="AA218" s="3"/>
      <c r="AB218" s="3"/>
      <c r="AP218" s="3"/>
      <c r="AQ218" s="3"/>
      <c r="AR218" s="3"/>
      <c r="AS218" s="3"/>
      <c r="AT218" s="3"/>
      <c r="AU218" s="3"/>
      <c r="AV218" s="3"/>
      <c r="AW218" s="3"/>
      <c r="BK218" s="3"/>
      <c r="BL218" s="3"/>
      <c r="BM218" s="3"/>
      <c r="BN218" s="3"/>
      <c r="BO218" s="3"/>
      <c r="BP218" s="3"/>
      <c r="BQ218" s="3"/>
      <c r="BR218" s="3"/>
      <c r="CF218" s="3"/>
      <c r="CG218" s="3"/>
      <c r="CH218" s="3"/>
      <c r="CI218" s="3"/>
      <c r="CJ218" s="3"/>
      <c r="CK218" s="3"/>
      <c r="CL218" s="3"/>
      <c r="CM218" s="3"/>
      <c r="DA218" s="3"/>
      <c r="DB218" s="3"/>
      <c r="DC218" s="3"/>
      <c r="DD218" s="3"/>
      <c r="DE218" s="3"/>
      <c r="DF218" s="3"/>
      <c r="DG218" s="3"/>
      <c r="DH218" s="3"/>
    </row>
    <row r="219" spans="21:112">
      <c r="U219" s="3"/>
      <c r="V219" s="3"/>
      <c r="W219" s="3"/>
      <c r="X219" s="3"/>
      <c r="Y219" s="3"/>
      <c r="Z219" s="3"/>
      <c r="AA219" s="3"/>
      <c r="AB219" s="3"/>
      <c r="AP219" s="3"/>
      <c r="AQ219" s="3"/>
      <c r="AR219" s="3"/>
      <c r="AS219" s="3"/>
      <c r="AT219" s="3"/>
      <c r="AU219" s="3"/>
      <c r="AV219" s="3"/>
      <c r="AW219" s="3"/>
      <c r="BK219" s="3"/>
      <c r="BL219" s="3"/>
      <c r="BM219" s="3"/>
      <c r="BN219" s="3"/>
      <c r="BO219" s="3"/>
      <c r="BP219" s="3"/>
      <c r="BQ219" s="3"/>
      <c r="BR219" s="3"/>
      <c r="CF219" s="3"/>
      <c r="CG219" s="3"/>
      <c r="CH219" s="3"/>
      <c r="CI219" s="3"/>
      <c r="CJ219" s="3"/>
      <c r="CK219" s="3"/>
      <c r="CL219" s="3"/>
      <c r="CM219" s="3"/>
      <c r="DA219" s="3"/>
      <c r="DB219" s="3"/>
      <c r="DC219" s="3"/>
      <c r="DD219" s="3"/>
      <c r="DE219" s="3"/>
      <c r="DF219" s="3"/>
      <c r="DG219" s="3"/>
      <c r="DH219" s="3"/>
    </row>
    <row r="220" spans="21:112">
      <c r="U220" s="3"/>
      <c r="V220" s="3"/>
      <c r="W220" s="3"/>
      <c r="X220" s="3"/>
      <c r="Y220" s="3"/>
      <c r="Z220" s="3"/>
      <c r="AA220" s="3"/>
      <c r="AB220" s="3"/>
      <c r="AP220" s="3"/>
      <c r="AQ220" s="3"/>
      <c r="AR220" s="3"/>
      <c r="AS220" s="3"/>
      <c r="AT220" s="3"/>
      <c r="AU220" s="3"/>
      <c r="AV220" s="3"/>
      <c r="AW220" s="3"/>
      <c r="BK220" s="3"/>
      <c r="BL220" s="3"/>
      <c r="BM220" s="3"/>
      <c r="BN220" s="3"/>
      <c r="BO220" s="3"/>
      <c r="BP220" s="3"/>
      <c r="BQ220" s="3"/>
      <c r="BR220" s="3"/>
      <c r="CF220" s="3"/>
      <c r="CG220" s="3"/>
      <c r="CH220" s="3"/>
      <c r="CI220" s="3"/>
      <c r="CJ220" s="3"/>
      <c r="CK220" s="3"/>
      <c r="CL220" s="3"/>
      <c r="CM220" s="3"/>
      <c r="DA220" s="3"/>
      <c r="DB220" s="3"/>
      <c r="DC220" s="3"/>
      <c r="DD220" s="3"/>
      <c r="DE220" s="3"/>
      <c r="DF220" s="3"/>
      <c r="DG220" s="3"/>
      <c r="DH220" s="3"/>
    </row>
    <row r="221" spans="21:112">
      <c r="U221" s="3"/>
      <c r="V221" s="3"/>
      <c r="W221" s="3"/>
      <c r="X221" s="3"/>
      <c r="Y221" s="3"/>
      <c r="Z221" s="3"/>
      <c r="AA221" s="3"/>
      <c r="AB221" s="3"/>
      <c r="AP221" s="3"/>
      <c r="AQ221" s="3"/>
      <c r="AR221" s="3"/>
      <c r="AS221" s="3"/>
      <c r="AT221" s="3"/>
      <c r="AU221" s="3"/>
      <c r="AV221" s="3"/>
      <c r="AW221" s="3"/>
      <c r="BK221" s="3"/>
      <c r="BL221" s="3"/>
      <c r="BM221" s="3"/>
      <c r="BN221" s="3"/>
      <c r="BO221" s="3"/>
      <c r="BP221" s="3"/>
      <c r="BQ221" s="3"/>
      <c r="BR221" s="3"/>
      <c r="CF221" s="3"/>
      <c r="CG221" s="3"/>
      <c r="CH221" s="3"/>
      <c r="CI221" s="3"/>
      <c r="CJ221" s="3"/>
      <c r="CK221" s="3"/>
      <c r="CL221" s="3"/>
      <c r="CM221" s="3"/>
      <c r="DA221" s="3"/>
      <c r="DB221" s="3"/>
      <c r="DC221" s="3"/>
      <c r="DD221" s="3"/>
      <c r="DE221" s="3"/>
      <c r="DF221" s="3"/>
      <c r="DG221" s="3"/>
      <c r="DH221" s="3"/>
    </row>
    <row r="222" spans="21:112">
      <c r="U222" s="3"/>
      <c r="V222" s="3"/>
      <c r="W222" s="3"/>
      <c r="X222" s="3"/>
      <c r="Y222" s="3"/>
      <c r="Z222" s="3"/>
      <c r="AA222" s="3"/>
      <c r="AB222" s="3"/>
      <c r="AP222" s="3"/>
      <c r="AQ222" s="3"/>
      <c r="AR222" s="3"/>
      <c r="AS222" s="3"/>
      <c r="AT222" s="3"/>
      <c r="AU222" s="3"/>
      <c r="AV222" s="3"/>
      <c r="AW222" s="3"/>
      <c r="BK222" s="3"/>
      <c r="BL222" s="3"/>
      <c r="BM222" s="3"/>
      <c r="BN222" s="3"/>
      <c r="BO222" s="3"/>
      <c r="BP222" s="3"/>
      <c r="BQ222" s="3"/>
      <c r="BR222" s="3"/>
      <c r="CF222" s="3"/>
      <c r="CG222" s="3"/>
      <c r="CH222" s="3"/>
      <c r="CI222" s="3"/>
      <c r="CJ222" s="3"/>
      <c r="CK222" s="3"/>
      <c r="CL222" s="3"/>
      <c r="CM222" s="3"/>
      <c r="DA222" s="3"/>
      <c r="DB222" s="3"/>
      <c r="DC222" s="3"/>
      <c r="DD222" s="3"/>
      <c r="DE222" s="3"/>
      <c r="DF222" s="3"/>
      <c r="DG222" s="3"/>
      <c r="DH222" s="3"/>
    </row>
    <row r="223" spans="21:112">
      <c r="U223" s="3"/>
      <c r="V223" s="3"/>
      <c r="W223" s="3"/>
      <c r="X223" s="3"/>
      <c r="Y223" s="3"/>
      <c r="Z223" s="3"/>
      <c r="AA223" s="3"/>
      <c r="AB223" s="3"/>
      <c r="AP223" s="3"/>
      <c r="AQ223" s="3"/>
      <c r="AR223" s="3"/>
      <c r="AS223" s="3"/>
      <c r="AT223" s="3"/>
      <c r="AU223" s="3"/>
      <c r="AV223" s="3"/>
      <c r="AW223" s="3"/>
      <c r="BK223" s="3"/>
      <c r="BL223" s="3"/>
      <c r="BM223" s="3"/>
      <c r="BN223" s="3"/>
      <c r="BO223" s="3"/>
      <c r="BP223" s="3"/>
      <c r="BQ223" s="3"/>
      <c r="BR223" s="3"/>
      <c r="CF223" s="3"/>
      <c r="CG223" s="3"/>
      <c r="CH223" s="3"/>
      <c r="CI223" s="3"/>
      <c r="CJ223" s="3"/>
      <c r="CK223" s="3"/>
      <c r="CL223" s="3"/>
      <c r="CM223" s="3"/>
      <c r="DA223" s="3"/>
      <c r="DB223" s="3"/>
      <c r="DC223" s="3"/>
      <c r="DD223" s="3"/>
      <c r="DE223" s="3"/>
      <c r="DF223" s="3"/>
      <c r="DG223" s="3"/>
      <c r="DH223" s="3"/>
    </row>
    <row r="224" spans="21:112">
      <c r="U224" s="3"/>
      <c r="V224" s="3"/>
      <c r="W224" s="3"/>
      <c r="X224" s="3"/>
      <c r="Y224" s="3"/>
      <c r="Z224" s="3"/>
      <c r="AA224" s="3"/>
      <c r="AB224" s="3"/>
      <c r="AP224" s="3"/>
      <c r="AQ224" s="3"/>
      <c r="AR224" s="3"/>
      <c r="AS224" s="3"/>
      <c r="AT224" s="3"/>
      <c r="AU224" s="3"/>
      <c r="AV224" s="3"/>
      <c r="AW224" s="3"/>
      <c r="BK224" s="3"/>
      <c r="BL224" s="3"/>
      <c r="BM224" s="3"/>
      <c r="BN224" s="3"/>
      <c r="BO224" s="3"/>
      <c r="BP224" s="3"/>
      <c r="BQ224" s="3"/>
      <c r="BR224" s="3"/>
      <c r="CF224" s="3"/>
      <c r="CG224" s="3"/>
      <c r="CH224" s="3"/>
      <c r="CI224" s="3"/>
      <c r="CJ224" s="3"/>
      <c r="CK224" s="3"/>
      <c r="CL224" s="3"/>
      <c r="CM224" s="3"/>
      <c r="DA224" s="3"/>
      <c r="DB224" s="3"/>
      <c r="DC224" s="3"/>
      <c r="DD224" s="3"/>
      <c r="DE224" s="3"/>
      <c r="DF224" s="3"/>
      <c r="DG224" s="3"/>
      <c r="DH224" s="3"/>
    </row>
    <row r="225" spans="21:112">
      <c r="U225" s="3"/>
      <c r="V225" s="3"/>
      <c r="W225" s="3"/>
      <c r="X225" s="3"/>
      <c r="Y225" s="3"/>
      <c r="Z225" s="3"/>
      <c r="AA225" s="3"/>
      <c r="AB225" s="3"/>
      <c r="AP225" s="3"/>
      <c r="AQ225" s="3"/>
      <c r="AR225" s="3"/>
      <c r="AS225" s="3"/>
      <c r="AT225" s="3"/>
      <c r="AU225" s="3"/>
      <c r="AV225" s="3"/>
      <c r="AW225" s="3"/>
      <c r="BK225" s="3"/>
      <c r="BL225" s="3"/>
      <c r="BM225" s="3"/>
      <c r="BN225" s="3"/>
      <c r="BO225" s="3"/>
      <c r="BP225" s="3"/>
      <c r="BQ225" s="3"/>
      <c r="BR225" s="3"/>
      <c r="CF225" s="3"/>
      <c r="CG225" s="3"/>
      <c r="CH225" s="3"/>
      <c r="CI225" s="3"/>
      <c r="CJ225" s="3"/>
      <c r="CK225" s="3"/>
      <c r="CL225" s="3"/>
      <c r="CM225" s="3"/>
      <c r="DA225" s="3"/>
      <c r="DB225" s="3"/>
      <c r="DC225" s="3"/>
      <c r="DD225" s="3"/>
      <c r="DE225" s="3"/>
      <c r="DF225" s="3"/>
      <c r="DG225" s="3"/>
      <c r="DH225" s="3"/>
    </row>
    <row r="226" spans="21:112">
      <c r="U226" s="3"/>
      <c r="V226" s="3"/>
      <c r="W226" s="3"/>
      <c r="X226" s="3"/>
      <c r="Y226" s="3"/>
      <c r="Z226" s="3"/>
      <c r="AA226" s="3"/>
      <c r="AB226" s="3"/>
      <c r="AP226" s="3"/>
      <c r="AQ226" s="3"/>
      <c r="AR226" s="3"/>
      <c r="AS226" s="3"/>
      <c r="AT226" s="3"/>
      <c r="AU226" s="3"/>
      <c r="AV226" s="3"/>
      <c r="AW226" s="3"/>
      <c r="BK226" s="3"/>
      <c r="BL226" s="3"/>
      <c r="BM226" s="3"/>
      <c r="BN226" s="3"/>
      <c r="BO226" s="3"/>
      <c r="BP226" s="3"/>
      <c r="BQ226" s="3"/>
      <c r="BR226" s="3"/>
      <c r="CF226" s="3"/>
      <c r="CG226" s="3"/>
      <c r="CH226" s="3"/>
      <c r="CI226" s="3"/>
      <c r="CJ226" s="3"/>
      <c r="CK226" s="3"/>
      <c r="CL226" s="3"/>
      <c r="CM226" s="3"/>
      <c r="DA226" s="3"/>
      <c r="DB226" s="3"/>
      <c r="DC226" s="3"/>
      <c r="DD226" s="3"/>
      <c r="DE226" s="3"/>
      <c r="DF226" s="3"/>
      <c r="DG226" s="3"/>
      <c r="DH226" s="3"/>
    </row>
    <row r="227" spans="21:112">
      <c r="U227" s="3"/>
      <c r="V227" s="3"/>
      <c r="W227" s="3"/>
      <c r="X227" s="3"/>
      <c r="Y227" s="3"/>
      <c r="Z227" s="3"/>
      <c r="AA227" s="3"/>
      <c r="AB227" s="3"/>
      <c r="AP227" s="3"/>
      <c r="AQ227" s="3"/>
      <c r="AR227" s="3"/>
      <c r="AS227" s="3"/>
      <c r="AT227" s="3"/>
      <c r="AU227" s="3"/>
      <c r="AV227" s="3"/>
      <c r="AW227" s="3"/>
      <c r="BK227" s="3"/>
      <c r="BL227" s="3"/>
      <c r="BM227" s="3"/>
      <c r="BN227" s="3"/>
      <c r="BO227" s="3"/>
      <c r="BP227" s="3"/>
      <c r="BQ227" s="3"/>
      <c r="BR227" s="3"/>
      <c r="CF227" s="3"/>
      <c r="CG227" s="3"/>
      <c r="CH227" s="3"/>
      <c r="CI227" s="3"/>
      <c r="CJ227" s="3"/>
      <c r="CK227" s="3"/>
      <c r="CL227" s="3"/>
      <c r="CM227" s="3"/>
      <c r="DA227" s="3"/>
      <c r="DB227" s="3"/>
      <c r="DC227" s="3"/>
      <c r="DD227" s="3"/>
      <c r="DE227" s="3"/>
      <c r="DF227" s="3"/>
      <c r="DG227" s="3"/>
      <c r="DH227" s="3"/>
    </row>
    <row r="228" spans="21:112">
      <c r="U228" s="3"/>
      <c r="V228" s="3"/>
      <c r="W228" s="3"/>
      <c r="X228" s="3"/>
      <c r="Y228" s="3"/>
      <c r="Z228" s="3"/>
      <c r="AA228" s="3"/>
      <c r="AB228" s="3"/>
      <c r="AP228" s="3"/>
      <c r="AQ228" s="3"/>
      <c r="AR228" s="3"/>
      <c r="AS228" s="3"/>
      <c r="AT228" s="3"/>
      <c r="AU228" s="3"/>
      <c r="AV228" s="3"/>
      <c r="AW228" s="3"/>
      <c r="BK228" s="3"/>
      <c r="BL228" s="3"/>
      <c r="BM228" s="3"/>
      <c r="BN228" s="3"/>
      <c r="BO228" s="3"/>
      <c r="BP228" s="3"/>
      <c r="BQ228" s="3"/>
      <c r="BR228" s="3"/>
      <c r="CF228" s="3"/>
      <c r="CG228" s="3"/>
      <c r="CH228" s="3"/>
      <c r="CI228" s="3"/>
      <c r="CJ228" s="3"/>
      <c r="CK228" s="3"/>
      <c r="CL228" s="3"/>
      <c r="CM228" s="3"/>
      <c r="DA228" s="3"/>
      <c r="DB228" s="3"/>
      <c r="DC228" s="3"/>
      <c r="DD228" s="3"/>
      <c r="DE228" s="3"/>
      <c r="DF228" s="3"/>
      <c r="DG228" s="3"/>
      <c r="DH228" s="3"/>
    </row>
    <row r="229" spans="21:112">
      <c r="U229" s="3"/>
      <c r="V229" s="3"/>
      <c r="W229" s="3"/>
      <c r="X229" s="3"/>
      <c r="Y229" s="3"/>
      <c r="Z229" s="3"/>
      <c r="AA229" s="3"/>
      <c r="AB229" s="3"/>
      <c r="AP229" s="3"/>
      <c r="AQ229" s="3"/>
      <c r="AR229" s="3"/>
      <c r="AS229" s="3"/>
      <c r="AT229" s="3"/>
      <c r="AU229" s="3"/>
      <c r="AV229" s="3"/>
      <c r="AW229" s="3"/>
      <c r="BK229" s="3"/>
      <c r="BL229" s="3"/>
      <c r="BM229" s="3"/>
      <c r="BN229" s="3"/>
      <c r="BO229" s="3"/>
      <c r="BP229" s="3"/>
      <c r="BQ229" s="3"/>
      <c r="BR229" s="3"/>
      <c r="CF229" s="3"/>
      <c r="CG229" s="3"/>
      <c r="CH229" s="3"/>
      <c r="CI229" s="3"/>
      <c r="CJ229" s="3"/>
      <c r="CK229" s="3"/>
      <c r="CL229" s="3"/>
      <c r="CM229" s="3"/>
      <c r="DA229" s="3"/>
      <c r="DB229" s="3"/>
      <c r="DC229" s="3"/>
      <c r="DD229" s="3"/>
      <c r="DE229" s="3"/>
      <c r="DF229" s="3"/>
      <c r="DG229" s="3"/>
      <c r="DH229" s="3"/>
    </row>
    <row r="230" spans="21:112">
      <c r="U230" s="3"/>
      <c r="V230" s="3"/>
      <c r="W230" s="3"/>
      <c r="X230" s="3"/>
      <c r="Y230" s="3"/>
      <c r="Z230" s="3"/>
      <c r="AA230" s="3"/>
      <c r="AB230" s="3"/>
      <c r="AP230" s="3"/>
      <c r="AQ230" s="3"/>
      <c r="AR230" s="3"/>
      <c r="AS230" s="3"/>
      <c r="AT230" s="3"/>
      <c r="AU230" s="3"/>
      <c r="AV230" s="3"/>
      <c r="AW230" s="3"/>
      <c r="BK230" s="3"/>
      <c r="BL230" s="3"/>
      <c r="BM230" s="3"/>
      <c r="BN230" s="3"/>
      <c r="BO230" s="3"/>
      <c r="BP230" s="3"/>
      <c r="BQ230" s="3"/>
      <c r="BR230" s="3"/>
      <c r="CF230" s="3"/>
      <c r="CG230" s="3"/>
      <c r="CH230" s="3"/>
      <c r="CI230" s="3"/>
      <c r="CJ230" s="3"/>
      <c r="CK230" s="3"/>
      <c r="CL230" s="3"/>
      <c r="CM230" s="3"/>
      <c r="DA230" s="3"/>
      <c r="DB230" s="3"/>
      <c r="DC230" s="3"/>
      <c r="DD230" s="3"/>
      <c r="DE230" s="3"/>
      <c r="DF230" s="3"/>
      <c r="DG230" s="3"/>
      <c r="DH230" s="3"/>
    </row>
    <row r="231" spans="21:112">
      <c r="U231" s="3"/>
      <c r="V231" s="3"/>
      <c r="W231" s="3"/>
      <c r="X231" s="3"/>
      <c r="Y231" s="3"/>
      <c r="Z231" s="3"/>
      <c r="AA231" s="3"/>
      <c r="AB231" s="3"/>
      <c r="AP231" s="3"/>
      <c r="AQ231" s="3"/>
      <c r="AR231" s="3"/>
      <c r="AS231" s="3"/>
      <c r="AT231" s="3"/>
      <c r="AU231" s="3"/>
      <c r="AV231" s="3"/>
      <c r="AW231" s="3"/>
      <c r="BK231" s="3"/>
      <c r="BL231" s="3"/>
      <c r="BM231" s="3"/>
      <c r="BN231" s="3"/>
      <c r="BO231" s="3"/>
      <c r="BP231" s="3"/>
      <c r="BQ231" s="3"/>
      <c r="BR231" s="3"/>
      <c r="CF231" s="3"/>
      <c r="CG231" s="3"/>
      <c r="CH231" s="3"/>
      <c r="CI231" s="3"/>
      <c r="CJ231" s="3"/>
      <c r="CK231" s="3"/>
      <c r="CL231" s="3"/>
      <c r="CM231" s="3"/>
      <c r="DA231" s="3"/>
      <c r="DB231" s="3"/>
      <c r="DC231" s="3"/>
      <c r="DD231" s="3"/>
      <c r="DE231" s="3"/>
      <c r="DF231" s="3"/>
      <c r="DG231" s="3"/>
      <c r="DH231" s="3"/>
    </row>
    <row r="232" spans="21:112">
      <c r="U232" s="3"/>
      <c r="V232" s="3"/>
      <c r="W232" s="3"/>
      <c r="X232" s="3"/>
      <c r="Y232" s="3"/>
      <c r="Z232" s="3"/>
      <c r="AA232" s="3"/>
      <c r="AB232" s="3"/>
      <c r="AP232" s="3"/>
      <c r="AQ232" s="3"/>
      <c r="AR232" s="3"/>
      <c r="AS232" s="3"/>
      <c r="AT232" s="3"/>
      <c r="AU232" s="3"/>
      <c r="AV232" s="3"/>
      <c r="AW232" s="3"/>
      <c r="BK232" s="3"/>
      <c r="BL232" s="3"/>
      <c r="BM232" s="3"/>
      <c r="BN232" s="3"/>
      <c r="BO232" s="3"/>
      <c r="BP232" s="3"/>
      <c r="BQ232" s="3"/>
      <c r="BR232" s="3"/>
      <c r="CF232" s="3"/>
      <c r="CG232" s="3"/>
      <c r="CH232" s="3"/>
      <c r="CI232" s="3"/>
      <c r="CJ232" s="3"/>
      <c r="CK232" s="3"/>
      <c r="CL232" s="3"/>
      <c r="CM232" s="3"/>
      <c r="DA232" s="3"/>
      <c r="DB232" s="3"/>
      <c r="DC232" s="3"/>
      <c r="DD232" s="3"/>
      <c r="DE232" s="3"/>
      <c r="DF232" s="3"/>
      <c r="DG232" s="3"/>
      <c r="DH232" s="3"/>
    </row>
    <row r="233" spans="21:112">
      <c r="U233" s="3"/>
      <c r="V233" s="3"/>
      <c r="W233" s="3"/>
      <c r="X233" s="3"/>
      <c r="Y233" s="3"/>
      <c r="Z233" s="3"/>
      <c r="AA233" s="3"/>
      <c r="AB233" s="3"/>
      <c r="AP233" s="3"/>
      <c r="AQ233" s="3"/>
      <c r="AR233" s="3"/>
      <c r="AS233" s="3"/>
      <c r="AT233" s="3"/>
      <c r="AU233" s="3"/>
      <c r="AV233" s="3"/>
      <c r="AW233" s="3"/>
      <c r="BK233" s="3"/>
      <c r="BL233" s="3"/>
      <c r="BM233" s="3"/>
      <c r="BN233" s="3"/>
      <c r="BO233" s="3"/>
      <c r="BP233" s="3"/>
      <c r="BQ233" s="3"/>
      <c r="BR233" s="3"/>
      <c r="CF233" s="3"/>
      <c r="CG233" s="3"/>
      <c r="CH233" s="3"/>
      <c r="CI233" s="3"/>
      <c r="CJ233" s="3"/>
      <c r="CK233" s="3"/>
      <c r="CL233" s="3"/>
      <c r="CM233" s="3"/>
      <c r="DA233" s="3"/>
      <c r="DB233" s="3"/>
      <c r="DC233" s="3"/>
      <c r="DD233" s="3"/>
      <c r="DE233" s="3"/>
      <c r="DF233" s="3"/>
      <c r="DG233" s="3"/>
      <c r="DH233" s="3"/>
    </row>
    <row r="234" spans="21:112">
      <c r="U234" s="3"/>
      <c r="V234" s="3"/>
      <c r="W234" s="3"/>
      <c r="X234" s="3"/>
      <c r="Y234" s="3"/>
      <c r="Z234" s="3"/>
      <c r="AA234" s="3"/>
      <c r="AB234" s="3"/>
      <c r="AP234" s="3"/>
      <c r="AQ234" s="3"/>
      <c r="AR234" s="3"/>
      <c r="AS234" s="3"/>
      <c r="AT234" s="3"/>
      <c r="AU234" s="3"/>
      <c r="AV234" s="3"/>
      <c r="AW234" s="3"/>
      <c r="BK234" s="3"/>
      <c r="BL234" s="3"/>
      <c r="BM234" s="3"/>
      <c r="BN234" s="3"/>
      <c r="BO234" s="3"/>
      <c r="BP234" s="3"/>
      <c r="BQ234" s="3"/>
      <c r="BR234" s="3"/>
      <c r="CF234" s="3"/>
      <c r="CG234" s="3"/>
      <c r="CH234" s="3"/>
      <c r="CI234" s="3"/>
      <c r="CJ234" s="3"/>
      <c r="CK234" s="3"/>
      <c r="CL234" s="3"/>
      <c r="CM234" s="3"/>
      <c r="DA234" s="3"/>
      <c r="DB234" s="3"/>
      <c r="DC234" s="3"/>
      <c r="DD234" s="3"/>
      <c r="DE234" s="3"/>
      <c r="DF234" s="3"/>
      <c r="DG234" s="3"/>
      <c r="DH234" s="3"/>
    </row>
  </sheetData>
  <mergeCells count="10">
    <mergeCell ref="CN3:CR3"/>
    <mergeCell ref="CS3:CV3"/>
    <mergeCell ref="BS3:BW3"/>
    <mergeCell ref="BX3:CA3"/>
    <mergeCell ref="H3:L3"/>
    <mergeCell ref="M3:P3"/>
    <mergeCell ref="AC3:AG3"/>
    <mergeCell ref="AH3:AK3"/>
    <mergeCell ref="AX3:BB3"/>
    <mergeCell ref="BC3:BF3"/>
  </mergeCells>
  <pageMargins left="0.55118110236220474" right="0.55118110236220474" top="0.59055118110236227" bottom="0.78740157480314965" header="0.51181102362204722" footer="0.51181102362204722"/>
  <pageSetup paperSize="9" scale="19" orientation="landscape" r:id="rId1"/>
  <headerFooter alignWithMargins="0">
    <oddHeader>&amp;RFood Sustainability Index: 2021</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K25"/>
  <sheetViews>
    <sheetView showRowColHeaders="0" zoomScaleNormal="100" workbookViewId="0">
      <selection activeCell="CC8" sqref="CC8"/>
    </sheetView>
  </sheetViews>
  <sheetFormatPr defaultColWidth="9.1796875" defaultRowHeight="14.5"/>
  <cols>
    <col min="1" max="2" width="9.1796875" style="367"/>
    <col min="3" max="3" width="47.54296875" style="367" customWidth="1"/>
    <col min="4" max="16384" width="9.1796875" style="367"/>
  </cols>
  <sheetData>
    <row r="1" spans="1:11" ht="22.5" customHeight="1">
      <c r="A1" s="367" t="str">
        <f>uxb_works!A24</f>
        <v>SAVED_INDI_VALUE</v>
      </c>
      <c r="B1" s="367">
        <f>uxb_works!B26</f>
        <v>1</v>
      </c>
      <c r="C1" s="367">
        <f>uxb_works!C24</f>
        <v>0</v>
      </c>
      <c r="D1" s="367" t="str">
        <f>uxb_works!A1</f>
        <v>TERRITORY_COUNT</v>
      </c>
      <c r="E1" s="367">
        <f>uxb_works!B1</f>
        <v>30</v>
      </c>
      <c r="J1" s="1022" t="s">
        <v>945</v>
      </c>
      <c r="K1" s="950"/>
    </row>
    <row r="2" spans="1:11" ht="63" customHeight="1">
      <c r="A2" s="367" t="s">
        <v>946</v>
      </c>
      <c r="D2" s="367" t="s">
        <v>31</v>
      </c>
      <c r="E2" s="367" t="s">
        <v>35</v>
      </c>
      <c r="G2" s="367" t="s">
        <v>41</v>
      </c>
      <c r="I2" s="367" t="s">
        <v>947</v>
      </c>
      <c r="J2" s="1023" t="s">
        <v>948</v>
      </c>
      <c r="K2" s="1024" t="s">
        <v>949</v>
      </c>
    </row>
    <row r="3" spans="1:11" ht="16.5" customHeight="1">
      <c r="A3" s="367">
        <f>tblIndiSets!B86</f>
        <v>1</v>
      </c>
      <c r="B3" s="1025">
        <f>A3</f>
        <v>1</v>
      </c>
      <c r="C3" s="1025" t="str">
        <f>tblIndiSets!E86</f>
        <v>OVERALL SCORE</v>
      </c>
      <c r="D3" s="367">
        <f>INDEX(aScoresRounded,A3,$B$1)</f>
        <v>74.599999999999994</v>
      </c>
      <c r="E3" s="13" t="str">
        <f t="shared" ref="E3:E12" ca="1" si="0">IF(I3=1,"","=")&amp;RANK(D3,OFFSET(aScoresRounded,B3-1,0,1,$E$1))</f>
        <v>2</v>
      </c>
      <c r="F3" s="367">
        <f>tblIndiSets!D225</f>
        <v>0</v>
      </c>
      <c r="G3" s="367">
        <f t="shared" ref="G3:G12" ca="1" si="1">INDEX(aAverages,B3,2)</f>
        <v>63.3</v>
      </c>
      <c r="I3" s="367">
        <f t="shared" ref="I3:I12" ca="1" si="2">IF(B3="","",COUNTIF(OFFSET(aScoresRounded,B3-1,0,1,$E$1),D3))</f>
        <v>1</v>
      </c>
      <c r="J3" s="291">
        <v>1</v>
      </c>
      <c r="K3" s="955">
        <v>3</v>
      </c>
    </row>
    <row r="4" spans="1:11" ht="16.5" customHeight="1">
      <c r="A4" s="367">
        <f>tblIndiSets!B87</f>
        <v>2</v>
      </c>
      <c r="B4" s="1025">
        <f t="shared" ref="B4:B17" si="3">A4</f>
        <v>2</v>
      </c>
      <c r="C4" s="1025" t="str">
        <f>tblIndiSets!E87</f>
        <v>1) CONNECTIVITY</v>
      </c>
      <c r="D4" s="367">
        <f t="shared" ref="D4" si="4">INDEX(aScoresRounded,A4,$B$1)</f>
        <v>77</v>
      </c>
      <c r="E4" s="13" t="str">
        <f t="shared" ca="1" si="0"/>
        <v>6</v>
      </c>
      <c r="F4" s="367">
        <f>tblIndiSets!D226</f>
        <v>1</v>
      </c>
      <c r="G4" s="367">
        <f t="shared" ca="1" si="1"/>
        <v>65.900000000000006</v>
      </c>
      <c r="I4" s="367">
        <f t="shared" ca="1" si="2"/>
        <v>1</v>
      </c>
      <c r="J4" s="291">
        <v>2</v>
      </c>
      <c r="K4" s="955">
        <v>6</v>
      </c>
    </row>
    <row r="5" spans="1:11" ht="16.5" customHeight="1">
      <c r="A5" s="367">
        <f>tblIndiSets!B88</f>
        <v>3</v>
      </c>
      <c r="B5" s="1025">
        <f t="shared" si="3"/>
        <v>3</v>
      </c>
      <c r="C5" s="1025" t="str">
        <f>tblIndiSets!E88</f>
        <v>1.1) Digital infrastructure</v>
      </c>
      <c r="D5" s="367">
        <f t="shared" ref="D5:D10" si="5">INDEX(aScoresRounded,A5,$B$1)</f>
        <v>84</v>
      </c>
      <c r="E5" s="13" t="str">
        <f t="shared" ca="1" si="0"/>
        <v>8</v>
      </c>
      <c r="F5" s="367">
        <f>tblIndiSets!D227</f>
        <v>2</v>
      </c>
      <c r="G5" s="367">
        <f t="shared" ca="1" si="1"/>
        <v>74.5</v>
      </c>
      <c r="I5" s="367">
        <f t="shared" ca="1" si="2"/>
        <v>1</v>
      </c>
      <c r="J5" s="291">
        <v>3</v>
      </c>
      <c r="K5" s="955">
        <v>4</v>
      </c>
    </row>
    <row r="6" spans="1:11" ht="16.5" customHeight="1">
      <c r="A6" s="367">
        <f>tblIndiSets!B89</f>
        <v>8</v>
      </c>
      <c r="B6" s="1025">
        <f t="shared" si="3"/>
        <v>8</v>
      </c>
      <c r="C6" s="1025" t="str">
        <f>tblIndiSets!E89</f>
        <v>1.2) Quality</v>
      </c>
      <c r="D6" s="367">
        <f t="shared" si="5"/>
        <v>66.7</v>
      </c>
      <c r="E6" s="13" t="str">
        <f t="shared" ca="1" si="0"/>
        <v>7</v>
      </c>
      <c r="F6" s="367">
        <f>tblIndiSets!D228</f>
        <v>2</v>
      </c>
      <c r="G6" s="367">
        <f t="shared" ca="1" si="1"/>
        <v>43.5</v>
      </c>
      <c r="I6" s="367">
        <f t="shared" ca="1" si="2"/>
        <v>1</v>
      </c>
      <c r="J6" s="291">
        <v>4</v>
      </c>
      <c r="K6" s="955">
        <v>4</v>
      </c>
    </row>
    <row r="7" spans="1:11" ht="16.5" customHeight="1">
      <c r="A7" s="367">
        <f>tblIndiSets!B90</f>
        <v>13</v>
      </c>
      <c r="B7" s="1025">
        <f t="shared" si="3"/>
        <v>13</v>
      </c>
      <c r="C7" s="1025" t="str">
        <f>tblIndiSets!E90</f>
        <v>1.3) Affordability</v>
      </c>
      <c r="D7" s="367">
        <f t="shared" si="5"/>
        <v>74.599999999999994</v>
      </c>
      <c r="E7" s="13" t="str">
        <f t="shared" ca="1" si="0"/>
        <v>15</v>
      </c>
      <c r="F7" s="367">
        <f>tblIndiSets!D229</f>
        <v>2</v>
      </c>
      <c r="G7" s="367">
        <f t="shared" ca="1" si="1"/>
        <v>69.3</v>
      </c>
      <c r="I7" s="367">
        <f t="shared" ca="1" si="2"/>
        <v>1</v>
      </c>
    </row>
    <row r="8" spans="1:11" ht="16.5" customHeight="1">
      <c r="A8" s="367">
        <f>tblIndiSets!B91</f>
        <v>16</v>
      </c>
      <c r="B8" s="1025">
        <f t="shared" si="3"/>
        <v>16</v>
      </c>
      <c r="C8" s="1025" t="str">
        <f>tblIndiSets!E91</f>
        <v>2) SERVICES</v>
      </c>
      <c r="D8" s="367">
        <f t="shared" si="5"/>
        <v>73.2</v>
      </c>
      <c r="E8" s="13" t="str">
        <f t="shared" ca="1" si="0"/>
        <v>4</v>
      </c>
      <c r="F8" s="367">
        <f>tblIndiSets!D230</f>
        <v>1</v>
      </c>
      <c r="G8" s="367">
        <f t="shared" ca="1" si="1"/>
        <v>61.4</v>
      </c>
      <c r="I8" s="367">
        <f t="shared" ca="1" si="2"/>
        <v>1</v>
      </c>
    </row>
    <row r="9" spans="1:11" ht="16.5" customHeight="1">
      <c r="A9" s="367">
        <f>tblIndiSets!B92</f>
        <v>17</v>
      </c>
      <c r="B9" s="1025">
        <f t="shared" si="3"/>
        <v>17</v>
      </c>
      <c r="C9" s="1025" t="str">
        <f>tblIndiSets!E92</f>
        <v>2.1) E-gov services for residents &amp; businesses</v>
      </c>
      <c r="D9" s="367">
        <f t="shared" si="5"/>
        <v>48.6</v>
      </c>
      <c r="E9" s="13" t="str">
        <f t="shared" ca="1" si="0"/>
        <v>29</v>
      </c>
      <c r="F9" s="367">
        <f>tblIndiSets!D231</f>
        <v>2</v>
      </c>
      <c r="G9" s="367">
        <f t="shared" ca="1" si="1"/>
        <v>68.2</v>
      </c>
      <c r="I9" s="367">
        <f t="shared" ca="1" si="2"/>
        <v>1</v>
      </c>
    </row>
    <row r="10" spans="1:11" ht="16.5" customHeight="1">
      <c r="A10" s="367">
        <f>tblIndiSets!B93</f>
        <v>21</v>
      </c>
      <c r="B10" s="1025">
        <f t="shared" si="3"/>
        <v>21</v>
      </c>
      <c r="C10" s="1025" t="str">
        <f>tblIndiSets!E93</f>
        <v>2.2) Digital finance</v>
      </c>
      <c r="D10" s="367">
        <f t="shared" si="5"/>
        <v>58.5</v>
      </c>
      <c r="E10" s="13" t="str">
        <f t="shared" ca="1" si="0"/>
        <v>13</v>
      </c>
      <c r="F10" s="367">
        <f>tblIndiSets!D232</f>
        <v>2</v>
      </c>
      <c r="G10" s="367">
        <f t="shared" ca="1" si="1"/>
        <v>50.8</v>
      </c>
      <c r="I10" s="367">
        <f t="shared" ca="1" si="2"/>
        <v>1</v>
      </c>
    </row>
    <row r="11" spans="1:11" ht="16.5" customHeight="1">
      <c r="A11" s="367">
        <f>tblIndiSets!B94</f>
        <v>25</v>
      </c>
      <c r="B11" s="1025">
        <f t="shared" si="3"/>
        <v>25</v>
      </c>
      <c r="C11" s="1025" t="str">
        <f>tblIndiSets!E94</f>
        <v>2.3) Transportation</v>
      </c>
      <c r="D11" s="367">
        <f t="shared" ref="D11:D12" si="6">INDEX(aScoresRounded,A11,$B$1)</f>
        <v>100</v>
      </c>
      <c r="E11" s="13" t="str">
        <f t="shared" ca="1" si="0"/>
        <v>=1</v>
      </c>
      <c r="F11" s="367">
        <f>tblIndiSets!D233</f>
        <v>2</v>
      </c>
      <c r="G11" s="367">
        <f t="shared" ca="1" si="1"/>
        <v>67.599999999999994</v>
      </c>
      <c r="I11" s="367">
        <f t="shared" ca="1" si="2"/>
        <v>7</v>
      </c>
    </row>
    <row r="12" spans="1:11" ht="16.5" customHeight="1">
      <c r="A12" s="367">
        <f>tblIndiSets!B95</f>
        <v>28</v>
      </c>
      <c r="B12" s="1025">
        <f t="shared" si="3"/>
        <v>28</v>
      </c>
      <c r="C12" s="1025" t="str">
        <f>tblIndiSets!E95</f>
        <v>2.4) Healthcare</v>
      </c>
      <c r="D12" s="367">
        <f t="shared" si="6"/>
        <v>91.6</v>
      </c>
      <c r="E12" s="13" t="str">
        <f t="shared" ca="1" si="0"/>
        <v>7</v>
      </c>
      <c r="F12" s="367">
        <f>tblIndiSets!D234</f>
        <v>2</v>
      </c>
      <c r="G12" s="367">
        <f t="shared" ca="1" si="1"/>
        <v>71.599999999999994</v>
      </c>
      <c r="I12" s="367">
        <f t="shared" ca="1" si="2"/>
        <v>1</v>
      </c>
    </row>
    <row r="13" spans="1:11" ht="16.5" customHeight="1">
      <c r="A13" s="367">
        <f>tblIndiSets!B96</f>
        <v>32</v>
      </c>
      <c r="B13" s="1025">
        <f t="shared" si="3"/>
        <v>32</v>
      </c>
      <c r="C13" s="1025" t="str">
        <f>tblIndiSets!E96</f>
        <v>2.5) Education</v>
      </c>
      <c r="D13" s="367">
        <f t="shared" ref="D13:D17" si="7">INDEX(aScoresRounded,A13,$B$1)</f>
        <v>100</v>
      </c>
      <c r="E13" s="13" t="str">
        <f t="shared" ref="E13:E17" ca="1" si="8">IF(I13=1,"","=")&amp;RANK(D13,OFFSET(aScoresRounded,B13-1,0,1,$E$1))</f>
        <v>=1</v>
      </c>
      <c r="F13" s="367">
        <f>tblIndiSets!D235</f>
        <v>2</v>
      </c>
      <c r="G13" s="367">
        <f t="shared" ref="G13:G17" ca="1" si="9">INDEX(aAverages,B13,2)</f>
        <v>73.3</v>
      </c>
      <c r="I13" s="367">
        <f t="shared" ref="I13:I17" ca="1" si="10">IF(B13="","",COUNTIF(OFFSET(aScoresRounded,B13-1,0,1,$E$1),D13))</f>
        <v>16</v>
      </c>
    </row>
    <row r="14" spans="1:11" ht="16.5" customHeight="1">
      <c r="A14" s="367">
        <f>tblIndiSets!B97</f>
        <v>34</v>
      </c>
      <c r="B14" s="1025">
        <f t="shared" si="3"/>
        <v>34</v>
      </c>
      <c r="C14" s="1025" t="str">
        <f>tblIndiSets!E97</f>
        <v>2.6) Retail and hospitality</v>
      </c>
      <c r="D14" s="367">
        <f t="shared" si="7"/>
        <v>40.299999999999997</v>
      </c>
      <c r="E14" s="13" t="str">
        <f t="shared" ca="1" si="8"/>
        <v>9</v>
      </c>
      <c r="F14" s="367">
        <f>tblIndiSets!D236</f>
        <v>2</v>
      </c>
      <c r="G14" s="367">
        <f t="shared" ca="1" si="9"/>
        <v>33.9</v>
      </c>
      <c r="I14" s="367">
        <f t="shared" ca="1" si="10"/>
        <v>1</v>
      </c>
    </row>
    <row r="15" spans="1:11" ht="16.5" customHeight="1">
      <c r="A15" s="367">
        <f>tblIndiSets!B98</f>
        <v>37</v>
      </c>
      <c r="B15" s="1025">
        <f t="shared" si="3"/>
        <v>37</v>
      </c>
      <c r="C15" s="1025" t="str">
        <f>tblIndiSets!E98</f>
        <v>3) CULTURE</v>
      </c>
      <c r="D15" s="367">
        <f t="shared" si="7"/>
        <v>62.1</v>
      </c>
      <c r="E15" s="13" t="str">
        <f t="shared" ca="1" si="8"/>
        <v>15</v>
      </c>
      <c r="F15" s="367">
        <f>tblIndiSets!D237</f>
        <v>1</v>
      </c>
      <c r="G15" s="367">
        <f t="shared" ca="1" si="9"/>
        <v>59.2</v>
      </c>
      <c r="I15" s="367">
        <f t="shared" ca="1" si="10"/>
        <v>1</v>
      </c>
    </row>
    <row r="16" spans="1:11" ht="16.5" customHeight="1">
      <c r="A16" s="367">
        <f>tblIndiSets!B99</f>
        <v>38</v>
      </c>
      <c r="B16" s="1025">
        <f t="shared" si="3"/>
        <v>38</v>
      </c>
      <c r="C16" s="1025" t="str">
        <f>tblIndiSets!E99</f>
        <v>3.1) Digital inclusion</v>
      </c>
      <c r="D16" s="367">
        <f t="shared" si="7"/>
        <v>65.8</v>
      </c>
      <c r="E16" s="13" t="str">
        <f t="shared" ca="1" si="8"/>
        <v>22</v>
      </c>
      <c r="F16" s="367">
        <f>tblIndiSets!D238</f>
        <v>2</v>
      </c>
      <c r="G16" s="367">
        <f t="shared" ca="1" si="9"/>
        <v>69.5</v>
      </c>
      <c r="I16" s="367">
        <f t="shared" ca="1" si="10"/>
        <v>1</v>
      </c>
    </row>
    <row r="17" spans="1:9" ht="16.5" customHeight="1">
      <c r="A17" s="367">
        <f>tblIndiSets!B100</f>
        <v>42</v>
      </c>
      <c r="B17" s="1025">
        <f t="shared" si="3"/>
        <v>42</v>
      </c>
      <c r="C17" s="1025" t="str">
        <f>tblIndiSets!E100</f>
        <v>3.2) Government support</v>
      </c>
      <c r="D17" s="367">
        <f t="shared" si="7"/>
        <v>76</v>
      </c>
      <c r="E17" s="13" t="str">
        <f t="shared" ca="1" si="8"/>
        <v>15</v>
      </c>
      <c r="F17" s="367">
        <f>tblIndiSets!D239</f>
        <v>2</v>
      </c>
      <c r="G17" s="367">
        <f t="shared" ca="1" si="9"/>
        <v>71.7</v>
      </c>
      <c r="I17" s="367">
        <f t="shared" ca="1" si="10"/>
        <v>1</v>
      </c>
    </row>
    <row r="18" spans="1:9" ht="16.5" customHeight="1">
      <c r="A18" s="367">
        <f>tblIndiSets!B101</f>
        <v>48</v>
      </c>
      <c r="B18" s="1025">
        <f t="shared" ref="B18:B24" si="11">A18</f>
        <v>48</v>
      </c>
      <c r="C18" s="1025" t="str">
        <f>tblIndiSets!E101</f>
        <v>3.3) Innovation ecosystem</v>
      </c>
      <c r="D18" s="367">
        <f t="shared" ref="D18:D24" si="12">INDEX(aScoresRounded,A18,$B$1)</f>
        <v>62</v>
      </c>
      <c r="E18" s="13" t="str">
        <f t="shared" ref="E18:E24" ca="1" si="13">IF(I18=1,"","=")&amp;RANK(D18,OFFSET(aScoresRounded,B18-1,0,1,$E$1))</f>
        <v>9</v>
      </c>
      <c r="F18" s="367">
        <f>tblIndiSets!D240</f>
        <v>2</v>
      </c>
      <c r="G18" s="367">
        <f t="shared" ref="G18:G24" ca="1" si="14">INDEX(aAverages,B18,2)</f>
        <v>49.1</v>
      </c>
      <c r="I18" s="367">
        <f t="shared" ref="I18:I24" ca="1" si="15">IF(B18="","",COUNTIF(OFFSET(aScoresRounded,B18-1,0,1,$E$1),D18))</f>
        <v>1</v>
      </c>
    </row>
    <row r="19" spans="1:9" ht="16.5" customHeight="1">
      <c r="A19" s="367">
        <f>tblIndiSets!B102</f>
        <v>54</v>
      </c>
      <c r="B19" s="1025">
        <f t="shared" si="11"/>
        <v>54</v>
      </c>
      <c r="C19" s="1025" t="str">
        <f>tblIndiSets!E102</f>
        <v>3.4) Public attitude and engagement</v>
      </c>
      <c r="D19" s="367">
        <f t="shared" si="12"/>
        <v>35.1</v>
      </c>
      <c r="E19" s="13" t="str">
        <f t="shared" ca="1" si="13"/>
        <v>20</v>
      </c>
      <c r="F19" s="367">
        <f>tblIndiSets!D241</f>
        <v>2</v>
      </c>
      <c r="G19" s="367">
        <f t="shared" ca="1" si="14"/>
        <v>44.9</v>
      </c>
      <c r="I19" s="367">
        <f t="shared" ca="1" si="15"/>
        <v>1</v>
      </c>
    </row>
    <row r="20" spans="1:9" ht="16.5" customHeight="1">
      <c r="A20" s="367">
        <f>tblIndiSets!B103</f>
        <v>57</v>
      </c>
      <c r="B20" s="1025">
        <f t="shared" si="11"/>
        <v>57</v>
      </c>
      <c r="C20" s="1025" t="str">
        <f>tblIndiSets!E103</f>
        <v>4) SUSTAINABILITY</v>
      </c>
      <c r="D20" s="367">
        <f t="shared" si="12"/>
        <v>85.4</v>
      </c>
      <c r="E20" s="13" t="str">
        <f t="shared" ca="1" si="13"/>
        <v>6</v>
      </c>
      <c r="F20" s="367">
        <f>tblIndiSets!D242</f>
        <v>1</v>
      </c>
      <c r="G20" s="367">
        <f t="shared" ca="1" si="14"/>
        <v>66.3</v>
      </c>
      <c r="I20" s="367">
        <f t="shared" ca="1" si="15"/>
        <v>1</v>
      </c>
    </row>
    <row r="21" spans="1:9" ht="16.5" customHeight="1">
      <c r="A21" s="367">
        <f>tblIndiSets!B104</f>
        <v>58</v>
      </c>
      <c r="B21" s="1025">
        <f t="shared" si="11"/>
        <v>58</v>
      </c>
      <c r="C21" s="1025" t="str">
        <f>tblIndiSets!E104</f>
        <v>4.1) Efficient resource management</v>
      </c>
      <c r="D21" s="367">
        <f t="shared" si="12"/>
        <v>87.5</v>
      </c>
      <c r="E21" s="13" t="str">
        <f t="shared" ca="1" si="13"/>
        <v>=11</v>
      </c>
      <c r="F21" s="367">
        <f>tblIndiSets!D243</f>
        <v>2</v>
      </c>
      <c r="G21" s="367">
        <f t="shared" ca="1" si="14"/>
        <v>76</v>
      </c>
      <c r="I21" s="367">
        <f t="shared" ca="1" si="15"/>
        <v>7</v>
      </c>
    </row>
    <row r="22" spans="1:9" ht="16.5" customHeight="1">
      <c r="A22" s="367">
        <f>tblIndiSets!B105</f>
        <v>62</v>
      </c>
      <c r="B22" s="1025">
        <f t="shared" si="11"/>
        <v>62</v>
      </c>
      <c r="C22" s="1025" t="str">
        <f>tblIndiSets!E105</f>
        <v>4.2) Emissions reduction</v>
      </c>
      <c r="D22" s="367">
        <f t="shared" si="12"/>
        <v>100</v>
      </c>
      <c r="E22" s="13" t="str">
        <f t="shared" ca="1" si="13"/>
        <v>=1</v>
      </c>
      <c r="F22" s="367">
        <f>tblIndiSets!D244</f>
        <v>2</v>
      </c>
      <c r="G22" s="367">
        <f t="shared" ca="1" si="14"/>
        <v>78</v>
      </c>
      <c r="I22" s="367">
        <f t="shared" ca="1" si="15"/>
        <v>5</v>
      </c>
    </row>
    <row r="23" spans="1:9" ht="16.5" customHeight="1">
      <c r="A23" s="367">
        <f>tblIndiSets!B106</f>
        <v>66</v>
      </c>
      <c r="B23" s="1025">
        <f t="shared" si="11"/>
        <v>66</v>
      </c>
      <c r="C23" s="1025" t="str">
        <f>tblIndiSets!E106</f>
        <v>4.3) Pollution</v>
      </c>
      <c r="D23" s="367">
        <f t="shared" si="12"/>
        <v>50</v>
      </c>
      <c r="E23" s="13" t="str">
        <f t="shared" ca="1" si="13"/>
        <v>=15</v>
      </c>
      <c r="F23" s="367">
        <f>tblIndiSets!D245</f>
        <v>2</v>
      </c>
      <c r="G23" s="367">
        <f t="shared" ca="1" si="14"/>
        <v>57.8</v>
      </c>
      <c r="I23" s="367">
        <f t="shared" ca="1" si="15"/>
        <v>13</v>
      </c>
    </row>
    <row r="24" spans="1:9" ht="16.5" customHeight="1">
      <c r="A24" s="367">
        <f>tblIndiSets!B107</f>
        <v>68</v>
      </c>
      <c r="B24" s="1025">
        <f t="shared" si="11"/>
        <v>68</v>
      </c>
      <c r="C24" s="1025" t="str">
        <f>tblIndiSets!E107</f>
        <v>4.4) Circular economy</v>
      </c>
      <c r="D24" s="367">
        <f t="shared" si="12"/>
        <v>100</v>
      </c>
      <c r="E24" s="13" t="str">
        <f t="shared" ca="1" si="13"/>
        <v>=1</v>
      </c>
      <c r="F24" s="367">
        <f>tblIndiSets!D246</f>
        <v>2</v>
      </c>
      <c r="G24" s="367">
        <f t="shared" ca="1" si="14"/>
        <v>48</v>
      </c>
      <c r="I24" s="367">
        <f t="shared" ca="1" si="15"/>
        <v>6</v>
      </c>
    </row>
    <row r="25" spans="1:9">
      <c r="B25" s="1025"/>
      <c r="C25" s="1025"/>
    </row>
  </sheetData>
  <pageMargins left="0.55118110236220474" right="0.55118110236220474" top="0.59055118110236227" bottom="0.78740157480314965" header="0.51181102362204722" footer="0.51181102362204722"/>
  <pageSetup paperSize="9" scale="91" orientation="landscape" r:id="rId1"/>
  <headerFooter alignWithMargins="0">
    <oddHeader>&amp;RNEC SAFE CITIES INDEX: 2021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BD45"/>
  <sheetViews>
    <sheetView showGridLines="0" showRowColHeaders="0" zoomScaleNormal="100" workbookViewId="0">
      <pane ySplit="3" topLeftCell="A4" activePane="bottomLeft" state="frozen"/>
      <selection activeCell="BE20" sqref="BE20"/>
      <selection pane="bottomLeft"/>
    </sheetView>
  </sheetViews>
  <sheetFormatPr defaultColWidth="9.1796875" defaultRowHeight="15" customHeight="1"/>
  <cols>
    <col min="1" max="1" width="2.26953125" style="1040" customWidth="1"/>
    <col min="2" max="2" width="6.7265625" style="1040" hidden="1" customWidth="1"/>
    <col min="3" max="3" width="0.453125" style="1040" customWidth="1"/>
    <col min="4" max="4" width="14.81640625" style="1040" customWidth="1"/>
    <col min="5" max="5" width="0.7265625" style="367" customWidth="1"/>
    <col min="6" max="6" width="23" style="1040" customWidth="1"/>
    <col min="7" max="7" width="0.7265625" style="367" customWidth="1"/>
    <col min="8" max="8" width="133.26953125" style="1040" customWidth="1"/>
    <col min="9" max="9" width="2.453125" style="1040" customWidth="1"/>
    <col min="10" max="12" width="0" style="1040" hidden="1" customWidth="1"/>
    <col min="13" max="13" width="13.1796875" style="1040" hidden="1" customWidth="1"/>
    <col min="14" max="14" width="5.54296875" style="1040" hidden="1" customWidth="1"/>
    <col min="15" max="15" width="0" style="1040" hidden="1" customWidth="1"/>
    <col min="16" max="16" width="3.1796875" style="1040" hidden="1" customWidth="1"/>
    <col min="17" max="17" width="11.26953125" style="1040" hidden="1" customWidth="1"/>
    <col min="18" max="18" width="0" style="1040" hidden="1" customWidth="1"/>
    <col min="19" max="19" width="20.54296875" style="1040" hidden="1" customWidth="1"/>
    <col min="20" max="20" width="2" style="1040" hidden="1" customWidth="1"/>
    <col min="21" max="21" width="11.81640625" style="1040" hidden="1" customWidth="1"/>
    <col min="22" max="22" width="2.81640625" style="1040" hidden="1" customWidth="1"/>
    <col min="23" max="23" width="9" style="1040" hidden="1" customWidth="1"/>
    <col min="24" max="24" width="2" style="1040" hidden="1" customWidth="1"/>
    <col min="25" max="25" width="8.453125" style="1040" hidden="1" customWidth="1"/>
    <col min="26" max="51" width="0" style="1040" hidden="1" customWidth="1"/>
    <col min="52" max="53" width="9.1796875" style="1040" hidden="1" customWidth="1"/>
    <col min="54" max="16384" width="9.1796875" style="1040"/>
  </cols>
  <sheetData>
    <row r="1" spans="1:56" s="67" customFormat="1" ht="22.5" customHeight="1">
      <c r="A1" s="1030"/>
      <c r="B1" s="1030"/>
      <c r="C1" s="1031" t="str">
        <f>uxb_works!B92</f>
        <v>Digital Cities Index</v>
      </c>
      <c r="D1" s="1030"/>
      <c r="E1" s="1029"/>
      <c r="F1" s="1030"/>
      <c r="G1" s="1032"/>
      <c r="H1" s="1030"/>
      <c r="I1" s="1030"/>
      <c r="BA1" s="67">
        <v>1</v>
      </c>
      <c r="BB1" s="1033">
        <v>0</v>
      </c>
      <c r="BC1" s="1033">
        <v>1</v>
      </c>
      <c r="BD1" s="1033">
        <v>2</v>
      </c>
    </row>
    <row r="2" spans="1:56" s="1034" customFormat="1" ht="63" customHeight="1">
      <c r="A2" s="69"/>
      <c r="E2" s="367"/>
      <c r="F2" s="69"/>
      <c r="G2" s="367"/>
      <c r="I2" s="69"/>
      <c r="L2" s="69"/>
      <c r="Q2" s="1035"/>
      <c r="BC2" s="69"/>
      <c r="BD2" s="69"/>
    </row>
    <row r="3" spans="1:56" s="1034" customFormat="1" ht="45.75" hidden="1" customHeight="1">
      <c r="A3" s="69"/>
      <c r="E3" s="367"/>
      <c r="F3" s="69"/>
      <c r="G3" s="367"/>
      <c r="I3" s="69"/>
      <c r="L3" s="69"/>
      <c r="Q3" s="1035"/>
    </row>
    <row r="4" spans="1:56" s="47" customFormat="1" ht="28.5" hidden="1" customHeight="1">
      <c r="A4" s="1034"/>
      <c r="B4" s="1034"/>
      <c r="E4" s="367"/>
      <c r="F4" s="1036"/>
      <c r="G4" s="367"/>
      <c r="H4" s="1037"/>
      <c r="K4" s="1038"/>
      <c r="M4" s="1034"/>
      <c r="N4" s="1034"/>
      <c r="O4" s="1034"/>
    </row>
    <row r="5" spans="1:56" s="47" customFormat="1" ht="28.5" hidden="1" customHeight="1">
      <c r="A5" s="1034"/>
      <c r="B5" s="1034"/>
      <c r="C5" s="1039"/>
      <c r="E5" s="367"/>
      <c r="F5" s="1036"/>
      <c r="G5" s="367"/>
      <c r="H5" s="1037"/>
      <c r="K5" s="1038"/>
      <c r="M5" s="1034"/>
      <c r="N5" s="1034"/>
      <c r="O5" s="1034"/>
    </row>
    <row r="6" spans="1:56" ht="41.25" hidden="1" customHeight="1">
      <c r="C6" s="1041"/>
    </row>
    <row r="7" spans="1:56" ht="41.25" hidden="1" customHeight="1">
      <c r="C7" s="1041"/>
    </row>
    <row r="8" spans="1:56" ht="41.25" hidden="1" customHeight="1">
      <c r="C8" s="1041"/>
    </row>
    <row r="9" spans="1:56" ht="41.25" hidden="1" customHeight="1">
      <c r="C9" s="1042"/>
    </row>
    <row r="10" spans="1:56" ht="30.75" customHeight="1">
      <c r="C10" s="1043" t="s">
        <v>957</v>
      </c>
    </row>
    <row r="11" spans="1:56" ht="21.75" customHeight="1">
      <c r="C11" s="1044"/>
      <c r="F11" s="1040" t="s">
        <v>965</v>
      </c>
    </row>
    <row r="12" spans="1:56" ht="30" customHeight="1">
      <c r="D12" s="1089" t="str">
        <f>uxb_works!C94</f>
        <v>RESULTS</v>
      </c>
      <c r="F12" s="1045" t="str">
        <f>uxb_works!B95</f>
        <v>SUMMARY</v>
      </c>
      <c r="H12" s="1046" t="s">
        <v>963</v>
      </c>
    </row>
    <row r="13" spans="1:56" ht="30" customHeight="1">
      <c r="D13" s="1089"/>
      <c r="F13" s="1045" t="str">
        <f>uxb_works!B96</f>
        <v>INDICATOR RANKING</v>
      </c>
      <c r="H13" s="1046" t="s">
        <v>958</v>
      </c>
    </row>
    <row r="14" spans="1:56" ht="30" customHeight="1">
      <c r="D14" s="1089"/>
      <c r="F14" s="1045" t="str">
        <f>uxb_works!B104</f>
        <v>CITY PROFILE</v>
      </c>
      <c r="H14" s="1046" t="s">
        <v>1163</v>
      </c>
    </row>
    <row r="15" spans="1:56" ht="30" customHeight="1">
      <c r="D15" s="1089"/>
      <c r="F15" s="1045" t="str">
        <f>uxb_works!B97</f>
        <v>CITY SCORECARD</v>
      </c>
      <c r="H15" s="1046" t="s">
        <v>1167</v>
      </c>
    </row>
    <row r="16" spans="1:56" ht="30" customHeight="1">
      <c r="D16" s="1089"/>
      <c r="F16" s="1045" t="str">
        <f>uxb_works!B98</f>
        <v>CITY COMPARE</v>
      </c>
      <c r="H16" s="1046" t="s">
        <v>973</v>
      </c>
    </row>
    <row r="17" spans="4:21" ht="30" customHeight="1">
      <c r="D17" s="1089"/>
      <c r="F17" s="1045" t="str">
        <f>uxb_works!B103</f>
        <v>REGION COMPARE</v>
      </c>
      <c r="H17" s="1046" t="s">
        <v>964</v>
      </c>
    </row>
    <row r="18" spans="4:21" s="367" customFormat="1" ht="3" customHeight="1"/>
    <row r="19" spans="4:21" ht="30" customHeight="1">
      <c r="D19" s="1090" t="str">
        <f>uxb_works!C95</f>
        <v>INSIGHTS &amp; ANALYTICS</v>
      </c>
      <c r="F19" s="1047" t="str">
        <f>uxb_works!B99</f>
        <v>SCATTER</v>
      </c>
      <c r="H19" s="1048" t="s">
        <v>959</v>
      </c>
      <c r="M19" s="1049"/>
      <c r="U19" s="1034"/>
    </row>
    <row r="20" spans="4:21" ht="30" customHeight="1">
      <c r="D20" s="1091"/>
      <c r="F20" s="1047" t="str">
        <f>uxb_works!B100</f>
        <v>CORRELATIONS</v>
      </c>
      <c r="H20" s="1048" t="s">
        <v>960</v>
      </c>
      <c r="M20" s="1049"/>
    </row>
    <row r="21" spans="4:21" s="367" customFormat="1" ht="3" customHeight="1"/>
    <row r="22" spans="4:21" ht="30" customHeight="1">
      <c r="D22" s="1092" t="str">
        <f>uxb_works!C96</f>
        <v>SCORES &amp; WEIGHTS</v>
      </c>
      <c r="F22" s="1045" t="str">
        <f>uxb_works!B101</f>
        <v>DATA / SCORES</v>
      </c>
      <c r="H22" s="1046" t="s">
        <v>961</v>
      </c>
      <c r="M22" s="1049"/>
    </row>
    <row r="23" spans="4:21" ht="30" customHeight="1">
      <c r="D23" s="1093"/>
      <c r="F23" s="1045" t="str">
        <f>uxb_works!B102</f>
        <v>WEIGHTS</v>
      </c>
      <c r="H23" s="1046" t="s">
        <v>962</v>
      </c>
      <c r="M23" s="1049"/>
    </row>
    <row r="24" spans="4:21" s="367" customFormat="1" ht="3" customHeight="1"/>
    <row r="25" spans="4:21" s="367" customFormat="1" ht="3" customHeight="1"/>
    <row r="33" spans="2:11" ht="15" customHeight="1">
      <c r="B33" s="1094"/>
      <c r="C33" s="1094"/>
    </row>
    <row r="36" spans="2:11" ht="15" customHeight="1">
      <c r="B36" s="1034"/>
      <c r="C36" s="1050"/>
      <c r="D36" s="1034"/>
      <c r="F36" s="1034"/>
      <c r="H36" s="1034"/>
      <c r="I36" s="1034"/>
      <c r="J36" s="1034"/>
      <c r="K36" s="1034"/>
    </row>
    <row r="37" spans="2:11" ht="15" customHeight="1">
      <c r="B37" s="1034"/>
      <c r="C37" s="1034"/>
      <c r="D37" s="1034"/>
      <c r="F37" s="1034"/>
      <c r="H37" s="1034"/>
      <c r="I37" s="1034"/>
      <c r="J37" s="1034"/>
      <c r="K37" s="1034"/>
    </row>
    <row r="38" spans="2:11" ht="15" customHeight="1">
      <c r="B38" s="1034"/>
      <c r="C38" s="1034"/>
      <c r="D38" s="1034"/>
      <c r="F38" s="1034"/>
      <c r="H38" s="1034"/>
      <c r="I38" s="1034"/>
      <c r="J38" s="1034"/>
      <c r="K38" s="1034"/>
    </row>
    <row r="39" spans="2:11" ht="15" customHeight="1">
      <c r="B39" s="1034"/>
      <c r="C39" s="1034"/>
      <c r="D39" s="1034"/>
      <c r="F39" s="1034"/>
      <c r="H39" s="1034"/>
      <c r="I39" s="1034"/>
      <c r="J39" s="1034"/>
      <c r="K39" s="1034"/>
    </row>
    <row r="40" spans="2:11" ht="15" customHeight="1">
      <c r="B40" s="1034"/>
      <c r="C40" s="1034"/>
      <c r="D40" s="1034"/>
      <c r="F40" s="1034"/>
      <c r="H40" s="1034"/>
      <c r="I40" s="1034"/>
      <c r="J40" s="1034"/>
      <c r="K40" s="1034"/>
    </row>
    <row r="41" spans="2:11" ht="15" customHeight="1">
      <c r="B41" s="1034"/>
      <c r="C41" s="1034"/>
      <c r="D41" s="1034"/>
      <c r="F41" s="1034"/>
      <c r="H41" s="1034"/>
      <c r="I41" s="1034"/>
      <c r="J41" s="1034"/>
      <c r="K41" s="1034"/>
    </row>
    <row r="42" spans="2:11" ht="15" customHeight="1">
      <c r="B42" s="1034"/>
      <c r="C42" s="1034"/>
      <c r="D42" s="1034"/>
      <c r="F42" s="1034"/>
      <c r="H42" s="1034"/>
      <c r="I42" s="1034"/>
      <c r="J42" s="1034"/>
      <c r="K42" s="1034"/>
    </row>
    <row r="43" spans="2:11" ht="15" customHeight="1">
      <c r="B43" s="1034"/>
      <c r="C43" s="1034"/>
      <c r="D43" s="1034"/>
      <c r="F43" s="1034"/>
      <c r="H43" s="1034"/>
      <c r="I43" s="1034"/>
      <c r="J43" s="1034"/>
      <c r="K43" s="1034"/>
    </row>
    <row r="44" spans="2:11" ht="15" customHeight="1">
      <c r="B44" s="1034"/>
      <c r="C44" s="1034"/>
      <c r="D44" s="1034"/>
      <c r="F44" s="1034"/>
      <c r="H44" s="1034"/>
      <c r="I44" s="1034"/>
      <c r="J44" s="1034"/>
      <c r="K44" s="1034"/>
    </row>
    <row r="45" spans="2:11" ht="15" customHeight="1">
      <c r="B45" s="1034"/>
      <c r="C45" s="1034"/>
      <c r="D45" s="1034"/>
      <c r="F45" s="1034"/>
      <c r="H45" s="1034"/>
      <c r="I45" s="1034"/>
      <c r="J45" s="1034"/>
      <c r="K45" s="1034"/>
    </row>
  </sheetData>
  <mergeCells count="4">
    <mergeCell ref="D12:D17"/>
    <mergeCell ref="D19:D20"/>
    <mergeCell ref="D22:D23"/>
    <mergeCell ref="B33:C33"/>
  </mergeCells>
  <pageMargins left="0.55118110236220474" right="0.55118110236220474" top="0.59055118110236227" bottom="0.78740157480314965" header="0.51181102362204722" footer="0.51181102362204722"/>
  <pageSetup paperSize="9" scale="65" orientation="landscape" r:id="rId1"/>
  <headerFooter alignWithMargins="0">
    <oddHeader>&amp;RPlastics Management Index: 2021</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000"/>
    <pageSetUpPr fitToPage="1"/>
  </sheetPr>
  <dimension ref="A1:JH56"/>
  <sheetViews>
    <sheetView showRowColHeaders="0" zoomScaleNormal="100" workbookViewId="0">
      <pane xSplit="3" ySplit="5" topLeftCell="D6" activePane="bottomRight" state="frozen"/>
      <selection activeCell="CC8" sqref="CC8"/>
      <selection pane="topRight" activeCell="CC8" sqref="CC8"/>
      <selection pane="bottomLeft" activeCell="CC8" sqref="CC8"/>
      <selection pane="bottomRight" activeCell="CC8" sqref="CC8"/>
    </sheetView>
  </sheetViews>
  <sheetFormatPr defaultColWidth="9.453125" defaultRowHeight="12" customHeight="1"/>
  <cols>
    <col min="1" max="1" width="4.54296875" style="3" customWidth="1"/>
    <col min="2" max="9" width="9.453125" style="3"/>
    <col min="10" max="10" width="14.54296875" style="3" customWidth="1"/>
    <col min="11" max="13" width="2.453125" style="3" customWidth="1"/>
    <col min="14" max="73" width="6.453125" style="3" customWidth="1"/>
    <col min="74" max="144" width="3.453125" style="3" customWidth="1"/>
    <col min="145" max="264" width="6.453125" style="367" customWidth="1"/>
    <col min="265" max="268" width="8.54296875" style="367" customWidth="1"/>
    <col min="269" max="16384" width="9.453125" style="3"/>
  </cols>
  <sheetData>
    <row r="1" spans="1:144" ht="12" customHeight="1">
      <c r="A1" s="3" t="str">
        <f>uxb_works!A1</f>
        <v>TERRITORY_COUNT</v>
      </c>
      <c r="B1" s="3">
        <f>uxb_works!B1</f>
        <v>30</v>
      </c>
      <c r="C1" s="3">
        <f>uxb_works!C1</f>
        <v>30</v>
      </c>
      <c r="O1" s="20"/>
    </row>
    <row r="2" spans="1:144" ht="12" customHeight="1">
      <c r="A2" s="3" t="str">
        <f>uxb_works!A19</f>
        <v>NUMBER_OF_QUAL_INDI</v>
      </c>
      <c r="B2" s="3">
        <v>1</v>
      </c>
    </row>
    <row r="3" spans="1:144" ht="12" customHeight="1">
      <c r="A3" s="3" t="str">
        <f>uxb_works!A26</f>
        <v>CITY1_ID</v>
      </c>
      <c r="B3" s="3">
        <f>uxb_works!B26</f>
        <v>1</v>
      </c>
      <c r="C3" s="3" t="str">
        <f>uxb_works!C26</f>
        <v>Amsterdam</v>
      </c>
      <c r="D3" s="3">
        <f>uxb_works!D26</f>
        <v>1</v>
      </c>
    </row>
    <row r="4" spans="1:144" ht="12" customHeight="1">
      <c r="A4" s="3" t="s">
        <v>3</v>
      </c>
      <c r="B4" s="3" t="b">
        <f>IF(X2=1,FALSE,TRUE)</f>
        <v>1</v>
      </c>
      <c r="D4" s="3" t="str">
        <f>uxb_works!A6</f>
        <v>CITY_HIGHLIGHT_DD</v>
      </c>
      <c r="E4" s="3">
        <f>uxb_works!B6</f>
        <v>1</v>
      </c>
      <c r="I4" s="3" t="s">
        <v>44</v>
      </c>
      <c r="J4" s="3">
        <f>uxb_works!B8</f>
        <v>1</v>
      </c>
      <c r="N4" s="3">
        <v>1</v>
      </c>
      <c r="O4" s="3">
        <f>INDEX(iCSCtbl!$A$3:$A$25,iCntyScoreCard!N4)</f>
        <v>1</v>
      </c>
      <c r="P4" s="3" t="str">
        <f>INDEX(iCSCtbl!$C$3:$C$25,iCntyScoreCard!N4)</f>
        <v>OVERALL SCORE</v>
      </c>
      <c r="T4" s="3">
        <f>N4+1</f>
        <v>2</v>
      </c>
      <c r="U4" s="3">
        <f>INDEX(iCSCtbl!$A$3:$A$25,iCntyScoreCard!T4)</f>
        <v>2</v>
      </c>
      <c r="V4" s="3" t="str">
        <f>INDEX(iCSCtbl!$C$3:$C$25,iCntyScoreCard!T4)</f>
        <v>1) CONNECTIVITY</v>
      </c>
      <c r="Z4" s="3">
        <f>T4+1</f>
        <v>3</v>
      </c>
      <c r="AA4" s="3">
        <f>INDEX(iCSCtbl!$A$3:$A$25,iCntyScoreCard!Z4)</f>
        <v>3</v>
      </c>
      <c r="AB4" s="3" t="str">
        <f>INDEX(iCSCtbl!$C$3:$C$25,iCntyScoreCard!Z4)</f>
        <v>1.1) Digital infrastructure</v>
      </c>
      <c r="AF4" s="3">
        <f>Z4+1</f>
        <v>4</v>
      </c>
      <c r="AG4" s="3">
        <f>INDEX(iCSCtbl!$A$3:$A$25,iCntyScoreCard!AF4)</f>
        <v>8</v>
      </c>
      <c r="AH4" s="3" t="str">
        <f>INDEX(iCSCtbl!$C$3:$C$25,iCntyScoreCard!AF4)</f>
        <v>1.2) Quality</v>
      </c>
      <c r="AL4" s="3">
        <f>AF4+1</f>
        <v>5</v>
      </c>
      <c r="AM4" s="3">
        <f>INDEX(iCSCtbl!$A$3:$A$25,iCntyScoreCard!AL4)</f>
        <v>13</v>
      </c>
      <c r="AN4" s="3" t="str">
        <f>INDEX(iCSCtbl!$C$3:$C$25,iCntyScoreCard!AL4)</f>
        <v>1.3) Affordability</v>
      </c>
      <c r="AR4" s="3">
        <f>AL4+1</f>
        <v>6</v>
      </c>
      <c r="AS4" s="3">
        <f>INDEX(iCSCtbl!$A$3:$A$25,iCntyScoreCard!AR4)</f>
        <v>16</v>
      </c>
      <c r="AT4" s="3" t="str">
        <f>INDEX(iCSCtbl!$C$3:$C$25,iCntyScoreCard!AR4)</f>
        <v>2) SERVICES</v>
      </c>
      <c r="AX4" s="3">
        <f>AR4+1</f>
        <v>7</v>
      </c>
      <c r="AY4" s="3">
        <f>INDEX(iCSCtbl!$A$3:$A$25,iCntyScoreCard!AX4)</f>
        <v>17</v>
      </c>
      <c r="AZ4" s="3" t="str">
        <f>INDEX(iCSCtbl!$C$3:$C$25,iCntyScoreCard!AX4)</f>
        <v>2.1) E-gov services for residents &amp; businesses</v>
      </c>
      <c r="BD4" s="3">
        <f>AX4+1</f>
        <v>8</v>
      </c>
      <c r="BE4" s="3">
        <f>INDEX(iCSCtbl!$A$3:$A$25,iCntyScoreCard!BD4)</f>
        <v>21</v>
      </c>
      <c r="BF4" s="3" t="str">
        <f>INDEX(iCSCtbl!$C$3:$C$25,iCntyScoreCard!BD4)</f>
        <v>2.2) Digital finance</v>
      </c>
      <c r="BJ4" s="3">
        <f>BD4+1</f>
        <v>9</v>
      </c>
      <c r="BK4" s="3">
        <f>INDEX(iCSCtbl!$A$3:$A$25,iCntyScoreCard!BJ4)</f>
        <v>25</v>
      </c>
      <c r="BL4" s="3" t="str">
        <f>INDEX(iCSCtbl!$C$3:$C$25,iCntyScoreCard!BJ4)</f>
        <v>2.3) Transportation</v>
      </c>
      <c r="BP4" s="3">
        <f>BJ4+1</f>
        <v>10</v>
      </c>
      <c r="BQ4" s="3">
        <f>INDEX(iCSCtbl!$A$3:$A$25,iCntyScoreCard!BP4)</f>
        <v>28</v>
      </c>
      <c r="BR4" s="3" t="str">
        <f>INDEX(iCSCtbl!$C$3:$C$25,iCntyScoreCard!BP4)</f>
        <v>2.4) Healthcare</v>
      </c>
      <c r="BV4" s="3">
        <f>BP4+1</f>
        <v>11</v>
      </c>
      <c r="BW4" s="3">
        <f>INDEX(iCSCtbl!$A$3:$A$25,iCntyScoreCard!BV4)</f>
        <v>32</v>
      </c>
      <c r="BX4" s="3" t="str">
        <f>INDEX(iCSCtbl!$C$3:$C$25,iCntyScoreCard!BV4)</f>
        <v>2.5) Education</v>
      </c>
      <c r="CB4" s="3">
        <f>BV4+1</f>
        <v>12</v>
      </c>
      <c r="CC4" s="3">
        <f>INDEX(iCSCtbl!$A$3:$A$25,iCntyScoreCard!CB4)</f>
        <v>34</v>
      </c>
      <c r="CD4" s="3" t="str">
        <f>INDEX(iCSCtbl!$C$3:$C$25,iCntyScoreCard!CB4)</f>
        <v>2.6) Retail and hospitality</v>
      </c>
      <c r="CH4" s="3">
        <f>CB4+1</f>
        <v>13</v>
      </c>
      <c r="CI4" s="3">
        <f>INDEX(iCSCtbl!$A$3:$A$25,iCntyScoreCard!CH4)</f>
        <v>37</v>
      </c>
      <c r="CJ4" s="3" t="str">
        <f>INDEX(iCSCtbl!$C$3:$C$25,iCntyScoreCard!CH4)</f>
        <v>3) CULTURE</v>
      </c>
      <c r="CN4" s="3">
        <f>CH4+1</f>
        <v>14</v>
      </c>
      <c r="CO4" s="3">
        <f>INDEX(iCSCtbl!$A$3:$A$25,iCntyScoreCard!CN4)</f>
        <v>38</v>
      </c>
      <c r="CP4" s="3" t="str">
        <f>INDEX(iCSCtbl!$C$3:$C$25,iCntyScoreCard!CN4)</f>
        <v>3.1) Digital inclusion</v>
      </c>
      <c r="CT4" s="3">
        <f>CN4+1</f>
        <v>15</v>
      </c>
      <c r="CU4" s="3">
        <f>INDEX(iCSCtbl!$A$3:$A$25,iCntyScoreCard!CT4)</f>
        <v>42</v>
      </c>
      <c r="CV4" s="3" t="str">
        <f>INDEX(iCSCtbl!$C$3:$C$25,iCntyScoreCard!CT4)</f>
        <v>3.2) Government support</v>
      </c>
      <c r="CZ4" s="3">
        <f>CT4+1</f>
        <v>16</v>
      </c>
      <c r="DA4" s="3">
        <f>INDEX(iCSCtbl!$A$3:$A$25,iCntyScoreCard!CZ4)</f>
        <v>48</v>
      </c>
      <c r="DB4" s="3" t="str">
        <f>INDEX(iCSCtbl!$C$3:$C$25,iCntyScoreCard!CZ4)</f>
        <v>3.3) Innovation ecosystem</v>
      </c>
      <c r="DF4" s="3">
        <f>CZ4+1</f>
        <v>17</v>
      </c>
      <c r="DG4" s="3">
        <f>INDEX(iCSCtbl!$A$3:$A$25,iCntyScoreCard!DF4)</f>
        <v>54</v>
      </c>
      <c r="DH4" s="3" t="str">
        <f>INDEX(iCSCtbl!$C$3:$C$25,iCntyScoreCard!DF4)</f>
        <v>3.4) Public attitude and engagement</v>
      </c>
      <c r="DL4" s="3">
        <f>DF4+1</f>
        <v>18</v>
      </c>
      <c r="DM4" s="3">
        <f>INDEX(iCSCtbl!$A$3:$A$25,iCntyScoreCard!DL4)</f>
        <v>57</v>
      </c>
      <c r="DN4" s="3" t="str">
        <f>INDEX(iCSCtbl!$C$3:$C$25,iCntyScoreCard!DL4)</f>
        <v>4) SUSTAINABILITY</v>
      </c>
      <c r="DR4" s="3">
        <f>DL4+1</f>
        <v>19</v>
      </c>
      <c r="DS4" s="3">
        <f>INDEX(iCSCtbl!$A$3:$A$25,iCntyScoreCard!DR4)</f>
        <v>58</v>
      </c>
      <c r="DT4" s="3" t="str">
        <f>INDEX(iCSCtbl!$C$3:$C$25,iCntyScoreCard!DR4)</f>
        <v>4.1) Efficient resource management</v>
      </c>
      <c r="DX4" s="3">
        <f>DR4+1</f>
        <v>20</v>
      </c>
      <c r="DY4" s="3">
        <f>INDEX(iCSCtbl!$A$3:$A$25,iCntyScoreCard!DX4)</f>
        <v>62</v>
      </c>
      <c r="DZ4" s="3" t="str">
        <f>INDEX(iCSCtbl!$C$3:$C$25,iCntyScoreCard!DX4)</f>
        <v>4.2) Emissions reduction</v>
      </c>
      <c r="ED4" s="3">
        <f>DX4+1</f>
        <v>21</v>
      </c>
      <c r="EE4" s="3">
        <f>INDEX(iCSCtbl!$A$3:$A$25,iCntyScoreCard!ED4)</f>
        <v>66</v>
      </c>
      <c r="EF4" s="3" t="str">
        <f>INDEX(iCSCtbl!$C$3:$C$25,iCntyScoreCard!ED4)</f>
        <v>4.3) Pollution</v>
      </c>
      <c r="EJ4" s="3">
        <f>ED4+1</f>
        <v>22</v>
      </c>
      <c r="EK4" s="3">
        <f>INDEX(iCSCtbl!$A$3:$A$25,iCntyScoreCard!EJ4)</f>
        <v>68</v>
      </c>
      <c r="EL4" s="3" t="str">
        <f>INDEX(iCSCtbl!$C$3:$C$25,iCntyScoreCard!EJ4)</f>
        <v>4.4) Circular economy</v>
      </c>
    </row>
    <row r="5" spans="1:144" ht="12" customHeight="1" thickBot="1">
      <c r="D5" s="3" t="s">
        <v>29</v>
      </c>
      <c r="E5" s="3" t="s">
        <v>28</v>
      </c>
      <c r="F5" s="3" t="s">
        <v>30</v>
      </c>
      <c r="G5" s="3" t="s">
        <v>950</v>
      </c>
      <c r="H5" s="3" t="s">
        <v>32</v>
      </c>
      <c r="I5" s="3" t="s">
        <v>33</v>
      </c>
      <c r="J5" s="3" t="s">
        <v>39</v>
      </c>
      <c r="O5" s="18" t="s">
        <v>31</v>
      </c>
      <c r="P5" s="3" t="s">
        <v>2</v>
      </c>
      <c r="Q5" s="3" t="s">
        <v>1</v>
      </c>
      <c r="R5" s="3" t="s">
        <v>951</v>
      </c>
      <c r="U5" s="18" t="s">
        <v>31</v>
      </c>
      <c r="V5" s="3" t="s">
        <v>2</v>
      </c>
      <c r="W5" s="3" t="s">
        <v>1</v>
      </c>
      <c r="X5" s="3" t="s">
        <v>951</v>
      </c>
      <c r="AA5" s="18" t="s">
        <v>31</v>
      </c>
      <c r="AB5" s="3" t="s">
        <v>2</v>
      </c>
      <c r="AC5" s="3" t="s">
        <v>1</v>
      </c>
      <c r="AD5" s="3" t="s">
        <v>951</v>
      </c>
      <c r="AG5" s="18" t="s">
        <v>31</v>
      </c>
      <c r="AH5" s="3" t="s">
        <v>2</v>
      </c>
      <c r="AI5" s="3" t="s">
        <v>1</v>
      </c>
      <c r="AJ5" s="3" t="s">
        <v>951</v>
      </c>
      <c r="AM5" s="18" t="s">
        <v>31</v>
      </c>
      <c r="AN5" s="3" t="s">
        <v>2</v>
      </c>
      <c r="AO5" s="3" t="s">
        <v>1</v>
      </c>
      <c r="AP5" s="3" t="s">
        <v>951</v>
      </c>
      <c r="AS5" s="18" t="s">
        <v>31</v>
      </c>
      <c r="AT5" s="3" t="s">
        <v>2</v>
      </c>
      <c r="AU5" s="3" t="s">
        <v>1</v>
      </c>
      <c r="AV5" s="3" t="s">
        <v>951</v>
      </c>
      <c r="AY5" s="18" t="s">
        <v>31</v>
      </c>
      <c r="AZ5" s="3" t="s">
        <v>2</v>
      </c>
      <c r="BA5" s="3" t="s">
        <v>1</v>
      </c>
      <c r="BB5" s="3" t="s">
        <v>951</v>
      </c>
      <c r="BE5" s="18" t="s">
        <v>31</v>
      </c>
      <c r="BF5" s="3" t="s">
        <v>2</v>
      </c>
      <c r="BG5" s="3" t="s">
        <v>1</v>
      </c>
      <c r="BH5" s="3" t="s">
        <v>951</v>
      </c>
      <c r="BK5" s="18" t="s">
        <v>31</v>
      </c>
      <c r="BL5" s="3" t="s">
        <v>2</v>
      </c>
      <c r="BM5" s="3" t="s">
        <v>1</v>
      </c>
      <c r="BN5" s="3" t="s">
        <v>951</v>
      </c>
      <c r="BQ5" s="18" t="s">
        <v>31</v>
      </c>
      <c r="BR5" s="3" t="s">
        <v>2</v>
      </c>
      <c r="BS5" s="3" t="s">
        <v>1</v>
      </c>
      <c r="BT5" s="3" t="s">
        <v>951</v>
      </c>
      <c r="BW5" s="18" t="s">
        <v>31</v>
      </c>
      <c r="BX5" s="3" t="s">
        <v>2</v>
      </c>
      <c r="BY5" s="3" t="s">
        <v>1</v>
      </c>
      <c r="BZ5" s="3" t="s">
        <v>951</v>
      </c>
      <c r="CC5" s="18" t="s">
        <v>31</v>
      </c>
      <c r="CD5" s="3" t="s">
        <v>2</v>
      </c>
      <c r="CE5" s="3" t="s">
        <v>1</v>
      </c>
      <c r="CF5" s="3" t="s">
        <v>951</v>
      </c>
      <c r="CI5" s="18" t="s">
        <v>31</v>
      </c>
      <c r="CJ5" s="3" t="s">
        <v>2</v>
      </c>
      <c r="CK5" s="3" t="s">
        <v>1</v>
      </c>
      <c r="CL5" s="3" t="s">
        <v>951</v>
      </c>
      <c r="CO5" s="18" t="s">
        <v>31</v>
      </c>
      <c r="CP5" s="3" t="s">
        <v>2</v>
      </c>
      <c r="CQ5" s="3" t="s">
        <v>1</v>
      </c>
      <c r="CR5" s="3" t="s">
        <v>951</v>
      </c>
      <c r="CU5" s="18" t="s">
        <v>31</v>
      </c>
      <c r="CV5" s="3" t="s">
        <v>2</v>
      </c>
      <c r="CW5" s="3" t="s">
        <v>1</v>
      </c>
      <c r="CX5" s="3" t="s">
        <v>951</v>
      </c>
      <c r="DA5" s="18" t="s">
        <v>31</v>
      </c>
      <c r="DB5" s="3" t="s">
        <v>2</v>
      </c>
      <c r="DC5" s="3" t="s">
        <v>1</v>
      </c>
      <c r="DD5" s="3" t="s">
        <v>951</v>
      </c>
      <c r="DG5" s="18" t="s">
        <v>31</v>
      </c>
      <c r="DH5" s="3" t="s">
        <v>2</v>
      </c>
      <c r="DI5" s="3" t="s">
        <v>1</v>
      </c>
      <c r="DJ5" s="3" t="s">
        <v>951</v>
      </c>
      <c r="DM5" s="18" t="s">
        <v>31</v>
      </c>
      <c r="DN5" s="3" t="s">
        <v>2</v>
      </c>
      <c r="DO5" s="3" t="s">
        <v>1</v>
      </c>
      <c r="DP5" s="3" t="s">
        <v>951</v>
      </c>
      <c r="DS5" s="18" t="s">
        <v>31</v>
      </c>
      <c r="DT5" s="3" t="s">
        <v>2</v>
      </c>
      <c r="DU5" s="3" t="s">
        <v>1</v>
      </c>
      <c r="DV5" s="3" t="s">
        <v>951</v>
      </c>
      <c r="DY5" s="18" t="s">
        <v>31</v>
      </c>
      <c r="DZ5" s="3" t="s">
        <v>2</v>
      </c>
      <c r="EA5" s="3" t="s">
        <v>1</v>
      </c>
      <c r="EB5" s="3" t="s">
        <v>951</v>
      </c>
      <c r="EE5" s="18" t="s">
        <v>31</v>
      </c>
      <c r="EF5" s="3" t="s">
        <v>2</v>
      </c>
      <c r="EG5" s="3" t="s">
        <v>1</v>
      </c>
      <c r="EH5" s="3" t="s">
        <v>951</v>
      </c>
      <c r="EK5" s="18" t="s">
        <v>31</v>
      </c>
      <c r="EL5" s="3" t="s">
        <v>2</v>
      </c>
      <c r="EM5" s="3" t="s">
        <v>1</v>
      </c>
      <c r="EN5" s="3" t="s">
        <v>951</v>
      </c>
    </row>
    <row r="6" spans="1:144" ht="12" customHeight="1" thickBot="1">
      <c r="A6" s="3">
        <f>tblTerritories!A3</f>
        <v>1</v>
      </c>
      <c r="B6" s="3">
        <f>tblTerritories!B3</f>
        <v>0</v>
      </c>
      <c r="C6" s="3" t="str">
        <f>tblTerritories!C3</f>
        <v>Amsterdam</v>
      </c>
      <c r="D6" s="3">
        <f>tblTerritories!K3</f>
        <v>1</v>
      </c>
      <c r="E6" s="3">
        <f>IF(A6=$B$3,1,0)</f>
        <v>1</v>
      </c>
      <c r="F6" s="3">
        <f>IF(E6=1,1,IF(tblTerritories!F3="",0,tblTerritories!F3))</f>
        <v>1</v>
      </c>
      <c r="G6" s="3">
        <f t="shared" ref="G6:G13" si="0">IF(F6=0,"",ROUND(INDEX(aScoresRounded,$B$2,$A6),5))</f>
        <v>74.599999999999994</v>
      </c>
      <c r="H6" s="3">
        <f>IF(F6=0,"",RANK(G6,G$6:G$35,0)+COUNTIF(G$6:G6,G6)-1)</f>
        <v>2</v>
      </c>
      <c r="I6" s="3">
        <f t="shared" ref="I6:I35" si="1">IF(ISERROR(MATCH($A6,H$6:H$35,0)),"",MATCH($A6,H$6:H$35,0))</f>
        <v>8</v>
      </c>
      <c r="J6" s="3">
        <f>IF(I6="","",1)</f>
        <v>1</v>
      </c>
      <c r="K6" s="19"/>
      <c r="L6" s="19"/>
      <c r="M6" s="18"/>
      <c r="N6" s="111" t="str">
        <f t="shared" ref="N6:N35" si="2">IF(C6="","",INDEX($C$6:$C$35,$I6))</f>
        <v>Copenhagen</v>
      </c>
      <c r="O6" s="20">
        <f t="shared" ref="O6:O35" si="3">IF($C6="","",INDEX(aScoresRounded,O$4,$I6))</f>
        <v>81.5</v>
      </c>
      <c r="P6" s="756">
        <f>IF(ISNUMBER(O6),O6,NA())</f>
        <v>81.5</v>
      </c>
      <c r="Q6" s="756">
        <f>1</f>
        <v>1</v>
      </c>
      <c r="R6" s="251" t="e">
        <f>IF($L6=2,P6,NA())</f>
        <v>#N/A</v>
      </c>
      <c r="T6" s="111" t="str">
        <f t="shared" ref="T6:T35" si="4">IF(I6="","",INDEX($C$6:$C$35,$I6))</f>
        <v>Copenhagen</v>
      </c>
      <c r="U6" s="20">
        <f t="shared" ref="U6:U35" si="5">IF($C6="","",INDEX(aScoresRounded,U$4,$I6))</f>
        <v>85.4</v>
      </c>
      <c r="V6" s="756">
        <f>IF(ISNUMBER(U6),U6,NA())</f>
        <v>85.4</v>
      </c>
      <c r="W6" s="756">
        <f>1</f>
        <v>1</v>
      </c>
      <c r="X6" s="251" t="e">
        <f>IF($L6=2,V6,NA())</f>
        <v>#N/A</v>
      </c>
      <c r="Z6" s="111" t="str">
        <f t="shared" ref="Z6:Z35" si="6">IF(U6="","",INDEX($C$6:$C$35,$I6))</f>
        <v>Copenhagen</v>
      </c>
      <c r="AA6" s="20">
        <f t="shared" ref="AA6:AA35" si="7">IF($C6="","",INDEX(aScoresRounded,AA$4,$I6))</f>
        <v>86.4</v>
      </c>
      <c r="AB6" s="756">
        <f>IF(ISNUMBER(AA6),AA6,NA())</f>
        <v>86.4</v>
      </c>
      <c r="AC6" s="756">
        <v>1</v>
      </c>
      <c r="AD6" s="251" t="e">
        <f>IF($L6=2,AB6,NA())</f>
        <v>#N/A</v>
      </c>
      <c r="AF6" s="111" t="str">
        <f t="shared" ref="AF6:AF35" si="8">IF(AA6="","",INDEX($C$6:$C$35,$I6))</f>
        <v>Copenhagen</v>
      </c>
      <c r="AG6" s="20">
        <f t="shared" ref="AG6:AG35" si="9">IF($C6="","",INDEX(aScoresRounded,AG$4,$I6))</f>
        <v>70.900000000000006</v>
      </c>
      <c r="AH6" s="756">
        <f>IF(ISNUMBER(AG6),AG6,NA())</f>
        <v>70.900000000000006</v>
      </c>
      <c r="AI6" s="756">
        <f>1</f>
        <v>1</v>
      </c>
      <c r="AJ6" s="251" t="e">
        <f>IF($L6=2,AH6,NA())</f>
        <v>#N/A</v>
      </c>
      <c r="AL6" s="111" t="str">
        <f t="shared" ref="AL6:AL35" si="10">IF(AG6="","",INDEX($C$6:$C$35,$I6))</f>
        <v>Copenhagen</v>
      </c>
      <c r="AM6" s="20">
        <f t="shared" ref="AM6:AM35" si="11">IF($C6="","",INDEX(aScoresRounded,AM$4,$I6))</f>
        <v>93.9</v>
      </c>
      <c r="AN6" s="756">
        <f>IF(ISNUMBER(AM6),AM6,NA())</f>
        <v>93.9</v>
      </c>
      <c r="AO6" s="756">
        <f>1</f>
        <v>1</v>
      </c>
      <c r="AP6" s="251" t="e">
        <f>IF($L6=2,AN6,NA())</f>
        <v>#N/A</v>
      </c>
      <c r="AR6" s="111" t="str">
        <f t="shared" ref="AR6:AR35" si="12">IF(AM6="","",INDEX($C$6:$C$35,$I6))</f>
        <v>Copenhagen</v>
      </c>
      <c r="AS6" s="20">
        <f t="shared" ref="AS6:AS35" si="13">IF($C6="","",INDEX(aScoresRounded,AS$4,$I6))</f>
        <v>79.3</v>
      </c>
      <c r="AT6" s="756">
        <f>IF(ISNUMBER(AS6),AS6,NA())</f>
        <v>79.3</v>
      </c>
      <c r="AU6" s="756">
        <f>1</f>
        <v>1</v>
      </c>
      <c r="AV6" s="251" t="e">
        <f>IF($L6=2,AT6,NA())</f>
        <v>#N/A</v>
      </c>
      <c r="AX6" s="111" t="str">
        <f t="shared" ref="AX6:AX35" si="14">IF(AS6="","",INDEX($C$6:$C$35,$I6))</f>
        <v>Copenhagen</v>
      </c>
      <c r="AY6" s="20">
        <f t="shared" ref="AY6:AY35" si="15">IF($C6="","",INDEX(aScoresRounded,AY$4,$I6))</f>
        <v>66.8</v>
      </c>
      <c r="AZ6" s="756">
        <f>IF(ISNUMBER(AY6),AY6,NA())</f>
        <v>66.8</v>
      </c>
      <c r="BA6" s="756">
        <f>1</f>
        <v>1</v>
      </c>
      <c r="BB6" s="251" t="e">
        <f>IF($L6=2,AZ6,NA())</f>
        <v>#N/A</v>
      </c>
      <c r="BD6" s="111" t="str">
        <f t="shared" ref="BD6:BD35" si="16">IF(AY6="","",INDEX($C$6:$C$35,$I6))</f>
        <v>Copenhagen</v>
      </c>
      <c r="BE6" s="20">
        <f t="shared" ref="BE6:BE35" si="17">IF($C6="","",INDEX(aScoresRounded,BE$4,$I6))</f>
        <v>66.2</v>
      </c>
      <c r="BF6" s="756">
        <f>IF(ISNUMBER(BE6),BE6,NA())</f>
        <v>66.2</v>
      </c>
      <c r="BG6" s="756">
        <f>1</f>
        <v>1</v>
      </c>
      <c r="BH6" s="251" t="e">
        <f>IF($L6=2,BF6,NA())</f>
        <v>#N/A</v>
      </c>
      <c r="BJ6" s="111" t="str">
        <f t="shared" ref="BJ6:BJ35" si="18">IF(BE6="","",INDEX($C$6:$C$35,$I6))</f>
        <v>Copenhagen</v>
      </c>
      <c r="BK6" s="20">
        <f t="shared" ref="BK6:BK35" si="19">IF($C6="","",INDEX(aScoresRounded,BK$4,$I6))</f>
        <v>59</v>
      </c>
      <c r="BL6" s="756">
        <f>IF(ISNUMBER(BK6),BK6,NA())</f>
        <v>59</v>
      </c>
      <c r="BM6" s="756">
        <f>1</f>
        <v>1</v>
      </c>
      <c r="BN6" s="251" t="e">
        <f>IF($L6=2,BL6,NA())</f>
        <v>#N/A</v>
      </c>
      <c r="BP6" s="111" t="str">
        <f t="shared" ref="BP6:BP35" si="20">IF(BK6="","",INDEX($C$6:$C$35,$I6))</f>
        <v>Copenhagen</v>
      </c>
      <c r="BQ6" s="20">
        <f t="shared" ref="BQ6:BQ35" si="21">IF($C6="","",INDEX(aScoresRounded,BQ$4,$I6))</f>
        <v>92.2</v>
      </c>
      <c r="BR6" s="756">
        <f>IF(ISNUMBER(BQ6),BQ6,NA())</f>
        <v>92.2</v>
      </c>
      <c r="BS6" s="756">
        <f>1</f>
        <v>1</v>
      </c>
      <c r="BT6" s="251" t="e">
        <f>IF($L6=2,BR6,NA())</f>
        <v>#N/A</v>
      </c>
      <c r="BV6" s="111" t="str">
        <f t="shared" ref="BV6:BV35" si="22">IF(BQ6="","",INDEX($C$6:$C$35,$I6))</f>
        <v>Copenhagen</v>
      </c>
      <c r="BW6" s="20">
        <f t="shared" ref="BW6:BW35" si="23">IF($C6="","",INDEX(aScoresRounded,BW$4,$I6))</f>
        <v>100</v>
      </c>
      <c r="BX6" s="756">
        <f>IF(ISNUMBER(BW6),BW6,NA())</f>
        <v>100</v>
      </c>
      <c r="BY6" s="756">
        <f>1</f>
        <v>1</v>
      </c>
      <c r="BZ6" s="251" t="e">
        <f>IF($L6=2,BX6,NA())</f>
        <v>#N/A</v>
      </c>
      <c r="CB6" s="111" t="str">
        <f t="shared" ref="CB6:CB35" si="24">IF(BW6="","",INDEX($C$6:$C$35,$I6))</f>
        <v>Copenhagen</v>
      </c>
      <c r="CC6" s="20">
        <f t="shared" ref="CC6:CC35" si="25">IF($C6="","",INDEX(aScoresRounded,CC$4,$I6))</f>
        <v>100</v>
      </c>
      <c r="CD6" s="756">
        <f>IF(ISNUMBER(CC6),CC6,NA())</f>
        <v>100</v>
      </c>
      <c r="CE6" s="756">
        <f>1</f>
        <v>1</v>
      </c>
      <c r="CF6" s="251" t="e">
        <f>IF($L6=2,CD6,NA())</f>
        <v>#N/A</v>
      </c>
      <c r="CH6" s="111" t="str">
        <f t="shared" ref="CH6:CH35" si="26">IF(CC6="","",INDEX($C$6:$C$35,$I6))</f>
        <v>Copenhagen</v>
      </c>
      <c r="CI6" s="20">
        <f t="shared" ref="CI6:CI35" si="27">IF($C6="","",INDEX(aScoresRounded,CI$4,$I6))</f>
        <v>67.900000000000006</v>
      </c>
      <c r="CJ6" s="756">
        <f>IF(ISNUMBER(CI6),CI6,NA())</f>
        <v>67.900000000000006</v>
      </c>
      <c r="CK6" s="756">
        <f>1</f>
        <v>1</v>
      </c>
      <c r="CL6" s="251" t="e">
        <f>IF($L6=2,CJ6,NA())</f>
        <v>#N/A</v>
      </c>
      <c r="CN6" s="111" t="str">
        <f t="shared" ref="CN6:CN35" si="28">IF(CI6="","",INDEX($C$6:$C$35,$I6))</f>
        <v>Copenhagen</v>
      </c>
      <c r="CO6" s="20">
        <f t="shared" ref="CO6:CO35" si="29">IF($C6="","",INDEX(aScoresRounded,CO$4,$I6))</f>
        <v>76.400000000000006</v>
      </c>
      <c r="CP6" s="756">
        <f>IF(ISNUMBER(CO6),CO6,NA())</f>
        <v>76.400000000000006</v>
      </c>
      <c r="CQ6" s="756">
        <f>1</f>
        <v>1</v>
      </c>
      <c r="CR6" s="251" t="e">
        <f>IF($L6=2,CP6,NA())</f>
        <v>#N/A</v>
      </c>
      <c r="CT6" s="111" t="str">
        <f t="shared" ref="CT6:CT35" si="30">IF(CO6="","",INDEX($C$6:$C$35,$I6))</f>
        <v>Copenhagen</v>
      </c>
      <c r="CU6" s="20">
        <f t="shared" ref="CU6:CU35" si="31">IF($C6="","",INDEX(aScoresRounded,CU$4,$I6))</f>
        <v>82.8</v>
      </c>
      <c r="CV6" s="756">
        <f>IF(ISNUMBER(CU6),CU6,NA())</f>
        <v>82.8</v>
      </c>
      <c r="CW6" s="756">
        <f>1</f>
        <v>1</v>
      </c>
      <c r="CX6" s="251" t="e">
        <f>IF($L6=2,CV6,NA())</f>
        <v>#N/A</v>
      </c>
      <c r="CZ6" s="111" t="str">
        <f t="shared" ref="CZ6:CZ35" si="32">IF(CU6="","",INDEX($C$6:$C$35,$I6))</f>
        <v>Copenhagen</v>
      </c>
      <c r="DA6" s="20">
        <f t="shared" ref="DA6:DA35" si="33">IF($C6="","",INDEX(aScoresRounded,DA$4,$I6))</f>
        <v>60.6</v>
      </c>
      <c r="DB6" s="756">
        <f>IF(ISNUMBER(DA6),DA6,NA())</f>
        <v>60.6</v>
      </c>
      <c r="DC6" s="756">
        <f>1</f>
        <v>1</v>
      </c>
      <c r="DD6" s="251" t="e">
        <f>IF($L6=2,DB6,NA())</f>
        <v>#N/A</v>
      </c>
      <c r="DF6" s="111" t="str">
        <f t="shared" ref="DF6:DF35" si="34">IF(DA6="","",INDEX($C$6:$C$35,$I6))</f>
        <v>Copenhagen</v>
      </c>
      <c r="DG6" s="20">
        <f t="shared" ref="DG6:DG35" si="35">IF($C6="","",INDEX(aScoresRounded,DG$4,$I6))</f>
        <v>46.9</v>
      </c>
      <c r="DH6" s="756">
        <f>IF(ISNUMBER(DG6),DG6,NA())</f>
        <v>46.9</v>
      </c>
      <c r="DI6" s="756">
        <f>1</f>
        <v>1</v>
      </c>
      <c r="DJ6" s="251" t="e">
        <f>IF($L6=2,DH6,NA())</f>
        <v>#N/A</v>
      </c>
      <c r="DL6" s="111" t="str">
        <f t="shared" ref="DL6:DL35" si="36">IF(DG6="","",INDEX($C$6:$C$35,$I6))</f>
        <v>Copenhagen</v>
      </c>
      <c r="DM6" s="20">
        <f t="shared" ref="DM6:DM35" si="37">IF($C6="","",INDEX(aScoresRounded,DM$4,$I6))</f>
        <v>92.6</v>
      </c>
      <c r="DN6" s="756">
        <f>IF(ISNUMBER(DM6),DM6,NA())</f>
        <v>92.6</v>
      </c>
      <c r="DO6" s="756">
        <f>1</f>
        <v>1</v>
      </c>
      <c r="DP6" s="251" t="e">
        <f>IF($L6=2,DN6,NA())</f>
        <v>#N/A</v>
      </c>
      <c r="DR6" s="111" t="str">
        <f t="shared" ref="DR6:DR35" si="38">IF(DM6="","",INDEX($C$6:$C$35,$I6))</f>
        <v>Copenhagen</v>
      </c>
      <c r="DS6" s="20">
        <f t="shared" ref="DS6:DS35" si="39">IF($C6="","",INDEX(aScoresRounded,DS$4,$I6))</f>
        <v>100</v>
      </c>
      <c r="DT6" s="756">
        <f>IF(ISNUMBER(DS6),DS6,NA())</f>
        <v>100</v>
      </c>
      <c r="DU6" s="756">
        <f>1</f>
        <v>1</v>
      </c>
      <c r="DV6" s="251" t="e">
        <f>IF($L6=2,DT6,NA())</f>
        <v>#N/A</v>
      </c>
      <c r="DX6" s="111" t="str">
        <f t="shared" ref="DX6:DX35" si="40">IF(DS6="","",INDEX($C$6:$C$35,$I6))</f>
        <v>Copenhagen</v>
      </c>
      <c r="DY6" s="20">
        <f t="shared" ref="DY6:DY35" si="41">IF($C6="","",INDEX(aScoresRounded,DY$4,$I6))</f>
        <v>100</v>
      </c>
      <c r="DZ6" s="756">
        <f>IF(ISNUMBER(DY6),DY6,NA())</f>
        <v>100</v>
      </c>
      <c r="EA6" s="756">
        <f>1</f>
        <v>1</v>
      </c>
      <c r="EB6" s="251" t="e">
        <f>IF($L6=2,DZ6,NA())</f>
        <v>#N/A</v>
      </c>
      <c r="ED6" s="111" t="str">
        <f t="shared" ref="ED6:ED35" si="42">IF(DY6="","",INDEX($C$6:$C$35,$I6))</f>
        <v>Copenhagen</v>
      </c>
      <c r="EE6" s="20">
        <f t="shared" ref="EE6:EE35" si="43">IF($C6="","",INDEX(aScoresRounded,EE$4,$I6))</f>
        <v>66.7</v>
      </c>
      <c r="EF6" s="756">
        <f>IF(ISNUMBER(EE6),EE6,NA())</f>
        <v>66.7</v>
      </c>
      <c r="EG6" s="756">
        <f>1</f>
        <v>1</v>
      </c>
      <c r="EH6" s="251" t="e">
        <f>IF($L6=2,EF6,NA())</f>
        <v>#N/A</v>
      </c>
      <c r="EJ6" s="111" t="str">
        <f t="shared" ref="EJ6:EJ35" si="44">IF(EE6="","",INDEX($C$6:$C$35,$I6))</f>
        <v>Copenhagen</v>
      </c>
      <c r="EK6" s="20">
        <f t="shared" ref="EK6:EK35" si="45">IF($C6="","",INDEX(aScoresRounded,EK$4,$I6))</f>
        <v>100</v>
      </c>
      <c r="EL6" s="756">
        <f>IF(ISNUMBER(EK6),EK6,NA())</f>
        <v>100</v>
      </c>
      <c r="EM6" s="756">
        <f>1</f>
        <v>1</v>
      </c>
      <c r="EN6" s="251" t="e">
        <f>IF($L6=2,EL6,NA())</f>
        <v>#N/A</v>
      </c>
    </row>
    <row r="7" spans="1:144" ht="12" customHeight="1" thickBot="1">
      <c r="A7" s="3">
        <f>tblTerritories!A4</f>
        <v>2</v>
      </c>
      <c r="B7" s="3">
        <f>tblTerritories!B4</f>
        <v>0</v>
      </c>
      <c r="C7" s="3" t="str">
        <f>tblTerritories!C4</f>
        <v>Auckland</v>
      </c>
      <c r="D7" s="3">
        <f>tblTerritories!K4</f>
        <v>1</v>
      </c>
      <c r="E7" s="3">
        <f t="shared" ref="E7:E35" si="46">IF(A7=$B$3,1,0)</f>
        <v>0</v>
      </c>
      <c r="F7" s="3">
        <f>IF(E7=1,1,IF(tblTerritories!F4="",0,tblTerritories!F4))</f>
        <v>1</v>
      </c>
      <c r="G7" s="3">
        <f t="shared" si="0"/>
        <v>60.1</v>
      </c>
      <c r="H7" s="3">
        <f>IF(F7=0,"",RANK(G7,G$6:G$35,0)+COUNTIF(G$6:G7,G7)-1)</f>
        <v>22</v>
      </c>
      <c r="I7" s="3">
        <f t="shared" si="1"/>
        <v>1</v>
      </c>
      <c r="J7" s="3">
        <f t="shared" ref="J7:J35" si="47">IF(I7="","",1)</f>
        <v>1</v>
      </c>
      <c r="K7" s="19"/>
      <c r="L7" s="19"/>
      <c r="M7" s="18"/>
      <c r="N7" s="112" t="str">
        <f t="shared" si="2"/>
        <v>Amsterdam</v>
      </c>
      <c r="O7" s="20">
        <f t="shared" si="3"/>
        <v>74.599999999999994</v>
      </c>
      <c r="P7" s="3">
        <f t="shared" ref="P7:P35" si="48">IF(ISNUMBER(O7),O7,NA())</f>
        <v>74.599999999999994</v>
      </c>
      <c r="Q7" s="3">
        <f>1</f>
        <v>1</v>
      </c>
      <c r="R7" s="54" t="e">
        <f t="shared" ref="R7:R35" si="49">IF($L7=2,P7,NA())</f>
        <v>#N/A</v>
      </c>
      <c r="T7" s="112" t="str">
        <f t="shared" si="4"/>
        <v>Amsterdam</v>
      </c>
      <c r="U7" s="20">
        <f t="shared" si="5"/>
        <v>77</v>
      </c>
      <c r="V7" s="3">
        <f t="shared" ref="V7:V35" si="50">IF(ISNUMBER(U7),U7,NA())</f>
        <v>77</v>
      </c>
      <c r="W7" s="3">
        <f>1</f>
        <v>1</v>
      </c>
      <c r="X7" s="54" t="e">
        <f t="shared" ref="X7:X35" si="51">IF($L7=2,V7,NA())</f>
        <v>#N/A</v>
      </c>
      <c r="Z7" s="112" t="str">
        <f t="shared" si="6"/>
        <v>Amsterdam</v>
      </c>
      <c r="AA7" s="20">
        <f t="shared" si="7"/>
        <v>84</v>
      </c>
      <c r="AB7" s="3">
        <f t="shared" ref="AB7:AB35" si="52">IF(ISNUMBER(AA7),AA7,NA())</f>
        <v>84</v>
      </c>
      <c r="AC7" s="756">
        <v>1</v>
      </c>
      <c r="AD7" s="54" t="e">
        <f t="shared" ref="AD7:AD35" si="53">IF($L7=2,AB7,NA())</f>
        <v>#N/A</v>
      </c>
      <c r="AF7" s="112" t="str">
        <f t="shared" si="8"/>
        <v>Amsterdam</v>
      </c>
      <c r="AG7" s="20">
        <f t="shared" si="9"/>
        <v>66.7</v>
      </c>
      <c r="AH7" s="3">
        <f t="shared" ref="AH7:AH35" si="54">IF(ISNUMBER(AG7),AG7,NA())</f>
        <v>66.7</v>
      </c>
      <c r="AI7" s="3">
        <f>1</f>
        <v>1</v>
      </c>
      <c r="AJ7" s="54" t="e">
        <f t="shared" ref="AJ7:AJ35" si="55">IF($L7=2,AH7,NA())</f>
        <v>#N/A</v>
      </c>
      <c r="AL7" s="112" t="str">
        <f t="shared" si="10"/>
        <v>Amsterdam</v>
      </c>
      <c r="AM7" s="20">
        <f t="shared" si="11"/>
        <v>74.599999999999994</v>
      </c>
      <c r="AN7" s="3">
        <f t="shared" ref="AN7:AN35" si="56">IF(ISNUMBER(AM7),AM7,NA())</f>
        <v>74.599999999999994</v>
      </c>
      <c r="AO7" s="3">
        <f>1</f>
        <v>1</v>
      </c>
      <c r="AP7" s="54" t="e">
        <f t="shared" ref="AP7:AP35" si="57">IF($L7=2,AN7,NA())</f>
        <v>#N/A</v>
      </c>
      <c r="AR7" s="112" t="str">
        <f t="shared" si="12"/>
        <v>Amsterdam</v>
      </c>
      <c r="AS7" s="20">
        <f t="shared" si="13"/>
        <v>73.2</v>
      </c>
      <c r="AT7" s="3">
        <f t="shared" ref="AT7:AT35" si="58">IF(ISNUMBER(AS7),AS7,NA())</f>
        <v>73.2</v>
      </c>
      <c r="AU7" s="3">
        <f>1</f>
        <v>1</v>
      </c>
      <c r="AV7" s="54" t="e">
        <f t="shared" ref="AV7:AV35" si="59">IF($L7=2,AT7,NA())</f>
        <v>#N/A</v>
      </c>
      <c r="AX7" s="112" t="str">
        <f t="shared" si="14"/>
        <v>Amsterdam</v>
      </c>
      <c r="AY7" s="20">
        <f t="shared" si="15"/>
        <v>48.6</v>
      </c>
      <c r="AZ7" s="3">
        <f t="shared" ref="AZ7:AZ35" si="60">IF(ISNUMBER(AY7),AY7,NA())</f>
        <v>48.6</v>
      </c>
      <c r="BA7" s="3">
        <f>1</f>
        <v>1</v>
      </c>
      <c r="BB7" s="54" t="e">
        <f t="shared" ref="BB7:BB35" si="61">IF($L7=2,AZ7,NA())</f>
        <v>#N/A</v>
      </c>
      <c r="BD7" s="112" t="str">
        <f t="shared" si="16"/>
        <v>Amsterdam</v>
      </c>
      <c r="BE7" s="20">
        <f t="shared" si="17"/>
        <v>58.5</v>
      </c>
      <c r="BF7" s="3">
        <f t="shared" ref="BF7:BF35" si="62">IF(ISNUMBER(BE7),BE7,NA())</f>
        <v>58.5</v>
      </c>
      <c r="BG7" s="3">
        <f>1</f>
        <v>1</v>
      </c>
      <c r="BH7" s="54" t="e">
        <f t="shared" ref="BH7:BH35" si="63">IF($L7=2,BF7,NA())</f>
        <v>#N/A</v>
      </c>
      <c r="BJ7" s="112" t="str">
        <f t="shared" si="18"/>
        <v>Amsterdam</v>
      </c>
      <c r="BK7" s="20">
        <f t="shared" si="19"/>
        <v>100</v>
      </c>
      <c r="BL7" s="3">
        <f t="shared" ref="BL7:BL35" si="64">IF(ISNUMBER(BK7),BK7,NA())</f>
        <v>100</v>
      </c>
      <c r="BM7" s="3">
        <f>1</f>
        <v>1</v>
      </c>
      <c r="BN7" s="54" t="e">
        <f t="shared" ref="BN7:BN35" si="65">IF($L7=2,BL7,NA())</f>
        <v>#N/A</v>
      </c>
      <c r="BP7" s="112" t="str">
        <f t="shared" si="20"/>
        <v>Amsterdam</v>
      </c>
      <c r="BQ7" s="20">
        <f t="shared" si="21"/>
        <v>91.6</v>
      </c>
      <c r="BR7" s="3">
        <f t="shared" ref="BR7:BR35" si="66">IF(ISNUMBER(BQ7),BQ7,NA())</f>
        <v>91.6</v>
      </c>
      <c r="BS7" s="3">
        <f>1</f>
        <v>1</v>
      </c>
      <c r="BT7" s="54" t="e">
        <f t="shared" ref="BT7:BT35" si="67">IF($L7=2,BR7,NA())</f>
        <v>#N/A</v>
      </c>
      <c r="BV7" s="112" t="str">
        <f t="shared" si="22"/>
        <v>Amsterdam</v>
      </c>
      <c r="BW7" s="20">
        <f t="shared" si="23"/>
        <v>100</v>
      </c>
      <c r="BX7" s="3">
        <f t="shared" ref="BX7:BX35" si="68">IF(ISNUMBER(BW7),BW7,NA())</f>
        <v>100</v>
      </c>
      <c r="BY7" s="3">
        <f>1</f>
        <v>1</v>
      </c>
      <c r="BZ7" s="54" t="e">
        <f t="shared" ref="BZ7:BZ35" si="69">IF($L7=2,BX7,NA())</f>
        <v>#N/A</v>
      </c>
      <c r="CB7" s="112" t="str">
        <f t="shared" si="24"/>
        <v>Amsterdam</v>
      </c>
      <c r="CC7" s="20">
        <f t="shared" si="25"/>
        <v>40.299999999999997</v>
      </c>
      <c r="CD7" s="3">
        <f t="shared" ref="CD7:CD35" si="70">IF(ISNUMBER(CC7),CC7,NA())</f>
        <v>40.299999999999997</v>
      </c>
      <c r="CE7" s="3">
        <f>1</f>
        <v>1</v>
      </c>
      <c r="CF7" s="54" t="e">
        <f t="shared" ref="CF7:CF35" si="71">IF($L7=2,CD7,NA())</f>
        <v>#N/A</v>
      </c>
      <c r="CH7" s="112" t="str">
        <f t="shared" si="26"/>
        <v>Amsterdam</v>
      </c>
      <c r="CI7" s="20">
        <f t="shared" si="27"/>
        <v>62.1</v>
      </c>
      <c r="CJ7" s="3">
        <f t="shared" ref="CJ7:CJ35" si="72">IF(ISNUMBER(CI7),CI7,NA())</f>
        <v>62.1</v>
      </c>
      <c r="CK7" s="3">
        <f>1</f>
        <v>1</v>
      </c>
      <c r="CL7" s="54" t="e">
        <f t="shared" ref="CL7:CL35" si="73">IF($L7=2,CJ7,NA())</f>
        <v>#N/A</v>
      </c>
      <c r="CN7" s="112" t="str">
        <f t="shared" si="28"/>
        <v>Amsterdam</v>
      </c>
      <c r="CO7" s="20">
        <f t="shared" si="29"/>
        <v>65.8</v>
      </c>
      <c r="CP7" s="3">
        <f t="shared" ref="CP7:CP35" si="74">IF(ISNUMBER(CO7),CO7,NA())</f>
        <v>65.8</v>
      </c>
      <c r="CQ7" s="3">
        <f>1</f>
        <v>1</v>
      </c>
      <c r="CR7" s="54" t="e">
        <f t="shared" ref="CR7:CR35" si="75">IF($L7=2,CP7,NA())</f>
        <v>#N/A</v>
      </c>
      <c r="CT7" s="112" t="str">
        <f t="shared" si="30"/>
        <v>Amsterdam</v>
      </c>
      <c r="CU7" s="20">
        <f t="shared" si="31"/>
        <v>76</v>
      </c>
      <c r="CV7" s="3">
        <f t="shared" ref="CV7:CV35" si="76">IF(ISNUMBER(CU7),CU7,NA())</f>
        <v>76</v>
      </c>
      <c r="CW7" s="3">
        <f>1</f>
        <v>1</v>
      </c>
      <c r="CX7" s="54" t="e">
        <f t="shared" ref="CX7:CX35" si="77">IF($L7=2,CV7,NA())</f>
        <v>#N/A</v>
      </c>
      <c r="CZ7" s="112" t="str">
        <f t="shared" si="32"/>
        <v>Amsterdam</v>
      </c>
      <c r="DA7" s="20">
        <f t="shared" si="33"/>
        <v>62</v>
      </c>
      <c r="DB7" s="3">
        <f t="shared" ref="DB7:DB35" si="78">IF(ISNUMBER(DA7),DA7,NA())</f>
        <v>62</v>
      </c>
      <c r="DC7" s="3">
        <f>1</f>
        <v>1</v>
      </c>
      <c r="DD7" s="54" t="e">
        <f t="shared" ref="DD7:DD35" si="79">IF($L7=2,DB7,NA())</f>
        <v>#N/A</v>
      </c>
      <c r="DF7" s="112" t="str">
        <f t="shared" si="34"/>
        <v>Amsterdam</v>
      </c>
      <c r="DG7" s="20">
        <f t="shared" si="35"/>
        <v>35.1</v>
      </c>
      <c r="DH7" s="3">
        <f t="shared" ref="DH7:DH35" si="80">IF(ISNUMBER(DG7),DG7,NA())</f>
        <v>35.1</v>
      </c>
      <c r="DI7" s="3">
        <f>1</f>
        <v>1</v>
      </c>
      <c r="DJ7" s="54" t="e">
        <f t="shared" ref="DJ7:DJ35" si="81">IF($L7=2,DH7,NA())</f>
        <v>#N/A</v>
      </c>
      <c r="DL7" s="112" t="str">
        <f t="shared" si="36"/>
        <v>Amsterdam</v>
      </c>
      <c r="DM7" s="20">
        <f t="shared" si="37"/>
        <v>85.4</v>
      </c>
      <c r="DN7" s="3">
        <f t="shared" ref="DN7:DN35" si="82">IF(ISNUMBER(DM7),DM7,NA())</f>
        <v>85.4</v>
      </c>
      <c r="DO7" s="3">
        <f>1</f>
        <v>1</v>
      </c>
      <c r="DP7" s="54" t="e">
        <f t="shared" ref="DP7:DP35" si="83">IF($L7=2,DN7,NA())</f>
        <v>#N/A</v>
      </c>
      <c r="DR7" s="112" t="str">
        <f t="shared" si="38"/>
        <v>Amsterdam</v>
      </c>
      <c r="DS7" s="20">
        <f t="shared" si="39"/>
        <v>87.5</v>
      </c>
      <c r="DT7" s="3">
        <f t="shared" ref="DT7:DT35" si="84">IF(ISNUMBER(DS7),DS7,NA())</f>
        <v>87.5</v>
      </c>
      <c r="DU7" s="3">
        <f>1</f>
        <v>1</v>
      </c>
      <c r="DV7" s="54" t="e">
        <f t="shared" ref="DV7:DV35" si="85">IF($L7=2,DT7,NA())</f>
        <v>#N/A</v>
      </c>
      <c r="DX7" s="112" t="str">
        <f t="shared" si="40"/>
        <v>Amsterdam</v>
      </c>
      <c r="DY7" s="20">
        <f t="shared" si="41"/>
        <v>100</v>
      </c>
      <c r="DZ7" s="3">
        <f t="shared" ref="DZ7:DZ35" si="86">IF(ISNUMBER(DY7),DY7,NA())</f>
        <v>100</v>
      </c>
      <c r="EA7" s="3">
        <f>1</f>
        <v>1</v>
      </c>
      <c r="EB7" s="54" t="e">
        <f t="shared" ref="EB7:EB35" si="87">IF($L7=2,DZ7,NA())</f>
        <v>#N/A</v>
      </c>
      <c r="ED7" s="112" t="str">
        <f t="shared" si="42"/>
        <v>Amsterdam</v>
      </c>
      <c r="EE7" s="20">
        <f t="shared" si="43"/>
        <v>50</v>
      </c>
      <c r="EF7" s="3">
        <f t="shared" ref="EF7:EF35" si="88">IF(ISNUMBER(EE7),EE7,NA())</f>
        <v>50</v>
      </c>
      <c r="EG7" s="3">
        <f>1</f>
        <v>1</v>
      </c>
      <c r="EH7" s="54" t="e">
        <f t="shared" ref="EH7:EH35" si="89">IF($L7=2,EF7,NA())</f>
        <v>#N/A</v>
      </c>
      <c r="EJ7" s="112" t="str">
        <f t="shared" si="44"/>
        <v>Amsterdam</v>
      </c>
      <c r="EK7" s="20">
        <f t="shared" si="45"/>
        <v>100</v>
      </c>
      <c r="EL7" s="3">
        <f t="shared" ref="EL7:EL35" si="90">IF(ISNUMBER(EK7),EK7,NA())</f>
        <v>100</v>
      </c>
      <c r="EM7" s="3">
        <f>1</f>
        <v>1</v>
      </c>
      <c r="EN7" s="54" t="e">
        <f t="shared" ref="EN7:EN35" si="91">IF($L7=2,EL7,NA())</f>
        <v>#N/A</v>
      </c>
    </row>
    <row r="8" spans="1:144" ht="12" customHeight="1" thickBot="1">
      <c r="A8" s="3">
        <f>tblTerritories!A5</f>
        <v>3</v>
      </c>
      <c r="B8" s="3">
        <f>tblTerritories!B5</f>
        <v>0</v>
      </c>
      <c r="C8" s="3" t="str">
        <f>tblTerritories!C5</f>
        <v>Bangkok</v>
      </c>
      <c r="D8" s="3">
        <f>tblTerritories!K5</f>
        <v>1</v>
      </c>
      <c r="E8" s="3">
        <f t="shared" si="46"/>
        <v>0</v>
      </c>
      <c r="F8" s="3">
        <f>IF(E8=1,1,IF(tblTerritories!F5="",0,tblTerritories!F5))</f>
        <v>1</v>
      </c>
      <c r="G8" s="3">
        <f t="shared" si="0"/>
        <v>49.1</v>
      </c>
      <c r="H8" s="3">
        <f>IF(F8=0,"",RANK(G8,G$6:G$35,0)+COUNTIF(G$6:G8,G8)-1)</f>
        <v>25</v>
      </c>
      <c r="I8" s="3">
        <f t="shared" si="1"/>
        <v>5</v>
      </c>
      <c r="J8" s="3">
        <f t="shared" si="47"/>
        <v>1</v>
      </c>
      <c r="K8" s="19"/>
      <c r="L8" s="19"/>
      <c r="M8" s="18"/>
      <c r="N8" s="112" t="str">
        <f t="shared" si="2"/>
        <v>Beijing</v>
      </c>
      <c r="O8" s="20">
        <f t="shared" si="3"/>
        <v>73.7</v>
      </c>
      <c r="P8" s="3">
        <f t="shared" si="48"/>
        <v>73.7</v>
      </c>
      <c r="Q8" s="3">
        <f>1</f>
        <v>1</v>
      </c>
      <c r="R8" s="54" t="e">
        <f t="shared" si="49"/>
        <v>#N/A</v>
      </c>
      <c r="T8" s="112" t="str">
        <f t="shared" si="4"/>
        <v>Beijing</v>
      </c>
      <c r="U8" s="20">
        <f t="shared" si="5"/>
        <v>80.7</v>
      </c>
      <c r="V8" s="3">
        <f t="shared" si="50"/>
        <v>80.7</v>
      </c>
      <c r="W8" s="3">
        <f>1</f>
        <v>1</v>
      </c>
      <c r="X8" s="54" t="e">
        <f t="shared" si="51"/>
        <v>#N/A</v>
      </c>
      <c r="Z8" s="112" t="str">
        <f t="shared" si="6"/>
        <v>Beijing</v>
      </c>
      <c r="AA8" s="20">
        <f t="shared" si="7"/>
        <v>73.3</v>
      </c>
      <c r="AB8" s="3">
        <f t="shared" si="52"/>
        <v>73.3</v>
      </c>
      <c r="AC8" s="756">
        <v>1</v>
      </c>
      <c r="AD8" s="54" t="e">
        <f t="shared" si="53"/>
        <v>#N/A</v>
      </c>
      <c r="AF8" s="112" t="str">
        <f t="shared" si="8"/>
        <v>Beijing</v>
      </c>
      <c r="AG8" s="20">
        <f t="shared" si="9"/>
        <v>75</v>
      </c>
      <c r="AH8" s="3">
        <f t="shared" si="54"/>
        <v>75</v>
      </c>
      <c r="AI8" s="3">
        <f>1</f>
        <v>1</v>
      </c>
      <c r="AJ8" s="54" t="e">
        <f t="shared" si="55"/>
        <v>#N/A</v>
      </c>
      <c r="AL8" s="112" t="str">
        <f t="shared" si="10"/>
        <v>Beijing</v>
      </c>
      <c r="AM8" s="20">
        <f t="shared" si="11"/>
        <v>94.4</v>
      </c>
      <c r="AN8" s="3">
        <f t="shared" si="56"/>
        <v>94.4</v>
      </c>
      <c r="AO8" s="3">
        <f>1</f>
        <v>1</v>
      </c>
      <c r="AP8" s="54" t="e">
        <f t="shared" si="57"/>
        <v>#N/A</v>
      </c>
      <c r="AR8" s="112" t="str">
        <f t="shared" si="12"/>
        <v>Beijing</v>
      </c>
      <c r="AS8" s="20">
        <f t="shared" si="13"/>
        <v>68.3</v>
      </c>
      <c r="AT8" s="3">
        <f t="shared" si="58"/>
        <v>68.3</v>
      </c>
      <c r="AU8" s="3">
        <f>1</f>
        <v>1</v>
      </c>
      <c r="AV8" s="54" t="e">
        <f t="shared" si="59"/>
        <v>#N/A</v>
      </c>
      <c r="AX8" s="112" t="str">
        <f t="shared" si="14"/>
        <v>Beijing</v>
      </c>
      <c r="AY8" s="20">
        <f t="shared" si="15"/>
        <v>64.599999999999994</v>
      </c>
      <c r="AZ8" s="3">
        <f t="shared" si="60"/>
        <v>64.599999999999994</v>
      </c>
      <c r="BA8" s="3">
        <f>1</f>
        <v>1</v>
      </c>
      <c r="BB8" s="54" t="e">
        <f t="shared" si="61"/>
        <v>#N/A</v>
      </c>
      <c r="BD8" s="112" t="str">
        <f t="shared" si="16"/>
        <v>Beijing</v>
      </c>
      <c r="BE8" s="20">
        <f t="shared" si="17"/>
        <v>87.4</v>
      </c>
      <c r="BF8" s="3">
        <f t="shared" si="62"/>
        <v>87.4</v>
      </c>
      <c r="BG8" s="3">
        <f>1</f>
        <v>1</v>
      </c>
      <c r="BH8" s="54" t="e">
        <f t="shared" si="63"/>
        <v>#N/A</v>
      </c>
      <c r="BJ8" s="112" t="str">
        <f t="shared" si="18"/>
        <v>Beijing</v>
      </c>
      <c r="BK8" s="20">
        <f t="shared" si="19"/>
        <v>82.1</v>
      </c>
      <c r="BL8" s="3">
        <f t="shared" si="64"/>
        <v>82.1</v>
      </c>
      <c r="BM8" s="3">
        <f>1</f>
        <v>1</v>
      </c>
      <c r="BN8" s="54" t="e">
        <f t="shared" si="65"/>
        <v>#N/A</v>
      </c>
      <c r="BP8" s="112" t="str">
        <f t="shared" si="20"/>
        <v>Beijing</v>
      </c>
      <c r="BQ8" s="20">
        <f t="shared" si="21"/>
        <v>97.8</v>
      </c>
      <c r="BR8" s="3">
        <f t="shared" si="66"/>
        <v>97.8</v>
      </c>
      <c r="BS8" s="3">
        <f>1</f>
        <v>1</v>
      </c>
      <c r="BT8" s="54" t="e">
        <f t="shared" si="67"/>
        <v>#N/A</v>
      </c>
      <c r="BV8" s="112" t="str">
        <f t="shared" si="22"/>
        <v>Beijing</v>
      </c>
      <c r="BW8" s="20">
        <f t="shared" si="23"/>
        <v>50</v>
      </c>
      <c r="BX8" s="3">
        <f t="shared" si="68"/>
        <v>50</v>
      </c>
      <c r="BY8" s="3">
        <f>1</f>
        <v>1</v>
      </c>
      <c r="BZ8" s="54" t="e">
        <f t="shared" si="69"/>
        <v>#N/A</v>
      </c>
      <c r="CB8" s="112" t="str">
        <f t="shared" si="24"/>
        <v>Beijing</v>
      </c>
      <c r="CC8" s="20">
        <f t="shared" si="25"/>
        <v>25.5</v>
      </c>
      <c r="CD8" s="3">
        <f t="shared" si="70"/>
        <v>25.5</v>
      </c>
      <c r="CE8" s="3">
        <f>1</f>
        <v>1</v>
      </c>
      <c r="CF8" s="54" t="e">
        <f t="shared" si="71"/>
        <v>#N/A</v>
      </c>
      <c r="CH8" s="112" t="str">
        <f t="shared" si="26"/>
        <v>Beijing</v>
      </c>
      <c r="CI8" s="20">
        <f t="shared" si="27"/>
        <v>57.9</v>
      </c>
      <c r="CJ8" s="3">
        <f t="shared" si="72"/>
        <v>57.9</v>
      </c>
      <c r="CK8" s="3">
        <f>1</f>
        <v>1</v>
      </c>
      <c r="CL8" s="54" t="e">
        <f t="shared" si="73"/>
        <v>#N/A</v>
      </c>
      <c r="CN8" s="112" t="str">
        <f t="shared" si="28"/>
        <v>Beijing</v>
      </c>
      <c r="CO8" s="20">
        <f t="shared" si="29"/>
        <v>70.2</v>
      </c>
      <c r="CP8" s="3">
        <f t="shared" si="74"/>
        <v>70.2</v>
      </c>
      <c r="CQ8" s="3">
        <f>1</f>
        <v>1</v>
      </c>
      <c r="CR8" s="54" t="e">
        <f t="shared" si="75"/>
        <v>#N/A</v>
      </c>
      <c r="CT8" s="112" t="str">
        <f t="shared" si="30"/>
        <v>Beijing</v>
      </c>
      <c r="CU8" s="20">
        <f t="shared" si="31"/>
        <v>50</v>
      </c>
      <c r="CV8" s="3">
        <f t="shared" si="76"/>
        <v>50</v>
      </c>
      <c r="CW8" s="3">
        <f>1</f>
        <v>1</v>
      </c>
      <c r="CX8" s="54" t="e">
        <f t="shared" si="77"/>
        <v>#N/A</v>
      </c>
      <c r="CZ8" s="112" t="str">
        <f t="shared" si="32"/>
        <v>Beijing</v>
      </c>
      <c r="DA8" s="20">
        <f t="shared" si="33"/>
        <v>49.8</v>
      </c>
      <c r="DB8" s="3">
        <f t="shared" si="78"/>
        <v>49.8</v>
      </c>
      <c r="DC8" s="3">
        <f>1</f>
        <v>1</v>
      </c>
      <c r="DD8" s="54" t="e">
        <f t="shared" si="79"/>
        <v>#N/A</v>
      </c>
      <c r="DF8" s="112" t="str">
        <f t="shared" si="34"/>
        <v>Beijing</v>
      </c>
      <c r="DG8" s="20">
        <f t="shared" si="35"/>
        <v>72.3</v>
      </c>
      <c r="DH8" s="3">
        <f t="shared" si="80"/>
        <v>72.3</v>
      </c>
      <c r="DI8" s="3">
        <f>1</f>
        <v>1</v>
      </c>
      <c r="DJ8" s="54" t="e">
        <f t="shared" si="81"/>
        <v>#N/A</v>
      </c>
      <c r="DL8" s="112" t="str">
        <f t="shared" si="36"/>
        <v>Beijing</v>
      </c>
      <c r="DM8" s="20">
        <f t="shared" si="37"/>
        <v>86.8</v>
      </c>
      <c r="DN8" s="3">
        <f t="shared" si="82"/>
        <v>86.8</v>
      </c>
      <c r="DO8" s="3">
        <f>1</f>
        <v>1</v>
      </c>
      <c r="DP8" s="54" t="e">
        <f t="shared" si="83"/>
        <v>#N/A</v>
      </c>
      <c r="DR8" s="112" t="str">
        <f t="shared" si="38"/>
        <v>Beijing</v>
      </c>
      <c r="DS8" s="20">
        <f t="shared" si="39"/>
        <v>100</v>
      </c>
      <c r="DT8" s="3">
        <f t="shared" si="84"/>
        <v>100</v>
      </c>
      <c r="DU8" s="3">
        <f>1</f>
        <v>1</v>
      </c>
      <c r="DV8" s="54" t="e">
        <f t="shared" si="85"/>
        <v>#N/A</v>
      </c>
      <c r="DX8" s="112" t="str">
        <f t="shared" si="40"/>
        <v>Beijing</v>
      </c>
      <c r="DY8" s="20">
        <f t="shared" si="41"/>
        <v>92.4</v>
      </c>
      <c r="DZ8" s="3">
        <f t="shared" si="86"/>
        <v>92.4</v>
      </c>
      <c r="EA8" s="3">
        <f>1</f>
        <v>1</v>
      </c>
      <c r="EB8" s="54" t="e">
        <f t="shared" si="87"/>
        <v>#N/A</v>
      </c>
      <c r="ED8" s="112" t="str">
        <f t="shared" si="42"/>
        <v>Beijing</v>
      </c>
      <c r="EE8" s="20">
        <f t="shared" si="43"/>
        <v>50</v>
      </c>
      <c r="EF8" s="3">
        <f t="shared" si="88"/>
        <v>50</v>
      </c>
      <c r="EG8" s="3">
        <f>1</f>
        <v>1</v>
      </c>
      <c r="EH8" s="54" t="e">
        <f t="shared" si="89"/>
        <v>#N/A</v>
      </c>
      <c r="EJ8" s="112" t="str">
        <f t="shared" si="44"/>
        <v>Beijing</v>
      </c>
      <c r="EK8" s="20">
        <f t="shared" si="45"/>
        <v>100</v>
      </c>
      <c r="EL8" s="3">
        <f t="shared" si="90"/>
        <v>100</v>
      </c>
      <c r="EM8" s="3">
        <f>1</f>
        <v>1</v>
      </c>
      <c r="EN8" s="54" t="e">
        <f t="shared" si="91"/>
        <v>#N/A</v>
      </c>
    </row>
    <row r="9" spans="1:144" ht="12" customHeight="1" thickBot="1">
      <c r="A9" s="3">
        <f>tblTerritories!A6</f>
        <v>4</v>
      </c>
      <c r="B9" s="3">
        <f>tblTerritories!B6</f>
        <v>0</v>
      </c>
      <c r="C9" s="3" t="str">
        <f>tblTerritories!C6</f>
        <v>Barcelona</v>
      </c>
      <c r="D9" s="3">
        <f>tblTerritories!K6</f>
        <v>1</v>
      </c>
      <c r="E9" s="3">
        <f t="shared" si="46"/>
        <v>0</v>
      </c>
      <c r="F9" s="3">
        <f>IF(E9=1,1,IF(tblTerritories!F6="",0,tblTerritories!F6))</f>
        <v>1</v>
      </c>
      <c r="G9" s="3">
        <f t="shared" si="0"/>
        <v>69.7</v>
      </c>
      <c r="H9" s="3">
        <f>IF(F9=0,"",RANK(G9,G$6:G$35,0)+COUNTIF(G$6:G9,G9)-1)</f>
        <v>13</v>
      </c>
      <c r="I9" s="3">
        <f t="shared" si="1"/>
        <v>15</v>
      </c>
      <c r="J9" s="3">
        <f t="shared" si="47"/>
        <v>1</v>
      </c>
      <c r="K9" s="19"/>
      <c r="L9" s="19"/>
      <c r="M9" s="18"/>
      <c r="N9" s="112" t="str">
        <f t="shared" si="2"/>
        <v>London</v>
      </c>
      <c r="O9" s="20">
        <f t="shared" si="3"/>
        <v>73.599999999999994</v>
      </c>
      <c r="P9" s="3">
        <f t="shared" si="48"/>
        <v>73.599999999999994</v>
      </c>
      <c r="Q9" s="3">
        <f>1</f>
        <v>1</v>
      </c>
      <c r="R9" s="54" t="e">
        <f t="shared" si="49"/>
        <v>#N/A</v>
      </c>
      <c r="T9" s="112" t="str">
        <f t="shared" si="4"/>
        <v>London</v>
      </c>
      <c r="U9" s="20">
        <f t="shared" si="5"/>
        <v>71.3</v>
      </c>
      <c r="V9" s="3">
        <f t="shared" si="50"/>
        <v>71.3</v>
      </c>
      <c r="W9" s="3">
        <f>1</f>
        <v>1</v>
      </c>
      <c r="X9" s="54" t="e">
        <f t="shared" si="51"/>
        <v>#N/A</v>
      </c>
      <c r="Z9" s="112" t="str">
        <f t="shared" si="6"/>
        <v>London</v>
      </c>
      <c r="AA9" s="20">
        <f t="shared" si="7"/>
        <v>79.400000000000006</v>
      </c>
      <c r="AB9" s="3">
        <f t="shared" si="52"/>
        <v>79.400000000000006</v>
      </c>
      <c r="AC9" s="756">
        <v>1</v>
      </c>
      <c r="AD9" s="54" t="e">
        <f t="shared" si="53"/>
        <v>#N/A</v>
      </c>
      <c r="AF9" s="112" t="str">
        <f t="shared" si="8"/>
        <v>London</v>
      </c>
      <c r="AG9" s="20">
        <f t="shared" si="9"/>
        <v>21</v>
      </c>
      <c r="AH9" s="3">
        <f t="shared" si="54"/>
        <v>21</v>
      </c>
      <c r="AI9" s="3">
        <f>1</f>
        <v>1</v>
      </c>
      <c r="AJ9" s="54" t="e">
        <f t="shared" si="55"/>
        <v>#N/A</v>
      </c>
      <c r="AL9" s="112" t="str">
        <f t="shared" si="10"/>
        <v>London</v>
      </c>
      <c r="AM9" s="20">
        <f t="shared" si="11"/>
        <v>93.9</v>
      </c>
      <c r="AN9" s="3">
        <f t="shared" si="56"/>
        <v>93.9</v>
      </c>
      <c r="AO9" s="3">
        <f>1</f>
        <v>1</v>
      </c>
      <c r="AP9" s="54" t="e">
        <f t="shared" si="57"/>
        <v>#N/A</v>
      </c>
      <c r="AR9" s="112" t="str">
        <f t="shared" si="12"/>
        <v>London</v>
      </c>
      <c r="AS9" s="20">
        <f t="shared" si="13"/>
        <v>73.5</v>
      </c>
      <c r="AT9" s="3">
        <f t="shared" si="58"/>
        <v>73.5</v>
      </c>
      <c r="AU9" s="3">
        <f>1</f>
        <v>1</v>
      </c>
      <c r="AV9" s="54" t="e">
        <f t="shared" si="59"/>
        <v>#N/A</v>
      </c>
      <c r="AX9" s="112" t="str">
        <f t="shared" si="14"/>
        <v>London</v>
      </c>
      <c r="AY9" s="20">
        <f t="shared" si="15"/>
        <v>66.400000000000006</v>
      </c>
      <c r="AZ9" s="3">
        <f t="shared" si="60"/>
        <v>66.400000000000006</v>
      </c>
      <c r="BA9" s="3">
        <f>1</f>
        <v>1</v>
      </c>
      <c r="BB9" s="54" t="e">
        <f t="shared" si="61"/>
        <v>#N/A</v>
      </c>
      <c r="BD9" s="112" t="str">
        <f t="shared" si="16"/>
        <v>London</v>
      </c>
      <c r="BE9" s="20">
        <f t="shared" si="17"/>
        <v>46.5</v>
      </c>
      <c r="BF9" s="3">
        <f t="shared" si="62"/>
        <v>46.5</v>
      </c>
      <c r="BG9" s="3">
        <f>1</f>
        <v>1</v>
      </c>
      <c r="BH9" s="54" t="e">
        <f t="shared" si="63"/>
        <v>#N/A</v>
      </c>
      <c r="BJ9" s="112" t="str">
        <f t="shared" si="18"/>
        <v>London</v>
      </c>
      <c r="BK9" s="20">
        <f t="shared" si="19"/>
        <v>82.1</v>
      </c>
      <c r="BL9" s="3">
        <f t="shared" si="64"/>
        <v>82.1</v>
      </c>
      <c r="BM9" s="3">
        <f>1</f>
        <v>1</v>
      </c>
      <c r="BN9" s="54" t="e">
        <f t="shared" si="65"/>
        <v>#N/A</v>
      </c>
      <c r="BP9" s="112" t="str">
        <f t="shared" si="20"/>
        <v>London</v>
      </c>
      <c r="BQ9" s="20">
        <f t="shared" si="21"/>
        <v>91.8</v>
      </c>
      <c r="BR9" s="3">
        <f t="shared" si="66"/>
        <v>91.8</v>
      </c>
      <c r="BS9" s="3">
        <f>1</f>
        <v>1</v>
      </c>
      <c r="BT9" s="54" t="e">
        <f t="shared" si="67"/>
        <v>#N/A</v>
      </c>
      <c r="BV9" s="112" t="str">
        <f t="shared" si="22"/>
        <v>London</v>
      </c>
      <c r="BW9" s="20">
        <f t="shared" si="23"/>
        <v>100</v>
      </c>
      <c r="BX9" s="3">
        <f t="shared" si="68"/>
        <v>100</v>
      </c>
      <c r="BY9" s="3">
        <f>1</f>
        <v>1</v>
      </c>
      <c r="BZ9" s="54" t="e">
        <f t="shared" si="69"/>
        <v>#N/A</v>
      </c>
      <c r="CB9" s="112" t="str">
        <f t="shared" si="24"/>
        <v>London</v>
      </c>
      <c r="CC9" s="20">
        <f t="shared" si="25"/>
        <v>53.9</v>
      </c>
      <c r="CD9" s="3">
        <f t="shared" si="70"/>
        <v>53.9</v>
      </c>
      <c r="CE9" s="3">
        <f>1</f>
        <v>1</v>
      </c>
      <c r="CF9" s="54" t="e">
        <f t="shared" si="71"/>
        <v>#N/A</v>
      </c>
      <c r="CH9" s="112" t="str">
        <f t="shared" si="26"/>
        <v>London</v>
      </c>
      <c r="CI9" s="20">
        <f t="shared" si="27"/>
        <v>65.400000000000006</v>
      </c>
      <c r="CJ9" s="3">
        <f t="shared" si="72"/>
        <v>65.400000000000006</v>
      </c>
      <c r="CK9" s="3">
        <f>1</f>
        <v>1</v>
      </c>
      <c r="CL9" s="54" t="e">
        <f t="shared" si="73"/>
        <v>#N/A</v>
      </c>
      <c r="CN9" s="112" t="str">
        <f t="shared" si="28"/>
        <v>London</v>
      </c>
      <c r="CO9" s="20">
        <f t="shared" si="29"/>
        <v>67.5</v>
      </c>
      <c r="CP9" s="3">
        <f t="shared" si="74"/>
        <v>67.5</v>
      </c>
      <c r="CQ9" s="3">
        <f>1</f>
        <v>1</v>
      </c>
      <c r="CR9" s="54" t="e">
        <f t="shared" si="75"/>
        <v>#N/A</v>
      </c>
      <c r="CT9" s="112" t="str">
        <f t="shared" si="30"/>
        <v>London</v>
      </c>
      <c r="CU9" s="20">
        <f t="shared" si="31"/>
        <v>87.2</v>
      </c>
      <c r="CV9" s="3">
        <f t="shared" si="76"/>
        <v>87.2</v>
      </c>
      <c r="CW9" s="3">
        <f>1</f>
        <v>1</v>
      </c>
      <c r="CX9" s="54" t="e">
        <f t="shared" si="77"/>
        <v>#N/A</v>
      </c>
      <c r="CZ9" s="112" t="str">
        <f t="shared" si="32"/>
        <v>London</v>
      </c>
      <c r="DA9" s="20">
        <f t="shared" si="33"/>
        <v>70</v>
      </c>
      <c r="DB9" s="3">
        <f t="shared" si="78"/>
        <v>70</v>
      </c>
      <c r="DC9" s="3">
        <f>1</f>
        <v>1</v>
      </c>
      <c r="DD9" s="54" t="e">
        <f t="shared" si="79"/>
        <v>#N/A</v>
      </c>
      <c r="DF9" s="112" t="str">
        <f t="shared" si="34"/>
        <v>London</v>
      </c>
      <c r="DG9" s="20">
        <f t="shared" si="35"/>
        <v>19.399999999999999</v>
      </c>
      <c r="DH9" s="3">
        <f t="shared" si="80"/>
        <v>19.399999999999999</v>
      </c>
      <c r="DI9" s="3">
        <f>1</f>
        <v>1</v>
      </c>
      <c r="DJ9" s="54" t="e">
        <f t="shared" si="81"/>
        <v>#N/A</v>
      </c>
      <c r="DL9" s="112" t="str">
        <f t="shared" si="36"/>
        <v>London</v>
      </c>
      <c r="DM9" s="20">
        <f t="shared" si="37"/>
        <v>85.2</v>
      </c>
      <c r="DN9" s="3">
        <f t="shared" si="82"/>
        <v>85.2</v>
      </c>
      <c r="DO9" s="3">
        <f>1</f>
        <v>1</v>
      </c>
      <c r="DP9" s="54" t="e">
        <f t="shared" si="83"/>
        <v>#N/A</v>
      </c>
      <c r="DR9" s="112" t="str">
        <f t="shared" si="38"/>
        <v>London</v>
      </c>
      <c r="DS9" s="20">
        <f t="shared" si="39"/>
        <v>100</v>
      </c>
      <c r="DT9" s="3">
        <f t="shared" si="84"/>
        <v>100</v>
      </c>
      <c r="DU9" s="3">
        <f>1</f>
        <v>1</v>
      </c>
      <c r="DV9" s="54" t="e">
        <f t="shared" si="85"/>
        <v>#N/A</v>
      </c>
      <c r="DX9" s="112" t="str">
        <f t="shared" si="40"/>
        <v>London</v>
      </c>
      <c r="DY9" s="20">
        <f t="shared" si="41"/>
        <v>84.9</v>
      </c>
      <c r="DZ9" s="3">
        <f t="shared" si="86"/>
        <v>84.9</v>
      </c>
      <c r="EA9" s="3">
        <f>1</f>
        <v>1</v>
      </c>
      <c r="EB9" s="54" t="e">
        <f t="shared" si="87"/>
        <v>#N/A</v>
      </c>
      <c r="ED9" s="112" t="str">
        <f t="shared" si="42"/>
        <v>London</v>
      </c>
      <c r="EE9" s="20">
        <f t="shared" si="43"/>
        <v>83.3</v>
      </c>
      <c r="EF9" s="3">
        <f t="shared" si="88"/>
        <v>83.3</v>
      </c>
      <c r="EG9" s="3">
        <f>1</f>
        <v>1</v>
      </c>
      <c r="EH9" s="54" t="e">
        <f t="shared" si="89"/>
        <v>#N/A</v>
      </c>
      <c r="EJ9" s="112" t="str">
        <f t="shared" si="44"/>
        <v>London</v>
      </c>
      <c r="EK9" s="20">
        <f t="shared" si="45"/>
        <v>69</v>
      </c>
      <c r="EL9" s="3">
        <f t="shared" si="90"/>
        <v>69</v>
      </c>
      <c r="EM9" s="3">
        <f>1</f>
        <v>1</v>
      </c>
      <c r="EN9" s="54" t="e">
        <f t="shared" si="91"/>
        <v>#N/A</v>
      </c>
    </row>
    <row r="10" spans="1:144" ht="12" customHeight="1" thickBot="1">
      <c r="A10" s="3">
        <f>tblTerritories!A7</f>
        <v>5</v>
      </c>
      <c r="B10" s="3">
        <f>tblTerritories!B7</f>
        <v>0</v>
      </c>
      <c r="C10" s="3" t="str">
        <f>tblTerritories!C7</f>
        <v>Beijing</v>
      </c>
      <c r="D10" s="3">
        <f>tblTerritories!K7</f>
        <v>1</v>
      </c>
      <c r="E10" s="3">
        <f t="shared" si="46"/>
        <v>0</v>
      </c>
      <c r="F10" s="3">
        <f>IF(E10=1,1,IF(tblTerritories!F7="",0,tblTerritories!F7))</f>
        <v>1</v>
      </c>
      <c r="G10" s="3">
        <f t="shared" si="0"/>
        <v>73.7</v>
      </c>
      <c r="H10" s="3">
        <f>IF(F10=0,"",RANK(G10,G$6:G$35,0)+COUNTIF(G$6:G10,G10)-1)</f>
        <v>3</v>
      </c>
      <c r="I10" s="3">
        <f t="shared" si="1"/>
        <v>24</v>
      </c>
      <c r="J10" s="3">
        <f t="shared" si="47"/>
        <v>1</v>
      </c>
      <c r="K10" s="19"/>
      <c r="L10" s="19"/>
      <c r="M10" s="18"/>
      <c r="N10" s="112" t="str">
        <f t="shared" si="2"/>
        <v>Seoul</v>
      </c>
      <c r="O10" s="20">
        <f t="shared" si="3"/>
        <v>73.599999999999994</v>
      </c>
      <c r="P10" s="3">
        <f t="shared" si="48"/>
        <v>73.599999999999994</v>
      </c>
      <c r="Q10" s="3">
        <f>1</f>
        <v>1</v>
      </c>
      <c r="R10" s="54" t="e">
        <f t="shared" si="49"/>
        <v>#N/A</v>
      </c>
      <c r="T10" s="112" t="str">
        <f t="shared" si="4"/>
        <v>Seoul</v>
      </c>
      <c r="U10" s="20">
        <f t="shared" si="5"/>
        <v>75.3</v>
      </c>
      <c r="V10" s="3">
        <f t="shared" si="50"/>
        <v>75.3</v>
      </c>
      <c r="W10" s="3">
        <f>1</f>
        <v>1</v>
      </c>
      <c r="X10" s="54" t="e">
        <f t="shared" si="51"/>
        <v>#N/A</v>
      </c>
      <c r="Z10" s="112" t="str">
        <f t="shared" si="6"/>
        <v>Seoul</v>
      </c>
      <c r="AA10" s="20">
        <f t="shared" si="7"/>
        <v>82.1</v>
      </c>
      <c r="AB10" s="3">
        <f t="shared" si="52"/>
        <v>82.1</v>
      </c>
      <c r="AC10" s="756">
        <v>1</v>
      </c>
      <c r="AD10" s="54" t="e">
        <f t="shared" si="53"/>
        <v>#N/A</v>
      </c>
      <c r="AF10" s="112" t="str">
        <f t="shared" si="8"/>
        <v>Seoul</v>
      </c>
      <c r="AG10" s="20">
        <f t="shared" si="9"/>
        <v>74.8</v>
      </c>
      <c r="AH10" s="3">
        <f t="shared" si="54"/>
        <v>74.8</v>
      </c>
      <c r="AI10" s="3">
        <f>1</f>
        <v>1</v>
      </c>
      <c r="AJ10" s="54" t="e">
        <f t="shared" si="55"/>
        <v>#N/A</v>
      </c>
      <c r="AL10" s="112" t="str">
        <f t="shared" si="10"/>
        <v>Seoul</v>
      </c>
      <c r="AM10" s="20">
        <f t="shared" si="11"/>
        <v>66.599999999999994</v>
      </c>
      <c r="AN10" s="3">
        <f t="shared" si="56"/>
        <v>66.599999999999994</v>
      </c>
      <c r="AO10" s="3">
        <f>1</f>
        <v>1</v>
      </c>
      <c r="AP10" s="54" t="e">
        <f t="shared" si="57"/>
        <v>#N/A</v>
      </c>
      <c r="AR10" s="112" t="str">
        <f t="shared" si="12"/>
        <v>Seoul</v>
      </c>
      <c r="AS10" s="20">
        <f t="shared" si="13"/>
        <v>62.5</v>
      </c>
      <c r="AT10" s="3">
        <f t="shared" si="58"/>
        <v>62.5</v>
      </c>
      <c r="AU10" s="3">
        <f>1</f>
        <v>1</v>
      </c>
      <c r="AV10" s="54" t="e">
        <f t="shared" si="59"/>
        <v>#N/A</v>
      </c>
      <c r="AX10" s="112" t="str">
        <f t="shared" si="14"/>
        <v>Seoul</v>
      </c>
      <c r="AY10" s="20">
        <f t="shared" si="15"/>
        <v>51.8</v>
      </c>
      <c r="AZ10" s="3">
        <f t="shared" si="60"/>
        <v>51.8</v>
      </c>
      <c r="BA10" s="3">
        <f>1</f>
        <v>1</v>
      </c>
      <c r="BB10" s="54" t="e">
        <f t="shared" si="61"/>
        <v>#N/A</v>
      </c>
      <c r="BD10" s="112" t="str">
        <f t="shared" si="16"/>
        <v>Seoul</v>
      </c>
      <c r="BE10" s="20">
        <f t="shared" si="17"/>
        <v>83.3</v>
      </c>
      <c r="BF10" s="3">
        <f t="shared" si="62"/>
        <v>83.3</v>
      </c>
      <c r="BG10" s="3">
        <f>1</f>
        <v>1</v>
      </c>
      <c r="BH10" s="54" t="e">
        <f t="shared" si="63"/>
        <v>#N/A</v>
      </c>
      <c r="BJ10" s="112" t="str">
        <f t="shared" si="18"/>
        <v>Seoul</v>
      </c>
      <c r="BK10" s="20">
        <f t="shared" si="19"/>
        <v>82.1</v>
      </c>
      <c r="BL10" s="3">
        <f t="shared" si="64"/>
        <v>82.1</v>
      </c>
      <c r="BM10" s="3">
        <f>1</f>
        <v>1</v>
      </c>
      <c r="BN10" s="54" t="e">
        <f t="shared" si="65"/>
        <v>#N/A</v>
      </c>
      <c r="BP10" s="112" t="str">
        <f t="shared" si="20"/>
        <v>Seoul</v>
      </c>
      <c r="BQ10" s="20">
        <f t="shared" si="21"/>
        <v>43.9</v>
      </c>
      <c r="BR10" s="3">
        <f t="shared" si="66"/>
        <v>43.9</v>
      </c>
      <c r="BS10" s="3">
        <f>1</f>
        <v>1</v>
      </c>
      <c r="BT10" s="54" t="e">
        <f t="shared" si="67"/>
        <v>#N/A</v>
      </c>
      <c r="BV10" s="112" t="str">
        <f t="shared" si="22"/>
        <v>Seoul</v>
      </c>
      <c r="BW10" s="20">
        <f t="shared" si="23"/>
        <v>50</v>
      </c>
      <c r="BX10" s="3">
        <f t="shared" si="68"/>
        <v>50</v>
      </c>
      <c r="BY10" s="3">
        <f>1</f>
        <v>1</v>
      </c>
      <c r="BZ10" s="54" t="e">
        <f t="shared" si="69"/>
        <v>#N/A</v>
      </c>
      <c r="CB10" s="112" t="str">
        <f t="shared" si="24"/>
        <v>Seoul</v>
      </c>
      <c r="CC10" s="20">
        <f t="shared" si="25"/>
        <v>61.9</v>
      </c>
      <c r="CD10" s="3">
        <f t="shared" si="70"/>
        <v>61.9</v>
      </c>
      <c r="CE10" s="3">
        <f>1</f>
        <v>1</v>
      </c>
      <c r="CF10" s="54" t="e">
        <f t="shared" si="71"/>
        <v>#N/A</v>
      </c>
      <c r="CH10" s="112" t="str">
        <f t="shared" si="26"/>
        <v>Seoul</v>
      </c>
      <c r="CI10" s="20">
        <f t="shared" si="27"/>
        <v>67.5</v>
      </c>
      <c r="CJ10" s="3">
        <f t="shared" si="72"/>
        <v>67.5</v>
      </c>
      <c r="CK10" s="3">
        <f>1</f>
        <v>1</v>
      </c>
      <c r="CL10" s="54" t="e">
        <f t="shared" si="73"/>
        <v>#N/A</v>
      </c>
      <c r="CN10" s="112" t="str">
        <f t="shared" si="28"/>
        <v>Seoul</v>
      </c>
      <c r="CO10" s="20">
        <f t="shared" si="29"/>
        <v>76.7</v>
      </c>
      <c r="CP10" s="3">
        <f t="shared" si="74"/>
        <v>76.7</v>
      </c>
      <c r="CQ10" s="3">
        <f>1</f>
        <v>1</v>
      </c>
      <c r="CR10" s="54" t="e">
        <f t="shared" si="75"/>
        <v>#N/A</v>
      </c>
      <c r="CT10" s="112" t="str">
        <f t="shared" si="30"/>
        <v>Seoul</v>
      </c>
      <c r="CU10" s="20">
        <f t="shared" si="31"/>
        <v>79.599999999999994</v>
      </c>
      <c r="CV10" s="3">
        <f t="shared" si="76"/>
        <v>79.599999999999994</v>
      </c>
      <c r="CW10" s="3">
        <f>1</f>
        <v>1</v>
      </c>
      <c r="CX10" s="54" t="e">
        <f t="shared" si="77"/>
        <v>#N/A</v>
      </c>
      <c r="CZ10" s="112" t="str">
        <f t="shared" si="32"/>
        <v>Seoul</v>
      </c>
      <c r="DA10" s="20">
        <f t="shared" si="33"/>
        <v>55.9</v>
      </c>
      <c r="DB10" s="3">
        <f t="shared" si="78"/>
        <v>55.9</v>
      </c>
      <c r="DC10" s="3">
        <f>1</f>
        <v>1</v>
      </c>
      <c r="DD10" s="54" t="e">
        <f t="shared" si="79"/>
        <v>#N/A</v>
      </c>
      <c r="DF10" s="112" t="str">
        <f t="shared" si="34"/>
        <v>Seoul</v>
      </c>
      <c r="DG10" s="20">
        <f t="shared" si="35"/>
        <v>57.4</v>
      </c>
      <c r="DH10" s="3">
        <f t="shared" si="80"/>
        <v>57.4</v>
      </c>
      <c r="DI10" s="3">
        <f>1</f>
        <v>1</v>
      </c>
      <c r="DJ10" s="54" t="e">
        <f t="shared" si="81"/>
        <v>#N/A</v>
      </c>
      <c r="DL10" s="112" t="str">
        <f t="shared" si="36"/>
        <v>Seoul</v>
      </c>
      <c r="DM10" s="20">
        <f t="shared" si="37"/>
        <v>92.1</v>
      </c>
      <c r="DN10" s="3">
        <f t="shared" si="82"/>
        <v>92.1</v>
      </c>
      <c r="DO10" s="3">
        <f>1</f>
        <v>1</v>
      </c>
      <c r="DP10" s="54" t="e">
        <f t="shared" si="83"/>
        <v>#N/A</v>
      </c>
      <c r="DR10" s="112" t="str">
        <f t="shared" si="38"/>
        <v>Seoul</v>
      </c>
      <c r="DS10" s="20">
        <f t="shared" si="39"/>
        <v>100</v>
      </c>
      <c r="DT10" s="3">
        <f t="shared" si="84"/>
        <v>100</v>
      </c>
      <c r="DU10" s="3">
        <f>1</f>
        <v>1</v>
      </c>
      <c r="DV10" s="54" t="e">
        <f t="shared" si="85"/>
        <v>#N/A</v>
      </c>
      <c r="DX10" s="112" t="str">
        <f t="shared" si="40"/>
        <v>Seoul</v>
      </c>
      <c r="DY10" s="20">
        <f t="shared" si="41"/>
        <v>84.9</v>
      </c>
      <c r="DZ10" s="3">
        <f t="shared" si="86"/>
        <v>84.9</v>
      </c>
      <c r="EA10" s="3">
        <f>1</f>
        <v>1</v>
      </c>
      <c r="EB10" s="54" t="e">
        <f t="shared" si="87"/>
        <v>#N/A</v>
      </c>
      <c r="ED10" s="112" t="str">
        <f t="shared" si="42"/>
        <v>Seoul</v>
      </c>
      <c r="EE10" s="20">
        <f t="shared" si="43"/>
        <v>83.3</v>
      </c>
      <c r="EF10" s="3">
        <f t="shared" si="88"/>
        <v>83.3</v>
      </c>
      <c r="EG10" s="3">
        <f>1</f>
        <v>1</v>
      </c>
      <c r="EH10" s="54" t="e">
        <f t="shared" si="89"/>
        <v>#N/A</v>
      </c>
      <c r="EJ10" s="112" t="str">
        <f t="shared" si="44"/>
        <v>Seoul</v>
      </c>
      <c r="EK10" s="20">
        <f t="shared" si="45"/>
        <v>100</v>
      </c>
      <c r="EL10" s="3">
        <f t="shared" si="90"/>
        <v>100</v>
      </c>
      <c r="EM10" s="3">
        <f>1</f>
        <v>1</v>
      </c>
      <c r="EN10" s="54" t="e">
        <f t="shared" si="91"/>
        <v>#N/A</v>
      </c>
    </row>
    <row r="11" spans="1:144" ht="12" customHeight="1" thickBot="1">
      <c r="A11" s="3">
        <f>tblTerritories!A8</f>
        <v>6</v>
      </c>
      <c r="B11" s="3">
        <f>tblTerritories!B8</f>
        <v>0</v>
      </c>
      <c r="C11" s="3" t="str">
        <f>tblTerritories!C8</f>
        <v>Berlin</v>
      </c>
      <c r="D11" s="3">
        <f>tblTerritories!K8</f>
        <v>1</v>
      </c>
      <c r="E11" s="3">
        <f t="shared" si="46"/>
        <v>0</v>
      </c>
      <c r="F11" s="3">
        <f>IF(E11=1,1,IF(tblTerritories!F8="",0,tblTerritories!F8))</f>
        <v>1</v>
      </c>
      <c r="G11" s="3">
        <f t="shared" si="0"/>
        <v>68.2</v>
      </c>
      <c r="H11" s="3">
        <f>IF(F11=0,"",RANK(G11,G$6:G$35,0)+COUNTIF(G$6:G11,G11)-1)</f>
        <v>16</v>
      </c>
      <c r="I11" s="3">
        <f t="shared" si="1"/>
        <v>20</v>
      </c>
      <c r="J11" s="3">
        <f t="shared" si="47"/>
        <v>1</v>
      </c>
      <c r="K11" s="19"/>
      <c r="L11" s="19"/>
      <c r="M11" s="18"/>
      <c r="N11" s="112" t="str">
        <f t="shared" si="2"/>
        <v>New York</v>
      </c>
      <c r="O11" s="20">
        <f t="shared" si="3"/>
        <v>73.3</v>
      </c>
      <c r="P11" s="3">
        <f t="shared" si="48"/>
        <v>73.3</v>
      </c>
      <c r="Q11" s="3">
        <f>1</f>
        <v>1</v>
      </c>
      <c r="R11" s="54" t="e">
        <f t="shared" si="49"/>
        <v>#N/A</v>
      </c>
      <c r="T11" s="112" t="str">
        <f t="shared" si="4"/>
        <v>New York</v>
      </c>
      <c r="U11" s="20">
        <f t="shared" si="5"/>
        <v>76.2</v>
      </c>
      <c r="V11" s="3">
        <f t="shared" si="50"/>
        <v>76.2</v>
      </c>
      <c r="W11" s="3">
        <f>1</f>
        <v>1</v>
      </c>
      <c r="X11" s="54" t="e">
        <f t="shared" si="51"/>
        <v>#N/A</v>
      </c>
      <c r="Z11" s="112" t="str">
        <f t="shared" si="6"/>
        <v>New York</v>
      </c>
      <c r="AA11" s="20">
        <f t="shared" si="7"/>
        <v>84.8</v>
      </c>
      <c r="AB11" s="3">
        <f t="shared" si="52"/>
        <v>84.8</v>
      </c>
      <c r="AC11" s="756">
        <v>1</v>
      </c>
      <c r="AD11" s="54" t="e">
        <f t="shared" si="53"/>
        <v>#N/A</v>
      </c>
      <c r="AF11" s="112" t="str">
        <f t="shared" si="8"/>
        <v>New York</v>
      </c>
      <c r="AG11" s="20">
        <f t="shared" si="9"/>
        <v>29.9</v>
      </c>
      <c r="AH11" s="3">
        <f t="shared" si="54"/>
        <v>29.9</v>
      </c>
      <c r="AI11" s="3">
        <f>1</f>
        <v>1</v>
      </c>
      <c r="AJ11" s="54" t="e">
        <f t="shared" si="55"/>
        <v>#N/A</v>
      </c>
      <c r="AL11" s="112" t="str">
        <f t="shared" si="10"/>
        <v>New York</v>
      </c>
      <c r="AM11" s="20">
        <f t="shared" si="11"/>
        <v>95.7</v>
      </c>
      <c r="AN11" s="3">
        <f t="shared" si="56"/>
        <v>95.7</v>
      </c>
      <c r="AO11" s="3">
        <f>1</f>
        <v>1</v>
      </c>
      <c r="AP11" s="54" t="e">
        <f t="shared" si="57"/>
        <v>#N/A</v>
      </c>
      <c r="AR11" s="112" t="str">
        <f t="shared" si="12"/>
        <v>New York</v>
      </c>
      <c r="AS11" s="20">
        <f t="shared" si="13"/>
        <v>67.2</v>
      </c>
      <c r="AT11" s="3">
        <f t="shared" si="58"/>
        <v>67.2</v>
      </c>
      <c r="AU11" s="3">
        <f>1</f>
        <v>1</v>
      </c>
      <c r="AV11" s="54" t="e">
        <f t="shared" si="59"/>
        <v>#N/A</v>
      </c>
      <c r="AX11" s="112" t="str">
        <f t="shared" si="14"/>
        <v>New York</v>
      </c>
      <c r="AY11" s="20">
        <f t="shared" si="15"/>
        <v>66.099999999999994</v>
      </c>
      <c r="AZ11" s="3">
        <f t="shared" si="60"/>
        <v>66.099999999999994</v>
      </c>
      <c r="BA11" s="3">
        <f>1</f>
        <v>1</v>
      </c>
      <c r="BB11" s="54" t="e">
        <f t="shared" si="61"/>
        <v>#N/A</v>
      </c>
      <c r="BD11" s="112" t="str">
        <f t="shared" si="16"/>
        <v>New York</v>
      </c>
      <c r="BE11" s="20">
        <f t="shared" si="17"/>
        <v>57</v>
      </c>
      <c r="BF11" s="3">
        <f t="shared" si="62"/>
        <v>57</v>
      </c>
      <c r="BG11" s="3">
        <f>1</f>
        <v>1</v>
      </c>
      <c r="BH11" s="54" t="e">
        <f t="shared" si="63"/>
        <v>#N/A</v>
      </c>
      <c r="BJ11" s="112" t="str">
        <f t="shared" si="18"/>
        <v>New York</v>
      </c>
      <c r="BK11" s="20">
        <f t="shared" si="19"/>
        <v>59</v>
      </c>
      <c r="BL11" s="3">
        <f t="shared" si="64"/>
        <v>59</v>
      </c>
      <c r="BM11" s="3">
        <f>1</f>
        <v>1</v>
      </c>
      <c r="BN11" s="54" t="e">
        <f t="shared" si="65"/>
        <v>#N/A</v>
      </c>
      <c r="BP11" s="112" t="str">
        <f t="shared" si="20"/>
        <v>New York</v>
      </c>
      <c r="BQ11" s="20">
        <f t="shared" si="21"/>
        <v>94.2</v>
      </c>
      <c r="BR11" s="3">
        <f t="shared" si="66"/>
        <v>94.2</v>
      </c>
      <c r="BS11" s="3">
        <f>1</f>
        <v>1</v>
      </c>
      <c r="BT11" s="54" t="e">
        <f t="shared" si="67"/>
        <v>#N/A</v>
      </c>
      <c r="BV11" s="112" t="str">
        <f t="shared" si="22"/>
        <v>New York</v>
      </c>
      <c r="BW11" s="20">
        <f t="shared" si="23"/>
        <v>100</v>
      </c>
      <c r="BX11" s="3">
        <f t="shared" si="68"/>
        <v>100</v>
      </c>
      <c r="BY11" s="3">
        <f>1</f>
        <v>1</v>
      </c>
      <c r="BZ11" s="54" t="e">
        <f t="shared" si="69"/>
        <v>#N/A</v>
      </c>
      <c r="CB11" s="112" t="str">
        <f t="shared" si="24"/>
        <v>New York</v>
      </c>
      <c r="CC11" s="20">
        <f t="shared" si="25"/>
        <v>29.2</v>
      </c>
      <c r="CD11" s="3">
        <f t="shared" si="70"/>
        <v>29.2</v>
      </c>
      <c r="CE11" s="3">
        <f>1</f>
        <v>1</v>
      </c>
      <c r="CF11" s="54" t="e">
        <f t="shared" si="71"/>
        <v>#N/A</v>
      </c>
      <c r="CH11" s="112" t="str">
        <f t="shared" si="26"/>
        <v>New York</v>
      </c>
      <c r="CI11" s="20">
        <f t="shared" si="27"/>
        <v>73.599999999999994</v>
      </c>
      <c r="CJ11" s="3">
        <f t="shared" si="72"/>
        <v>73.599999999999994</v>
      </c>
      <c r="CK11" s="3">
        <f>1</f>
        <v>1</v>
      </c>
      <c r="CL11" s="54" t="e">
        <f t="shared" si="73"/>
        <v>#N/A</v>
      </c>
      <c r="CN11" s="112" t="str">
        <f t="shared" si="28"/>
        <v>New York</v>
      </c>
      <c r="CO11" s="20">
        <f t="shared" si="29"/>
        <v>76.2</v>
      </c>
      <c r="CP11" s="3">
        <f t="shared" si="74"/>
        <v>76.2</v>
      </c>
      <c r="CQ11" s="3">
        <f>1</f>
        <v>1</v>
      </c>
      <c r="CR11" s="54" t="e">
        <f t="shared" si="75"/>
        <v>#N/A</v>
      </c>
      <c r="CT11" s="112" t="str">
        <f t="shared" si="30"/>
        <v>New York</v>
      </c>
      <c r="CU11" s="20">
        <f t="shared" si="31"/>
        <v>76.900000000000006</v>
      </c>
      <c r="CV11" s="3">
        <f t="shared" si="76"/>
        <v>76.900000000000006</v>
      </c>
      <c r="CW11" s="3">
        <f>1</f>
        <v>1</v>
      </c>
      <c r="CX11" s="54" t="e">
        <f t="shared" si="77"/>
        <v>#N/A</v>
      </c>
      <c r="CZ11" s="112" t="str">
        <f t="shared" si="32"/>
        <v>New York</v>
      </c>
      <c r="DA11" s="20">
        <f t="shared" si="33"/>
        <v>87.9</v>
      </c>
      <c r="DB11" s="3">
        <f t="shared" si="78"/>
        <v>87.9</v>
      </c>
      <c r="DC11" s="3">
        <f>1</f>
        <v>1</v>
      </c>
      <c r="DD11" s="54" t="e">
        <f t="shared" si="79"/>
        <v>#N/A</v>
      </c>
      <c r="DF11" s="112" t="str">
        <f t="shared" si="34"/>
        <v>New York</v>
      </c>
      <c r="DG11" s="20">
        <f t="shared" si="35"/>
        <v>41.8</v>
      </c>
      <c r="DH11" s="3">
        <f t="shared" si="80"/>
        <v>41.8</v>
      </c>
      <c r="DI11" s="3">
        <f>1</f>
        <v>1</v>
      </c>
      <c r="DJ11" s="54" t="e">
        <f t="shared" si="81"/>
        <v>#N/A</v>
      </c>
      <c r="DL11" s="112" t="str">
        <f t="shared" si="36"/>
        <v>New York</v>
      </c>
      <c r="DM11" s="20">
        <f t="shared" si="37"/>
        <v>76.7</v>
      </c>
      <c r="DN11" s="3">
        <f t="shared" si="82"/>
        <v>76.7</v>
      </c>
      <c r="DO11" s="3">
        <f>1</f>
        <v>1</v>
      </c>
      <c r="DP11" s="54" t="e">
        <f t="shared" si="83"/>
        <v>#N/A</v>
      </c>
      <c r="DR11" s="112" t="str">
        <f t="shared" si="38"/>
        <v>New York</v>
      </c>
      <c r="DS11" s="20">
        <f t="shared" si="39"/>
        <v>100</v>
      </c>
      <c r="DT11" s="3">
        <f t="shared" si="84"/>
        <v>100</v>
      </c>
      <c r="DU11" s="3">
        <f>1</f>
        <v>1</v>
      </c>
      <c r="DV11" s="54" t="e">
        <f t="shared" si="85"/>
        <v>#N/A</v>
      </c>
      <c r="DX11" s="112" t="str">
        <f t="shared" si="40"/>
        <v>New York</v>
      </c>
      <c r="DY11" s="20">
        <f t="shared" si="41"/>
        <v>92.4</v>
      </c>
      <c r="DZ11" s="3">
        <f t="shared" si="86"/>
        <v>92.4</v>
      </c>
      <c r="EA11" s="3">
        <f>1</f>
        <v>1</v>
      </c>
      <c r="EB11" s="54" t="e">
        <f t="shared" si="87"/>
        <v>#N/A</v>
      </c>
      <c r="ED11" s="112" t="str">
        <f t="shared" si="42"/>
        <v>New York</v>
      </c>
      <c r="EE11" s="20">
        <f t="shared" si="43"/>
        <v>66.7</v>
      </c>
      <c r="EF11" s="3">
        <f t="shared" si="88"/>
        <v>66.7</v>
      </c>
      <c r="EG11" s="3">
        <f>1</f>
        <v>1</v>
      </c>
      <c r="EH11" s="54" t="e">
        <f t="shared" si="89"/>
        <v>#N/A</v>
      </c>
      <c r="EJ11" s="112" t="str">
        <f t="shared" si="44"/>
        <v>New York</v>
      </c>
      <c r="EK11" s="20">
        <f t="shared" si="45"/>
        <v>38.1</v>
      </c>
      <c r="EL11" s="3">
        <f t="shared" si="90"/>
        <v>38.1</v>
      </c>
      <c r="EM11" s="3">
        <f>1</f>
        <v>1</v>
      </c>
      <c r="EN11" s="54" t="e">
        <f t="shared" si="91"/>
        <v>#N/A</v>
      </c>
    </row>
    <row r="12" spans="1:144" ht="12" customHeight="1" thickBot="1">
      <c r="A12" s="3">
        <f>tblTerritories!A9</f>
        <v>7</v>
      </c>
      <c r="B12" s="3">
        <f>tblTerritories!B9</f>
        <v>0</v>
      </c>
      <c r="C12" s="3" t="str">
        <f>tblTerritories!C9</f>
        <v>Buenos Aires</v>
      </c>
      <c r="D12" s="3">
        <f>tblTerritories!K9</f>
        <v>1</v>
      </c>
      <c r="E12" s="3">
        <f t="shared" si="46"/>
        <v>0</v>
      </c>
      <c r="F12" s="3">
        <f>IF(E12=1,1,IF(tblTerritories!F9="",0,tblTerritories!F9))</f>
        <v>1</v>
      </c>
      <c r="G12" s="3">
        <f t="shared" si="0"/>
        <v>45.1</v>
      </c>
      <c r="H12" s="3">
        <f>IF(F12=0,"",RANK(G12,G$6:G$35,0)+COUNTIF(G$6:G12,G12)-1)</f>
        <v>26</v>
      </c>
      <c r="I12" s="3">
        <f t="shared" si="1"/>
        <v>26</v>
      </c>
      <c r="J12" s="3">
        <f t="shared" si="47"/>
        <v>1</v>
      </c>
      <c r="K12" s="19"/>
      <c r="L12" s="19"/>
      <c r="M12" s="18"/>
      <c r="N12" s="112" t="str">
        <f t="shared" si="2"/>
        <v>Sydney</v>
      </c>
      <c r="O12" s="20">
        <f t="shared" si="3"/>
        <v>72.599999999999994</v>
      </c>
      <c r="P12" s="3">
        <f t="shared" si="48"/>
        <v>72.599999999999994</v>
      </c>
      <c r="Q12" s="3">
        <f>1</f>
        <v>1</v>
      </c>
      <c r="R12" s="54" t="e">
        <f t="shared" si="49"/>
        <v>#N/A</v>
      </c>
      <c r="T12" s="112" t="str">
        <f t="shared" si="4"/>
        <v>Sydney</v>
      </c>
      <c r="U12" s="20">
        <f t="shared" si="5"/>
        <v>78</v>
      </c>
      <c r="V12" s="3">
        <f t="shared" si="50"/>
        <v>78</v>
      </c>
      <c r="W12" s="3">
        <f>1</f>
        <v>1</v>
      </c>
      <c r="X12" s="54" t="e">
        <f t="shared" si="51"/>
        <v>#N/A</v>
      </c>
      <c r="Z12" s="112" t="str">
        <f t="shared" si="6"/>
        <v>Sydney</v>
      </c>
      <c r="AA12" s="20">
        <f t="shared" si="7"/>
        <v>80.2</v>
      </c>
      <c r="AB12" s="3">
        <f t="shared" si="52"/>
        <v>80.2</v>
      </c>
      <c r="AC12" s="756">
        <v>1</v>
      </c>
      <c r="AD12" s="54" t="e">
        <f t="shared" si="53"/>
        <v>#N/A</v>
      </c>
      <c r="AF12" s="112" t="str">
        <f t="shared" si="8"/>
        <v>Sydney</v>
      </c>
      <c r="AG12" s="20">
        <f t="shared" si="9"/>
        <v>58.3</v>
      </c>
      <c r="AH12" s="3">
        <f t="shared" si="54"/>
        <v>58.3</v>
      </c>
      <c r="AI12" s="3">
        <f>1</f>
        <v>1</v>
      </c>
      <c r="AJ12" s="54" t="e">
        <f t="shared" si="55"/>
        <v>#N/A</v>
      </c>
      <c r="AL12" s="112" t="str">
        <f t="shared" si="10"/>
        <v>Sydney</v>
      </c>
      <c r="AM12" s="20">
        <f t="shared" si="11"/>
        <v>88.2</v>
      </c>
      <c r="AN12" s="3">
        <f t="shared" si="56"/>
        <v>88.2</v>
      </c>
      <c r="AO12" s="3">
        <f>1</f>
        <v>1</v>
      </c>
      <c r="AP12" s="54" t="e">
        <f t="shared" si="57"/>
        <v>#N/A</v>
      </c>
      <c r="AR12" s="112" t="str">
        <f t="shared" si="12"/>
        <v>Sydney</v>
      </c>
      <c r="AS12" s="20">
        <f t="shared" si="13"/>
        <v>70.8</v>
      </c>
      <c r="AT12" s="3">
        <f t="shared" si="58"/>
        <v>70.8</v>
      </c>
      <c r="AU12" s="3">
        <f>1</f>
        <v>1</v>
      </c>
      <c r="AV12" s="54" t="e">
        <f t="shared" si="59"/>
        <v>#N/A</v>
      </c>
      <c r="AX12" s="112" t="str">
        <f t="shared" si="14"/>
        <v>Sydney</v>
      </c>
      <c r="AY12" s="20">
        <f t="shared" si="15"/>
        <v>66.099999999999994</v>
      </c>
      <c r="AZ12" s="3">
        <f t="shared" si="60"/>
        <v>66.099999999999994</v>
      </c>
      <c r="BA12" s="3">
        <f>1</f>
        <v>1</v>
      </c>
      <c r="BB12" s="54" t="e">
        <f t="shared" si="61"/>
        <v>#N/A</v>
      </c>
      <c r="BD12" s="112" t="str">
        <f t="shared" si="16"/>
        <v>Sydney</v>
      </c>
      <c r="BE12" s="20">
        <f t="shared" si="17"/>
        <v>49</v>
      </c>
      <c r="BF12" s="3">
        <f t="shared" si="62"/>
        <v>49</v>
      </c>
      <c r="BG12" s="3">
        <f>1</f>
        <v>1</v>
      </c>
      <c r="BH12" s="54" t="e">
        <f t="shared" si="63"/>
        <v>#N/A</v>
      </c>
      <c r="BJ12" s="112" t="str">
        <f t="shared" si="18"/>
        <v>Sydney</v>
      </c>
      <c r="BK12" s="20">
        <f t="shared" si="19"/>
        <v>100</v>
      </c>
      <c r="BL12" s="3">
        <f t="shared" si="64"/>
        <v>100</v>
      </c>
      <c r="BM12" s="3">
        <f>1</f>
        <v>1</v>
      </c>
      <c r="BN12" s="54" t="e">
        <f t="shared" si="65"/>
        <v>#N/A</v>
      </c>
      <c r="BP12" s="112" t="str">
        <f t="shared" si="20"/>
        <v>Sydney</v>
      </c>
      <c r="BQ12" s="20">
        <f t="shared" si="21"/>
        <v>92</v>
      </c>
      <c r="BR12" s="3">
        <f t="shared" si="66"/>
        <v>92</v>
      </c>
      <c r="BS12" s="3">
        <f>1</f>
        <v>1</v>
      </c>
      <c r="BT12" s="54" t="e">
        <f t="shared" si="67"/>
        <v>#N/A</v>
      </c>
      <c r="BV12" s="112" t="str">
        <f t="shared" si="22"/>
        <v>Sydney</v>
      </c>
      <c r="BW12" s="20">
        <f t="shared" si="23"/>
        <v>100</v>
      </c>
      <c r="BX12" s="3">
        <f t="shared" si="68"/>
        <v>100</v>
      </c>
      <c r="BY12" s="3">
        <f>1</f>
        <v>1</v>
      </c>
      <c r="BZ12" s="54" t="e">
        <f t="shared" si="69"/>
        <v>#N/A</v>
      </c>
      <c r="CB12" s="112" t="str">
        <f t="shared" si="24"/>
        <v>Sydney</v>
      </c>
      <c r="CC12" s="20">
        <f t="shared" si="25"/>
        <v>11.5</v>
      </c>
      <c r="CD12" s="3">
        <f t="shared" si="70"/>
        <v>11.5</v>
      </c>
      <c r="CE12" s="3">
        <f>1</f>
        <v>1</v>
      </c>
      <c r="CF12" s="54" t="e">
        <f t="shared" si="71"/>
        <v>#N/A</v>
      </c>
      <c r="CH12" s="112" t="str">
        <f t="shared" si="26"/>
        <v>Sydney</v>
      </c>
      <c r="CI12" s="20">
        <f t="shared" si="27"/>
        <v>61.4</v>
      </c>
      <c r="CJ12" s="3">
        <f t="shared" si="72"/>
        <v>61.4</v>
      </c>
      <c r="CK12" s="3">
        <f>1</f>
        <v>1</v>
      </c>
      <c r="CL12" s="54" t="e">
        <f t="shared" si="73"/>
        <v>#N/A</v>
      </c>
      <c r="CN12" s="112" t="str">
        <f t="shared" si="28"/>
        <v>Sydney</v>
      </c>
      <c r="CO12" s="20">
        <f t="shared" si="29"/>
        <v>61</v>
      </c>
      <c r="CP12" s="3">
        <f t="shared" si="74"/>
        <v>61</v>
      </c>
      <c r="CQ12" s="3">
        <f>1</f>
        <v>1</v>
      </c>
      <c r="CR12" s="54" t="e">
        <f t="shared" si="75"/>
        <v>#N/A</v>
      </c>
      <c r="CT12" s="112" t="str">
        <f t="shared" si="30"/>
        <v>Sydney</v>
      </c>
      <c r="CU12" s="20">
        <f t="shared" si="31"/>
        <v>81.599999999999994</v>
      </c>
      <c r="CV12" s="3">
        <f t="shared" si="76"/>
        <v>81.599999999999994</v>
      </c>
      <c r="CW12" s="3">
        <f>1</f>
        <v>1</v>
      </c>
      <c r="CX12" s="54" t="e">
        <f t="shared" si="77"/>
        <v>#N/A</v>
      </c>
      <c r="CZ12" s="112" t="str">
        <f t="shared" si="32"/>
        <v>Sydney</v>
      </c>
      <c r="DA12" s="20">
        <f t="shared" si="33"/>
        <v>66.3</v>
      </c>
      <c r="DB12" s="3">
        <f t="shared" si="78"/>
        <v>66.3</v>
      </c>
      <c r="DC12" s="3">
        <f>1</f>
        <v>1</v>
      </c>
      <c r="DD12" s="54" t="e">
        <f t="shared" si="79"/>
        <v>#N/A</v>
      </c>
      <c r="DF12" s="112" t="str">
        <f t="shared" si="34"/>
        <v>Sydney</v>
      </c>
      <c r="DG12" s="20">
        <f t="shared" si="35"/>
        <v>19.899999999999999</v>
      </c>
      <c r="DH12" s="3">
        <f t="shared" si="80"/>
        <v>19.899999999999999</v>
      </c>
      <c r="DI12" s="3">
        <f>1</f>
        <v>1</v>
      </c>
      <c r="DJ12" s="54" t="e">
        <f t="shared" si="81"/>
        <v>#N/A</v>
      </c>
      <c r="DL12" s="112" t="str">
        <f t="shared" si="36"/>
        <v>Sydney</v>
      </c>
      <c r="DM12" s="20">
        <f t="shared" si="37"/>
        <v>78.599999999999994</v>
      </c>
      <c r="DN12" s="3">
        <f t="shared" si="82"/>
        <v>78.599999999999994</v>
      </c>
      <c r="DO12" s="3">
        <f>1</f>
        <v>1</v>
      </c>
      <c r="DP12" s="54" t="e">
        <f t="shared" si="83"/>
        <v>#N/A</v>
      </c>
      <c r="DR12" s="112" t="str">
        <f t="shared" si="38"/>
        <v>Sydney</v>
      </c>
      <c r="DS12" s="20">
        <f t="shared" si="39"/>
        <v>87.5</v>
      </c>
      <c r="DT12" s="3">
        <f t="shared" si="84"/>
        <v>87.5</v>
      </c>
      <c r="DU12" s="3">
        <f>1</f>
        <v>1</v>
      </c>
      <c r="DV12" s="54" t="e">
        <f t="shared" si="85"/>
        <v>#N/A</v>
      </c>
      <c r="DX12" s="112" t="str">
        <f t="shared" si="40"/>
        <v>Sydney</v>
      </c>
      <c r="DY12" s="20">
        <f t="shared" si="41"/>
        <v>92.4</v>
      </c>
      <c r="DZ12" s="3">
        <f t="shared" si="86"/>
        <v>92.4</v>
      </c>
      <c r="EA12" s="3">
        <f>1</f>
        <v>1</v>
      </c>
      <c r="EB12" s="54" t="e">
        <f t="shared" si="87"/>
        <v>#N/A</v>
      </c>
      <c r="ED12" s="112" t="str">
        <f t="shared" si="42"/>
        <v>Sydney</v>
      </c>
      <c r="EE12" s="20">
        <f t="shared" si="43"/>
        <v>66.7</v>
      </c>
      <c r="EF12" s="3">
        <f t="shared" si="88"/>
        <v>66.7</v>
      </c>
      <c r="EG12" s="3">
        <f>1</f>
        <v>1</v>
      </c>
      <c r="EH12" s="54" t="e">
        <f t="shared" si="89"/>
        <v>#N/A</v>
      </c>
      <c r="EJ12" s="112" t="str">
        <f t="shared" si="44"/>
        <v>Sydney</v>
      </c>
      <c r="EK12" s="20">
        <f t="shared" si="45"/>
        <v>61.9</v>
      </c>
      <c r="EL12" s="3">
        <f t="shared" si="90"/>
        <v>61.9</v>
      </c>
      <c r="EM12" s="3">
        <f>1</f>
        <v>1</v>
      </c>
      <c r="EN12" s="54" t="e">
        <f t="shared" si="91"/>
        <v>#N/A</v>
      </c>
    </row>
    <row r="13" spans="1:144" ht="12" customHeight="1" thickBot="1">
      <c r="A13" s="3">
        <f>tblTerritories!A10</f>
        <v>8</v>
      </c>
      <c r="B13" s="3">
        <f>tblTerritories!B10</f>
        <v>0</v>
      </c>
      <c r="C13" s="3" t="str">
        <f>tblTerritories!C10</f>
        <v>Copenhagen</v>
      </c>
      <c r="D13" s="3">
        <f>tblTerritories!K10</f>
        <v>1</v>
      </c>
      <c r="E13" s="3">
        <f t="shared" si="46"/>
        <v>0</v>
      </c>
      <c r="F13" s="3">
        <f>IF(E13=1,1,IF(tblTerritories!F10="",0,tblTerritories!F10))</f>
        <v>1</v>
      </c>
      <c r="G13" s="3">
        <f t="shared" si="0"/>
        <v>81.5</v>
      </c>
      <c r="H13" s="3">
        <f>IF(F13=0,"",RANK(G13,G$6:G$35,0)+COUNTIF(G$6:G13,G13)-1)</f>
        <v>1</v>
      </c>
      <c r="I13" s="3">
        <f t="shared" si="1"/>
        <v>25</v>
      </c>
      <c r="J13" s="3">
        <f t="shared" si="47"/>
        <v>1</v>
      </c>
      <c r="K13" s="19"/>
      <c r="L13" s="19"/>
      <c r="M13" s="18"/>
      <c r="N13" s="112" t="str">
        <f t="shared" si="2"/>
        <v>Singapore</v>
      </c>
      <c r="O13" s="20">
        <f t="shared" si="3"/>
        <v>71.400000000000006</v>
      </c>
      <c r="P13" s="3">
        <f t="shared" si="48"/>
        <v>71.400000000000006</v>
      </c>
      <c r="Q13" s="3">
        <f>1</f>
        <v>1</v>
      </c>
      <c r="R13" s="54" t="e">
        <f t="shared" si="49"/>
        <v>#N/A</v>
      </c>
      <c r="T13" s="112" t="str">
        <f t="shared" si="4"/>
        <v>Singapore</v>
      </c>
      <c r="U13" s="20">
        <f t="shared" si="5"/>
        <v>83.1</v>
      </c>
      <c r="V13" s="3">
        <f t="shared" si="50"/>
        <v>83.1</v>
      </c>
      <c r="W13" s="3">
        <f>1</f>
        <v>1</v>
      </c>
      <c r="X13" s="54" t="e">
        <f t="shared" si="51"/>
        <v>#N/A</v>
      </c>
      <c r="Z13" s="112" t="str">
        <f t="shared" si="6"/>
        <v>Singapore</v>
      </c>
      <c r="AA13" s="20">
        <f t="shared" si="7"/>
        <v>78.7</v>
      </c>
      <c r="AB13" s="3">
        <f t="shared" si="52"/>
        <v>78.7</v>
      </c>
      <c r="AC13" s="756">
        <v>1</v>
      </c>
      <c r="AD13" s="54" t="e">
        <f t="shared" si="53"/>
        <v>#N/A</v>
      </c>
      <c r="AF13" s="112" t="str">
        <f t="shared" si="8"/>
        <v>Singapore</v>
      </c>
      <c r="AG13" s="20">
        <f t="shared" si="9"/>
        <v>77.599999999999994</v>
      </c>
      <c r="AH13" s="3">
        <f t="shared" si="54"/>
        <v>77.599999999999994</v>
      </c>
      <c r="AI13" s="3">
        <f>1</f>
        <v>1</v>
      </c>
      <c r="AJ13" s="54" t="e">
        <f t="shared" si="55"/>
        <v>#N/A</v>
      </c>
      <c r="AL13" s="112" t="str">
        <f t="shared" si="10"/>
        <v>Singapore</v>
      </c>
      <c r="AM13" s="20">
        <f t="shared" si="11"/>
        <v>92.5</v>
      </c>
      <c r="AN13" s="3">
        <f t="shared" si="56"/>
        <v>92.5</v>
      </c>
      <c r="AO13" s="3">
        <f>1</f>
        <v>1</v>
      </c>
      <c r="AP13" s="54" t="e">
        <f t="shared" si="57"/>
        <v>#N/A</v>
      </c>
      <c r="AR13" s="112" t="str">
        <f t="shared" si="12"/>
        <v>Singapore</v>
      </c>
      <c r="AS13" s="20">
        <f t="shared" si="13"/>
        <v>72.7</v>
      </c>
      <c r="AT13" s="3">
        <f t="shared" si="58"/>
        <v>72.7</v>
      </c>
      <c r="AU13" s="3">
        <f>1</f>
        <v>1</v>
      </c>
      <c r="AV13" s="54" t="e">
        <f t="shared" si="59"/>
        <v>#N/A</v>
      </c>
      <c r="AX13" s="112" t="str">
        <f t="shared" si="14"/>
        <v>Singapore</v>
      </c>
      <c r="AY13" s="20">
        <f t="shared" si="15"/>
        <v>98.6</v>
      </c>
      <c r="AZ13" s="3">
        <f t="shared" si="60"/>
        <v>98.6</v>
      </c>
      <c r="BA13" s="3">
        <f>1</f>
        <v>1</v>
      </c>
      <c r="BB13" s="54" t="e">
        <f t="shared" si="61"/>
        <v>#N/A</v>
      </c>
      <c r="BD13" s="112" t="str">
        <f t="shared" si="16"/>
        <v>Singapore</v>
      </c>
      <c r="BE13" s="20">
        <f t="shared" si="17"/>
        <v>60.3</v>
      </c>
      <c r="BF13" s="3">
        <f t="shared" si="62"/>
        <v>60.3</v>
      </c>
      <c r="BG13" s="3">
        <f>1</f>
        <v>1</v>
      </c>
      <c r="BH13" s="54" t="e">
        <f t="shared" si="63"/>
        <v>#N/A</v>
      </c>
      <c r="BJ13" s="112" t="str">
        <f t="shared" si="18"/>
        <v>Singapore</v>
      </c>
      <c r="BK13" s="20">
        <f t="shared" si="19"/>
        <v>82.1</v>
      </c>
      <c r="BL13" s="3">
        <f t="shared" si="64"/>
        <v>82.1</v>
      </c>
      <c r="BM13" s="3">
        <f>1</f>
        <v>1</v>
      </c>
      <c r="BN13" s="54" t="e">
        <f t="shared" si="65"/>
        <v>#N/A</v>
      </c>
      <c r="BP13" s="112" t="str">
        <f t="shared" si="20"/>
        <v>Singapore</v>
      </c>
      <c r="BQ13" s="20">
        <f t="shared" si="21"/>
        <v>75.900000000000006</v>
      </c>
      <c r="BR13" s="3">
        <f t="shared" si="66"/>
        <v>75.900000000000006</v>
      </c>
      <c r="BS13" s="3">
        <f>1</f>
        <v>1</v>
      </c>
      <c r="BT13" s="54" t="e">
        <f t="shared" si="67"/>
        <v>#N/A</v>
      </c>
      <c r="BV13" s="112" t="str">
        <f t="shared" si="22"/>
        <v>Singapore</v>
      </c>
      <c r="BW13" s="20">
        <f t="shared" si="23"/>
        <v>100</v>
      </c>
      <c r="BX13" s="3">
        <f t="shared" si="68"/>
        <v>100</v>
      </c>
      <c r="BY13" s="3">
        <f>1</f>
        <v>1</v>
      </c>
      <c r="BZ13" s="54" t="e">
        <f t="shared" si="69"/>
        <v>#N/A</v>
      </c>
      <c r="CB13" s="112" t="str">
        <f t="shared" si="24"/>
        <v>Singapore</v>
      </c>
      <c r="CC13" s="20">
        <f t="shared" si="25"/>
        <v>10.3</v>
      </c>
      <c r="CD13" s="3">
        <f t="shared" si="70"/>
        <v>10.3</v>
      </c>
      <c r="CE13" s="3">
        <f>1</f>
        <v>1</v>
      </c>
      <c r="CF13" s="54" t="e">
        <f t="shared" si="71"/>
        <v>#N/A</v>
      </c>
      <c r="CH13" s="112" t="str">
        <f t="shared" si="26"/>
        <v>Singapore</v>
      </c>
      <c r="CI13" s="20">
        <f t="shared" si="27"/>
        <v>63.7</v>
      </c>
      <c r="CJ13" s="3">
        <f t="shared" si="72"/>
        <v>63.7</v>
      </c>
      <c r="CK13" s="3">
        <f>1</f>
        <v>1</v>
      </c>
      <c r="CL13" s="54" t="e">
        <f t="shared" si="73"/>
        <v>#N/A</v>
      </c>
      <c r="CN13" s="112" t="str">
        <f t="shared" si="28"/>
        <v>Singapore</v>
      </c>
      <c r="CO13" s="20">
        <f t="shared" si="29"/>
        <v>60.8</v>
      </c>
      <c r="CP13" s="3">
        <f t="shared" si="74"/>
        <v>60.8</v>
      </c>
      <c r="CQ13" s="3">
        <f>1</f>
        <v>1</v>
      </c>
      <c r="CR13" s="54" t="e">
        <f t="shared" si="75"/>
        <v>#N/A</v>
      </c>
      <c r="CT13" s="112" t="str">
        <f t="shared" si="30"/>
        <v>Singapore</v>
      </c>
      <c r="CU13" s="20">
        <f t="shared" si="31"/>
        <v>74.3</v>
      </c>
      <c r="CV13" s="3">
        <f t="shared" si="76"/>
        <v>74.3</v>
      </c>
      <c r="CW13" s="3">
        <f>1</f>
        <v>1</v>
      </c>
      <c r="CX13" s="54" t="e">
        <f t="shared" si="77"/>
        <v>#N/A</v>
      </c>
      <c r="CZ13" s="112" t="str">
        <f t="shared" si="32"/>
        <v>Singapore</v>
      </c>
      <c r="DA13" s="20">
        <f t="shared" si="33"/>
        <v>74</v>
      </c>
      <c r="DB13" s="3">
        <f t="shared" si="78"/>
        <v>74</v>
      </c>
      <c r="DC13" s="3">
        <f>1</f>
        <v>1</v>
      </c>
      <c r="DD13" s="54" t="e">
        <f t="shared" si="79"/>
        <v>#N/A</v>
      </c>
      <c r="DF13" s="112" t="str">
        <f t="shared" si="34"/>
        <v>Singapore</v>
      </c>
      <c r="DG13" s="20">
        <f t="shared" si="35"/>
        <v>31.5</v>
      </c>
      <c r="DH13" s="3">
        <f t="shared" si="80"/>
        <v>31.5</v>
      </c>
      <c r="DI13" s="3">
        <f>1</f>
        <v>1</v>
      </c>
      <c r="DJ13" s="54" t="e">
        <f t="shared" si="81"/>
        <v>#N/A</v>
      </c>
      <c r="DL13" s="112" t="str">
        <f t="shared" si="36"/>
        <v>Singapore</v>
      </c>
      <c r="DM13" s="20">
        <f t="shared" si="37"/>
        <v>60.8</v>
      </c>
      <c r="DN13" s="3">
        <f t="shared" si="82"/>
        <v>60.8</v>
      </c>
      <c r="DO13" s="3">
        <f>1</f>
        <v>1</v>
      </c>
      <c r="DP13" s="54" t="e">
        <f t="shared" si="83"/>
        <v>#N/A</v>
      </c>
      <c r="DR13" s="112" t="str">
        <f t="shared" si="38"/>
        <v>Singapore</v>
      </c>
      <c r="DS13" s="20">
        <f t="shared" si="39"/>
        <v>75</v>
      </c>
      <c r="DT13" s="3">
        <f t="shared" si="84"/>
        <v>75</v>
      </c>
      <c r="DU13" s="3">
        <f>1</f>
        <v>1</v>
      </c>
      <c r="DV13" s="54" t="e">
        <f t="shared" si="85"/>
        <v>#N/A</v>
      </c>
      <c r="DX13" s="112" t="str">
        <f t="shared" si="40"/>
        <v>Singapore</v>
      </c>
      <c r="DY13" s="20">
        <f t="shared" si="41"/>
        <v>60</v>
      </c>
      <c r="DZ13" s="3">
        <f t="shared" si="86"/>
        <v>60</v>
      </c>
      <c r="EA13" s="3">
        <f>1</f>
        <v>1</v>
      </c>
      <c r="EB13" s="54" t="e">
        <f t="shared" si="87"/>
        <v>#N/A</v>
      </c>
      <c r="ED13" s="112" t="str">
        <f t="shared" si="42"/>
        <v>Singapore</v>
      </c>
      <c r="EE13" s="20">
        <f t="shared" si="43"/>
        <v>66.7</v>
      </c>
      <c r="EF13" s="3">
        <f t="shared" si="88"/>
        <v>66.7</v>
      </c>
      <c r="EG13" s="3">
        <f>1</f>
        <v>1</v>
      </c>
      <c r="EH13" s="54" t="e">
        <f t="shared" si="89"/>
        <v>#N/A</v>
      </c>
      <c r="EJ13" s="112" t="str">
        <f t="shared" si="44"/>
        <v>Singapore</v>
      </c>
      <c r="EK13" s="20">
        <f t="shared" si="45"/>
        <v>38.1</v>
      </c>
      <c r="EL13" s="3">
        <f t="shared" si="90"/>
        <v>38.1</v>
      </c>
      <c r="EM13" s="3">
        <f>1</f>
        <v>1</v>
      </c>
      <c r="EN13" s="54" t="e">
        <f t="shared" si="91"/>
        <v>#N/A</v>
      </c>
    </row>
    <row r="14" spans="1:144" ht="12" customHeight="1" thickBot="1">
      <c r="A14" s="3">
        <f>tblTerritories!A11</f>
        <v>9</v>
      </c>
      <c r="B14" s="3">
        <f>tblTerritories!B11</f>
        <v>0</v>
      </c>
      <c r="C14" s="3" t="str">
        <f>tblTerritories!C11</f>
        <v>Dallas</v>
      </c>
      <c r="D14" s="3">
        <f>tblTerritories!K11</f>
        <v>1</v>
      </c>
      <c r="E14" s="3">
        <f t="shared" si="46"/>
        <v>0</v>
      </c>
      <c r="F14" s="3">
        <f>IF(E14=1,1,IF(tblTerritories!F11="",0,tblTerritories!F11))</f>
        <v>1</v>
      </c>
      <c r="G14" s="3">
        <f t="shared" ref="G14:G35" si="92">IF(F14=0,"",ROUND(INDEX(aScoresRounded,$B$2,$A14),5))</f>
        <v>68.7</v>
      </c>
      <c r="H14" s="3">
        <f>IF(F14=0,"",RANK(G14,G$6:G$35,0)+COUNTIF(G$6:G14,G14)-1)</f>
        <v>15</v>
      </c>
      <c r="I14" s="3">
        <f t="shared" si="1"/>
        <v>29</v>
      </c>
      <c r="J14" s="3">
        <f t="shared" si="47"/>
        <v>1</v>
      </c>
      <c r="K14" s="19"/>
      <c r="L14" s="19"/>
      <c r="M14" s="18"/>
      <c r="N14" s="112" t="str">
        <f t="shared" si="2"/>
        <v>Washington DC</v>
      </c>
      <c r="O14" s="20">
        <f t="shared" si="3"/>
        <v>71.2</v>
      </c>
      <c r="P14" s="3">
        <f t="shared" si="48"/>
        <v>71.2</v>
      </c>
      <c r="Q14" s="3">
        <f>1</f>
        <v>1</v>
      </c>
      <c r="R14" s="54" t="e">
        <f t="shared" si="49"/>
        <v>#N/A</v>
      </c>
      <c r="T14" s="112" t="str">
        <f t="shared" si="4"/>
        <v>Washington DC</v>
      </c>
      <c r="U14" s="20">
        <f t="shared" si="5"/>
        <v>75.599999999999994</v>
      </c>
      <c r="V14" s="3">
        <f t="shared" si="50"/>
        <v>75.599999999999994</v>
      </c>
      <c r="W14" s="3">
        <f>1</f>
        <v>1</v>
      </c>
      <c r="X14" s="54" t="e">
        <f t="shared" si="51"/>
        <v>#N/A</v>
      </c>
      <c r="Z14" s="112" t="str">
        <f t="shared" si="6"/>
        <v>Washington DC</v>
      </c>
      <c r="AA14" s="20">
        <f t="shared" si="7"/>
        <v>84.8</v>
      </c>
      <c r="AB14" s="3">
        <f t="shared" si="52"/>
        <v>84.8</v>
      </c>
      <c r="AC14" s="756">
        <v>1</v>
      </c>
      <c r="AD14" s="54" t="e">
        <f t="shared" si="53"/>
        <v>#N/A</v>
      </c>
      <c r="AF14" s="112" t="str">
        <f t="shared" si="8"/>
        <v>Washington DC</v>
      </c>
      <c r="AG14" s="20">
        <f t="shared" si="9"/>
        <v>29.9</v>
      </c>
      <c r="AH14" s="3">
        <f t="shared" si="54"/>
        <v>29.9</v>
      </c>
      <c r="AI14" s="3">
        <f>1</f>
        <v>1</v>
      </c>
      <c r="AJ14" s="54" t="e">
        <f t="shared" si="55"/>
        <v>#N/A</v>
      </c>
      <c r="AL14" s="112" t="str">
        <f t="shared" si="10"/>
        <v>Washington DC</v>
      </c>
      <c r="AM14" s="20">
        <f t="shared" si="11"/>
        <v>93.8</v>
      </c>
      <c r="AN14" s="3">
        <f t="shared" si="56"/>
        <v>93.8</v>
      </c>
      <c r="AO14" s="3">
        <f>1</f>
        <v>1</v>
      </c>
      <c r="AP14" s="54" t="e">
        <f t="shared" si="57"/>
        <v>#N/A</v>
      </c>
      <c r="AR14" s="112" t="str">
        <f t="shared" si="12"/>
        <v>Washington DC</v>
      </c>
      <c r="AS14" s="20">
        <f t="shared" si="13"/>
        <v>64.900000000000006</v>
      </c>
      <c r="AT14" s="3">
        <f t="shared" si="58"/>
        <v>64.900000000000006</v>
      </c>
      <c r="AU14" s="3">
        <f>1</f>
        <v>1</v>
      </c>
      <c r="AV14" s="54" t="e">
        <f t="shared" si="59"/>
        <v>#N/A</v>
      </c>
      <c r="AX14" s="112" t="str">
        <f t="shared" si="14"/>
        <v>Washington DC</v>
      </c>
      <c r="AY14" s="20">
        <f t="shared" si="15"/>
        <v>66.099999999999994</v>
      </c>
      <c r="AZ14" s="3">
        <f t="shared" si="60"/>
        <v>66.099999999999994</v>
      </c>
      <c r="BA14" s="3">
        <f>1</f>
        <v>1</v>
      </c>
      <c r="BB14" s="54" t="e">
        <f t="shared" si="61"/>
        <v>#N/A</v>
      </c>
      <c r="BD14" s="112" t="str">
        <f t="shared" si="16"/>
        <v>Washington DC</v>
      </c>
      <c r="BE14" s="20">
        <f t="shared" si="17"/>
        <v>60.8</v>
      </c>
      <c r="BF14" s="3">
        <f t="shared" si="62"/>
        <v>60.8</v>
      </c>
      <c r="BG14" s="3">
        <f>1</f>
        <v>1</v>
      </c>
      <c r="BH14" s="54" t="e">
        <f t="shared" si="63"/>
        <v>#N/A</v>
      </c>
      <c r="BJ14" s="112" t="str">
        <f t="shared" si="18"/>
        <v>Washington DC</v>
      </c>
      <c r="BK14" s="20">
        <f t="shared" si="19"/>
        <v>59</v>
      </c>
      <c r="BL14" s="3">
        <f t="shared" si="64"/>
        <v>59</v>
      </c>
      <c r="BM14" s="3">
        <f>1</f>
        <v>1</v>
      </c>
      <c r="BN14" s="54" t="e">
        <f t="shared" si="65"/>
        <v>#N/A</v>
      </c>
      <c r="BP14" s="112" t="str">
        <f t="shared" si="20"/>
        <v>Washington DC</v>
      </c>
      <c r="BQ14" s="20">
        <f t="shared" si="21"/>
        <v>75.5</v>
      </c>
      <c r="BR14" s="3">
        <f t="shared" si="66"/>
        <v>75.5</v>
      </c>
      <c r="BS14" s="3">
        <f>1</f>
        <v>1</v>
      </c>
      <c r="BT14" s="54" t="e">
        <f t="shared" si="67"/>
        <v>#N/A</v>
      </c>
      <c r="BV14" s="112" t="str">
        <f t="shared" si="22"/>
        <v>Washington DC</v>
      </c>
      <c r="BW14" s="20">
        <f t="shared" si="23"/>
        <v>100</v>
      </c>
      <c r="BX14" s="3">
        <f t="shared" si="68"/>
        <v>100</v>
      </c>
      <c r="BY14" s="3">
        <f>1</f>
        <v>1</v>
      </c>
      <c r="BZ14" s="54" t="e">
        <f t="shared" si="69"/>
        <v>#N/A</v>
      </c>
      <c r="CB14" s="112" t="str">
        <f t="shared" si="24"/>
        <v>Washington DC</v>
      </c>
      <c r="CC14" s="20">
        <f t="shared" si="25"/>
        <v>29.2</v>
      </c>
      <c r="CD14" s="3">
        <f t="shared" si="70"/>
        <v>29.2</v>
      </c>
      <c r="CE14" s="3">
        <f>1</f>
        <v>1</v>
      </c>
      <c r="CF14" s="54" t="e">
        <f t="shared" si="71"/>
        <v>#N/A</v>
      </c>
      <c r="CH14" s="112" t="str">
        <f t="shared" si="26"/>
        <v>Washington DC</v>
      </c>
      <c r="CI14" s="20">
        <f t="shared" si="27"/>
        <v>69.2</v>
      </c>
      <c r="CJ14" s="3">
        <f t="shared" si="72"/>
        <v>69.2</v>
      </c>
      <c r="CK14" s="3">
        <f>1</f>
        <v>1</v>
      </c>
      <c r="CL14" s="54" t="e">
        <f t="shared" si="73"/>
        <v>#N/A</v>
      </c>
      <c r="CN14" s="112" t="str">
        <f t="shared" si="28"/>
        <v>Washington DC</v>
      </c>
      <c r="CO14" s="20">
        <f t="shared" si="29"/>
        <v>70.599999999999994</v>
      </c>
      <c r="CP14" s="3">
        <f t="shared" si="74"/>
        <v>70.599999999999994</v>
      </c>
      <c r="CQ14" s="3">
        <f>1</f>
        <v>1</v>
      </c>
      <c r="CR14" s="54" t="e">
        <f t="shared" si="75"/>
        <v>#N/A</v>
      </c>
      <c r="CT14" s="112" t="str">
        <f t="shared" si="30"/>
        <v>Washington DC</v>
      </c>
      <c r="CU14" s="20">
        <f t="shared" si="31"/>
        <v>86.9</v>
      </c>
      <c r="CV14" s="3">
        <f t="shared" si="76"/>
        <v>86.9</v>
      </c>
      <c r="CW14" s="3">
        <f>1</f>
        <v>1</v>
      </c>
      <c r="CX14" s="54" t="e">
        <f t="shared" si="77"/>
        <v>#N/A</v>
      </c>
      <c r="CZ14" s="112" t="str">
        <f t="shared" si="32"/>
        <v>Washington DC</v>
      </c>
      <c r="DA14" s="20">
        <f t="shared" si="33"/>
        <v>66.8</v>
      </c>
      <c r="DB14" s="3">
        <f t="shared" si="78"/>
        <v>66.8</v>
      </c>
      <c r="DC14" s="3">
        <f>1</f>
        <v>1</v>
      </c>
      <c r="DD14" s="54" t="e">
        <f t="shared" si="79"/>
        <v>#N/A</v>
      </c>
      <c r="DF14" s="112" t="str">
        <f t="shared" si="34"/>
        <v>Washington DC</v>
      </c>
      <c r="DG14" s="20">
        <f t="shared" si="35"/>
        <v>42.5</v>
      </c>
      <c r="DH14" s="3">
        <f t="shared" si="80"/>
        <v>42.5</v>
      </c>
      <c r="DI14" s="3">
        <f>1</f>
        <v>1</v>
      </c>
      <c r="DJ14" s="54" t="e">
        <f t="shared" si="81"/>
        <v>#N/A</v>
      </c>
      <c r="DL14" s="112" t="str">
        <f t="shared" si="36"/>
        <v>Washington DC</v>
      </c>
      <c r="DM14" s="20">
        <f t="shared" si="37"/>
        <v>75.400000000000006</v>
      </c>
      <c r="DN14" s="3">
        <f t="shared" si="82"/>
        <v>75.400000000000006</v>
      </c>
      <c r="DO14" s="3">
        <f>1</f>
        <v>1</v>
      </c>
      <c r="DP14" s="54" t="e">
        <f t="shared" si="83"/>
        <v>#N/A</v>
      </c>
      <c r="DR14" s="112" t="str">
        <f t="shared" si="38"/>
        <v>Washington DC</v>
      </c>
      <c r="DS14" s="20">
        <f t="shared" si="39"/>
        <v>87.5</v>
      </c>
      <c r="DT14" s="3">
        <f t="shared" si="84"/>
        <v>87.5</v>
      </c>
      <c r="DU14" s="3">
        <f>1</f>
        <v>1</v>
      </c>
      <c r="DV14" s="54" t="e">
        <f t="shared" si="85"/>
        <v>#N/A</v>
      </c>
      <c r="DX14" s="112" t="str">
        <f t="shared" si="40"/>
        <v>Washington DC</v>
      </c>
      <c r="DY14" s="20">
        <f t="shared" si="41"/>
        <v>100</v>
      </c>
      <c r="DZ14" s="3">
        <f t="shared" si="86"/>
        <v>100</v>
      </c>
      <c r="EA14" s="3">
        <f>1</f>
        <v>1</v>
      </c>
      <c r="EB14" s="54" t="e">
        <f t="shared" si="87"/>
        <v>#N/A</v>
      </c>
      <c r="ED14" s="112" t="str">
        <f t="shared" si="42"/>
        <v>Washington DC</v>
      </c>
      <c r="EE14" s="20">
        <f t="shared" si="43"/>
        <v>66.7</v>
      </c>
      <c r="EF14" s="3">
        <f t="shared" si="88"/>
        <v>66.7</v>
      </c>
      <c r="EG14" s="3">
        <f>1</f>
        <v>1</v>
      </c>
      <c r="EH14" s="54" t="e">
        <f t="shared" si="89"/>
        <v>#N/A</v>
      </c>
      <c r="EJ14" s="112" t="str">
        <f t="shared" si="44"/>
        <v>Washington DC</v>
      </c>
      <c r="EK14" s="20">
        <f t="shared" si="45"/>
        <v>38.1</v>
      </c>
      <c r="EL14" s="3">
        <f t="shared" si="90"/>
        <v>38.1</v>
      </c>
      <c r="EM14" s="3">
        <f>1</f>
        <v>1</v>
      </c>
      <c r="EN14" s="54" t="e">
        <f t="shared" si="91"/>
        <v>#N/A</v>
      </c>
    </row>
    <row r="15" spans="1:144" ht="12" customHeight="1" thickBot="1">
      <c r="A15" s="3">
        <f>tblTerritories!A12</f>
        <v>10</v>
      </c>
      <c r="B15" s="3">
        <f>tblTerritories!B12</f>
        <v>0</v>
      </c>
      <c r="C15" s="3" t="str">
        <f>tblTerritories!C12</f>
        <v>Dubai</v>
      </c>
      <c r="D15" s="3">
        <f>tblTerritories!K12</f>
        <v>1</v>
      </c>
      <c r="E15" s="3">
        <f t="shared" si="46"/>
        <v>0</v>
      </c>
      <c r="F15" s="3">
        <f>IF(E15=1,1,IF(tblTerritories!F12="",0,tblTerritories!F12))</f>
        <v>1</v>
      </c>
      <c r="G15" s="3">
        <f t="shared" si="92"/>
        <v>63.8</v>
      </c>
      <c r="H15" s="3">
        <f>IF(F15=0,"",RANK(G15,G$6:G$35,0)+COUNTIF(G$6:G15,G15)-1)</f>
        <v>18</v>
      </c>
      <c r="I15" s="3">
        <f t="shared" si="1"/>
        <v>21</v>
      </c>
      <c r="J15" s="3">
        <f t="shared" si="47"/>
        <v>1</v>
      </c>
      <c r="K15" s="19"/>
      <c r="L15" s="19"/>
      <c r="M15" s="18"/>
      <c r="N15" s="112" t="str">
        <f t="shared" si="2"/>
        <v>Paris</v>
      </c>
      <c r="O15" s="20">
        <f t="shared" si="3"/>
        <v>70.2</v>
      </c>
      <c r="P15" s="3">
        <f t="shared" si="48"/>
        <v>70.2</v>
      </c>
      <c r="Q15" s="3">
        <f>1</f>
        <v>1</v>
      </c>
      <c r="R15" s="54" t="e">
        <f t="shared" si="49"/>
        <v>#N/A</v>
      </c>
      <c r="T15" s="112" t="str">
        <f t="shared" si="4"/>
        <v>Paris</v>
      </c>
      <c r="U15" s="20">
        <f t="shared" si="5"/>
        <v>71.900000000000006</v>
      </c>
      <c r="V15" s="3">
        <f t="shared" si="50"/>
        <v>71.900000000000006</v>
      </c>
      <c r="W15" s="3">
        <f>1</f>
        <v>1</v>
      </c>
      <c r="X15" s="54" t="e">
        <f t="shared" si="51"/>
        <v>#N/A</v>
      </c>
      <c r="Z15" s="112" t="str">
        <f t="shared" si="6"/>
        <v>Paris</v>
      </c>
      <c r="AA15" s="20">
        <f t="shared" si="7"/>
        <v>80.400000000000006</v>
      </c>
      <c r="AB15" s="3">
        <f t="shared" si="52"/>
        <v>80.400000000000006</v>
      </c>
      <c r="AC15" s="756">
        <v>1</v>
      </c>
      <c r="AD15" s="54" t="e">
        <f t="shared" si="53"/>
        <v>#N/A</v>
      </c>
      <c r="AF15" s="112" t="str">
        <f t="shared" si="8"/>
        <v>Paris</v>
      </c>
      <c r="AG15" s="20">
        <f t="shared" si="9"/>
        <v>31.1</v>
      </c>
      <c r="AH15" s="3">
        <f t="shared" si="54"/>
        <v>31.1</v>
      </c>
      <c r="AI15" s="3">
        <f>1</f>
        <v>1</v>
      </c>
      <c r="AJ15" s="54" t="e">
        <f t="shared" si="55"/>
        <v>#N/A</v>
      </c>
      <c r="AL15" s="112" t="str">
        <f t="shared" si="10"/>
        <v>Paris</v>
      </c>
      <c r="AM15" s="20">
        <f t="shared" si="11"/>
        <v>87.7</v>
      </c>
      <c r="AN15" s="3">
        <f t="shared" si="56"/>
        <v>87.7</v>
      </c>
      <c r="AO15" s="3">
        <f>1</f>
        <v>1</v>
      </c>
      <c r="AP15" s="54" t="e">
        <f t="shared" si="57"/>
        <v>#N/A</v>
      </c>
      <c r="AR15" s="112" t="str">
        <f t="shared" si="12"/>
        <v>Paris</v>
      </c>
      <c r="AS15" s="20">
        <f t="shared" si="13"/>
        <v>72.5</v>
      </c>
      <c r="AT15" s="3">
        <f t="shared" si="58"/>
        <v>72.5</v>
      </c>
      <c r="AU15" s="3">
        <f>1</f>
        <v>1</v>
      </c>
      <c r="AV15" s="54" t="e">
        <f t="shared" si="59"/>
        <v>#N/A</v>
      </c>
      <c r="AX15" s="112" t="str">
        <f t="shared" si="14"/>
        <v>Paris</v>
      </c>
      <c r="AY15" s="20">
        <f t="shared" si="15"/>
        <v>63.6</v>
      </c>
      <c r="AZ15" s="3">
        <f t="shared" si="60"/>
        <v>63.6</v>
      </c>
      <c r="BA15" s="3">
        <f>1</f>
        <v>1</v>
      </c>
      <c r="BB15" s="54" t="e">
        <f t="shared" si="61"/>
        <v>#N/A</v>
      </c>
      <c r="BD15" s="112" t="str">
        <f t="shared" si="16"/>
        <v>Paris</v>
      </c>
      <c r="BE15" s="20">
        <f t="shared" si="17"/>
        <v>62.9</v>
      </c>
      <c r="BF15" s="3">
        <f t="shared" si="62"/>
        <v>62.9</v>
      </c>
      <c r="BG15" s="3">
        <f>1</f>
        <v>1</v>
      </c>
      <c r="BH15" s="54" t="e">
        <f t="shared" si="63"/>
        <v>#N/A</v>
      </c>
      <c r="BJ15" s="112" t="str">
        <f t="shared" si="18"/>
        <v>Paris</v>
      </c>
      <c r="BK15" s="20">
        <f t="shared" si="19"/>
        <v>100</v>
      </c>
      <c r="BL15" s="3">
        <f t="shared" si="64"/>
        <v>100</v>
      </c>
      <c r="BM15" s="3">
        <f>1</f>
        <v>1</v>
      </c>
      <c r="BN15" s="54" t="e">
        <f t="shared" si="65"/>
        <v>#N/A</v>
      </c>
      <c r="BP15" s="112" t="str">
        <f t="shared" si="20"/>
        <v>Paris</v>
      </c>
      <c r="BQ15" s="20">
        <f t="shared" si="21"/>
        <v>75.900000000000006</v>
      </c>
      <c r="BR15" s="3">
        <f t="shared" si="66"/>
        <v>75.900000000000006</v>
      </c>
      <c r="BS15" s="3">
        <f>1</f>
        <v>1</v>
      </c>
      <c r="BT15" s="54" t="e">
        <f t="shared" si="67"/>
        <v>#N/A</v>
      </c>
      <c r="BV15" s="112" t="str">
        <f t="shared" si="22"/>
        <v>Paris</v>
      </c>
      <c r="BW15" s="20">
        <f t="shared" si="23"/>
        <v>50</v>
      </c>
      <c r="BX15" s="3">
        <f t="shared" si="68"/>
        <v>50</v>
      </c>
      <c r="BY15" s="3">
        <f>1</f>
        <v>1</v>
      </c>
      <c r="BZ15" s="54" t="e">
        <f t="shared" si="69"/>
        <v>#N/A</v>
      </c>
      <c r="CB15" s="112" t="str">
        <f t="shared" si="24"/>
        <v>Paris</v>
      </c>
      <c r="CC15" s="20">
        <f t="shared" si="25"/>
        <v>78.2</v>
      </c>
      <c r="CD15" s="3">
        <f t="shared" si="70"/>
        <v>78.2</v>
      </c>
      <c r="CE15" s="3">
        <f>1</f>
        <v>1</v>
      </c>
      <c r="CF15" s="54" t="e">
        <f t="shared" si="71"/>
        <v>#N/A</v>
      </c>
      <c r="CH15" s="112" t="str">
        <f t="shared" si="26"/>
        <v>Paris</v>
      </c>
      <c r="CI15" s="20">
        <f t="shared" si="27"/>
        <v>64.099999999999994</v>
      </c>
      <c r="CJ15" s="3">
        <f t="shared" si="72"/>
        <v>64.099999999999994</v>
      </c>
      <c r="CK15" s="3">
        <f>1</f>
        <v>1</v>
      </c>
      <c r="CL15" s="54" t="e">
        <f t="shared" si="73"/>
        <v>#N/A</v>
      </c>
      <c r="CN15" s="112" t="str">
        <f t="shared" si="28"/>
        <v>Paris</v>
      </c>
      <c r="CO15" s="20">
        <f t="shared" si="29"/>
        <v>60.5</v>
      </c>
      <c r="CP15" s="3">
        <f t="shared" si="74"/>
        <v>60.5</v>
      </c>
      <c r="CQ15" s="3">
        <f>1</f>
        <v>1</v>
      </c>
      <c r="CR15" s="54" t="e">
        <f t="shared" si="75"/>
        <v>#N/A</v>
      </c>
      <c r="CT15" s="112" t="str">
        <f t="shared" si="30"/>
        <v>Paris</v>
      </c>
      <c r="CU15" s="20">
        <f t="shared" si="31"/>
        <v>83.4</v>
      </c>
      <c r="CV15" s="3">
        <f t="shared" si="76"/>
        <v>83.4</v>
      </c>
      <c r="CW15" s="3">
        <f>1</f>
        <v>1</v>
      </c>
      <c r="CX15" s="54" t="e">
        <f t="shared" si="77"/>
        <v>#N/A</v>
      </c>
      <c r="CZ15" s="112" t="str">
        <f t="shared" si="32"/>
        <v>Paris</v>
      </c>
      <c r="DA15" s="20">
        <f t="shared" si="33"/>
        <v>58.1</v>
      </c>
      <c r="DB15" s="3">
        <f t="shared" si="78"/>
        <v>58.1</v>
      </c>
      <c r="DC15" s="3">
        <f>1</f>
        <v>1</v>
      </c>
      <c r="DD15" s="54" t="e">
        <f t="shared" si="79"/>
        <v>#N/A</v>
      </c>
      <c r="DF15" s="112" t="str">
        <f t="shared" si="34"/>
        <v>Paris</v>
      </c>
      <c r="DG15" s="20">
        <f t="shared" si="35"/>
        <v>45.6</v>
      </c>
      <c r="DH15" s="3">
        <f t="shared" si="80"/>
        <v>45.6</v>
      </c>
      <c r="DI15" s="3">
        <f>1</f>
        <v>1</v>
      </c>
      <c r="DJ15" s="54" t="e">
        <f t="shared" si="81"/>
        <v>#N/A</v>
      </c>
      <c r="DL15" s="112" t="str">
        <f t="shared" si="36"/>
        <v>Paris</v>
      </c>
      <c r="DM15" s="20">
        <f t="shared" si="37"/>
        <v>70.900000000000006</v>
      </c>
      <c r="DN15" s="3">
        <f t="shared" si="82"/>
        <v>70.900000000000006</v>
      </c>
      <c r="DO15" s="3">
        <f>1</f>
        <v>1</v>
      </c>
      <c r="DP15" s="54" t="e">
        <f t="shared" si="83"/>
        <v>#N/A</v>
      </c>
      <c r="DR15" s="112" t="str">
        <f t="shared" si="38"/>
        <v>Paris</v>
      </c>
      <c r="DS15" s="20">
        <f t="shared" si="39"/>
        <v>100</v>
      </c>
      <c r="DT15" s="3">
        <f t="shared" si="84"/>
        <v>100</v>
      </c>
      <c r="DU15" s="3">
        <f>1</f>
        <v>1</v>
      </c>
      <c r="DV15" s="54" t="e">
        <f t="shared" si="85"/>
        <v>#N/A</v>
      </c>
      <c r="DX15" s="112" t="str">
        <f t="shared" si="40"/>
        <v>Paris</v>
      </c>
      <c r="DY15" s="20">
        <f t="shared" si="41"/>
        <v>84.9</v>
      </c>
      <c r="DZ15" s="3">
        <f t="shared" si="86"/>
        <v>84.9</v>
      </c>
      <c r="EA15" s="3">
        <f>1</f>
        <v>1</v>
      </c>
      <c r="EB15" s="54" t="e">
        <f t="shared" si="87"/>
        <v>#N/A</v>
      </c>
      <c r="ED15" s="112" t="str">
        <f t="shared" si="42"/>
        <v>Paris</v>
      </c>
      <c r="EE15" s="20">
        <f t="shared" si="43"/>
        <v>50</v>
      </c>
      <c r="EF15" s="3">
        <f t="shared" si="88"/>
        <v>50</v>
      </c>
      <c r="EG15" s="3">
        <f>1</f>
        <v>1</v>
      </c>
      <c r="EH15" s="54" t="e">
        <f t="shared" si="89"/>
        <v>#N/A</v>
      </c>
      <c r="EJ15" s="112" t="str">
        <f t="shared" si="44"/>
        <v>Paris</v>
      </c>
      <c r="EK15" s="20">
        <f t="shared" si="45"/>
        <v>38.1</v>
      </c>
      <c r="EL15" s="3">
        <f t="shared" si="90"/>
        <v>38.1</v>
      </c>
      <c r="EM15" s="3">
        <f>1</f>
        <v>1</v>
      </c>
      <c r="EN15" s="54" t="e">
        <f t="shared" si="91"/>
        <v>#N/A</v>
      </c>
    </row>
    <row r="16" spans="1:144" ht="12" customHeight="1" thickBot="1">
      <c r="A16" s="3">
        <f>tblTerritories!A13</f>
        <v>11</v>
      </c>
      <c r="B16" s="3">
        <f>tblTerritories!B13</f>
        <v>0</v>
      </c>
      <c r="C16" s="3" t="str">
        <f>tblTerritories!C13</f>
        <v>Frankfurt</v>
      </c>
      <c r="D16" s="3">
        <f>tblTerritories!K13</f>
        <v>1</v>
      </c>
      <c r="E16" s="3">
        <f t="shared" si="46"/>
        <v>0</v>
      </c>
      <c r="F16" s="3">
        <f>IF(E16=1,1,IF(tblTerritories!F13="",0,tblTerritories!F13))</f>
        <v>1</v>
      </c>
      <c r="G16" s="3">
        <f t="shared" si="92"/>
        <v>69.099999999999994</v>
      </c>
      <c r="H16" s="3">
        <f>IF(F16=0,"",RANK(G16,G$6:G$35,0)+COUNTIF(G$6:G16,G16)-1)</f>
        <v>14</v>
      </c>
      <c r="I16" s="3">
        <f t="shared" si="1"/>
        <v>28</v>
      </c>
      <c r="J16" s="3">
        <f t="shared" si="47"/>
        <v>1</v>
      </c>
      <c r="K16" s="19"/>
      <c r="L16" s="19"/>
      <c r="M16" s="18"/>
      <c r="N16" s="112" t="str">
        <f t="shared" si="2"/>
        <v>Toronto</v>
      </c>
      <c r="O16" s="20">
        <f t="shared" si="3"/>
        <v>70.099999999999994</v>
      </c>
      <c r="P16" s="3">
        <f t="shared" si="48"/>
        <v>70.099999999999994</v>
      </c>
      <c r="Q16" s="3">
        <f>1</f>
        <v>1</v>
      </c>
      <c r="R16" s="54" t="e">
        <f t="shared" si="49"/>
        <v>#N/A</v>
      </c>
      <c r="T16" s="112" t="str">
        <f t="shared" si="4"/>
        <v>Toronto</v>
      </c>
      <c r="U16" s="20">
        <f t="shared" si="5"/>
        <v>62.8</v>
      </c>
      <c r="V16" s="3">
        <f t="shared" si="50"/>
        <v>62.8</v>
      </c>
      <c r="W16" s="3">
        <f>1</f>
        <v>1</v>
      </c>
      <c r="X16" s="54" t="e">
        <f t="shared" si="51"/>
        <v>#N/A</v>
      </c>
      <c r="Z16" s="112" t="str">
        <f t="shared" si="6"/>
        <v>Toronto</v>
      </c>
      <c r="AA16" s="20">
        <f t="shared" si="7"/>
        <v>74.3</v>
      </c>
      <c r="AB16" s="3">
        <f t="shared" si="52"/>
        <v>74.3</v>
      </c>
      <c r="AC16" s="756">
        <v>1</v>
      </c>
      <c r="AD16" s="54" t="e">
        <f t="shared" si="53"/>
        <v>#N/A</v>
      </c>
      <c r="AF16" s="112" t="str">
        <f t="shared" si="8"/>
        <v>Toronto</v>
      </c>
      <c r="AG16" s="20">
        <f t="shared" si="9"/>
        <v>48</v>
      </c>
      <c r="AH16" s="3">
        <f t="shared" si="54"/>
        <v>48</v>
      </c>
      <c r="AI16" s="3">
        <f>1</f>
        <v>1</v>
      </c>
      <c r="AJ16" s="54" t="e">
        <f t="shared" si="55"/>
        <v>#N/A</v>
      </c>
      <c r="AL16" s="112" t="str">
        <f t="shared" si="10"/>
        <v>Toronto</v>
      </c>
      <c r="AM16" s="20">
        <f t="shared" si="11"/>
        <v>57.2</v>
      </c>
      <c r="AN16" s="3">
        <f t="shared" si="56"/>
        <v>57.2</v>
      </c>
      <c r="AO16" s="3">
        <f>1</f>
        <v>1</v>
      </c>
      <c r="AP16" s="54" t="e">
        <f t="shared" si="57"/>
        <v>#N/A</v>
      </c>
      <c r="AR16" s="112" t="str">
        <f t="shared" si="12"/>
        <v>Toronto</v>
      </c>
      <c r="AS16" s="20">
        <f t="shared" si="13"/>
        <v>64</v>
      </c>
      <c r="AT16" s="3">
        <f t="shared" si="58"/>
        <v>64</v>
      </c>
      <c r="AU16" s="3">
        <f>1</f>
        <v>1</v>
      </c>
      <c r="AV16" s="54" t="e">
        <f t="shared" si="59"/>
        <v>#N/A</v>
      </c>
      <c r="AX16" s="112" t="str">
        <f t="shared" si="14"/>
        <v>Toronto</v>
      </c>
      <c r="AY16" s="20">
        <f t="shared" si="15"/>
        <v>94.3</v>
      </c>
      <c r="AZ16" s="3">
        <f t="shared" si="60"/>
        <v>94.3</v>
      </c>
      <c r="BA16" s="3">
        <f>1</f>
        <v>1</v>
      </c>
      <c r="BB16" s="54" t="e">
        <f t="shared" si="61"/>
        <v>#N/A</v>
      </c>
      <c r="BD16" s="112" t="str">
        <f t="shared" si="16"/>
        <v>Toronto</v>
      </c>
      <c r="BE16" s="20">
        <f t="shared" si="17"/>
        <v>58.7</v>
      </c>
      <c r="BF16" s="3">
        <f t="shared" si="62"/>
        <v>58.7</v>
      </c>
      <c r="BG16" s="3">
        <f>1</f>
        <v>1</v>
      </c>
      <c r="BH16" s="54" t="e">
        <f t="shared" si="63"/>
        <v>#N/A</v>
      </c>
      <c r="BJ16" s="112" t="str">
        <f t="shared" si="18"/>
        <v>Toronto</v>
      </c>
      <c r="BK16" s="20">
        <f t="shared" si="19"/>
        <v>35.9</v>
      </c>
      <c r="BL16" s="3">
        <f t="shared" si="64"/>
        <v>35.9</v>
      </c>
      <c r="BM16" s="3">
        <f>1</f>
        <v>1</v>
      </c>
      <c r="BN16" s="54" t="e">
        <f t="shared" si="65"/>
        <v>#N/A</v>
      </c>
      <c r="BP16" s="112" t="str">
        <f t="shared" si="20"/>
        <v>Toronto</v>
      </c>
      <c r="BQ16" s="20">
        <f t="shared" si="21"/>
        <v>70.8</v>
      </c>
      <c r="BR16" s="3">
        <f t="shared" si="66"/>
        <v>70.8</v>
      </c>
      <c r="BS16" s="3">
        <f>1</f>
        <v>1</v>
      </c>
      <c r="BT16" s="54" t="e">
        <f t="shared" si="67"/>
        <v>#N/A</v>
      </c>
      <c r="BV16" s="112" t="str">
        <f t="shared" si="22"/>
        <v>Toronto</v>
      </c>
      <c r="BW16" s="20">
        <f t="shared" si="23"/>
        <v>100</v>
      </c>
      <c r="BX16" s="3">
        <f t="shared" si="68"/>
        <v>100</v>
      </c>
      <c r="BY16" s="3">
        <f>1</f>
        <v>1</v>
      </c>
      <c r="BZ16" s="54" t="e">
        <f t="shared" si="69"/>
        <v>#N/A</v>
      </c>
      <c r="CB16" s="112" t="str">
        <f t="shared" si="24"/>
        <v>Toronto</v>
      </c>
      <c r="CC16" s="20">
        <f t="shared" si="25"/>
        <v>24</v>
      </c>
      <c r="CD16" s="3">
        <f t="shared" si="70"/>
        <v>24</v>
      </c>
      <c r="CE16" s="3">
        <f>1</f>
        <v>1</v>
      </c>
      <c r="CF16" s="54" t="e">
        <f t="shared" si="71"/>
        <v>#N/A</v>
      </c>
      <c r="CH16" s="112" t="str">
        <f t="shared" si="26"/>
        <v>Toronto</v>
      </c>
      <c r="CI16" s="20">
        <f t="shared" si="27"/>
        <v>68.400000000000006</v>
      </c>
      <c r="CJ16" s="3">
        <f t="shared" si="72"/>
        <v>68.400000000000006</v>
      </c>
      <c r="CK16" s="3">
        <f>1</f>
        <v>1</v>
      </c>
      <c r="CL16" s="54" t="e">
        <f t="shared" si="73"/>
        <v>#N/A</v>
      </c>
      <c r="CN16" s="112" t="str">
        <f t="shared" si="28"/>
        <v>Toronto</v>
      </c>
      <c r="CO16" s="20">
        <f t="shared" si="29"/>
        <v>73.400000000000006</v>
      </c>
      <c r="CP16" s="3">
        <f t="shared" si="74"/>
        <v>73.400000000000006</v>
      </c>
      <c r="CQ16" s="3">
        <f>1</f>
        <v>1</v>
      </c>
      <c r="CR16" s="54" t="e">
        <f t="shared" si="75"/>
        <v>#N/A</v>
      </c>
      <c r="CT16" s="112" t="str">
        <f t="shared" si="30"/>
        <v>Toronto</v>
      </c>
      <c r="CU16" s="20">
        <f t="shared" si="31"/>
        <v>96.9</v>
      </c>
      <c r="CV16" s="3">
        <f t="shared" si="76"/>
        <v>96.9</v>
      </c>
      <c r="CW16" s="3">
        <f>1</f>
        <v>1</v>
      </c>
      <c r="CX16" s="54" t="e">
        <f t="shared" si="77"/>
        <v>#N/A</v>
      </c>
      <c r="CZ16" s="112" t="str">
        <f t="shared" si="32"/>
        <v>Toronto</v>
      </c>
      <c r="DA16" s="20">
        <f t="shared" si="33"/>
        <v>59</v>
      </c>
      <c r="DB16" s="3">
        <f t="shared" si="78"/>
        <v>59</v>
      </c>
      <c r="DC16" s="3">
        <f>1</f>
        <v>1</v>
      </c>
      <c r="DD16" s="54" t="e">
        <f t="shared" si="79"/>
        <v>#N/A</v>
      </c>
      <c r="DF16" s="112" t="str">
        <f t="shared" si="34"/>
        <v>Toronto</v>
      </c>
      <c r="DG16" s="20">
        <f t="shared" si="35"/>
        <v>31.6</v>
      </c>
      <c r="DH16" s="3">
        <f t="shared" si="80"/>
        <v>31.6</v>
      </c>
      <c r="DI16" s="3">
        <f>1</f>
        <v>1</v>
      </c>
      <c r="DJ16" s="54" t="e">
        <f t="shared" si="81"/>
        <v>#N/A</v>
      </c>
      <c r="DL16" s="112" t="str">
        <f t="shared" si="36"/>
        <v>Toronto</v>
      </c>
      <c r="DM16" s="20">
        <f t="shared" si="37"/>
        <v>90.5</v>
      </c>
      <c r="DN16" s="3">
        <f t="shared" si="82"/>
        <v>90.5</v>
      </c>
      <c r="DO16" s="3">
        <f>1</f>
        <v>1</v>
      </c>
      <c r="DP16" s="54" t="e">
        <f t="shared" si="83"/>
        <v>#N/A</v>
      </c>
      <c r="DR16" s="112" t="str">
        <f t="shared" si="38"/>
        <v>Toronto</v>
      </c>
      <c r="DS16" s="20">
        <f t="shared" si="39"/>
        <v>100</v>
      </c>
      <c r="DT16" s="3">
        <f t="shared" si="84"/>
        <v>100</v>
      </c>
      <c r="DU16" s="3">
        <f>1</f>
        <v>1</v>
      </c>
      <c r="DV16" s="54" t="e">
        <f t="shared" si="85"/>
        <v>#N/A</v>
      </c>
      <c r="DX16" s="112" t="str">
        <f t="shared" si="40"/>
        <v>Toronto</v>
      </c>
      <c r="DY16" s="20">
        <f t="shared" si="41"/>
        <v>92.4</v>
      </c>
      <c r="DZ16" s="3">
        <f t="shared" si="86"/>
        <v>92.4</v>
      </c>
      <c r="EA16" s="3">
        <f>1</f>
        <v>1</v>
      </c>
      <c r="EB16" s="54" t="e">
        <f t="shared" si="87"/>
        <v>#N/A</v>
      </c>
      <c r="ED16" s="112" t="str">
        <f t="shared" si="42"/>
        <v>Toronto</v>
      </c>
      <c r="EE16" s="20">
        <f t="shared" si="43"/>
        <v>66.7</v>
      </c>
      <c r="EF16" s="3">
        <f t="shared" si="88"/>
        <v>66.7</v>
      </c>
      <c r="EG16" s="3">
        <f>1</f>
        <v>1</v>
      </c>
      <c r="EH16" s="54" t="e">
        <f t="shared" si="89"/>
        <v>#N/A</v>
      </c>
      <c r="EJ16" s="112" t="str">
        <f t="shared" si="44"/>
        <v>Toronto</v>
      </c>
      <c r="EK16" s="20">
        <f t="shared" si="45"/>
        <v>100</v>
      </c>
      <c r="EL16" s="3">
        <f t="shared" si="90"/>
        <v>100</v>
      </c>
      <c r="EM16" s="3">
        <f>1</f>
        <v>1</v>
      </c>
      <c r="EN16" s="54" t="e">
        <f t="shared" si="91"/>
        <v>#N/A</v>
      </c>
    </row>
    <row r="17" spans="1:144" ht="12" customHeight="1" thickBot="1">
      <c r="A17" s="3">
        <f>tblTerritories!A14</f>
        <v>12</v>
      </c>
      <c r="B17" s="3">
        <f>tblTerritories!B14</f>
        <v>0</v>
      </c>
      <c r="C17" s="3" t="str">
        <f>tblTerritories!C14</f>
        <v>Hong Kong</v>
      </c>
      <c r="D17" s="3">
        <f>tblTerritories!K14</f>
        <v>1</v>
      </c>
      <c r="E17" s="3">
        <f t="shared" si="46"/>
        <v>0</v>
      </c>
      <c r="F17" s="3">
        <f>IF(E17=1,1,IF(tblTerritories!F14="",0,tblTerritories!F14))</f>
        <v>1</v>
      </c>
      <c r="G17" s="3">
        <f t="shared" si="92"/>
        <v>68</v>
      </c>
      <c r="H17" s="3">
        <f>IF(F17=0,"",RANK(G17,G$6:G$35,0)+COUNTIF(G$6:G17,G17)-1)</f>
        <v>17</v>
      </c>
      <c r="I17" s="3">
        <f t="shared" si="1"/>
        <v>30</v>
      </c>
      <c r="J17" s="3">
        <f t="shared" si="47"/>
        <v>1</v>
      </c>
      <c r="K17" s="19"/>
      <c r="L17" s="19"/>
      <c r="M17" s="18"/>
      <c r="N17" s="112" t="str">
        <f t="shared" si="2"/>
        <v>Zurich</v>
      </c>
      <c r="O17" s="20">
        <f t="shared" si="3"/>
        <v>70.099999999999994</v>
      </c>
      <c r="P17" s="3">
        <f t="shared" si="48"/>
        <v>70.099999999999994</v>
      </c>
      <c r="Q17" s="3">
        <f>1</f>
        <v>1</v>
      </c>
      <c r="R17" s="54" t="e">
        <f t="shared" si="49"/>
        <v>#N/A</v>
      </c>
      <c r="T17" s="112" t="str">
        <f t="shared" si="4"/>
        <v>Zurich</v>
      </c>
      <c r="U17" s="20">
        <f t="shared" si="5"/>
        <v>81</v>
      </c>
      <c r="V17" s="3">
        <f t="shared" si="50"/>
        <v>81</v>
      </c>
      <c r="W17" s="3">
        <f>1</f>
        <v>1</v>
      </c>
      <c r="X17" s="54" t="e">
        <f t="shared" si="51"/>
        <v>#N/A</v>
      </c>
      <c r="Z17" s="112" t="str">
        <f t="shared" si="6"/>
        <v>Zurich</v>
      </c>
      <c r="AA17" s="20">
        <f t="shared" si="7"/>
        <v>81.400000000000006</v>
      </c>
      <c r="AB17" s="3">
        <f t="shared" si="52"/>
        <v>81.400000000000006</v>
      </c>
      <c r="AC17" s="756">
        <v>1</v>
      </c>
      <c r="AD17" s="54" t="e">
        <f t="shared" si="53"/>
        <v>#N/A</v>
      </c>
      <c r="AF17" s="112" t="str">
        <f t="shared" si="8"/>
        <v>Zurich</v>
      </c>
      <c r="AG17" s="20">
        <f t="shared" si="9"/>
        <v>76.5</v>
      </c>
      <c r="AH17" s="3">
        <f t="shared" si="54"/>
        <v>76.5</v>
      </c>
      <c r="AI17" s="3">
        <f>1</f>
        <v>1</v>
      </c>
      <c r="AJ17" s="54" t="e">
        <f t="shared" si="55"/>
        <v>#N/A</v>
      </c>
      <c r="AL17" s="112" t="str">
        <f t="shared" si="10"/>
        <v>Zurich</v>
      </c>
      <c r="AM17" s="20">
        <f t="shared" si="11"/>
        <v>83.5</v>
      </c>
      <c r="AN17" s="3">
        <f t="shared" si="56"/>
        <v>83.5</v>
      </c>
      <c r="AO17" s="3">
        <f>1</f>
        <v>1</v>
      </c>
      <c r="AP17" s="54" t="e">
        <f t="shared" si="57"/>
        <v>#N/A</v>
      </c>
      <c r="AR17" s="112" t="str">
        <f t="shared" si="12"/>
        <v>Zurich</v>
      </c>
      <c r="AS17" s="20">
        <f t="shared" si="13"/>
        <v>65.7</v>
      </c>
      <c r="AT17" s="3">
        <f t="shared" si="58"/>
        <v>65.7</v>
      </c>
      <c r="AU17" s="3">
        <f>1</f>
        <v>1</v>
      </c>
      <c r="AV17" s="54" t="e">
        <f t="shared" si="59"/>
        <v>#N/A</v>
      </c>
      <c r="AX17" s="112" t="str">
        <f t="shared" si="14"/>
        <v>Zurich</v>
      </c>
      <c r="AY17" s="20">
        <f t="shared" si="15"/>
        <v>61.8</v>
      </c>
      <c r="AZ17" s="3">
        <f t="shared" si="60"/>
        <v>61.8</v>
      </c>
      <c r="BA17" s="3">
        <f>1</f>
        <v>1</v>
      </c>
      <c r="BB17" s="54" t="e">
        <f t="shared" si="61"/>
        <v>#N/A</v>
      </c>
      <c r="BD17" s="112" t="str">
        <f t="shared" si="16"/>
        <v>Zurich</v>
      </c>
      <c r="BE17" s="20">
        <f t="shared" si="17"/>
        <v>59</v>
      </c>
      <c r="BF17" s="3">
        <f t="shared" si="62"/>
        <v>59</v>
      </c>
      <c r="BG17" s="3">
        <f>1</f>
        <v>1</v>
      </c>
      <c r="BH17" s="54" t="e">
        <f t="shared" si="63"/>
        <v>#N/A</v>
      </c>
      <c r="BJ17" s="112" t="str">
        <f t="shared" si="18"/>
        <v>Zurich</v>
      </c>
      <c r="BK17" s="20">
        <f t="shared" si="19"/>
        <v>76.900000000000006</v>
      </c>
      <c r="BL17" s="3">
        <f t="shared" si="64"/>
        <v>76.900000000000006</v>
      </c>
      <c r="BM17" s="3">
        <f>1</f>
        <v>1</v>
      </c>
      <c r="BN17" s="54" t="e">
        <f t="shared" si="65"/>
        <v>#N/A</v>
      </c>
      <c r="BP17" s="112" t="str">
        <f t="shared" si="20"/>
        <v>Zurich</v>
      </c>
      <c r="BQ17" s="20">
        <f t="shared" si="21"/>
        <v>72.8</v>
      </c>
      <c r="BR17" s="3">
        <f t="shared" si="66"/>
        <v>72.8</v>
      </c>
      <c r="BS17" s="3">
        <f>1</f>
        <v>1</v>
      </c>
      <c r="BT17" s="54" t="e">
        <f t="shared" si="67"/>
        <v>#N/A</v>
      </c>
      <c r="BV17" s="112" t="str">
        <f t="shared" si="22"/>
        <v>Zurich</v>
      </c>
      <c r="BW17" s="20">
        <f t="shared" si="23"/>
        <v>50</v>
      </c>
      <c r="BX17" s="3">
        <f t="shared" si="68"/>
        <v>50</v>
      </c>
      <c r="BY17" s="3">
        <f>1</f>
        <v>1</v>
      </c>
      <c r="BZ17" s="54" t="e">
        <f t="shared" si="69"/>
        <v>#N/A</v>
      </c>
      <c r="CB17" s="112" t="str">
        <f t="shared" si="24"/>
        <v>Zurich</v>
      </c>
      <c r="CC17" s="20">
        <f t="shared" si="25"/>
        <v>71.900000000000006</v>
      </c>
      <c r="CD17" s="3">
        <f t="shared" si="70"/>
        <v>71.900000000000006</v>
      </c>
      <c r="CE17" s="3">
        <f>1</f>
        <v>1</v>
      </c>
      <c r="CF17" s="54" t="e">
        <f t="shared" si="71"/>
        <v>#N/A</v>
      </c>
      <c r="CH17" s="112" t="str">
        <f t="shared" si="26"/>
        <v>Zurich</v>
      </c>
      <c r="CI17" s="20">
        <f t="shared" si="27"/>
        <v>64</v>
      </c>
      <c r="CJ17" s="3">
        <f t="shared" si="72"/>
        <v>64</v>
      </c>
      <c r="CK17" s="3">
        <f>1</f>
        <v>1</v>
      </c>
      <c r="CL17" s="54" t="e">
        <f t="shared" si="73"/>
        <v>#N/A</v>
      </c>
      <c r="CN17" s="112" t="str">
        <f t="shared" si="28"/>
        <v>Zurich</v>
      </c>
      <c r="CO17" s="20">
        <f t="shared" si="29"/>
        <v>67.3</v>
      </c>
      <c r="CP17" s="3">
        <f t="shared" si="74"/>
        <v>67.3</v>
      </c>
      <c r="CQ17" s="3">
        <f>1</f>
        <v>1</v>
      </c>
      <c r="CR17" s="54" t="e">
        <f t="shared" si="75"/>
        <v>#N/A</v>
      </c>
      <c r="CT17" s="112" t="str">
        <f t="shared" si="30"/>
        <v>Zurich</v>
      </c>
      <c r="CU17" s="20">
        <f t="shared" si="31"/>
        <v>81.8</v>
      </c>
      <c r="CV17" s="3">
        <f t="shared" si="76"/>
        <v>81.8</v>
      </c>
      <c r="CW17" s="3">
        <f>1</f>
        <v>1</v>
      </c>
      <c r="CX17" s="54" t="e">
        <f t="shared" si="77"/>
        <v>#N/A</v>
      </c>
      <c r="CZ17" s="112" t="str">
        <f t="shared" si="32"/>
        <v>Zurich</v>
      </c>
      <c r="DA17" s="20">
        <f t="shared" si="33"/>
        <v>58.9</v>
      </c>
      <c r="DB17" s="3">
        <f t="shared" si="78"/>
        <v>58.9</v>
      </c>
      <c r="DC17" s="3">
        <f>1</f>
        <v>1</v>
      </c>
      <c r="DD17" s="54" t="e">
        <f t="shared" si="79"/>
        <v>#N/A</v>
      </c>
      <c r="DF17" s="112" t="str">
        <f t="shared" si="34"/>
        <v>Zurich</v>
      </c>
      <c r="DG17" s="20">
        <f t="shared" si="35"/>
        <v>39.700000000000003</v>
      </c>
      <c r="DH17" s="3">
        <f t="shared" si="80"/>
        <v>39.700000000000003</v>
      </c>
      <c r="DI17" s="3">
        <f>1</f>
        <v>1</v>
      </c>
      <c r="DJ17" s="54" t="e">
        <f t="shared" si="81"/>
        <v>#N/A</v>
      </c>
      <c r="DL17" s="112" t="str">
        <f t="shared" si="36"/>
        <v>Zurich</v>
      </c>
      <c r="DM17" s="20">
        <f t="shared" si="37"/>
        <v>66.3</v>
      </c>
      <c r="DN17" s="3">
        <f t="shared" si="82"/>
        <v>66.3</v>
      </c>
      <c r="DO17" s="3">
        <f>1</f>
        <v>1</v>
      </c>
      <c r="DP17" s="54" t="e">
        <f t="shared" si="83"/>
        <v>#N/A</v>
      </c>
      <c r="DR17" s="112" t="str">
        <f t="shared" si="38"/>
        <v>Zurich</v>
      </c>
      <c r="DS17" s="20">
        <f t="shared" si="39"/>
        <v>62.5</v>
      </c>
      <c r="DT17" s="3">
        <f t="shared" si="84"/>
        <v>62.5</v>
      </c>
      <c r="DU17" s="3">
        <f>1</f>
        <v>1</v>
      </c>
      <c r="DV17" s="54" t="e">
        <f t="shared" si="85"/>
        <v>#N/A</v>
      </c>
      <c r="DX17" s="112" t="str">
        <f t="shared" si="40"/>
        <v>Zurich</v>
      </c>
      <c r="DY17" s="20">
        <f t="shared" si="41"/>
        <v>92.4</v>
      </c>
      <c r="DZ17" s="3">
        <f t="shared" si="86"/>
        <v>92.4</v>
      </c>
      <c r="EA17" s="3">
        <f>1</f>
        <v>1</v>
      </c>
      <c r="EB17" s="54" t="e">
        <f t="shared" si="87"/>
        <v>#N/A</v>
      </c>
      <c r="ED17" s="112" t="str">
        <f t="shared" si="42"/>
        <v>Zurich</v>
      </c>
      <c r="EE17" s="20">
        <f t="shared" si="43"/>
        <v>66.7</v>
      </c>
      <c r="EF17" s="3">
        <f t="shared" si="88"/>
        <v>66.7</v>
      </c>
      <c r="EG17" s="3">
        <f>1</f>
        <v>1</v>
      </c>
      <c r="EH17" s="54" t="e">
        <f t="shared" si="89"/>
        <v>#N/A</v>
      </c>
      <c r="EJ17" s="112" t="str">
        <f t="shared" si="44"/>
        <v>Zurich</v>
      </c>
      <c r="EK17" s="20">
        <f t="shared" si="45"/>
        <v>38.1</v>
      </c>
      <c r="EL17" s="3">
        <f t="shared" si="90"/>
        <v>38.1</v>
      </c>
      <c r="EM17" s="3">
        <f>1</f>
        <v>1</v>
      </c>
      <c r="EN17" s="54" t="e">
        <f t="shared" si="91"/>
        <v>#N/A</v>
      </c>
    </row>
    <row r="18" spans="1:144" ht="12" customHeight="1" thickBot="1">
      <c r="A18" s="3">
        <f>tblTerritories!A15</f>
        <v>13</v>
      </c>
      <c r="B18" s="3">
        <f>tblTerritories!B15</f>
        <v>0</v>
      </c>
      <c r="C18" s="3" t="str">
        <f>tblTerritories!C15</f>
        <v>Jakarta</v>
      </c>
      <c r="D18" s="3">
        <f>tblTerritories!K15</f>
        <v>1</v>
      </c>
      <c r="E18" s="3">
        <f t="shared" si="46"/>
        <v>0</v>
      </c>
      <c r="F18" s="3">
        <f>IF(E18=1,1,IF(tblTerritories!F15="",0,tblTerritories!F15))</f>
        <v>1</v>
      </c>
      <c r="G18" s="3">
        <f t="shared" si="92"/>
        <v>43.5</v>
      </c>
      <c r="H18" s="3">
        <f>IF(F18=0,"",RANK(G18,G$6:G$35,0)+COUNTIF(G$6:G18,G18)-1)</f>
        <v>27</v>
      </c>
      <c r="I18" s="3">
        <f t="shared" si="1"/>
        <v>4</v>
      </c>
      <c r="J18" s="3">
        <f t="shared" si="47"/>
        <v>1</v>
      </c>
      <c r="K18" s="19"/>
      <c r="L18" s="19"/>
      <c r="M18" s="18"/>
      <c r="N18" s="112" t="str">
        <f t="shared" si="2"/>
        <v>Barcelona</v>
      </c>
      <c r="O18" s="20">
        <f t="shared" si="3"/>
        <v>69.7</v>
      </c>
      <c r="P18" s="3">
        <f t="shared" si="48"/>
        <v>69.7</v>
      </c>
      <c r="Q18" s="3">
        <f>1</f>
        <v>1</v>
      </c>
      <c r="R18" s="54" t="e">
        <f t="shared" si="49"/>
        <v>#N/A</v>
      </c>
      <c r="T18" s="112" t="str">
        <f t="shared" si="4"/>
        <v>Barcelona</v>
      </c>
      <c r="U18" s="20">
        <f t="shared" si="5"/>
        <v>61.6</v>
      </c>
      <c r="V18" s="3">
        <f t="shared" si="50"/>
        <v>61.6</v>
      </c>
      <c r="W18" s="3">
        <f>1</f>
        <v>1</v>
      </c>
      <c r="X18" s="54" t="e">
        <f t="shared" si="51"/>
        <v>#N/A</v>
      </c>
      <c r="Z18" s="112" t="str">
        <f t="shared" si="6"/>
        <v>Barcelona</v>
      </c>
      <c r="AA18" s="20">
        <f t="shared" si="7"/>
        <v>74.7</v>
      </c>
      <c r="AB18" s="3">
        <f t="shared" si="52"/>
        <v>74.7</v>
      </c>
      <c r="AC18" s="756">
        <v>1</v>
      </c>
      <c r="AD18" s="54" t="e">
        <f t="shared" si="53"/>
        <v>#N/A</v>
      </c>
      <c r="AF18" s="112" t="str">
        <f t="shared" si="8"/>
        <v>Barcelona</v>
      </c>
      <c r="AG18" s="20">
        <f t="shared" si="9"/>
        <v>22.6</v>
      </c>
      <c r="AH18" s="3">
        <f t="shared" si="54"/>
        <v>22.6</v>
      </c>
      <c r="AI18" s="3">
        <f>1</f>
        <v>1</v>
      </c>
      <c r="AJ18" s="54" t="e">
        <f t="shared" si="55"/>
        <v>#N/A</v>
      </c>
      <c r="AL18" s="112" t="str">
        <f t="shared" si="10"/>
        <v>Barcelona</v>
      </c>
      <c r="AM18" s="20">
        <f t="shared" si="11"/>
        <v>70.2</v>
      </c>
      <c r="AN18" s="3">
        <f t="shared" si="56"/>
        <v>70.2</v>
      </c>
      <c r="AO18" s="3">
        <f>1</f>
        <v>1</v>
      </c>
      <c r="AP18" s="54" t="e">
        <f t="shared" si="57"/>
        <v>#N/A</v>
      </c>
      <c r="AR18" s="112" t="str">
        <f t="shared" si="12"/>
        <v>Barcelona</v>
      </c>
      <c r="AS18" s="20">
        <f t="shared" si="13"/>
        <v>72</v>
      </c>
      <c r="AT18" s="3">
        <f t="shared" si="58"/>
        <v>72</v>
      </c>
      <c r="AU18" s="3">
        <f>1</f>
        <v>1</v>
      </c>
      <c r="AV18" s="54" t="e">
        <f t="shared" si="59"/>
        <v>#N/A</v>
      </c>
      <c r="AX18" s="112" t="str">
        <f t="shared" si="14"/>
        <v>Barcelona</v>
      </c>
      <c r="AY18" s="20">
        <f t="shared" si="15"/>
        <v>63.9</v>
      </c>
      <c r="AZ18" s="3">
        <f t="shared" si="60"/>
        <v>63.9</v>
      </c>
      <c r="BA18" s="3">
        <f>1</f>
        <v>1</v>
      </c>
      <c r="BB18" s="54" t="e">
        <f t="shared" si="61"/>
        <v>#N/A</v>
      </c>
      <c r="BD18" s="112" t="str">
        <f t="shared" si="16"/>
        <v>Barcelona</v>
      </c>
      <c r="BE18" s="20">
        <f t="shared" si="17"/>
        <v>37.799999999999997</v>
      </c>
      <c r="BF18" s="3">
        <f t="shared" si="62"/>
        <v>37.799999999999997</v>
      </c>
      <c r="BG18" s="3">
        <f>1</f>
        <v>1</v>
      </c>
      <c r="BH18" s="54" t="e">
        <f t="shared" si="63"/>
        <v>#N/A</v>
      </c>
      <c r="BJ18" s="112" t="str">
        <f t="shared" si="18"/>
        <v>Barcelona</v>
      </c>
      <c r="BK18" s="20">
        <f t="shared" si="19"/>
        <v>100</v>
      </c>
      <c r="BL18" s="3">
        <f t="shared" si="64"/>
        <v>100</v>
      </c>
      <c r="BM18" s="3">
        <f>1</f>
        <v>1</v>
      </c>
      <c r="BN18" s="54" t="e">
        <f t="shared" si="65"/>
        <v>#N/A</v>
      </c>
      <c r="BP18" s="112" t="str">
        <f t="shared" si="20"/>
        <v>Barcelona</v>
      </c>
      <c r="BQ18" s="20">
        <f t="shared" si="21"/>
        <v>97</v>
      </c>
      <c r="BR18" s="3">
        <f t="shared" si="66"/>
        <v>97</v>
      </c>
      <c r="BS18" s="3">
        <f>1</f>
        <v>1</v>
      </c>
      <c r="BT18" s="54" t="e">
        <f t="shared" si="67"/>
        <v>#N/A</v>
      </c>
      <c r="BV18" s="112" t="str">
        <f t="shared" si="22"/>
        <v>Barcelona</v>
      </c>
      <c r="BW18" s="20">
        <f t="shared" si="23"/>
        <v>100</v>
      </c>
      <c r="BX18" s="3">
        <f t="shared" si="68"/>
        <v>100</v>
      </c>
      <c r="BY18" s="3">
        <f>1</f>
        <v>1</v>
      </c>
      <c r="BZ18" s="54" t="e">
        <f t="shared" si="69"/>
        <v>#N/A</v>
      </c>
      <c r="CB18" s="112" t="str">
        <f t="shared" si="24"/>
        <v>Barcelona</v>
      </c>
      <c r="CC18" s="20">
        <f t="shared" si="25"/>
        <v>28.4</v>
      </c>
      <c r="CD18" s="3">
        <f t="shared" si="70"/>
        <v>28.4</v>
      </c>
      <c r="CE18" s="3">
        <f>1</f>
        <v>1</v>
      </c>
      <c r="CF18" s="54" t="e">
        <f t="shared" si="71"/>
        <v>#N/A</v>
      </c>
      <c r="CH18" s="112" t="str">
        <f t="shared" si="26"/>
        <v>Barcelona</v>
      </c>
      <c r="CI18" s="20">
        <f t="shared" si="27"/>
        <v>60.6</v>
      </c>
      <c r="CJ18" s="3">
        <f t="shared" si="72"/>
        <v>60.6</v>
      </c>
      <c r="CK18" s="3">
        <f>1</f>
        <v>1</v>
      </c>
      <c r="CL18" s="54" t="e">
        <f t="shared" si="73"/>
        <v>#N/A</v>
      </c>
      <c r="CN18" s="112" t="str">
        <f t="shared" si="28"/>
        <v>Barcelona</v>
      </c>
      <c r="CO18" s="20">
        <f t="shared" si="29"/>
        <v>74</v>
      </c>
      <c r="CP18" s="3">
        <f t="shared" si="74"/>
        <v>74</v>
      </c>
      <c r="CQ18" s="3">
        <f>1</f>
        <v>1</v>
      </c>
      <c r="CR18" s="54" t="e">
        <f t="shared" si="75"/>
        <v>#N/A</v>
      </c>
      <c r="CT18" s="112" t="str">
        <f t="shared" si="30"/>
        <v>Barcelona</v>
      </c>
      <c r="CU18" s="20">
        <f t="shared" si="31"/>
        <v>74.3</v>
      </c>
      <c r="CV18" s="3">
        <f t="shared" si="76"/>
        <v>74.3</v>
      </c>
      <c r="CW18" s="3">
        <f>1</f>
        <v>1</v>
      </c>
      <c r="CX18" s="54" t="e">
        <f t="shared" si="77"/>
        <v>#N/A</v>
      </c>
      <c r="CZ18" s="112" t="str">
        <f t="shared" si="32"/>
        <v>Barcelona</v>
      </c>
      <c r="DA18" s="20">
        <f t="shared" si="33"/>
        <v>51.3</v>
      </c>
      <c r="DB18" s="3">
        <f t="shared" si="78"/>
        <v>51.3</v>
      </c>
      <c r="DC18" s="3">
        <f>1</f>
        <v>1</v>
      </c>
      <c r="DD18" s="54" t="e">
        <f t="shared" si="79"/>
        <v>#N/A</v>
      </c>
      <c r="DF18" s="112" t="str">
        <f t="shared" si="34"/>
        <v>Barcelona</v>
      </c>
      <c r="DG18" s="20">
        <f t="shared" si="35"/>
        <v>39.9</v>
      </c>
      <c r="DH18" s="3">
        <f t="shared" si="80"/>
        <v>39.9</v>
      </c>
      <c r="DI18" s="3">
        <f>1</f>
        <v>1</v>
      </c>
      <c r="DJ18" s="54" t="e">
        <f t="shared" si="81"/>
        <v>#N/A</v>
      </c>
      <c r="DL18" s="112" t="str">
        <f t="shared" si="36"/>
        <v>Barcelona</v>
      </c>
      <c r="DM18" s="20">
        <f t="shared" si="37"/>
        <v>87.3</v>
      </c>
      <c r="DN18" s="3">
        <f t="shared" si="82"/>
        <v>87.3</v>
      </c>
      <c r="DO18" s="3">
        <f>1</f>
        <v>1</v>
      </c>
      <c r="DP18" s="54" t="e">
        <f t="shared" si="83"/>
        <v>#N/A</v>
      </c>
      <c r="DR18" s="112" t="str">
        <f t="shared" si="38"/>
        <v>Barcelona</v>
      </c>
      <c r="DS18" s="20">
        <f t="shared" si="39"/>
        <v>100</v>
      </c>
      <c r="DT18" s="3">
        <f t="shared" si="84"/>
        <v>100</v>
      </c>
      <c r="DU18" s="3">
        <f>1</f>
        <v>1</v>
      </c>
      <c r="DV18" s="54" t="e">
        <f t="shared" si="85"/>
        <v>#N/A</v>
      </c>
      <c r="DX18" s="112" t="str">
        <f t="shared" si="40"/>
        <v>Barcelona</v>
      </c>
      <c r="DY18" s="20">
        <f t="shared" si="41"/>
        <v>92.4</v>
      </c>
      <c r="DZ18" s="3">
        <f t="shared" si="86"/>
        <v>92.4</v>
      </c>
      <c r="EA18" s="3">
        <f>1</f>
        <v>1</v>
      </c>
      <c r="EB18" s="54" t="e">
        <f t="shared" si="87"/>
        <v>#N/A</v>
      </c>
      <c r="ED18" s="112" t="str">
        <f t="shared" si="42"/>
        <v>Barcelona</v>
      </c>
      <c r="EE18" s="20">
        <f t="shared" si="43"/>
        <v>83.3</v>
      </c>
      <c r="EF18" s="3">
        <f t="shared" si="88"/>
        <v>83.3</v>
      </c>
      <c r="EG18" s="3">
        <f>1</f>
        <v>1</v>
      </c>
      <c r="EH18" s="54" t="e">
        <f t="shared" si="89"/>
        <v>#N/A</v>
      </c>
      <c r="EJ18" s="112" t="str">
        <f t="shared" si="44"/>
        <v>Barcelona</v>
      </c>
      <c r="EK18" s="20">
        <f t="shared" si="45"/>
        <v>69</v>
      </c>
      <c r="EL18" s="3">
        <f t="shared" si="90"/>
        <v>69</v>
      </c>
      <c r="EM18" s="3">
        <f>1</f>
        <v>1</v>
      </c>
      <c r="EN18" s="54" t="e">
        <f t="shared" si="91"/>
        <v>#N/A</v>
      </c>
    </row>
    <row r="19" spans="1:144" ht="12" customHeight="1" thickBot="1">
      <c r="A19" s="3">
        <f>tblTerritories!A16</f>
        <v>14</v>
      </c>
      <c r="B19" s="3">
        <f>tblTerritories!B16</f>
        <v>0</v>
      </c>
      <c r="C19" s="3" t="str">
        <f>tblTerritories!C16</f>
        <v>Kuala Lumpur</v>
      </c>
      <c r="D19" s="3">
        <f>tblTerritories!K16</f>
        <v>1</v>
      </c>
      <c r="E19" s="3">
        <f t="shared" si="46"/>
        <v>0</v>
      </c>
      <c r="F19" s="3">
        <f>IF(E19=1,1,IF(tblTerritories!F16="",0,tblTerritories!F16))</f>
        <v>1</v>
      </c>
      <c r="G19" s="3">
        <f t="shared" si="92"/>
        <v>58.2</v>
      </c>
      <c r="H19" s="3">
        <f>IF(F19=0,"",RANK(G19,G$6:G$35,0)+COUNTIF(G$6:G19,G19)-1)</f>
        <v>23</v>
      </c>
      <c r="I19" s="3">
        <f t="shared" si="1"/>
        <v>11</v>
      </c>
      <c r="J19" s="3">
        <f t="shared" si="47"/>
        <v>1</v>
      </c>
      <c r="K19" s="19"/>
      <c r="L19" s="19"/>
      <c r="M19" s="18"/>
      <c r="N19" s="112" t="str">
        <f t="shared" si="2"/>
        <v>Frankfurt</v>
      </c>
      <c r="O19" s="20">
        <f t="shared" si="3"/>
        <v>69.099999999999994</v>
      </c>
      <c r="P19" s="3">
        <f t="shared" si="48"/>
        <v>69.099999999999994</v>
      </c>
      <c r="Q19" s="3">
        <f>1</f>
        <v>1</v>
      </c>
      <c r="R19" s="54" t="e">
        <f t="shared" si="49"/>
        <v>#N/A</v>
      </c>
      <c r="T19" s="112" t="str">
        <f t="shared" si="4"/>
        <v>Frankfurt</v>
      </c>
      <c r="U19" s="20">
        <f t="shared" si="5"/>
        <v>71.2</v>
      </c>
      <c r="V19" s="3">
        <f t="shared" si="50"/>
        <v>71.2</v>
      </c>
      <c r="W19" s="3">
        <f>1</f>
        <v>1</v>
      </c>
      <c r="X19" s="54" t="e">
        <f t="shared" si="51"/>
        <v>#N/A</v>
      </c>
      <c r="Z19" s="112" t="str">
        <f t="shared" si="6"/>
        <v>Frankfurt</v>
      </c>
      <c r="AA19" s="20">
        <f t="shared" si="7"/>
        <v>76.599999999999994</v>
      </c>
      <c r="AB19" s="3">
        <f t="shared" si="52"/>
        <v>76.599999999999994</v>
      </c>
      <c r="AC19" s="756">
        <v>1</v>
      </c>
      <c r="AD19" s="54" t="e">
        <f t="shared" si="53"/>
        <v>#N/A</v>
      </c>
      <c r="AF19" s="112" t="str">
        <f t="shared" si="8"/>
        <v>Frankfurt</v>
      </c>
      <c r="AG19" s="20">
        <f t="shared" si="9"/>
        <v>36.4</v>
      </c>
      <c r="AH19" s="3">
        <f t="shared" si="54"/>
        <v>36.4</v>
      </c>
      <c r="AI19" s="3">
        <f>1</f>
        <v>1</v>
      </c>
      <c r="AJ19" s="54" t="e">
        <f t="shared" si="55"/>
        <v>#N/A</v>
      </c>
      <c r="AL19" s="112" t="str">
        <f t="shared" si="10"/>
        <v>Frankfurt</v>
      </c>
      <c r="AM19" s="20">
        <f t="shared" si="11"/>
        <v>87.1</v>
      </c>
      <c r="AN19" s="3">
        <f t="shared" si="56"/>
        <v>87.1</v>
      </c>
      <c r="AO19" s="3">
        <f>1</f>
        <v>1</v>
      </c>
      <c r="AP19" s="54" t="e">
        <f t="shared" si="57"/>
        <v>#N/A</v>
      </c>
      <c r="AR19" s="112" t="str">
        <f t="shared" si="12"/>
        <v>Frankfurt</v>
      </c>
      <c r="AS19" s="20">
        <f t="shared" si="13"/>
        <v>69.900000000000006</v>
      </c>
      <c r="AT19" s="3">
        <f t="shared" si="58"/>
        <v>69.900000000000006</v>
      </c>
      <c r="AU19" s="3">
        <f>1</f>
        <v>1</v>
      </c>
      <c r="AV19" s="54" t="e">
        <f t="shared" si="59"/>
        <v>#N/A</v>
      </c>
      <c r="AX19" s="112" t="str">
        <f t="shared" si="14"/>
        <v>Frankfurt</v>
      </c>
      <c r="AY19" s="20">
        <f t="shared" si="15"/>
        <v>90.7</v>
      </c>
      <c r="AZ19" s="3">
        <f t="shared" si="60"/>
        <v>90.7</v>
      </c>
      <c r="BA19" s="3">
        <f>1</f>
        <v>1</v>
      </c>
      <c r="BB19" s="54" t="e">
        <f t="shared" si="61"/>
        <v>#N/A</v>
      </c>
      <c r="BD19" s="112" t="str">
        <f t="shared" si="16"/>
        <v>Frankfurt</v>
      </c>
      <c r="BE19" s="20">
        <f t="shared" si="17"/>
        <v>37</v>
      </c>
      <c r="BF19" s="3">
        <f t="shared" si="62"/>
        <v>37</v>
      </c>
      <c r="BG19" s="3">
        <f>1</f>
        <v>1</v>
      </c>
      <c r="BH19" s="54" t="e">
        <f t="shared" si="63"/>
        <v>#N/A</v>
      </c>
      <c r="BJ19" s="112" t="str">
        <f t="shared" si="18"/>
        <v>Frankfurt</v>
      </c>
      <c r="BK19" s="20">
        <f t="shared" si="19"/>
        <v>100</v>
      </c>
      <c r="BL19" s="3">
        <f t="shared" si="64"/>
        <v>100</v>
      </c>
      <c r="BM19" s="3">
        <f>1</f>
        <v>1</v>
      </c>
      <c r="BN19" s="54" t="e">
        <f t="shared" si="65"/>
        <v>#N/A</v>
      </c>
      <c r="BP19" s="112" t="str">
        <f t="shared" si="20"/>
        <v>Frankfurt</v>
      </c>
      <c r="BQ19" s="20">
        <f t="shared" si="21"/>
        <v>50</v>
      </c>
      <c r="BR19" s="3">
        <f t="shared" si="66"/>
        <v>50</v>
      </c>
      <c r="BS19" s="3">
        <f>1</f>
        <v>1</v>
      </c>
      <c r="BT19" s="54" t="e">
        <f t="shared" si="67"/>
        <v>#N/A</v>
      </c>
      <c r="BV19" s="112" t="str">
        <f t="shared" si="22"/>
        <v>Frankfurt</v>
      </c>
      <c r="BW19" s="20">
        <f t="shared" si="23"/>
        <v>100</v>
      </c>
      <c r="BX19" s="3">
        <f t="shared" si="68"/>
        <v>100</v>
      </c>
      <c r="BY19" s="3">
        <f>1</f>
        <v>1</v>
      </c>
      <c r="BZ19" s="54" t="e">
        <f t="shared" si="69"/>
        <v>#N/A</v>
      </c>
      <c r="CB19" s="112" t="str">
        <f t="shared" si="24"/>
        <v>Frankfurt</v>
      </c>
      <c r="CC19" s="20">
        <f t="shared" si="25"/>
        <v>28.8</v>
      </c>
      <c r="CD19" s="3">
        <f t="shared" si="70"/>
        <v>28.8</v>
      </c>
      <c r="CE19" s="3">
        <f>1</f>
        <v>1</v>
      </c>
      <c r="CF19" s="54" t="e">
        <f t="shared" si="71"/>
        <v>#N/A</v>
      </c>
      <c r="CH19" s="112" t="str">
        <f t="shared" si="26"/>
        <v>Frankfurt</v>
      </c>
      <c r="CI19" s="20">
        <f t="shared" si="27"/>
        <v>62.7</v>
      </c>
      <c r="CJ19" s="3">
        <f t="shared" si="72"/>
        <v>62.7</v>
      </c>
      <c r="CK19" s="3">
        <f>1</f>
        <v>1</v>
      </c>
      <c r="CL19" s="54" t="e">
        <f t="shared" si="73"/>
        <v>#N/A</v>
      </c>
      <c r="CN19" s="112" t="str">
        <f t="shared" si="28"/>
        <v>Frankfurt</v>
      </c>
      <c r="CO19" s="20">
        <f t="shared" si="29"/>
        <v>63.7</v>
      </c>
      <c r="CP19" s="3">
        <f t="shared" si="74"/>
        <v>63.7</v>
      </c>
      <c r="CQ19" s="3">
        <f>1</f>
        <v>1</v>
      </c>
      <c r="CR19" s="54" t="e">
        <f t="shared" si="75"/>
        <v>#N/A</v>
      </c>
      <c r="CT19" s="112" t="str">
        <f t="shared" si="30"/>
        <v>Frankfurt</v>
      </c>
      <c r="CU19" s="20">
        <f t="shared" si="31"/>
        <v>79.900000000000006</v>
      </c>
      <c r="CV19" s="3">
        <f t="shared" si="76"/>
        <v>79.900000000000006</v>
      </c>
      <c r="CW19" s="3">
        <f>1</f>
        <v>1</v>
      </c>
      <c r="CX19" s="54" t="e">
        <f t="shared" si="77"/>
        <v>#N/A</v>
      </c>
      <c r="CZ19" s="112" t="str">
        <f t="shared" si="32"/>
        <v>Frankfurt</v>
      </c>
      <c r="DA19" s="20">
        <f t="shared" si="33"/>
        <v>62.8</v>
      </c>
      <c r="DB19" s="3">
        <f t="shared" si="78"/>
        <v>62.8</v>
      </c>
      <c r="DC19" s="3">
        <f>1</f>
        <v>1</v>
      </c>
      <c r="DD19" s="54" t="e">
        <f t="shared" si="79"/>
        <v>#N/A</v>
      </c>
      <c r="DF19" s="112" t="str">
        <f t="shared" si="34"/>
        <v>Frankfurt</v>
      </c>
      <c r="DG19" s="20">
        <f t="shared" si="35"/>
        <v>33.1</v>
      </c>
      <c r="DH19" s="3">
        <f t="shared" si="80"/>
        <v>33.1</v>
      </c>
      <c r="DI19" s="3">
        <f>1</f>
        <v>1</v>
      </c>
      <c r="DJ19" s="54" t="e">
        <f t="shared" si="81"/>
        <v>#N/A</v>
      </c>
      <c r="DL19" s="112" t="str">
        <f t="shared" si="36"/>
        <v>Frankfurt</v>
      </c>
      <c r="DM19" s="20">
        <f t="shared" si="37"/>
        <v>71.7</v>
      </c>
      <c r="DN19" s="3">
        <f t="shared" si="82"/>
        <v>71.7</v>
      </c>
      <c r="DO19" s="3">
        <f>1</f>
        <v>1</v>
      </c>
      <c r="DP19" s="54" t="e">
        <f t="shared" si="83"/>
        <v>#N/A</v>
      </c>
      <c r="DR19" s="112" t="str">
        <f t="shared" si="38"/>
        <v>Frankfurt</v>
      </c>
      <c r="DS19" s="20">
        <f t="shared" si="39"/>
        <v>87.5</v>
      </c>
      <c r="DT19" s="3">
        <f t="shared" si="84"/>
        <v>87.5</v>
      </c>
      <c r="DU19" s="3">
        <f>1</f>
        <v>1</v>
      </c>
      <c r="DV19" s="54" t="e">
        <f t="shared" si="85"/>
        <v>#N/A</v>
      </c>
      <c r="DX19" s="112" t="str">
        <f t="shared" si="40"/>
        <v>Frankfurt</v>
      </c>
      <c r="DY19" s="20">
        <f t="shared" si="41"/>
        <v>100</v>
      </c>
      <c r="DZ19" s="3">
        <f t="shared" si="86"/>
        <v>100</v>
      </c>
      <c r="EA19" s="3">
        <f>1</f>
        <v>1</v>
      </c>
      <c r="EB19" s="54" t="e">
        <f t="shared" si="87"/>
        <v>#N/A</v>
      </c>
      <c r="ED19" s="112" t="str">
        <f t="shared" si="42"/>
        <v>Frankfurt</v>
      </c>
      <c r="EE19" s="20">
        <f t="shared" si="43"/>
        <v>50</v>
      </c>
      <c r="EF19" s="3">
        <f t="shared" si="88"/>
        <v>50</v>
      </c>
      <c r="EG19" s="3">
        <f>1</f>
        <v>1</v>
      </c>
      <c r="EH19" s="54" t="e">
        <f t="shared" si="89"/>
        <v>#N/A</v>
      </c>
      <c r="EJ19" s="112" t="str">
        <f t="shared" si="44"/>
        <v>Frankfurt</v>
      </c>
      <c r="EK19" s="20">
        <f t="shared" si="45"/>
        <v>38.1</v>
      </c>
      <c r="EL19" s="3">
        <f t="shared" si="90"/>
        <v>38.1</v>
      </c>
      <c r="EM19" s="3">
        <f>1</f>
        <v>1</v>
      </c>
      <c r="EN19" s="54" t="e">
        <f t="shared" si="91"/>
        <v>#N/A</v>
      </c>
    </row>
    <row r="20" spans="1:144" ht="12" customHeight="1" thickBot="1">
      <c r="A20" s="3">
        <f>tblTerritories!A17</f>
        <v>15</v>
      </c>
      <c r="B20" s="3">
        <f>tblTerritories!B17</f>
        <v>0</v>
      </c>
      <c r="C20" s="3" t="str">
        <f>tblTerritories!C17</f>
        <v>London</v>
      </c>
      <c r="D20" s="3">
        <f>tblTerritories!K17</f>
        <v>1</v>
      </c>
      <c r="E20" s="3">
        <f t="shared" si="46"/>
        <v>0</v>
      </c>
      <c r="F20" s="3">
        <f>IF(E20=1,1,IF(tblTerritories!F17="",0,tblTerritories!F17))</f>
        <v>1</v>
      </c>
      <c r="G20" s="3">
        <f t="shared" si="92"/>
        <v>73.599999999999994</v>
      </c>
      <c r="H20" s="3">
        <f>IF(F20=0,"",RANK(G20,G$6:G$35,0)+COUNTIF(G$6:G20,G20)-1)</f>
        <v>4</v>
      </c>
      <c r="I20" s="3">
        <f t="shared" si="1"/>
        <v>9</v>
      </c>
      <c r="J20" s="3">
        <f t="shared" si="47"/>
        <v>1</v>
      </c>
      <c r="K20" s="19"/>
      <c r="L20" s="19"/>
      <c r="M20" s="18"/>
      <c r="N20" s="112" t="str">
        <f t="shared" si="2"/>
        <v>Dallas</v>
      </c>
      <c r="O20" s="20">
        <f t="shared" si="3"/>
        <v>68.7</v>
      </c>
      <c r="P20" s="3">
        <f t="shared" si="48"/>
        <v>68.7</v>
      </c>
      <c r="Q20" s="3">
        <f>1</f>
        <v>1</v>
      </c>
      <c r="R20" s="54" t="e">
        <f t="shared" si="49"/>
        <v>#N/A</v>
      </c>
      <c r="T20" s="112" t="str">
        <f t="shared" si="4"/>
        <v>Dallas</v>
      </c>
      <c r="U20" s="20">
        <f t="shared" si="5"/>
        <v>74.2</v>
      </c>
      <c r="V20" s="3">
        <f t="shared" si="50"/>
        <v>74.2</v>
      </c>
      <c r="W20" s="3">
        <f>1</f>
        <v>1</v>
      </c>
      <c r="X20" s="54" t="e">
        <f t="shared" si="51"/>
        <v>#N/A</v>
      </c>
      <c r="Z20" s="112" t="str">
        <f t="shared" si="6"/>
        <v>Dallas</v>
      </c>
      <c r="AA20" s="20">
        <f t="shared" si="7"/>
        <v>84.8</v>
      </c>
      <c r="AB20" s="3">
        <f t="shared" si="52"/>
        <v>84.8</v>
      </c>
      <c r="AC20" s="756">
        <v>1</v>
      </c>
      <c r="AD20" s="54" t="e">
        <f t="shared" si="53"/>
        <v>#N/A</v>
      </c>
      <c r="AF20" s="112" t="str">
        <f t="shared" si="8"/>
        <v>Dallas</v>
      </c>
      <c r="AG20" s="20">
        <f t="shared" si="9"/>
        <v>29.9</v>
      </c>
      <c r="AH20" s="3">
        <f t="shared" si="54"/>
        <v>29.9</v>
      </c>
      <c r="AI20" s="3">
        <f>1</f>
        <v>1</v>
      </c>
      <c r="AJ20" s="54" t="e">
        <f t="shared" si="55"/>
        <v>#N/A</v>
      </c>
      <c r="AL20" s="112" t="str">
        <f t="shared" si="10"/>
        <v>Dallas</v>
      </c>
      <c r="AM20" s="20">
        <f t="shared" si="11"/>
        <v>89.8</v>
      </c>
      <c r="AN20" s="3">
        <f t="shared" si="56"/>
        <v>89.8</v>
      </c>
      <c r="AO20" s="3">
        <f>1</f>
        <v>1</v>
      </c>
      <c r="AP20" s="54" t="e">
        <f t="shared" si="57"/>
        <v>#N/A</v>
      </c>
      <c r="AR20" s="112" t="str">
        <f t="shared" si="12"/>
        <v>Dallas</v>
      </c>
      <c r="AS20" s="20">
        <f t="shared" si="13"/>
        <v>67.5</v>
      </c>
      <c r="AT20" s="3">
        <f t="shared" si="58"/>
        <v>67.5</v>
      </c>
      <c r="AU20" s="3">
        <f>1</f>
        <v>1</v>
      </c>
      <c r="AV20" s="54" t="e">
        <f t="shared" si="59"/>
        <v>#N/A</v>
      </c>
      <c r="AX20" s="112" t="str">
        <f t="shared" si="14"/>
        <v>Dallas</v>
      </c>
      <c r="AY20" s="20">
        <f t="shared" si="15"/>
        <v>66.099999999999994</v>
      </c>
      <c r="AZ20" s="3">
        <f t="shared" si="60"/>
        <v>66.099999999999994</v>
      </c>
      <c r="BA20" s="3">
        <f>1</f>
        <v>1</v>
      </c>
      <c r="BB20" s="54" t="e">
        <f t="shared" si="61"/>
        <v>#N/A</v>
      </c>
      <c r="BD20" s="112" t="str">
        <f t="shared" si="16"/>
        <v>Dallas</v>
      </c>
      <c r="BE20" s="20">
        <f t="shared" si="17"/>
        <v>57.3</v>
      </c>
      <c r="BF20" s="3">
        <f t="shared" si="62"/>
        <v>57.3</v>
      </c>
      <c r="BG20" s="3">
        <f>1</f>
        <v>1</v>
      </c>
      <c r="BH20" s="54" t="e">
        <f t="shared" si="63"/>
        <v>#N/A</v>
      </c>
      <c r="BJ20" s="112" t="str">
        <f t="shared" si="18"/>
        <v>Dallas</v>
      </c>
      <c r="BK20" s="20">
        <f t="shared" si="19"/>
        <v>76.900000000000006</v>
      </c>
      <c r="BL20" s="3">
        <f t="shared" si="64"/>
        <v>76.900000000000006</v>
      </c>
      <c r="BM20" s="3">
        <f>1</f>
        <v>1</v>
      </c>
      <c r="BN20" s="54" t="e">
        <f t="shared" si="65"/>
        <v>#N/A</v>
      </c>
      <c r="BP20" s="112" t="str">
        <f t="shared" si="20"/>
        <v>Dallas</v>
      </c>
      <c r="BQ20" s="20">
        <f t="shared" si="21"/>
        <v>73.2</v>
      </c>
      <c r="BR20" s="3">
        <f t="shared" si="66"/>
        <v>73.2</v>
      </c>
      <c r="BS20" s="3">
        <f>1</f>
        <v>1</v>
      </c>
      <c r="BT20" s="54" t="e">
        <f t="shared" si="67"/>
        <v>#N/A</v>
      </c>
      <c r="BV20" s="112" t="str">
        <f t="shared" si="22"/>
        <v>Dallas</v>
      </c>
      <c r="BW20" s="20">
        <f t="shared" si="23"/>
        <v>100</v>
      </c>
      <c r="BX20" s="3">
        <f t="shared" si="68"/>
        <v>100</v>
      </c>
      <c r="BY20" s="3">
        <f>1</f>
        <v>1</v>
      </c>
      <c r="BZ20" s="54" t="e">
        <f t="shared" si="69"/>
        <v>#N/A</v>
      </c>
      <c r="CB20" s="112" t="str">
        <f t="shared" si="24"/>
        <v>Dallas</v>
      </c>
      <c r="CC20" s="20">
        <f t="shared" si="25"/>
        <v>29.2</v>
      </c>
      <c r="CD20" s="3">
        <f t="shared" si="70"/>
        <v>29.2</v>
      </c>
      <c r="CE20" s="3">
        <f>1</f>
        <v>1</v>
      </c>
      <c r="CF20" s="54" t="e">
        <f t="shared" si="71"/>
        <v>#N/A</v>
      </c>
      <c r="CH20" s="112" t="str">
        <f t="shared" si="26"/>
        <v>Dallas</v>
      </c>
      <c r="CI20" s="20">
        <f t="shared" si="27"/>
        <v>67.5</v>
      </c>
      <c r="CJ20" s="3">
        <f t="shared" si="72"/>
        <v>67.5</v>
      </c>
      <c r="CK20" s="3">
        <f>1</f>
        <v>1</v>
      </c>
      <c r="CL20" s="54" t="e">
        <f t="shared" si="73"/>
        <v>#N/A</v>
      </c>
      <c r="CN20" s="112" t="str">
        <f t="shared" si="28"/>
        <v>Dallas</v>
      </c>
      <c r="CO20" s="20">
        <f t="shared" si="29"/>
        <v>78</v>
      </c>
      <c r="CP20" s="3">
        <f t="shared" si="74"/>
        <v>78</v>
      </c>
      <c r="CQ20" s="3">
        <f>1</f>
        <v>1</v>
      </c>
      <c r="CR20" s="54" t="e">
        <f t="shared" si="75"/>
        <v>#N/A</v>
      </c>
      <c r="CT20" s="112" t="str">
        <f t="shared" si="30"/>
        <v>Dallas</v>
      </c>
      <c r="CU20" s="20">
        <f t="shared" si="31"/>
        <v>76.900000000000006</v>
      </c>
      <c r="CV20" s="3">
        <f t="shared" si="76"/>
        <v>76.900000000000006</v>
      </c>
      <c r="CW20" s="3">
        <f>1</f>
        <v>1</v>
      </c>
      <c r="CX20" s="54" t="e">
        <f t="shared" si="77"/>
        <v>#N/A</v>
      </c>
      <c r="CZ20" s="112" t="str">
        <f t="shared" si="32"/>
        <v>Dallas</v>
      </c>
      <c r="DA20" s="20">
        <f t="shared" si="33"/>
        <v>66.2</v>
      </c>
      <c r="DB20" s="3">
        <f t="shared" si="78"/>
        <v>66.2</v>
      </c>
      <c r="DC20" s="3">
        <f>1</f>
        <v>1</v>
      </c>
      <c r="DD20" s="54" t="e">
        <f t="shared" si="79"/>
        <v>#N/A</v>
      </c>
      <c r="DF20" s="112" t="str">
        <f t="shared" si="34"/>
        <v>Dallas</v>
      </c>
      <c r="DG20" s="20">
        <f t="shared" si="35"/>
        <v>43.5</v>
      </c>
      <c r="DH20" s="3">
        <f t="shared" si="80"/>
        <v>43.5</v>
      </c>
      <c r="DI20" s="3">
        <f>1</f>
        <v>1</v>
      </c>
      <c r="DJ20" s="54" t="e">
        <f t="shared" si="81"/>
        <v>#N/A</v>
      </c>
      <c r="DL20" s="112" t="str">
        <f t="shared" si="36"/>
        <v>Dallas</v>
      </c>
      <c r="DM20" s="20">
        <f t="shared" si="37"/>
        <v>63.7</v>
      </c>
      <c r="DN20" s="3">
        <f t="shared" si="82"/>
        <v>63.7</v>
      </c>
      <c r="DO20" s="3">
        <f>1</f>
        <v>1</v>
      </c>
      <c r="DP20" s="54" t="e">
        <f t="shared" si="83"/>
        <v>#N/A</v>
      </c>
      <c r="DR20" s="112" t="str">
        <f t="shared" si="38"/>
        <v>Dallas</v>
      </c>
      <c r="DS20" s="20">
        <f t="shared" si="39"/>
        <v>66.400000000000006</v>
      </c>
      <c r="DT20" s="3">
        <f t="shared" si="84"/>
        <v>66.400000000000006</v>
      </c>
      <c r="DU20" s="3">
        <f>1</f>
        <v>1</v>
      </c>
      <c r="DV20" s="54" t="e">
        <f t="shared" si="85"/>
        <v>#N/A</v>
      </c>
      <c r="DX20" s="112" t="str">
        <f t="shared" si="40"/>
        <v>Dallas</v>
      </c>
      <c r="DY20" s="20">
        <f t="shared" si="41"/>
        <v>92.4</v>
      </c>
      <c r="DZ20" s="3">
        <f t="shared" si="86"/>
        <v>92.4</v>
      </c>
      <c r="EA20" s="3">
        <f>1</f>
        <v>1</v>
      </c>
      <c r="EB20" s="54" t="e">
        <f t="shared" si="87"/>
        <v>#N/A</v>
      </c>
      <c r="ED20" s="112" t="str">
        <f t="shared" si="42"/>
        <v>Dallas</v>
      </c>
      <c r="EE20" s="20">
        <f t="shared" si="43"/>
        <v>50</v>
      </c>
      <c r="EF20" s="3">
        <f t="shared" si="88"/>
        <v>50</v>
      </c>
      <c r="EG20" s="3">
        <f>1</f>
        <v>1</v>
      </c>
      <c r="EH20" s="54" t="e">
        <f t="shared" si="89"/>
        <v>#N/A</v>
      </c>
      <c r="EJ20" s="112" t="str">
        <f t="shared" si="44"/>
        <v>Dallas</v>
      </c>
      <c r="EK20" s="20">
        <f t="shared" si="45"/>
        <v>38.1</v>
      </c>
      <c r="EL20" s="3">
        <f t="shared" si="90"/>
        <v>38.1</v>
      </c>
      <c r="EM20" s="3">
        <f>1</f>
        <v>1</v>
      </c>
      <c r="EN20" s="54" t="e">
        <f t="shared" si="91"/>
        <v>#N/A</v>
      </c>
    </row>
    <row r="21" spans="1:144" ht="12" customHeight="1" thickBot="1">
      <c r="A21" s="3">
        <f>tblTerritories!A18</f>
        <v>16</v>
      </c>
      <c r="B21" s="3">
        <f>tblTerritories!B18</f>
        <v>0</v>
      </c>
      <c r="C21" s="3" t="str">
        <f>tblTerritories!C18</f>
        <v>Madrid</v>
      </c>
      <c r="D21" s="3">
        <f>tblTerritories!K18</f>
        <v>1</v>
      </c>
      <c r="E21" s="3">
        <f t="shared" si="46"/>
        <v>0</v>
      </c>
      <c r="F21" s="3">
        <f>IF(E21=1,1,IF(tblTerritories!F18="",0,tblTerritories!F18))</f>
        <v>1</v>
      </c>
      <c r="G21" s="3">
        <f t="shared" si="92"/>
        <v>63.2</v>
      </c>
      <c r="H21" s="3">
        <f>IF(F21=0,"",RANK(G21,G$6:G$35,0)+COUNTIF(G$6:G21,G21)-1)</f>
        <v>19</v>
      </c>
      <c r="I21" s="3">
        <f t="shared" si="1"/>
        <v>6</v>
      </c>
      <c r="J21" s="3">
        <f t="shared" si="47"/>
        <v>1</v>
      </c>
      <c r="K21" s="19"/>
      <c r="L21" s="19"/>
      <c r="M21" s="18"/>
      <c r="N21" s="112" t="str">
        <f t="shared" si="2"/>
        <v>Berlin</v>
      </c>
      <c r="O21" s="20">
        <f t="shared" si="3"/>
        <v>68.2</v>
      </c>
      <c r="P21" s="3">
        <f t="shared" si="48"/>
        <v>68.2</v>
      </c>
      <c r="Q21" s="3">
        <f>1</f>
        <v>1</v>
      </c>
      <c r="R21" s="54" t="e">
        <f t="shared" si="49"/>
        <v>#N/A</v>
      </c>
      <c r="T21" s="112" t="str">
        <f t="shared" si="4"/>
        <v>Berlin</v>
      </c>
      <c r="U21" s="20">
        <f t="shared" si="5"/>
        <v>65.900000000000006</v>
      </c>
      <c r="V21" s="3">
        <f t="shared" si="50"/>
        <v>65.900000000000006</v>
      </c>
      <c r="W21" s="3">
        <f>1</f>
        <v>1</v>
      </c>
      <c r="X21" s="54" t="e">
        <f t="shared" si="51"/>
        <v>#N/A</v>
      </c>
      <c r="Z21" s="112" t="str">
        <f t="shared" si="6"/>
        <v>Berlin</v>
      </c>
      <c r="AA21" s="20">
        <f t="shared" si="7"/>
        <v>76.599999999999994</v>
      </c>
      <c r="AB21" s="3">
        <f t="shared" si="52"/>
        <v>76.599999999999994</v>
      </c>
      <c r="AC21" s="756">
        <v>1</v>
      </c>
      <c r="AD21" s="54" t="e">
        <f t="shared" si="53"/>
        <v>#N/A</v>
      </c>
      <c r="AF21" s="112" t="str">
        <f t="shared" si="8"/>
        <v>Berlin</v>
      </c>
      <c r="AG21" s="20">
        <f t="shared" si="9"/>
        <v>36.4</v>
      </c>
      <c r="AH21" s="3">
        <f t="shared" si="54"/>
        <v>36.4</v>
      </c>
      <c r="AI21" s="3">
        <f>1</f>
        <v>1</v>
      </c>
      <c r="AJ21" s="54" t="e">
        <f t="shared" si="55"/>
        <v>#N/A</v>
      </c>
      <c r="AL21" s="112" t="str">
        <f t="shared" si="10"/>
        <v>Berlin</v>
      </c>
      <c r="AM21" s="20">
        <f t="shared" si="11"/>
        <v>71.3</v>
      </c>
      <c r="AN21" s="3">
        <f t="shared" si="56"/>
        <v>71.3</v>
      </c>
      <c r="AO21" s="3">
        <f>1</f>
        <v>1</v>
      </c>
      <c r="AP21" s="54" t="e">
        <f t="shared" si="57"/>
        <v>#N/A</v>
      </c>
      <c r="AR21" s="112" t="str">
        <f t="shared" si="12"/>
        <v>Berlin</v>
      </c>
      <c r="AS21" s="20">
        <f t="shared" si="13"/>
        <v>73.8</v>
      </c>
      <c r="AT21" s="3">
        <f t="shared" si="58"/>
        <v>73.8</v>
      </c>
      <c r="AU21" s="3">
        <f>1</f>
        <v>1</v>
      </c>
      <c r="AV21" s="54" t="e">
        <f t="shared" si="59"/>
        <v>#N/A</v>
      </c>
      <c r="AX21" s="112" t="str">
        <f t="shared" si="14"/>
        <v>Berlin</v>
      </c>
      <c r="AY21" s="20">
        <f t="shared" si="15"/>
        <v>90.7</v>
      </c>
      <c r="AZ21" s="3">
        <f t="shared" si="60"/>
        <v>90.7</v>
      </c>
      <c r="BA21" s="3">
        <f>1</f>
        <v>1</v>
      </c>
      <c r="BB21" s="54" t="e">
        <f t="shared" si="61"/>
        <v>#N/A</v>
      </c>
      <c r="BD21" s="112" t="str">
        <f t="shared" si="16"/>
        <v>Berlin</v>
      </c>
      <c r="BE21" s="20">
        <f t="shared" si="17"/>
        <v>29.6</v>
      </c>
      <c r="BF21" s="3">
        <f t="shared" si="62"/>
        <v>29.6</v>
      </c>
      <c r="BG21" s="3">
        <f>1</f>
        <v>1</v>
      </c>
      <c r="BH21" s="54" t="e">
        <f t="shared" si="63"/>
        <v>#N/A</v>
      </c>
      <c r="BJ21" s="112" t="str">
        <f t="shared" si="18"/>
        <v>Berlin</v>
      </c>
      <c r="BK21" s="20">
        <f t="shared" si="19"/>
        <v>76.900000000000006</v>
      </c>
      <c r="BL21" s="3">
        <f t="shared" si="64"/>
        <v>76.900000000000006</v>
      </c>
      <c r="BM21" s="3">
        <f>1</f>
        <v>1</v>
      </c>
      <c r="BN21" s="54" t="e">
        <f t="shared" si="65"/>
        <v>#N/A</v>
      </c>
      <c r="BP21" s="112" t="str">
        <f t="shared" si="20"/>
        <v>Berlin</v>
      </c>
      <c r="BQ21" s="20">
        <f t="shared" si="21"/>
        <v>68.3</v>
      </c>
      <c r="BR21" s="3">
        <f t="shared" si="66"/>
        <v>68.3</v>
      </c>
      <c r="BS21" s="3">
        <f>1</f>
        <v>1</v>
      </c>
      <c r="BT21" s="54" t="e">
        <f t="shared" si="67"/>
        <v>#N/A</v>
      </c>
      <c r="BV21" s="112" t="str">
        <f t="shared" si="22"/>
        <v>Berlin</v>
      </c>
      <c r="BW21" s="20">
        <f t="shared" si="23"/>
        <v>100</v>
      </c>
      <c r="BX21" s="3">
        <f t="shared" si="68"/>
        <v>100</v>
      </c>
      <c r="BY21" s="3">
        <f>1</f>
        <v>1</v>
      </c>
      <c r="BZ21" s="54" t="e">
        <f t="shared" si="69"/>
        <v>#N/A</v>
      </c>
      <c r="CB21" s="112" t="str">
        <f t="shared" si="24"/>
        <v>Berlin</v>
      </c>
      <c r="CC21" s="20">
        <f t="shared" si="25"/>
        <v>72.3</v>
      </c>
      <c r="CD21" s="3">
        <f t="shared" si="70"/>
        <v>72.3</v>
      </c>
      <c r="CE21" s="3">
        <f>1</f>
        <v>1</v>
      </c>
      <c r="CF21" s="54" t="e">
        <f t="shared" si="71"/>
        <v>#N/A</v>
      </c>
      <c r="CH21" s="112" t="str">
        <f t="shared" si="26"/>
        <v>Berlin</v>
      </c>
      <c r="CI21" s="20">
        <f t="shared" si="27"/>
        <v>62.7</v>
      </c>
      <c r="CJ21" s="3">
        <f t="shared" si="72"/>
        <v>62.7</v>
      </c>
      <c r="CK21" s="3">
        <f>1</f>
        <v>1</v>
      </c>
      <c r="CL21" s="54" t="e">
        <f t="shared" si="73"/>
        <v>#N/A</v>
      </c>
      <c r="CN21" s="112" t="str">
        <f t="shared" si="28"/>
        <v>Berlin</v>
      </c>
      <c r="CO21" s="20">
        <f t="shared" si="29"/>
        <v>62.2</v>
      </c>
      <c r="CP21" s="3">
        <f t="shared" si="74"/>
        <v>62.2</v>
      </c>
      <c r="CQ21" s="3">
        <f>1</f>
        <v>1</v>
      </c>
      <c r="CR21" s="54" t="e">
        <f t="shared" si="75"/>
        <v>#N/A</v>
      </c>
      <c r="CT21" s="112" t="str">
        <f t="shared" si="30"/>
        <v>Berlin</v>
      </c>
      <c r="CU21" s="20">
        <f t="shared" si="31"/>
        <v>79.900000000000006</v>
      </c>
      <c r="CV21" s="3">
        <f t="shared" si="76"/>
        <v>79.900000000000006</v>
      </c>
      <c r="CW21" s="3">
        <f>1</f>
        <v>1</v>
      </c>
      <c r="CX21" s="54" t="e">
        <f t="shared" si="77"/>
        <v>#N/A</v>
      </c>
      <c r="CZ21" s="112" t="str">
        <f t="shared" si="32"/>
        <v>Berlin</v>
      </c>
      <c r="DA21" s="20">
        <f t="shared" si="33"/>
        <v>67</v>
      </c>
      <c r="DB21" s="3">
        <f t="shared" si="78"/>
        <v>67</v>
      </c>
      <c r="DC21" s="3">
        <f>1</f>
        <v>1</v>
      </c>
      <c r="DD21" s="54" t="e">
        <f t="shared" si="79"/>
        <v>#N/A</v>
      </c>
      <c r="DF21" s="112" t="str">
        <f t="shared" si="34"/>
        <v>Berlin</v>
      </c>
      <c r="DG21" s="20">
        <f t="shared" si="35"/>
        <v>27.6</v>
      </c>
      <c r="DH21" s="3">
        <f t="shared" si="80"/>
        <v>27.6</v>
      </c>
      <c r="DI21" s="3">
        <f>1</f>
        <v>1</v>
      </c>
      <c r="DJ21" s="54" t="e">
        <f t="shared" si="81"/>
        <v>#N/A</v>
      </c>
      <c r="DL21" s="112" t="str">
        <f t="shared" si="36"/>
        <v>Berlin</v>
      </c>
      <c r="DM21" s="20">
        <f t="shared" si="37"/>
        <v>69.599999999999994</v>
      </c>
      <c r="DN21" s="3">
        <f t="shared" si="82"/>
        <v>69.599999999999994</v>
      </c>
      <c r="DO21" s="3">
        <f>1</f>
        <v>1</v>
      </c>
      <c r="DP21" s="54" t="e">
        <f t="shared" si="83"/>
        <v>#N/A</v>
      </c>
      <c r="DR21" s="112" t="str">
        <f t="shared" si="38"/>
        <v>Berlin</v>
      </c>
      <c r="DS21" s="20">
        <f t="shared" si="39"/>
        <v>87.5</v>
      </c>
      <c r="DT21" s="3">
        <f t="shared" si="84"/>
        <v>87.5</v>
      </c>
      <c r="DU21" s="3">
        <f>1</f>
        <v>1</v>
      </c>
      <c r="DV21" s="54" t="e">
        <f t="shared" si="85"/>
        <v>#N/A</v>
      </c>
      <c r="DX21" s="112" t="str">
        <f t="shared" si="40"/>
        <v>Berlin</v>
      </c>
      <c r="DY21" s="20">
        <f t="shared" si="41"/>
        <v>92.4</v>
      </c>
      <c r="DZ21" s="3">
        <f t="shared" si="86"/>
        <v>92.4</v>
      </c>
      <c r="EA21" s="3">
        <f>1</f>
        <v>1</v>
      </c>
      <c r="EB21" s="54" t="e">
        <f t="shared" si="87"/>
        <v>#N/A</v>
      </c>
      <c r="ED21" s="112" t="str">
        <f t="shared" si="42"/>
        <v>Berlin</v>
      </c>
      <c r="EE21" s="20">
        <f t="shared" si="43"/>
        <v>50</v>
      </c>
      <c r="EF21" s="3">
        <f t="shared" si="88"/>
        <v>50</v>
      </c>
      <c r="EG21" s="3">
        <f>1</f>
        <v>1</v>
      </c>
      <c r="EH21" s="54" t="e">
        <f t="shared" si="89"/>
        <v>#N/A</v>
      </c>
      <c r="EJ21" s="112" t="str">
        <f t="shared" si="44"/>
        <v>Berlin</v>
      </c>
      <c r="EK21" s="20">
        <f t="shared" si="45"/>
        <v>38.1</v>
      </c>
      <c r="EL21" s="3">
        <f t="shared" si="90"/>
        <v>38.1</v>
      </c>
      <c r="EM21" s="3">
        <f>1</f>
        <v>1</v>
      </c>
      <c r="EN21" s="54" t="e">
        <f t="shared" si="91"/>
        <v>#N/A</v>
      </c>
    </row>
    <row r="22" spans="1:144" ht="12" customHeight="1" thickBot="1">
      <c r="A22" s="3">
        <f>tblTerritories!A19</f>
        <v>17</v>
      </c>
      <c r="B22" s="3">
        <f>tblTerritories!B19</f>
        <v>0</v>
      </c>
      <c r="C22" s="3" t="str">
        <f>tblTerritories!C19</f>
        <v>Manila</v>
      </c>
      <c r="D22" s="3">
        <f>tblTerritories!K19</f>
        <v>1</v>
      </c>
      <c r="E22" s="3">
        <f t="shared" si="46"/>
        <v>0</v>
      </c>
      <c r="F22" s="3">
        <f>IF(E22=1,1,IF(tblTerritories!F19="",0,tblTerritories!F19))</f>
        <v>1</v>
      </c>
      <c r="G22" s="3">
        <f t="shared" si="92"/>
        <v>39.1</v>
      </c>
      <c r="H22" s="3">
        <f>IF(F22=0,"",RANK(G22,G$6:G$35,0)+COUNTIF(G$6:G22,G22)-1)</f>
        <v>30</v>
      </c>
      <c r="I22" s="3">
        <f t="shared" si="1"/>
        <v>12</v>
      </c>
      <c r="J22" s="3">
        <f t="shared" si="47"/>
        <v>1</v>
      </c>
      <c r="K22" s="19"/>
      <c r="L22" s="19"/>
      <c r="M22" s="18"/>
      <c r="N22" s="112" t="str">
        <f t="shared" si="2"/>
        <v>Hong Kong</v>
      </c>
      <c r="O22" s="20">
        <f t="shared" si="3"/>
        <v>68</v>
      </c>
      <c r="P22" s="3">
        <f t="shared" si="48"/>
        <v>68</v>
      </c>
      <c r="Q22" s="3">
        <f>1</f>
        <v>1</v>
      </c>
      <c r="R22" s="54" t="e">
        <f t="shared" si="49"/>
        <v>#N/A</v>
      </c>
      <c r="T22" s="112" t="str">
        <f t="shared" si="4"/>
        <v>Hong Kong</v>
      </c>
      <c r="U22" s="20">
        <f t="shared" si="5"/>
        <v>76.599999999999994</v>
      </c>
      <c r="V22" s="3">
        <f t="shared" si="50"/>
        <v>76.599999999999994</v>
      </c>
      <c r="W22" s="3">
        <f>1</f>
        <v>1</v>
      </c>
      <c r="X22" s="54" t="e">
        <f t="shared" si="51"/>
        <v>#N/A</v>
      </c>
      <c r="Z22" s="112" t="str">
        <f t="shared" si="6"/>
        <v>Hong Kong</v>
      </c>
      <c r="AA22" s="20">
        <f t="shared" si="7"/>
        <v>84.4</v>
      </c>
      <c r="AB22" s="3">
        <f t="shared" si="52"/>
        <v>84.4</v>
      </c>
      <c r="AC22" s="756">
        <v>1</v>
      </c>
      <c r="AD22" s="54" t="e">
        <f t="shared" si="53"/>
        <v>#N/A</v>
      </c>
      <c r="AF22" s="112" t="str">
        <f t="shared" si="8"/>
        <v>Hong Kong</v>
      </c>
      <c r="AG22" s="20">
        <f t="shared" si="9"/>
        <v>58.1</v>
      </c>
      <c r="AH22" s="3">
        <f t="shared" si="54"/>
        <v>58.1</v>
      </c>
      <c r="AI22" s="3">
        <f>1</f>
        <v>1</v>
      </c>
      <c r="AJ22" s="54" t="e">
        <f t="shared" si="55"/>
        <v>#N/A</v>
      </c>
      <c r="AL22" s="112" t="str">
        <f t="shared" si="10"/>
        <v>Hong Kong</v>
      </c>
      <c r="AM22" s="20">
        <f t="shared" si="11"/>
        <v>78.5</v>
      </c>
      <c r="AN22" s="3">
        <f t="shared" si="56"/>
        <v>78.5</v>
      </c>
      <c r="AO22" s="3">
        <f>1</f>
        <v>1</v>
      </c>
      <c r="AP22" s="54" t="e">
        <f t="shared" si="57"/>
        <v>#N/A</v>
      </c>
      <c r="AR22" s="112" t="str">
        <f t="shared" si="12"/>
        <v>Hong Kong</v>
      </c>
      <c r="AS22" s="20">
        <f t="shared" si="13"/>
        <v>70.2</v>
      </c>
      <c r="AT22" s="3">
        <f t="shared" si="58"/>
        <v>70.2</v>
      </c>
      <c r="AU22" s="3">
        <f>1</f>
        <v>1</v>
      </c>
      <c r="AV22" s="54" t="e">
        <f t="shared" si="59"/>
        <v>#N/A</v>
      </c>
      <c r="AX22" s="112" t="str">
        <f t="shared" si="14"/>
        <v>Hong Kong</v>
      </c>
      <c r="AY22" s="20">
        <f t="shared" si="15"/>
        <v>65.7</v>
      </c>
      <c r="AZ22" s="3">
        <f t="shared" si="60"/>
        <v>65.7</v>
      </c>
      <c r="BA22" s="3">
        <f>1</f>
        <v>1</v>
      </c>
      <c r="BB22" s="54" t="e">
        <f t="shared" si="61"/>
        <v>#N/A</v>
      </c>
      <c r="BD22" s="112" t="str">
        <f t="shared" si="16"/>
        <v>Hong Kong</v>
      </c>
      <c r="BE22" s="20">
        <f t="shared" si="17"/>
        <v>68.5</v>
      </c>
      <c r="BF22" s="3">
        <f t="shared" si="62"/>
        <v>68.5</v>
      </c>
      <c r="BG22" s="3">
        <f>1</f>
        <v>1</v>
      </c>
      <c r="BH22" s="54" t="e">
        <f t="shared" si="63"/>
        <v>#N/A</v>
      </c>
      <c r="BJ22" s="112" t="str">
        <f t="shared" si="18"/>
        <v>Hong Kong</v>
      </c>
      <c r="BK22" s="20">
        <f t="shared" si="19"/>
        <v>82.1</v>
      </c>
      <c r="BL22" s="3">
        <f t="shared" si="64"/>
        <v>82.1</v>
      </c>
      <c r="BM22" s="3">
        <f>1</f>
        <v>1</v>
      </c>
      <c r="BN22" s="54" t="e">
        <f t="shared" si="65"/>
        <v>#N/A</v>
      </c>
      <c r="BP22" s="112" t="str">
        <f t="shared" si="20"/>
        <v>Hong Kong</v>
      </c>
      <c r="BQ22" s="20">
        <f t="shared" si="21"/>
        <v>77.2</v>
      </c>
      <c r="BR22" s="3">
        <f t="shared" si="66"/>
        <v>77.2</v>
      </c>
      <c r="BS22" s="3">
        <f>1</f>
        <v>1</v>
      </c>
      <c r="BT22" s="54" t="e">
        <f t="shared" si="67"/>
        <v>#N/A</v>
      </c>
      <c r="BV22" s="112" t="str">
        <f t="shared" si="22"/>
        <v>Hong Kong</v>
      </c>
      <c r="BW22" s="20">
        <f t="shared" si="23"/>
        <v>100</v>
      </c>
      <c r="BX22" s="3">
        <f t="shared" si="68"/>
        <v>100</v>
      </c>
      <c r="BY22" s="3">
        <f>1</f>
        <v>1</v>
      </c>
      <c r="BZ22" s="54" t="e">
        <f t="shared" si="69"/>
        <v>#N/A</v>
      </c>
      <c r="CB22" s="112" t="str">
        <f t="shared" si="24"/>
        <v>Hong Kong</v>
      </c>
      <c r="CC22" s="20">
        <f t="shared" si="25"/>
        <v>26.2</v>
      </c>
      <c r="CD22" s="3">
        <f t="shared" si="70"/>
        <v>26.2</v>
      </c>
      <c r="CE22" s="3">
        <f>1</f>
        <v>1</v>
      </c>
      <c r="CF22" s="54" t="e">
        <f t="shared" si="71"/>
        <v>#N/A</v>
      </c>
      <c r="CH22" s="112" t="str">
        <f t="shared" si="26"/>
        <v>Hong Kong</v>
      </c>
      <c r="CI22" s="20">
        <f t="shared" si="27"/>
        <v>48.3</v>
      </c>
      <c r="CJ22" s="3">
        <f t="shared" si="72"/>
        <v>48.3</v>
      </c>
      <c r="CK22" s="3">
        <f>1</f>
        <v>1</v>
      </c>
      <c r="CL22" s="54" t="e">
        <f t="shared" si="73"/>
        <v>#N/A</v>
      </c>
      <c r="CN22" s="112" t="str">
        <f t="shared" si="28"/>
        <v>Hong Kong</v>
      </c>
      <c r="CO22" s="20">
        <f t="shared" si="29"/>
        <v>67.599999999999994</v>
      </c>
      <c r="CP22" s="3">
        <f t="shared" si="74"/>
        <v>67.599999999999994</v>
      </c>
      <c r="CQ22" s="3">
        <f>1</f>
        <v>1</v>
      </c>
      <c r="CR22" s="54" t="e">
        <f t="shared" si="75"/>
        <v>#N/A</v>
      </c>
      <c r="CT22" s="112" t="str">
        <f t="shared" si="30"/>
        <v>Hong Kong</v>
      </c>
      <c r="CU22" s="20">
        <f t="shared" si="31"/>
        <v>60.1</v>
      </c>
      <c r="CV22" s="3">
        <f t="shared" si="76"/>
        <v>60.1</v>
      </c>
      <c r="CW22" s="3">
        <f>1</f>
        <v>1</v>
      </c>
      <c r="CX22" s="54" t="e">
        <f t="shared" si="77"/>
        <v>#N/A</v>
      </c>
      <c r="CZ22" s="112" t="str">
        <f t="shared" si="32"/>
        <v>Hong Kong</v>
      </c>
      <c r="DA22" s="20">
        <f t="shared" si="33"/>
        <v>46.7</v>
      </c>
      <c r="DB22" s="3">
        <f t="shared" si="78"/>
        <v>46.7</v>
      </c>
      <c r="DC22" s="3">
        <f>1</f>
        <v>1</v>
      </c>
      <c r="DD22" s="54" t="e">
        <f t="shared" si="79"/>
        <v>#N/A</v>
      </c>
      <c r="DF22" s="112" t="str">
        <f t="shared" si="34"/>
        <v>Hong Kong</v>
      </c>
      <c r="DG22" s="20">
        <f t="shared" si="35"/>
        <v>12.1</v>
      </c>
      <c r="DH22" s="3">
        <f t="shared" si="80"/>
        <v>12.1</v>
      </c>
      <c r="DI22" s="3">
        <f>1</f>
        <v>1</v>
      </c>
      <c r="DJ22" s="54" t="e">
        <f t="shared" si="81"/>
        <v>#N/A</v>
      </c>
      <c r="DL22" s="112" t="str">
        <f t="shared" si="36"/>
        <v>Hong Kong</v>
      </c>
      <c r="DM22" s="20">
        <f t="shared" si="37"/>
        <v>72.599999999999994</v>
      </c>
      <c r="DN22" s="3">
        <f t="shared" si="82"/>
        <v>72.599999999999994</v>
      </c>
      <c r="DO22" s="3">
        <f>1</f>
        <v>1</v>
      </c>
      <c r="DP22" s="54" t="e">
        <f t="shared" si="83"/>
        <v>#N/A</v>
      </c>
      <c r="DR22" s="112" t="str">
        <f t="shared" si="38"/>
        <v>Hong Kong</v>
      </c>
      <c r="DS22" s="20">
        <f t="shared" si="39"/>
        <v>100</v>
      </c>
      <c r="DT22" s="3">
        <f t="shared" si="84"/>
        <v>100</v>
      </c>
      <c r="DU22" s="3">
        <f>1</f>
        <v>1</v>
      </c>
      <c r="DV22" s="54" t="e">
        <f t="shared" si="85"/>
        <v>#N/A</v>
      </c>
      <c r="DX22" s="112" t="str">
        <f t="shared" si="40"/>
        <v>Hong Kong</v>
      </c>
      <c r="DY22" s="20">
        <f t="shared" si="41"/>
        <v>77.599999999999994</v>
      </c>
      <c r="DZ22" s="3">
        <f t="shared" si="86"/>
        <v>77.599999999999994</v>
      </c>
      <c r="EA22" s="3">
        <f>1</f>
        <v>1</v>
      </c>
      <c r="EB22" s="54" t="e">
        <f t="shared" si="87"/>
        <v>#N/A</v>
      </c>
      <c r="ED22" s="112" t="str">
        <f t="shared" si="42"/>
        <v>Hong Kong</v>
      </c>
      <c r="EE22" s="20">
        <f t="shared" si="43"/>
        <v>66.7</v>
      </c>
      <c r="EF22" s="3">
        <f t="shared" si="88"/>
        <v>66.7</v>
      </c>
      <c r="EG22" s="3">
        <f>1</f>
        <v>1</v>
      </c>
      <c r="EH22" s="54" t="e">
        <f t="shared" si="89"/>
        <v>#N/A</v>
      </c>
      <c r="EJ22" s="112" t="str">
        <f t="shared" si="44"/>
        <v>Hong Kong</v>
      </c>
      <c r="EK22" s="20">
        <f t="shared" si="45"/>
        <v>38.1</v>
      </c>
      <c r="EL22" s="3">
        <f t="shared" si="90"/>
        <v>38.1</v>
      </c>
      <c r="EM22" s="3">
        <f>1</f>
        <v>1</v>
      </c>
      <c r="EN22" s="54" t="e">
        <f t="shared" si="91"/>
        <v>#N/A</v>
      </c>
    </row>
    <row r="23" spans="1:144" ht="12" customHeight="1" thickBot="1">
      <c r="A23" s="3">
        <f>tblTerritories!A20</f>
        <v>18</v>
      </c>
      <c r="B23" s="3">
        <f>tblTerritories!B20</f>
        <v>0</v>
      </c>
      <c r="C23" s="3" t="str">
        <f>tblTerritories!C20</f>
        <v>Mexico City</v>
      </c>
      <c r="D23" s="3">
        <f>tblTerritories!K20</f>
        <v>1</v>
      </c>
      <c r="E23" s="3">
        <f t="shared" si="46"/>
        <v>0</v>
      </c>
      <c r="F23" s="3">
        <f>IF(E23=1,1,IF(tblTerritories!F20="",0,tblTerritories!F20))</f>
        <v>1</v>
      </c>
      <c r="G23" s="3">
        <f t="shared" si="92"/>
        <v>42.6</v>
      </c>
      <c r="H23" s="3">
        <f>IF(F23=0,"",RANK(G23,G$6:G$35,0)+COUNTIF(G$6:G23,G23)-1)</f>
        <v>28</v>
      </c>
      <c r="I23" s="3">
        <f t="shared" si="1"/>
        <v>10</v>
      </c>
      <c r="J23" s="3">
        <f t="shared" si="47"/>
        <v>1</v>
      </c>
      <c r="K23" s="19"/>
      <c r="L23" s="19"/>
      <c r="M23" s="18"/>
      <c r="N23" s="112" t="str">
        <f t="shared" si="2"/>
        <v>Dubai</v>
      </c>
      <c r="O23" s="20">
        <f t="shared" si="3"/>
        <v>63.8</v>
      </c>
      <c r="P23" s="3">
        <f t="shared" si="48"/>
        <v>63.8</v>
      </c>
      <c r="Q23" s="3">
        <f>1</f>
        <v>1</v>
      </c>
      <c r="R23" s="54" t="e">
        <f t="shared" si="49"/>
        <v>#N/A</v>
      </c>
      <c r="T23" s="112" t="str">
        <f t="shared" si="4"/>
        <v>Dubai</v>
      </c>
      <c r="U23" s="20">
        <f t="shared" si="5"/>
        <v>63.5</v>
      </c>
      <c r="V23" s="3">
        <f t="shared" si="50"/>
        <v>63.5</v>
      </c>
      <c r="W23" s="3">
        <f>1</f>
        <v>1</v>
      </c>
      <c r="X23" s="54" t="e">
        <f t="shared" si="51"/>
        <v>#N/A</v>
      </c>
      <c r="Z23" s="112" t="str">
        <f t="shared" si="6"/>
        <v>Dubai</v>
      </c>
      <c r="AA23" s="20">
        <f t="shared" si="7"/>
        <v>93.1</v>
      </c>
      <c r="AB23" s="3">
        <f t="shared" si="52"/>
        <v>93.1</v>
      </c>
      <c r="AC23" s="756">
        <v>1</v>
      </c>
      <c r="AD23" s="54" t="e">
        <f t="shared" si="53"/>
        <v>#N/A</v>
      </c>
      <c r="AF23" s="112" t="str">
        <f t="shared" si="8"/>
        <v>Dubai</v>
      </c>
      <c r="AG23" s="20">
        <f t="shared" si="9"/>
        <v>99.1</v>
      </c>
      <c r="AH23" s="3">
        <f t="shared" si="54"/>
        <v>99.1</v>
      </c>
      <c r="AI23" s="3">
        <f>1</f>
        <v>1</v>
      </c>
      <c r="AJ23" s="54" t="e">
        <f t="shared" si="55"/>
        <v>#N/A</v>
      </c>
      <c r="AL23" s="112" t="str">
        <f t="shared" si="10"/>
        <v>Dubai</v>
      </c>
      <c r="AM23" s="20">
        <f t="shared" si="11"/>
        <v>0.4</v>
      </c>
      <c r="AN23" s="3">
        <f t="shared" si="56"/>
        <v>0.4</v>
      </c>
      <c r="AO23" s="3">
        <f>1</f>
        <v>1</v>
      </c>
      <c r="AP23" s="54" t="e">
        <f t="shared" si="57"/>
        <v>#N/A</v>
      </c>
      <c r="AR23" s="112" t="str">
        <f t="shared" si="12"/>
        <v>Dubai</v>
      </c>
      <c r="AS23" s="20">
        <f t="shared" si="13"/>
        <v>69.8</v>
      </c>
      <c r="AT23" s="3">
        <f t="shared" si="58"/>
        <v>69.8</v>
      </c>
      <c r="AU23" s="3">
        <f>1</f>
        <v>1</v>
      </c>
      <c r="AV23" s="54" t="e">
        <f t="shared" si="59"/>
        <v>#N/A</v>
      </c>
      <c r="AX23" s="112" t="str">
        <f t="shared" si="14"/>
        <v>Dubai</v>
      </c>
      <c r="AY23" s="20">
        <f t="shared" si="15"/>
        <v>64.3</v>
      </c>
      <c r="AZ23" s="3">
        <f t="shared" si="60"/>
        <v>64.3</v>
      </c>
      <c r="BA23" s="3">
        <f>1</f>
        <v>1</v>
      </c>
      <c r="BB23" s="54" t="e">
        <f t="shared" si="61"/>
        <v>#N/A</v>
      </c>
      <c r="BD23" s="112" t="str">
        <f t="shared" si="16"/>
        <v>Dubai</v>
      </c>
      <c r="BE23" s="20">
        <f t="shared" si="17"/>
        <v>60.5</v>
      </c>
      <c r="BF23" s="3">
        <f t="shared" si="62"/>
        <v>60.5</v>
      </c>
      <c r="BG23" s="3">
        <f>1</f>
        <v>1</v>
      </c>
      <c r="BH23" s="54" t="e">
        <f t="shared" si="63"/>
        <v>#N/A</v>
      </c>
      <c r="BJ23" s="112" t="str">
        <f t="shared" si="18"/>
        <v>Dubai</v>
      </c>
      <c r="BK23" s="20">
        <f t="shared" si="19"/>
        <v>100</v>
      </c>
      <c r="BL23" s="3">
        <f t="shared" si="64"/>
        <v>100</v>
      </c>
      <c r="BM23" s="3">
        <f>1</f>
        <v>1</v>
      </c>
      <c r="BN23" s="54" t="e">
        <f t="shared" si="65"/>
        <v>#N/A</v>
      </c>
      <c r="BP23" s="112" t="str">
        <f t="shared" si="20"/>
        <v>Dubai</v>
      </c>
      <c r="BQ23" s="20">
        <f t="shared" si="21"/>
        <v>81.599999999999994</v>
      </c>
      <c r="BR23" s="3">
        <f t="shared" si="66"/>
        <v>81.599999999999994</v>
      </c>
      <c r="BS23" s="3">
        <f>1</f>
        <v>1</v>
      </c>
      <c r="BT23" s="54" t="e">
        <f t="shared" si="67"/>
        <v>#N/A</v>
      </c>
      <c r="BV23" s="112" t="str">
        <f t="shared" si="22"/>
        <v>Dubai</v>
      </c>
      <c r="BW23" s="20">
        <f t="shared" si="23"/>
        <v>50</v>
      </c>
      <c r="BX23" s="3">
        <f t="shared" si="68"/>
        <v>50</v>
      </c>
      <c r="BY23" s="3">
        <f>1</f>
        <v>1</v>
      </c>
      <c r="BZ23" s="54" t="e">
        <f t="shared" si="69"/>
        <v>#N/A</v>
      </c>
      <c r="CB23" s="112" t="str">
        <f t="shared" si="24"/>
        <v>Dubai</v>
      </c>
      <c r="CC23" s="20">
        <f t="shared" si="25"/>
        <v>56.4</v>
      </c>
      <c r="CD23" s="3">
        <f t="shared" si="70"/>
        <v>56.4</v>
      </c>
      <c r="CE23" s="3">
        <f>1</f>
        <v>1</v>
      </c>
      <c r="CF23" s="54" t="e">
        <f t="shared" si="71"/>
        <v>#N/A</v>
      </c>
      <c r="CH23" s="112" t="str">
        <f t="shared" si="26"/>
        <v>Dubai</v>
      </c>
      <c r="CI23" s="20">
        <f t="shared" si="27"/>
        <v>65.2</v>
      </c>
      <c r="CJ23" s="3">
        <f t="shared" si="72"/>
        <v>65.2</v>
      </c>
      <c r="CK23" s="3">
        <f>1</f>
        <v>1</v>
      </c>
      <c r="CL23" s="54" t="e">
        <f t="shared" si="73"/>
        <v>#N/A</v>
      </c>
      <c r="CN23" s="112" t="str">
        <f t="shared" si="28"/>
        <v>Dubai</v>
      </c>
      <c r="CO23" s="20">
        <f t="shared" si="29"/>
        <v>94.3</v>
      </c>
      <c r="CP23" s="3">
        <f t="shared" si="74"/>
        <v>94.3</v>
      </c>
      <c r="CQ23" s="3">
        <f>1</f>
        <v>1</v>
      </c>
      <c r="CR23" s="54" t="e">
        <f t="shared" si="75"/>
        <v>#N/A</v>
      </c>
      <c r="CT23" s="112" t="str">
        <f t="shared" si="30"/>
        <v>Dubai</v>
      </c>
      <c r="CU23" s="20">
        <f t="shared" si="31"/>
        <v>40.799999999999997</v>
      </c>
      <c r="CV23" s="3">
        <f t="shared" si="76"/>
        <v>40.799999999999997</v>
      </c>
      <c r="CW23" s="3">
        <f>1</f>
        <v>1</v>
      </c>
      <c r="CX23" s="54" t="e">
        <f t="shared" si="77"/>
        <v>#N/A</v>
      </c>
      <c r="CZ23" s="112" t="str">
        <f t="shared" si="32"/>
        <v>Dubai</v>
      </c>
      <c r="DA23" s="20">
        <f t="shared" si="33"/>
        <v>57.4</v>
      </c>
      <c r="DB23" s="3">
        <f t="shared" si="78"/>
        <v>57.4</v>
      </c>
      <c r="DC23" s="3">
        <f>1</f>
        <v>1</v>
      </c>
      <c r="DD23" s="54" t="e">
        <f t="shared" si="79"/>
        <v>#N/A</v>
      </c>
      <c r="DF23" s="112" t="str">
        <f t="shared" si="34"/>
        <v>Dubai</v>
      </c>
      <c r="DG23" s="20">
        <f t="shared" si="35"/>
        <v>89.7</v>
      </c>
      <c r="DH23" s="3">
        <f t="shared" si="80"/>
        <v>89.7</v>
      </c>
      <c r="DI23" s="3">
        <f>1</f>
        <v>1</v>
      </c>
      <c r="DJ23" s="54" t="e">
        <f t="shared" si="81"/>
        <v>#N/A</v>
      </c>
      <c r="DL23" s="112" t="str">
        <f t="shared" si="36"/>
        <v>Dubai</v>
      </c>
      <c r="DM23" s="20">
        <f t="shared" si="37"/>
        <v>54.8</v>
      </c>
      <c r="DN23" s="3">
        <f t="shared" si="82"/>
        <v>54.8</v>
      </c>
      <c r="DO23" s="3">
        <f>1</f>
        <v>1</v>
      </c>
      <c r="DP23" s="54" t="e">
        <f t="shared" si="83"/>
        <v>#N/A</v>
      </c>
      <c r="DR23" s="112" t="str">
        <f t="shared" si="38"/>
        <v>Dubai</v>
      </c>
      <c r="DS23" s="20">
        <f t="shared" si="39"/>
        <v>100</v>
      </c>
      <c r="DT23" s="3">
        <f t="shared" si="84"/>
        <v>100</v>
      </c>
      <c r="DU23" s="3">
        <f>1</f>
        <v>1</v>
      </c>
      <c r="DV23" s="54" t="e">
        <f t="shared" si="85"/>
        <v>#N/A</v>
      </c>
      <c r="DX23" s="112" t="str">
        <f t="shared" si="40"/>
        <v>Dubai</v>
      </c>
      <c r="DY23" s="20">
        <f t="shared" si="41"/>
        <v>83.8</v>
      </c>
      <c r="DZ23" s="3">
        <f t="shared" si="86"/>
        <v>83.8</v>
      </c>
      <c r="EA23" s="3">
        <f>1</f>
        <v>1</v>
      </c>
      <c r="EB23" s="54" t="e">
        <f t="shared" si="87"/>
        <v>#N/A</v>
      </c>
      <c r="ED23" s="112" t="str">
        <f t="shared" si="42"/>
        <v>Dubai</v>
      </c>
      <c r="EE23" s="20">
        <f t="shared" si="43"/>
        <v>16.7</v>
      </c>
      <c r="EF23" s="3">
        <f t="shared" si="88"/>
        <v>16.7</v>
      </c>
      <c r="EG23" s="3">
        <f>1</f>
        <v>1</v>
      </c>
      <c r="EH23" s="54" t="e">
        <f t="shared" si="89"/>
        <v>#N/A</v>
      </c>
      <c r="EJ23" s="112" t="str">
        <f t="shared" si="44"/>
        <v>Dubai</v>
      </c>
      <c r="EK23" s="20">
        <f t="shared" si="45"/>
        <v>0</v>
      </c>
      <c r="EL23" s="3">
        <f t="shared" si="90"/>
        <v>0</v>
      </c>
      <c r="EM23" s="3">
        <f>1</f>
        <v>1</v>
      </c>
      <c r="EN23" s="54" t="e">
        <f t="shared" si="91"/>
        <v>#N/A</v>
      </c>
    </row>
    <row r="24" spans="1:144" ht="12" customHeight="1" thickBot="1">
      <c r="A24" s="3">
        <f>tblTerritories!A21</f>
        <v>19</v>
      </c>
      <c r="B24" s="3">
        <f>tblTerritories!B21</f>
        <v>0</v>
      </c>
      <c r="C24" s="3" t="str">
        <f>tblTerritories!C21</f>
        <v>New Delhi</v>
      </c>
      <c r="D24" s="3">
        <f>tblTerritories!K21</f>
        <v>1</v>
      </c>
      <c r="E24" s="3">
        <f t="shared" si="46"/>
        <v>0</v>
      </c>
      <c r="F24" s="3">
        <f>IF(E24=1,1,IF(tblTerritories!F21="",0,tblTerritories!F21))</f>
        <v>1</v>
      </c>
      <c r="G24" s="3">
        <f t="shared" si="92"/>
        <v>40.299999999999997</v>
      </c>
      <c r="H24" s="3">
        <f>IF(F24=0,"",RANK(G24,G$6:G$35,0)+COUNTIF(G$6:G24,G24)-1)</f>
        <v>29</v>
      </c>
      <c r="I24" s="3">
        <f t="shared" si="1"/>
        <v>16</v>
      </c>
      <c r="J24" s="3">
        <f t="shared" si="47"/>
        <v>1</v>
      </c>
      <c r="K24" s="19"/>
      <c r="L24" s="19"/>
      <c r="M24" s="18"/>
      <c r="N24" s="112" t="str">
        <f t="shared" si="2"/>
        <v>Madrid</v>
      </c>
      <c r="O24" s="20">
        <f t="shared" si="3"/>
        <v>63.2</v>
      </c>
      <c r="P24" s="3">
        <f t="shared" si="48"/>
        <v>63.2</v>
      </c>
      <c r="Q24" s="3">
        <f>1</f>
        <v>1</v>
      </c>
      <c r="R24" s="54" t="e">
        <f t="shared" si="49"/>
        <v>#N/A</v>
      </c>
      <c r="T24" s="112" t="str">
        <f t="shared" si="4"/>
        <v>Madrid</v>
      </c>
      <c r="U24" s="20">
        <f t="shared" si="5"/>
        <v>64.599999999999994</v>
      </c>
      <c r="V24" s="3">
        <f t="shared" si="50"/>
        <v>64.599999999999994</v>
      </c>
      <c r="W24" s="3">
        <f>1</f>
        <v>1</v>
      </c>
      <c r="X24" s="54" t="e">
        <f t="shared" si="51"/>
        <v>#N/A</v>
      </c>
      <c r="Z24" s="112" t="str">
        <f t="shared" si="6"/>
        <v>Madrid</v>
      </c>
      <c r="AA24" s="20">
        <f t="shared" si="7"/>
        <v>74.7</v>
      </c>
      <c r="AB24" s="3">
        <f t="shared" si="52"/>
        <v>74.7</v>
      </c>
      <c r="AC24" s="756">
        <v>1</v>
      </c>
      <c r="AD24" s="54" t="e">
        <f t="shared" si="53"/>
        <v>#N/A</v>
      </c>
      <c r="AF24" s="112" t="str">
        <f t="shared" si="8"/>
        <v>Madrid</v>
      </c>
      <c r="AG24" s="20">
        <f t="shared" si="9"/>
        <v>22.6</v>
      </c>
      <c r="AH24" s="3">
        <f t="shared" si="54"/>
        <v>22.6</v>
      </c>
      <c r="AI24" s="3">
        <f>1</f>
        <v>1</v>
      </c>
      <c r="AJ24" s="54" t="e">
        <f t="shared" si="55"/>
        <v>#N/A</v>
      </c>
      <c r="AL24" s="112" t="str">
        <f t="shared" si="10"/>
        <v>Madrid</v>
      </c>
      <c r="AM24" s="20">
        <f t="shared" si="11"/>
        <v>79.2</v>
      </c>
      <c r="AN24" s="3">
        <f t="shared" si="56"/>
        <v>79.2</v>
      </c>
      <c r="AO24" s="3">
        <f>1</f>
        <v>1</v>
      </c>
      <c r="AP24" s="54" t="e">
        <f t="shared" si="57"/>
        <v>#N/A</v>
      </c>
      <c r="AR24" s="112" t="str">
        <f t="shared" si="12"/>
        <v>Madrid</v>
      </c>
      <c r="AS24" s="20">
        <f t="shared" si="13"/>
        <v>61.5</v>
      </c>
      <c r="AT24" s="3">
        <f t="shared" si="58"/>
        <v>61.5</v>
      </c>
      <c r="AU24" s="3">
        <f>1</f>
        <v>1</v>
      </c>
      <c r="AV24" s="54" t="e">
        <f t="shared" si="59"/>
        <v>#N/A</v>
      </c>
      <c r="AX24" s="112" t="str">
        <f t="shared" si="14"/>
        <v>Madrid</v>
      </c>
      <c r="AY24" s="20">
        <f t="shared" si="15"/>
        <v>63.9</v>
      </c>
      <c r="AZ24" s="3">
        <f t="shared" si="60"/>
        <v>63.9</v>
      </c>
      <c r="BA24" s="3">
        <f>1</f>
        <v>1</v>
      </c>
      <c r="BB24" s="54" t="e">
        <f t="shared" si="61"/>
        <v>#N/A</v>
      </c>
      <c r="BD24" s="112" t="str">
        <f t="shared" si="16"/>
        <v>Madrid</v>
      </c>
      <c r="BE24" s="20">
        <f t="shared" si="17"/>
        <v>35.9</v>
      </c>
      <c r="BF24" s="3">
        <f t="shared" si="62"/>
        <v>35.9</v>
      </c>
      <c r="BG24" s="3">
        <f>1</f>
        <v>1</v>
      </c>
      <c r="BH24" s="54" t="e">
        <f t="shared" si="63"/>
        <v>#N/A</v>
      </c>
      <c r="BJ24" s="112" t="str">
        <f t="shared" si="18"/>
        <v>Madrid</v>
      </c>
      <c r="BK24" s="20">
        <f t="shared" si="19"/>
        <v>64.099999999999994</v>
      </c>
      <c r="BL24" s="3">
        <f t="shared" si="64"/>
        <v>64.099999999999994</v>
      </c>
      <c r="BM24" s="3">
        <f>1</f>
        <v>1</v>
      </c>
      <c r="BN24" s="54" t="e">
        <f t="shared" si="65"/>
        <v>#N/A</v>
      </c>
      <c r="BP24" s="112" t="str">
        <f t="shared" si="20"/>
        <v>Madrid</v>
      </c>
      <c r="BQ24" s="20">
        <f t="shared" si="21"/>
        <v>75.7</v>
      </c>
      <c r="BR24" s="3">
        <f t="shared" si="66"/>
        <v>75.7</v>
      </c>
      <c r="BS24" s="3">
        <f>1</f>
        <v>1</v>
      </c>
      <c r="BT24" s="54" t="e">
        <f t="shared" si="67"/>
        <v>#N/A</v>
      </c>
      <c r="BV24" s="112" t="str">
        <f t="shared" si="22"/>
        <v>Madrid</v>
      </c>
      <c r="BW24" s="20">
        <f t="shared" si="23"/>
        <v>100</v>
      </c>
      <c r="BX24" s="3">
        <f t="shared" si="68"/>
        <v>100</v>
      </c>
      <c r="BY24" s="3">
        <f>1</f>
        <v>1</v>
      </c>
      <c r="BZ24" s="54" t="e">
        <f t="shared" si="69"/>
        <v>#N/A</v>
      </c>
      <c r="CB24" s="112" t="str">
        <f t="shared" si="24"/>
        <v>Madrid</v>
      </c>
      <c r="CC24" s="20">
        <f t="shared" si="25"/>
        <v>28.4</v>
      </c>
      <c r="CD24" s="3">
        <f t="shared" si="70"/>
        <v>28.4</v>
      </c>
      <c r="CE24" s="3">
        <f>1</f>
        <v>1</v>
      </c>
      <c r="CF24" s="54" t="e">
        <f t="shared" si="71"/>
        <v>#N/A</v>
      </c>
      <c r="CH24" s="112" t="str">
        <f t="shared" si="26"/>
        <v>Madrid</v>
      </c>
      <c r="CI24" s="20">
        <f t="shared" si="27"/>
        <v>56.9</v>
      </c>
      <c r="CJ24" s="3">
        <f t="shared" si="72"/>
        <v>56.9</v>
      </c>
      <c r="CK24" s="3">
        <f>1</f>
        <v>1</v>
      </c>
      <c r="CL24" s="54" t="e">
        <f t="shared" si="73"/>
        <v>#N/A</v>
      </c>
      <c r="CN24" s="112" t="str">
        <f t="shared" si="28"/>
        <v>Madrid</v>
      </c>
      <c r="CO24" s="20">
        <f t="shared" si="29"/>
        <v>78.099999999999994</v>
      </c>
      <c r="CP24" s="3">
        <f t="shared" si="74"/>
        <v>78.099999999999994</v>
      </c>
      <c r="CQ24" s="3">
        <f>1</f>
        <v>1</v>
      </c>
      <c r="CR24" s="54" t="e">
        <f t="shared" si="75"/>
        <v>#N/A</v>
      </c>
      <c r="CT24" s="112" t="str">
        <f t="shared" si="30"/>
        <v>Madrid</v>
      </c>
      <c r="CU24" s="20">
        <f t="shared" si="31"/>
        <v>74.3</v>
      </c>
      <c r="CV24" s="3">
        <f t="shared" si="76"/>
        <v>74.3</v>
      </c>
      <c r="CW24" s="3">
        <f>1</f>
        <v>1</v>
      </c>
      <c r="CX24" s="54" t="e">
        <f t="shared" si="77"/>
        <v>#N/A</v>
      </c>
      <c r="CZ24" s="112" t="str">
        <f t="shared" si="32"/>
        <v>Madrid</v>
      </c>
      <c r="DA24" s="20">
        <f t="shared" si="33"/>
        <v>42.7</v>
      </c>
      <c r="DB24" s="3">
        <f t="shared" si="78"/>
        <v>42.7</v>
      </c>
      <c r="DC24" s="3">
        <f>1</f>
        <v>1</v>
      </c>
      <c r="DD24" s="54" t="e">
        <f t="shared" si="79"/>
        <v>#N/A</v>
      </c>
      <c r="DF24" s="112" t="str">
        <f t="shared" si="34"/>
        <v>Madrid</v>
      </c>
      <c r="DG24" s="20">
        <f t="shared" si="35"/>
        <v>30.4</v>
      </c>
      <c r="DH24" s="3">
        <f t="shared" si="80"/>
        <v>30.4</v>
      </c>
      <c r="DI24" s="3">
        <f>1</f>
        <v>1</v>
      </c>
      <c r="DJ24" s="54" t="e">
        <f t="shared" si="81"/>
        <v>#N/A</v>
      </c>
      <c r="DL24" s="112" t="str">
        <f t="shared" si="36"/>
        <v>Madrid</v>
      </c>
      <c r="DM24" s="20">
        <f t="shared" si="37"/>
        <v>69.5</v>
      </c>
      <c r="DN24" s="3">
        <f t="shared" si="82"/>
        <v>69.5</v>
      </c>
      <c r="DO24" s="3">
        <f>1</f>
        <v>1</v>
      </c>
      <c r="DP24" s="54" t="e">
        <f t="shared" si="83"/>
        <v>#N/A</v>
      </c>
      <c r="DR24" s="112" t="str">
        <f t="shared" si="38"/>
        <v>Madrid</v>
      </c>
      <c r="DS24" s="20">
        <f t="shared" si="39"/>
        <v>66.400000000000006</v>
      </c>
      <c r="DT24" s="3">
        <f t="shared" si="84"/>
        <v>66.400000000000006</v>
      </c>
      <c r="DU24" s="3">
        <f>1</f>
        <v>1</v>
      </c>
      <c r="DV24" s="54" t="e">
        <f t="shared" si="85"/>
        <v>#N/A</v>
      </c>
      <c r="DX24" s="112" t="str">
        <f t="shared" si="40"/>
        <v>Madrid</v>
      </c>
      <c r="DY24" s="20">
        <f t="shared" si="41"/>
        <v>100</v>
      </c>
      <c r="DZ24" s="3">
        <f t="shared" si="86"/>
        <v>100</v>
      </c>
      <c r="EA24" s="3">
        <f>1</f>
        <v>1</v>
      </c>
      <c r="EB24" s="54" t="e">
        <f t="shared" si="87"/>
        <v>#N/A</v>
      </c>
      <c r="ED24" s="112" t="str">
        <f t="shared" si="42"/>
        <v>Madrid</v>
      </c>
      <c r="EE24" s="20">
        <f t="shared" si="43"/>
        <v>66.7</v>
      </c>
      <c r="EF24" s="3">
        <f t="shared" si="88"/>
        <v>66.7</v>
      </c>
      <c r="EG24" s="3">
        <f>1</f>
        <v>1</v>
      </c>
      <c r="EH24" s="54" t="e">
        <f t="shared" si="89"/>
        <v>#N/A</v>
      </c>
      <c r="EJ24" s="112" t="str">
        <f t="shared" si="44"/>
        <v>Madrid</v>
      </c>
      <c r="EK24" s="20">
        <f t="shared" si="45"/>
        <v>38.1</v>
      </c>
      <c r="EL24" s="3">
        <f t="shared" si="90"/>
        <v>38.1</v>
      </c>
      <c r="EM24" s="3">
        <f>1</f>
        <v>1</v>
      </c>
      <c r="EN24" s="54" t="e">
        <f t="shared" si="91"/>
        <v>#N/A</v>
      </c>
    </row>
    <row r="25" spans="1:144" ht="12" customHeight="1" thickBot="1">
      <c r="A25" s="3">
        <f>tblTerritories!A22</f>
        <v>20</v>
      </c>
      <c r="B25" s="3">
        <f>tblTerritories!B22</f>
        <v>0</v>
      </c>
      <c r="C25" s="3" t="str">
        <f>tblTerritories!C22</f>
        <v>New York</v>
      </c>
      <c r="D25" s="3">
        <f>tblTerritories!K22</f>
        <v>1</v>
      </c>
      <c r="E25" s="3">
        <f t="shared" si="46"/>
        <v>0</v>
      </c>
      <c r="F25" s="3">
        <f>IF(E25=1,1,IF(tblTerritories!F22="",0,tblTerritories!F22))</f>
        <v>1</v>
      </c>
      <c r="G25" s="3">
        <f t="shared" si="92"/>
        <v>73.3</v>
      </c>
      <c r="H25" s="3">
        <f>IF(F25=0,"",RANK(G25,G$6:G$35,0)+COUNTIF(G$6:G25,G25)-1)</f>
        <v>6</v>
      </c>
      <c r="I25" s="3">
        <f t="shared" si="1"/>
        <v>27</v>
      </c>
      <c r="J25" s="3">
        <f t="shared" si="47"/>
        <v>1</v>
      </c>
      <c r="K25" s="19"/>
      <c r="L25" s="19"/>
      <c r="M25" s="18"/>
      <c r="N25" s="112" t="str">
        <f t="shared" si="2"/>
        <v>Tokyo</v>
      </c>
      <c r="O25" s="20">
        <f t="shared" si="3"/>
        <v>63</v>
      </c>
      <c r="P25" s="3">
        <f t="shared" si="48"/>
        <v>63</v>
      </c>
      <c r="Q25" s="3">
        <f>1</f>
        <v>1</v>
      </c>
      <c r="R25" s="54" t="e">
        <f t="shared" si="49"/>
        <v>#N/A</v>
      </c>
      <c r="T25" s="112" t="str">
        <f t="shared" si="4"/>
        <v>Tokyo</v>
      </c>
      <c r="U25" s="20">
        <f t="shared" si="5"/>
        <v>71.3</v>
      </c>
      <c r="V25" s="3">
        <f t="shared" si="50"/>
        <v>71.3</v>
      </c>
      <c r="W25" s="3">
        <f>1</f>
        <v>1</v>
      </c>
      <c r="X25" s="54" t="e">
        <f t="shared" si="51"/>
        <v>#N/A</v>
      </c>
      <c r="Z25" s="112" t="str">
        <f t="shared" si="6"/>
        <v>Tokyo</v>
      </c>
      <c r="AA25" s="20">
        <f t="shared" si="7"/>
        <v>93.9</v>
      </c>
      <c r="AB25" s="3">
        <f t="shared" si="52"/>
        <v>93.9</v>
      </c>
      <c r="AC25" s="756">
        <v>1</v>
      </c>
      <c r="AD25" s="54" t="e">
        <f t="shared" si="53"/>
        <v>#N/A</v>
      </c>
      <c r="AF25" s="112" t="str">
        <f t="shared" si="8"/>
        <v>Tokyo</v>
      </c>
      <c r="AG25" s="20">
        <f t="shared" si="9"/>
        <v>25.5</v>
      </c>
      <c r="AH25" s="3">
        <f t="shared" si="54"/>
        <v>25.5</v>
      </c>
      <c r="AI25" s="3">
        <f>1</f>
        <v>1</v>
      </c>
      <c r="AJ25" s="54" t="e">
        <f t="shared" si="55"/>
        <v>#N/A</v>
      </c>
      <c r="AL25" s="112" t="str">
        <f t="shared" si="10"/>
        <v>Tokyo</v>
      </c>
      <c r="AM25" s="20">
        <f t="shared" si="11"/>
        <v>71.5</v>
      </c>
      <c r="AN25" s="3">
        <f t="shared" si="56"/>
        <v>71.5</v>
      </c>
      <c r="AO25" s="3">
        <f>1</f>
        <v>1</v>
      </c>
      <c r="AP25" s="54" t="e">
        <f t="shared" si="57"/>
        <v>#N/A</v>
      </c>
      <c r="AR25" s="112" t="str">
        <f t="shared" si="12"/>
        <v>Tokyo</v>
      </c>
      <c r="AS25" s="20">
        <f t="shared" si="13"/>
        <v>52.8</v>
      </c>
      <c r="AT25" s="3">
        <f t="shared" si="58"/>
        <v>52.8</v>
      </c>
      <c r="AU25" s="3">
        <f>1</f>
        <v>1</v>
      </c>
      <c r="AV25" s="54" t="e">
        <f t="shared" si="59"/>
        <v>#N/A</v>
      </c>
      <c r="AX25" s="112" t="str">
        <f t="shared" si="14"/>
        <v>Tokyo</v>
      </c>
      <c r="AY25" s="20">
        <f t="shared" si="15"/>
        <v>64.599999999999994</v>
      </c>
      <c r="AZ25" s="3">
        <f t="shared" si="60"/>
        <v>64.599999999999994</v>
      </c>
      <c r="BA25" s="3">
        <f>1</f>
        <v>1</v>
      </c>
      <c r="BB25" s="54" t="e">
        <f t="shared" si="61"/>
        <v>#N/A</v>
      </c>
      <c r="BD25" s="112" t="str">
        <f t="shared" si="16"/>
        <v>Tokyo</v>
      </c>
      <c r="BE25" s="20">
        <f t="shared" si="17"/>
        <v>6.9</v>
      </c>
      <c r="BF25" s="3">
        <f t="shared" si="62"/>
        <v>6.9</v>
      </c>
      <c r="BG25" s="3">
        <f>1</f>
        <v>1</v>
      </c>
      <c r="BH25" s="54" t="e">
        <f t="shared" si="63"/>
        <v>#N/A</v>
      </c>
      <c r="BJ25" s="112" t="str">
        <f t="shared" si="18"/>
        <v>Tokyo</v>
      </c>
      <c r="BK25" s="20">
        <f t="shared" si="19"/>
        <v>64.099999999999994</v>
      </c>
      <c r="BL25" s="3">
        <f t="shared" si="64"/>
        <v>64.099999999999994</v>
      </c>
      <c r="BM25" s="3">
        <f>1</f>
        <v>1</v>
      </c>
      <c r="BN25" s="54" t="e">
        <f t="shared" si="65"/>
        <v>#N/A</v>
      </c>
      <c r="BP25" s="112" t="str">
        <f t="shared" si="20"/>
        <v>Tokyo</v>
      </c>
      <c r="BQ25" s="20">
        <f t="shared" si="21"/>
        <v>51</v>
      </c>
      <c r="BR25" s="3">
        <f t="shared" si="66"/>
        <v>51</v>
      </c>
      <c r="BS25" s="3">
        <f>1</f>
        <v>1</v>
      </c>
      <c r="BT25" s="54" t="e">
        <f t="shared" si="67"/>
        <v>#N/A</v>
      </c>
      <c r="BV25" s="112" t="str">
        <f t="shared" si="22"/>
        <v>Tokyo</v>
      </c>
      <c r="BW25" s="20">
        <f t="shared" si="23"/>
        <v>100</v>
      </c>
      <c r="BX25" s="3">
        <f t="shared" si="68"/>
        <v>100</v>
      </c>
      <c r="BY25" s="3">
        <f>1</f>
        <v>1</v>
      </c>
      <c r="BZ25" s="54" t="e">
        <f t="shared" si="69"/>
        <v>#N/A</v>
      </c>
      <c r="CB25" s="112" t="str">
        <f t="shared" si="24"/>
        <v>Tokyo</v>
      </c>
      <c r="CC25" s="20">
        <f t="shared" si="25"/>
        <v>24.4</v>
      </c>
      <c r="CD25" s="3">
        <f t="shared" si="70"/>
        <v>24.4</v>
      </c>
      <c r="CE25" s="3">
        <f>1</f>
        <v>1</v>
      </c>
      <c r="CF25" s="54" t="e">
        <f t="shared" si="71"/>
        <v>#N/A</v>
      </c>
      <c r="CH25" s="112" t="str">
        <f t="shared" si="26"/>
        <v>Tokyo</v>
      </c>
      <c r="CI25" s="20">
        <f t="shared" si="27"/>
        <v>55.5</v>
      </c>
      <c r="CJ25" s="3">
        <f t="shared" si="72"/>
        <v>55.5</v>
      </c>
      <c r="CK25" s="3">
        <f>1</f>
        <v>1</v>
      </c>
      <c r="CL25" s="54" t="e">
        <f t="shared" si="73"/>
        <v>#N/A</v>
      </c>
      <c r="CN25" s="112" t="str">
        <f t="shared" si="28"/>
        <v>Tokyo</v>
      </c>
      <c r="CO25" s="20">
        <f t="shared" si="29"/>
        <v>64</v>
      </c>
      <c r="CP25" s="3">
        <f t="shared" si="74"/>
        <v>64</v>
      </c>
      <c r="CQ25" s="3">
        <f>1</f>
        <v>1</v>
      </c>
      <c r="CR25" s="54" t="e">
        <f t="shared" si="75"/>
        <v>#N/A</v>
      </c>
      <c r="CT25" s="112" t="str">
        <f t="shared" si="30"/>
        <v>Tokyo</v>
      </c>
      <c r="CU25" s="20">
        <f t="shared" si="31"/>
        <v>80.400000000000006</v>
      </c>
      <c r="CV25" s="3">
        <f t="shared" si="76"/>
        <v>80.400000000000006</v>
      </c>
      <c r="CW25" s="3">
        <f>1</f>
        <v>1</v>
      </c>
      <c r="CX25" s="54" t="e">
        <f t="shared" si="77"/>
        <v>#N/A</v>
      </c>
      <c r="CZ25" s="112" t="str">
        <f t="shared" si="32"/>
        <v>Tokyo</v>
      </c>
      <c r="DA25" s="20">
        <f t="shared" si="33"/>
        <v>46.6</v>
      </c>
      <c r="DB25" s="3">
        <f t="shared" si="78"/>
        <v>46.6</v>
      </c>
      <c r="DC25" s="3">
        <f>1</f>
        <v>1</v>
      </c>
      <c r="DD25" s="54" t="e">
        <f t="shared" si="79"/>
        <v>#N/A</v>
      </c>
      <c r="DF25" s="112" t="str">
        <f t="shared" si="34"/>
        <v>Tokyo</v>
      </c>
      <c r="DG25" s="20">
        <f t="shared" si="35"/>
        <v>20.6</v>
      </c>
      <c r="DH25" s="3">
        <f t="shared" si="80"/>
        <v>20.6</v>
      </c>
      <c r="DI25" s="3">
        <f>1</f>
        <v>1</v>
      </c>
      <c r="DJ25" s="54" t="e">
        <f t="shared" si="81"/>
        <v>#N/A</v>
      </c>
      <c r="DL25" s="112" t="str">
        <f t="shared" si="36"/>
        <v>Tokyo</v>
      </c>
      <c r="DM25" s="20">
        <f t="shared" si="37"/>
        <v>72.2</v>
      </c>
      <c r="DN25" s="3">
        <f t="shared" si="82"/>
        <v>72.2</v>
      </c>
      <c r="DO25" s="3">
        <f>1</f>
        <v>1</v>
      </c>
      <c r="DP25" s="54" t="e">
        <f t="shared" si="83"/>
        <v>#N/A</v>
      </c>
      <c r="DR25" s="112" t="str">
        <f t="shared" si="38"/>
        <v>Tokyo</v>
      </c>
      <c r="DS25" s="20">
        <f t="shared" si="39"/>
        <v>87.5</v>
      </c>
      <c r="DT25" s="3">
        <f t="shared" si="84"/>
        <v>87.5</v>
      </c>
      <c r="DU25" s="3">
        <f>1</f>
        <v>1</v>
      </c>
      <c r="DV25" s="54" t="e">
        <f t="shared" si="85"/>
        <v>#N/A</v>
      </c>
      <c r="DX25" s="112" t="str">
        <f t="shared" si="40"/>
        <v>Tokyo</v>
      </c>
      <c r="DY25" s="20">
        <f t="shared" si="41"/>
        <v>77.3</v>
      </c>
      <c r="DZ25" s="3">
        <f t="shared" si="86"/>
        <v>77.3</v>
      </c>
      <c r="EA25" s="3">
        <f>1</f>
        <v>1</v>
      </c>
      <c r="EB25" s="54" t="e">
        <f t="shared" si="87"/>
        <v>#N/A</v>
      </c>
      <c r="ED25" s="112" t="str">
        <f t="shared" si="42"/>
        <v>Tokyo</v>
      </c>
      <c r="EE25" s="20">
        <f t="shared" si="43"/>
        <v>50</v>
      </c>
      <c r="EF25" s="3">
        <f t="shared" si="88"/>
        <v>50</v>
      </c>
      <c r="EG25" s="3">
        <f>1</f>
        <v>1</v>
      </c>
      <c r="EH25" s="54" t="e">
        <f t="shared" si="89"/>
        <v>#N/A</v>
      </c>
      <c r="EJ25" s="112" t="str">
        <f t="shared" si="44"/>
        <v>Tokyo</v>
      </c>
      <c r="EK25" s="20">
        <f t="shared" si="45"/>
        <v>69</v>
      </c>
      <c r="EL25" s="3">
        <f t="shared" si="90"/>
        <v>69</v>
      </c>
      <c r="EM25" s="3">
        <f>1</f>
        <v>1</v>
      </c>
      <c r="EN25" s="54" t="e">
        <f t="shared" si="91"/>
        <v>#N/A</v>
      </c>
    </row>
    <row r="26" spans="1:144" ht="12" customHeight="1" thickBot="1">
      <c r="A26" s="3">
        <f>tblTerritories!A23</f>
        <v>21</v>
      </c>
      <c r="B26" s="3">
        <f>tblTerritories!B23</f>
        <v>0</v>
      </c>
      <c r="C26" s="3" t="str">
        <f>tblTerritories!C23</f>
        <v>Paris</v>
      </c>
      <c r="D26" s="3">
        <f>tblTerritories!K23</f>
        <v>1</v>
      </c>
      <c r="E26" s="3">
        <f t="shared" si="46"/>
        <v>0</v>
      </c>
      <c r="F26" s="3">
        <f>IF(E26=1,1,IF(tblTerritories!F23="",0,tblTerritories!F23))</f>
        <v>1</v>
      </c>
      <c r="G26" s="3">
        <f t="shared" si="92"/>
        <v>70.2</v>
      </c>
      <c r="H26" s="3">
        <f>IF(F26=0,"",RANK(G26,G$6:G$35,0)+COUNTIF(G$6:G26,G26)-1)</f>
        <v>10</v>
      </c>
      <c r="I26" s="3">
        <f t="shared" si="1"/>
        <v>22</v>
      </c>
      <c r="J26" s="3">
        <f t="shared" si="47"/>
        <v>1</v>
      </c>
      <c r="K26" s="19"/>
      <c r="L26" s="19"/>
      <c r="M26" s="18"/>
      <c r="N26" s="112" t="str">
        <f t="shared" si="2"/>
        <v>Rome</v>
      </c>
      <c r="O26" s="20">
        <f t="shared" si="3"/>
        <v>61.2</v>
      </c>
      <c r="P26" s="3">
        <f t="shared" si="48"/>
        <v>61.2</v>
      </c>
      <c r="Q26" s="3">
        <f>1</f>
        <v>1</v>
      </c>
      <c r="R26" s="54" t="e">
        <f t="shared" si="49"/>
        <v>#N/A</v>
      </c>
      <c r="T26" s="112" t="str">
        <f t="shared" si="4"/>
        <v>Rome</v>
      </c>
      <c r="U26" s="20">
        <f t="shared" si="5"/>
        <v>64.900000000000006</v>
      </c>
      <c r="V26" s="3">
        <f t="shared" si="50"/>
        <v>64.900000000000006</v>
      </c>
      <c r="W26" s="3">
        <f>1</f>
        <v>1</v>
      </c>
      <c r="X26" s="54" t="e">
        <f t="shared" si="51"/>
        <v>#N/A</v>
      </c>
      <c r="Z26" s="112" t="str">
        <f t="shared" si="6"/>
        <v>Rome</v>
      </c>
      <c r="AA26" s="20">
        <f t="shared" si="7"/>
        <v>70.400000000000006</v>
      </c>
      <c r="AB26" s="3">
        <f t="shared" si="52"/>
        <v>70.400000000000006</v>
      </c>
      <c r="AC26" s="756">
        <v>1</v>
      </c>
      <c r="AD26" s="54" t="e">
        <f t="shared" si="53"/>
        <v>#N/A</v>
      </c>
      <c r="AF26" s="112" t="str">
        <f t="shared" si="8"/>
        <v>Rome</v>
      </c>
      <c r="AG26" s="20">
        <f t="shared" si="9"/>
        <v>19.600000000000001</v>
      </c>
      <c r="AH26" s="3">
        <f t="shared" si="54"/>
        <v>19.600000000000001</v>
      </c>
      <c r="AI26" s="3">
        <f>1</f>
        <v>1</v>
      </c>
      <c r="AJ26" s="54" t="e">
        <f t="shared" si="55"/>
        <v>#N/A</v>
      </c>
      <c r="AL26" s="112" t="str">
        <f t="shared" si="10"/>
        <v>Rome</v>
      </c>
      <c r="AM26" s="20">
        <f t="shared" si="11"/>
        <v>87.8</v>
      </c>
      <c r="AN26" s="3">
        <f t="shared" si="56"/>
        <v>87.8</v>
      </c>
      <c r="AO26" s="3">
        <f>1</f>
        <v>1</v>
      </c>
      <c r="AP26" s="54" t="e">
        <f t="shared" si="57"/>
        <v>#N/A</v>
      </c>
      <c r="AR26" s="112" t="str">
        <f t="shared" si="12"/>
        <v>Rome</v>
      </c>
      <c r="AS26" s="20">
        <f t="shared" si="13"/>
        <v>65.3</v>
      </c>
      <c r="AT26" s="3">
        <f t="shared" si="58"/>
        <v>65.3</v>
      </c>
      <c r="AU26" s="3">
        <f>1</f>
        <v>1</v>
      </c>
      <c r="AV26" s="54" t="e">
        <f t="shared" si="59"/>
        <v>#N/A</v>
      </c>
      <c r="AX26" s="112" t="str">
        <f t="shared" si="14"/>
        <v>Rome</v>
      </c>
      <c r="AY26" s="20">
        <f t="shared" si="15"/>
        <v>61.8</v>
      </c>
      <c r="AZ26" s="3">
        <f t="shared" si="60"/>
        <v>61.8</v>
      </c>
      <c r="BA26" s="3">
        <f>1</f>
        <v>1</v>
      </c>
      <c r="BB26" s="54" t="e">
        <f t="shared" si="61"/>
        <v>#N/A</v>
      </c>
      <c r="BD26" s="112" t="str">
        <f t="shared" si="16"/>
        <v>Rome</v>
      </c>
      <c r="BE26" s="20">
        <f t="shared" si="17"/>
        <v>37.700000000000003</v>
      </c>
      <c r="BF26" s="3">
        <f t="shared" si="62"/>
        <v>37.700000000000003</v>
      </c>
      <c r="BG26" s="3">
        <f>1</f>
        <v>1</v>
      </c>
      <c r="BH26" s="54" t="e">
        <f t="shared" si="63"/>
        <v>#N/A</v>
      </c>
      <c r="BJ26" s="112" t="str">
        <f t="shared" si="18"/>
        <v>Rome</v>
      </c>
      <c r="BK26" s="20">
        <f t="shared" si="19"/>
        <v>100</v>
      </c>
      <c r="BL26" s="3">
        <f t="shared" si="64"/>
        <v>100</v>
      </c>
      <c r="BM26" s="3">
        <f>1</f>
        <v>1</v>
      </c>
      <c r="BN26" s="54" t="e">
        <f t="shared" si="65"/>
        <v>#N/A</v>
      </c>
      <c r="BP26" s="112" t="str">
        <f t="shared" si="20"/>
        <v>Rome</v>
      </c>
      <c r="BQ26" s="20">
        <f t="shared" si="21"/>
        <v>72.8</v>
      </c>
      <c r="BR26" s="3">
        <f t="shared" si="66"/>
        <v>72.8</v>
      </c>
      <c r="BS26" s="3">
        <f>1</f>
        <v>1</v>
      </c>
      <c r="BT26" s="54" t="e">
        <f t="shared" si="67"/>
        <v>#N/A</v>
      </c>
      <c r="BV26" s="112" t="str">
        <f t="shared" si="22"/>
        <v>Rome</v>
      </c>
      <c r="BW26" s="20">
        <f t="shared" si="23"/>
        <v>100</v>
      </c>
      <c r="BX26" s="3">
        <f t="shared" si="68"/>
        <v>100</v>
      </c>
      <c r="BY26" s="3">
        <f>1</f>
        <v>1</v>
      </c>
      <c r="BZ26" s="54" t="e">
        <f t="shared" si="69"/>
        <v>#N/A</v>
      </c>
      <c r="CB26" s="112" t="str">
        <f t="shared" si="24"/>
        <v>Rome</v>
      </c>
      <c r="CC26" s="20">
        <f t="shared" si="25"/>
        <v>11.8</v>
      </c>
      <c r="CD26" s="3">
        <f t="shared" si="70"/>
        <v>11.8</v>
      </c>
      <c r="CE26" s="3">
        <f>1</f>
        <v>1</v>
      </c>
      <c r="CF26" s="54" t="e">
        <f t="shared" si="71"/>
        <v>#N/A</v>
      </c>
      <c r="CH26" s="112" t="str">
        <f t="shared" si="26"/>
        <v>Rome</v>
      </c>
      <c r="CI26" s="20">
        <f t="shared" si="27"/>
        <v>50</v>
      </c>
      <c r="CJ26" s="3">
        <f t="shared" si="72"/>
        <v>50</v>
      </c>
      <c r="CK26" s="3">
        <f>1</f>
        <v>1</v>
      </c>
      <c r="CL26" s="54" t="e">
        <f t="shared" si="73"/>
        <v>#N/A</v>
      </c>
      <c r="CN26" s="112" t="str">
        <f t="shared" si="28"/>
        <v>Rome</v>
      </c>
      <c r="CO26" s="20">
        <f t="shared" si="29"/>
        <v>59.8</v>
      </c>
      <c r="CP26" s="3">
        <f t="shared" si="74"/>
        <v>59.8</v>
      </c>
      <c r="CQ26" s="3">
        <f>1</f>
        <v>1</v>
      </c>
      <c r="CR26" s="54" t="e">
        <f t="shared" si="75"/>
        <v>#N/A</v>
      </c>
      <c r="CT26" s="112" t="str">
        <f t="shared" si="30"/>
        <v>Rome</v>
      </c>
      <c r="CU26" s="20">
        <f t="shared" si="31"/>
        <v>70.599999999999994</v>
      </c>
      <c r="CV26" s="3">
        <f t="shared" si="76"/>
        <v>70.599999999999994</v>
      </c>
      <c r="CW26" s="3">
        <f>1</f>
        <v>1</v>
      </c>
      <c r="CX26" s="54" t="e">
        <f t="shared" si="77"/>
        <v>#N/A</v>
      </c>
      <c r="CZ26" s="112" t="str">
        <f t="shared" si="32"/>
        <v>Rome</v>
      </c>
      <c r="DA26" s="20">
        <f t="shared" si="33"/>
        <v>37.6</v>
      </c>
      <c r="DB26" s="3">
        <f t="shared" si="78"/>
        <v>37.6</v>
      </c>
      <c r="DC26" s="3">
        <f>1</f>
        <v>1</v>
      </c>
      <c r="DD26" s="54" t="e">
        <f t="shared" si="79"/>
        <v>#N/A</v>
      </c>
      <c r="DF26" s="112" t="str">
        <f t="shared" si="34"/>
        <v>Rome</v>
      </c>
      <c r="DG26" s="20">
        <f t="shared" si="35"/>
        <v>26.8</v>
      </c>
      <c r="DH26" s="3">
        <f t="shared" si="80"/>
        <v>26.8</v>
      </c>
      <c r="DI26" s="3">
        <f>1</f>
        <v>1</v>
      </c>
      <c r="DJ26" s="54" t="e">
        <f t="shared" si="81"/>
        <v>#N/A</v>
      </c>
      <c r="DL26" s="112" t="str">
        <f t="shared" si="36"/>
        <v>Rome</v>
      </c>
      <c r="DM26" s="20">
        <f t="shared" si="37"/>
        <v>61.7</v>
      </c>
      <c r="DN26" s="3">
        <f t="shared" si="82"/>
        <v>61.7</v>
      </c>
      <c r="DO26" s="3">
        <f>1</f>
        <v>1</v>
      </c>
      <c r="DP26" s="54" t="e">
        <f t="shared" si="83"/>
        <v>#N/A</v>
      </c>
      <c r="DR26" s="112" t="str">
        <f t="shared" si="38"/>
        <v>Rome</v>
      </c>
      <c r="DS26" s="20">
        <f t="shared" si="39"/>
        <v>46.1</v>
      </c>
      <c r="DT26" s="3">
        <f t="shared" si="84"/>
        <v>46.1</v>
      </c>
      <c r="DU26" s="3">
        <f>1</f>
        <v>1</v>
      </c>
      <c r="DV26" s="54" t="e">
        <f t="shared" si="85"/>
        <v>#N/A</v>
      </c>
      <c r="DX26" s="112" t="str">
        <f t="shared" si="40"/>
        <v>Rome</v>
      </c>
      <c r="DY26" s="20">
        <f t="shared" si="41"/>
        <v>92.4</v>
      </c>
      <c r="DZ26" s="3">
        <f t="shared" si="86"/>
        <v>92.4</v>
      </c>
      <c r="EA26" s="3">
        <f>1</f>
        <v>1</v>
      </c>
      <c r="EB26" s="54" t="e">
        <f t="shared" si="87"/>
        <v>#N/A</v>
      </c>
      <c r="ED26" s="112" t="str">
        <f t="shared" si="42"/>
        <v>Rome</v>
      </c>
      <c r="EE26" s="20">
        <f t="shared" si="43"/>
        <v>66.7</v>
      </c>
      <c r="EF26" s="3">
        <f t="shared" si="88"/>
        <v>66.7</v>
      </c>
      <c r="EG26" s="3">
        <f>1</f>
        <v>1</v>
      </c>
      <c r="EH26" s="54" t="e">
        <f t="shared" si="89"/>
        <v>#N/A</v>
      </c>
      <c r="EJ26" s="112" t="str">
        <f t="shared" si="44"/>
        <v>Rome</v>
      </c>
      <c r="EK26" s="20">
        <f t="shared" si="45"/>
        <v>38.1</v>
      </c>
      <c r="EL26" s="3">
        <f t="shared" si="90"/>
        <v>38.1</v>
      </c>
      <c r="EM26" s="3">
        <f>1</f>
        <v>1</v>
      </c>
      <c r="EN26" s="54" t="e">
        <f t="shared" si="91"/>
        <v>#N/A</v>
      </c>
    </row>
    <row r="27" spans="1:144" ht="12" customHeight="1" thickBot="1">
      <c r="A27" s="3">
        <f>tblTerritories!A24</f>
        <v>22</v>
      </c>
      <c r="B27" s="3">
        <f>tblTerritories!B24</f>
        <v>0</v>
      </c>
      <c r="C27" s="3" t="str">
        <f>tblTerritories!C24</f>
        <v>Rome</v>
      </c>
      <c r="D27" s="3">
        <f>tblTerritories!K24</f>
        <v>1</v>
      </c>
      <c r="E27" s="3">
        <f t="shared" si="46"/>
        <v>0</v>
      </c>
      <c r="F27" s="3">
        <f>IF(E27=1,1,IF(tblTerritories!F24="",0,tblTerritories!F24))</f>
        <v>1</v>
      </c>
      <c r="G27" s="3">
        <f t="shared" si="92"/>
        <v>61.2</v>
      </c>
      <c r="H27" s="3">
        <f>IF(F27=0,"",RANK(G27,G$6:G$35,0)+COUNTIF(G$6:G27,G27)-1)</f>
        <v>21</v>
      </c>
      <c r="I27" s="3">
        <f t="shared" si="1"/>
        <v>2</v>
      </c>
      <c r="J27" s="3">
        <f t="shared" si="47"/>
        <v>1</v>
      </c>
      <c r="K27" s="19"/>
      <c r="L27" s="19"/>
      <c r="M27" s="18"/>
      <c r="N27" s="112" t="str">
        <f t="shared" si="2"/>
        <v>Auckland</v>
      </c>
      <c r="O27" s="20">
        <f t="shared" si="3"/>
        <v>60.1</v>
      </c>
      <c r="P27" s="3">
        <f t="shared" si="48"/>
        <v>60.1</v>
      </c>
      <c r="Q27" s="3">
        <f>1</f>
        <v>1</v>
      </c>
      <c r="R27" s="54" t="e">
        <f t="shared" si="49"/>
        <v>#N/A</v>
      </c>
      <c r="T27" s="112" t="str">
        <f t="shared" si="4"/>
        <v>Auckland</v>
      </c>
      <c r="U27" s="20">
        <f t="shared" si="5"/>
        <v>59.7</v>
      </c>
      <c r="V27" s="3">
        <f t="shared" si="50"/>
        <v>59.7</v>
      </c>
      <c r="W27" s="3">
        <f>1</f>
        <v>1</v>
      </c>
      <c r="X27" s="54" t="e">
        <f t="shared" si="51"/>
        <v>#N/A</v>
      </c>
      <c r="Z27" s="112" t="str">
        <f t="shared" si="6"/>
        <v>Auckland</v>
      </c>
      <c r="AA27" s="20">
        <f t="shared" si="7"/>
        <v>77.3</v>
      </c>
      <c r="AB27" s="3">
        <f t="shared" si="52"/>
        <v>77.3</v>
      </c>
      <c r="AC27" s="756">
        <v>1</v>
      </c>
      <c r="AD27" s="54" t="e">
        <f t="shared" si="53"/>
        <v>#N/A</v>
      </c>
      <c r="AF27" s="112" t="str">
        <f t="shared" si="8"/>
        <v>Auckland</v>
      </c>
      <c r="AG27" s="20">
        <f t="shared" si="9"/>
        <v>44.1</v>
      </c>
      <c r="AH27" s="3">
        <f t="shared" si="54"/>
        <v>44.1</v>
      </c>
      <c r="AI27" s="3">
        <f>1</f>
        <v>1</v>
      </c>
      <c r="AJ27" s="54" t="e">
        <f t="shared" si="55"/>
        <v>#N/A</v>
      </c>
      <c r="AL27" s="112" t="str">
        <f t="shared" si="10"/>
        <v>Auckland</v>
      </c>
      <c r="AM27" s="20">
        <f t="shared" si="11"/>
        <v>46.8</v>
      </c>
      <c r="AN27" s="3">
        <f t="shared" si="56"/>
        <v>46.8</v>
      </c>
      <c r="AO27" s="3">
        <f>1</f>
        <v>1</v>
      </c>
      <c r="AP27" s="54" t="e">
        <f t="shared" si="57"/>
        <v>#N/A</v>
      </c>
      <c r="AR27" s="112" t="str">
        <f t="shared" si="12"/>
        <v>Auckland</v>
      </c>
      <c r="AS27" s="20">
        <f t="shared" si="13"/>
        <v>49.5</v>
      </c>
      <c r="AT27" s="3">
        <f t="shared" si="58"/>
        <v>49.5</v>
      </c>
      <c r="AU27" s="3">
        <f>1</f>
        <v>1</v>
      </c>
      <c r="AV27" s="54" t="e">
        <f t="shared" si="59"/>
        <v>#N/A</v>
      </c>
      <c r="AX27" s="112" t="str">
        <f t="shared" si="14"/>
        <v>Auckland</v>
      </c>
      <c r="AY27" s="20">
        <f t="shared" si="15"/>
        <v>65.400000000000006</v>
      </c>
      <c r="AZ27" s="3">
        <f t="shared" si="60"/>
        <v>65.400000000000006</v>
      </c>
      <c r="BA27" s="3">
        <f>1</f>
        <v>1</v>
      </c>
      <c r="BB27" s="54" t="e">
        <f t="shared" si="61"/>
        <v>#N/A</v>
      </c>
      <c r="BD27" s="112" t="str">
        <f t="shared" si="16"/>
        <v>Auckland</v>
      </c>
      <c r="BE27" s="20">
        <f t="shared" si="17"/>
        <v>65.599999999999994</v>
      </c>
      <c r="BF27" s="3">
        <f t="shared" si="62"/>
        <v>65.599999999999994</v>
      </c>
      <c r="BG27" s="3">
        <f>1</f>
        <v>1</v>
      </c>
      <c r="BH27" s="54" t="e">
        <f t="shared" si="63"/>
        <v>#N/A</v>
      </c>
      <c r="BJ27" s="112" t="str">
        <f t="shared" si="18"/>
        <v>Auckland</v>
      </c>
      <c r="BK27" s="20">
        <f t="shared" si="19"/>
        <v>41</v>
      </c>
      <c r="BL27" s="3">
        <f t="shared" si="64"/>
        <v>41</v>
      </c>
      <c r="BM27" s="3">
        <f>1</f>
        <v>1</v>
      </c>
      <c r="BN27" s="54" t="e">
        <f t="shared" si="65"/>
        <v>#N/A</v>
      </c>
      <c r="BP27" s="112" t="str">
        <f t="shared" si="20"/>
        <v>Auckland</v>
      </c>
      <c r="BQ27" s="20">
        <f t="shared" si="21"/>
        <v>54.1</v>
      </c>
      <c r="BR27" s="3">
        <f t="shared" si="66"/>
        <v>54.1</v>
      </c>
      <c r="BS27" s="3">
        <f>1</f>
        <v>1</v>
      </c>
      <c r="BT27" s="54" t="e">
        <f t="shared" si="67"/>
        <v>#N/A</v>
      </c>
      <c r="BV27" s="112" t="str">
        <f t="shared" si="22"/>
        <v>Auckland</v>
      </c>
      <c r="BW27" s="20">
        <f t="shared" si="23"/>
        <v>50</v>
      </c>
      <c r="BX27" s="3">
        <f t="shared" si="68"/>
        <v>50</v>
      </c>
      <c r="BY27" s="3">
        <f>1</f>
        <v>1</v>
      </c>
      <c r="BZ27" s="54" t="e">
        <f t="shared" si="69"/>
        <v>#N/A</v>
      </c>
      <c r="CB27" s="112" t="str">
        <f t="shared" si="24"/>
        <v>Auckland</v>
      </c>
      <c r="CC27" s="20">
        <f t="shared" si="25"/>
        <v>19.2</v>
      </c>
      <c r="CD27" s="3">
        <f t="shared" si="70"/>
        <v>19.2</v>
      </c>
      <c r="CE27" s="3">
        <f>1</f>
        <v>1</v>
      </c>
      <c r="CF27" s="54" t="e">
        <f t="shared" si="71"/>
        <v>#N/A</v>
      </c>
      <c r="CH27" s="112" t="str">
        <f t="shared" si="26"/>
        <v>Auckland</v>
      </c>
      <c r="CI27" s="20">
        <f t="shared" si="27"/>
        <v>67</v>
      </c>
      <c r="CJ27" s="3">
        <f t="shared" si="72"/>
        <v>67</v>
      </c>
      <c r="CK27" s="3">
        <f>1</f>
        <v>1</v>
      </c>
      <c r="CL27" s="54" t="e">
        <f t="shared" si="73"/>
        <v>#N/A</v>
      </c>
      <c r="CN27" s="112" t="str">
        <f t="shared" si="28"/>
        <v>Auckland</v>
      </c>
      <c r="CO27" s="20">
        <f t="shared" si="29"/>
        <v>69.400000000000006</v>
      </c>
      <c r="CP27" s="3">
        <f t="shared" si="74"/>
        <v>69.400000000000006</v>
      </c>
      <c r="CQ27" s="3">
        <f>1</f>
        <v>1</v>
      </c>
      <c r="CR27" s="54" t="e">
        <f t="shared" si="75"/>
        <v>#N/A</v>
      </c>
      <c r="CT27" s="112" t="str">
        <f t="shared" si="30"/>
        <v>Auckland</v>
      </c>
      <c r="CU27" s="20">
        <f t="shared" si="31"/>
        <v>81.099999999999994</v>
      </c>
      <c r="CV27" s="3">
        <f t="shared" si="76"/>
        <v>81.099999999999994</v>
      </c>
      <c r="CW27" s="3">
        <f>1</f>
        <v>1</v>
      </c>
      <c r="CX27" s="54" t="e">
        <f t="shared" si="77"/>
        <v>#N/A</v>
      </c>
      <c r="CZ27" s="112" t="str">
        <f t="shared" si="32"/>
        <v>Auckland</v>
      </c>
      <c r="DA27" s="20">
        <f t="shared" si="33"/>
        <v>49.1</v>
      </c>
      <c r="DB27" s="3">
        <f t="shared" si="78"/>
        <v>49.1</v>
      </c>
      <c r="DC27" s="3">
        <f>1</f>
        <v>1</v>
      </c>
      <c r="DD27" s="54" t="e">
        <f t="shared" si="79"/>
        <v>#N/A</v>
      </c>
      <c r="DF27" s="112" t="str">
        <f t="shared" si="34"/>
        <v>Auckland</v>
      </c>
      <c r="DG27" s="20">
        <f t="shared" si="35"/>
        <v>70.8</v>
      </c>
      <c r="DH27" s="3">
        <f t="shared" si="80"/>
        <v>70.8</v>
      </c>
      <c r="DI27" s="3">
        <f>1</f>
        <v>1</v>
      </c>
      <c r="DJ27" s="54" t="e">
        <f t="shared" si="81"/>
        <v>#N/A</v>
      </c>
      <c r="DL27" s="112" t="str">
        <f t="shared" si="36"/>
        <v>Auckland</v>
      </c>
      <c r="DM27" s="20">
        <f t="shared" si="37"/>
        <v>68.099999999999994</v>
      </c>
      <c r="DN27" s="3">
        <f t="shared" si="82"/>
        <v>68.099999999999994</v>
      </c>
      <c r="DO27" s="3">
        <f>1</f>
        <v>1</v>
      </c>
      <c r="DP27" s="54" t="e">
        <f t="shared" si="83"/>
        <v>#N/A</v>
      </c>
      <c r="DR27" s="112" t="str">
        <f t="shared" si="38"/>
        <v>Auckland</v>
      </c>
      <c r="DS27" s="20">
        <f t="shared" si="39"/>
        <v>87.5</v>
      </c>
      <c r="DT27" s="3">
        <f t="shared" si="84"/>
        <v>87.5</v>
      </c>
      <c r="DU27" s="3">
        <f>1</f>
        <v>1</v>
      </c>
      <c r="DV27" s="54" t="e">
        <f t="shared" si="85"/>
        <v>#N/A</v>
      </c>
      <c r="DX27" s="112" t="str">
        <f t="shared" si="40"/>
        <v>Auckland</v>
      </c>
      <c r="DY27" s="20">
        <f t="shared" si="41"/>
        <v>77.599999999999994</v>
      </c>
      <c r="DZ27" s="3">
        <f t="shared" si="86"/>
        <v>77.599999999999994</v>
      </c>
      <c r="EA27" s="3">
        <f>1</f>
        <v>1</v>
      </c>
      <c r="EB27" s="54" t="e">
        <f t="shared" si="87"/>
        <v>#N/A</v>
      </c>
      <c r="ED27" s="112" t="str">
        <f t="shared" si="42"/>
        <v>Auckland</v>
      </c>
      <c r="EE27" s="20">
        <f t="shared" si="43"/>
        <v>100</v>
      </c>
      <c r="EF27" s="3">
        <f t="shared" si="88"/>
        <v>100</v>
      </c>
      <c r="EG27" s="3">
        <f>1</f>
        <v>1</v>
      </c>
      <c r="EH27" s="54" t="e">
        <f t="shared" si="89"/>
        <v>#N/A</v>
      </c>
      <c r="EJ27" s="112" t="str">
        <f t="shared" si="44"/>
        <v>Auckland</v>
      </c>
      <c r="EK27" s="20">
        <f t="shared" si="45"/>
        <v>0</v>
      </c>
      <c r="EL27" s="3">
        <f t="shared" si="90"/>
        <v>0</v>
      </c>
      <c r="EM27" s="3">
        <f>1</f>
        <v>1</v>
      </c>
      <c r="EN27" s="54" t="e">
        <f t="shared" si="91"/>
        <v>#N/A</v>
      </c>
    </row>
    <row r="28" spans="1:144" ht="12" customHeight="1" thickBot="1">
      <c r="A28" s="3">
        <f>tblTerritories!A25</f>
        <v>23</v>
      </c>
      <c r="B28" s="3">
        <f>tblTerritories!B25</f>
        <v>0</v>
      </c>
      <c r="C28" s="3" t="str">
        <f>tblTerritories!C25</f>
        <v>Sao Paulo</v>
      </c>
      <c r="D28" s="3">
        <f>tblTerritories!K25</f>
        <v>1</v>
      </c>
      <c r="E28" s="3">
        <f t="shared" si="46"/>
        <v>0</v>
      </c>
      <c r="F28" s="3">
        <f>IF(E28=1,1,IF(tblTerritories!F25="",0,tblTerritories!F25))</f>
        <v>1</v>
      </c>
      <c r="G28" s="3">
        <f t="shared" si="92"/>
        <v>50.7</v>
      </c>
      <c r="H28" s="3">
        <f>IF(F28=0,"",RANK(G28,G$6:G$35,0)+COUNTIF(G$6:G28,G28)-1)</f>
        <v>24</v>
      </c>
      <c r="I28" s="3">
        <f t="shared" si="1"/>
        <v>14</v>
      </c>
      <c r="J28" s="3">
        <f t="shared" si="47"/>
        <v>1</v>
      </c>
      <c r="K28" s="19"/>
      <c r="L28" s="19"/>
      <c r="M28" s="18"/>
      <c r="N28" s="112" t="str">
        <f t="shared" si="2"/>
        <v>Kuala Lumpur</v>
      </c>
      <c r="O28" s="20">
        <f t="shared" si="3"/>
        <v>58.2</v>
      </c>
      <c r="P28" s="3">
        <f t="shared" si="48"/>
        <v>58.2</v>
      </c>
      <c r="Q28" s="3">
        <f>1</f>
        <v>1</v>
      </c>
      <c r="R28" s="54" t="e">
        <f t="shared" si="49"/>
        <v>#N/A</v>
      </c>
      <c r="T28" s="112" t="str">
        <f t="shared" si="4"/>
        <v>Kuala Lumpur</v>
      </c>
      <c r="U28" s="20">
        <f t="shared" si="5"/>
        <v>58.9</v>
      </c>
      <c r="V28" s="3">
        <f t="shared" si="50"/>
        <v>58.9</v>
      </c>
      <c r="W28" s="3">
        <f>1</f>
        <v>1</v>
      </c>
      <c r="X28" s="54" t="e">
        <f t="shared" si="51"/>
        <v>#N/A</v>
      </c>
      <c r="Z28" s="112" t="str">
        <f t="shared" si="6"/>
        <v>Kuala Lumpur</v>
      </c>
      <c r="AA28" s="20">
        <f t="shared" si="7"/>
        <v>67.2</v>
      </c>
      <c r="AB28" s="3">
        <f t="shared" si="52"/>
        <v>67.2</v>
      </c>
      <c r="AC28" s="756">
        <v>1</v>
      </c>
      <c r="AD28" s="54" t="e">
        <f t="shared" si="53"/>
        <v>#N/A</v>
      </c>
      <c r="AF28" s="112" t="str">
        <f t="shared" si="8"/>
        <v>Kuala Lumpur</v>
      </c>
      <c r="AG28" s="20">
        <f t="shared" si="9"/>
        <v>32.9</v>
      </c>
      <c r="AH28" s="3">
        <f t="shared" si="54"/>
        <v>32.9</v>
      </c>
      <c r="AI28" s="3">
        <f>1</f>
        <v>1</v>
      </c>
      <c r="AJ28" s="54" t="e">
        <f t="shared" si="55"/>
        <v>#N/A</v>
      </c>
      <c r="AL28" s="112" t="str">
        <f t="shared" si="10"/>
        <v>Kuala Lumpur</v>
      </c>
      <c r="AM28" s="20">
        <f t="shared" si="11"/>
        <v>65.099999999999994</v>
      </c>
      <c r="AN28" s="3">
        <f t="shared" si="56"/>
        <v>65.099999999999994</v>
      </c>
      <c r="AO28" s="3">
        <f>1</f>
        <v>1</v>
      </c>
      <c r="AP28" s="54" t="e">
        <f t="shared" si="57"/>
        <v>#N/A</v>
      </c>
      <c r="AR28" s="112" t="str">
        <f t="shared" si="12"/>
        <v>Kuala Lumpur</v>
      </c>
      <c r="AS28" s="20">
        <f t="shared" si="13"/>
        <v>52.6</v>
      </c>
      <c r="AT28" s="3">
        <f t="shared" si="58"/>
        <v>52.6</v>
      </c>
      <c r="AU28" s="3">
        <f>1</f>
        <v>1</v>
      </c>
      <c r="AV28" s="54" t="e">
        <f t="shared" si="59"/>
        <v>#N/A</v>
      </c>
      <c r="AX28" s="112" t="str">
        <f t="shared" si="14"/>
        <v>Kuala Lumpur</v>
      </c>
      <c r="AY28" s="20">
        <f t="shared" si="15"/>
        <v>62.5</v>
      </c>
      <c r="AZ28" s="3">
        <f t="shared" si="60"/>
        <v>62.5</v>
      </c>
      <c r="BA28" s="3">
        <f>1</f>
        <v>1</v>
      </c>
      <c r="BB28" s="54" t="e">
        <f t="shared" si="61"/>
        <v>#N/A</v>
      </c>
      <c r="BD28" s="112" t="str">
        <f t="shared" si="16"/>
        <v>Kuala Lumpur</v>
      </c>
      <c r="BE28" s="20">
        <f t="shared" si="17"/>
        <v>25.1</v>
      </c>
      <c r="BF28" s="3">
        <f t="shared" si="62"/>
        <v>25.1</v>
      </c>
      <c r="BG28" s="3">
        <f>1</f>
        <v>1</v>
      </c>
      <c r="BH28" s="54" t="e">
        <f t="shared" si="63"/>
        <v>#N/A</v>
      </c>
      <c r="BJ28" s="112" t="str">
        <f t="shared" si="18"/>
        <v>Kuala Lumpur</v>
      </c>
      <c r="BK28" s="20">
        <f t="shared" si="19"/>
        <v>82.1</v>
      </c>
      <c r="BL28" s="3">
        <f t="shared" si="64"/>
        <v>82.1</v>
      </c>
      <c r="BM28" s="3">
        <f>1</f>
        <v>1</v>
      </c>
      <c r="BN28" s="54" t="e">
        <f t="shared" si="65"/>
        <v>#N/A</v>
      </c>
      <c r="BP28" s="112" t="str">
        <f t="shared" si="20"/>
        <v>Kuala Lumpur</v>
      </c>
      <c r="BQ28" s="20">
        <f t="shared" si="21"/>
        <v>79.400000000000006</v>
      </c>
      <c r="BR28" s="3">
        <f t="shared" si="66"/>
        <v>79.400000000000006</v>
      </c>
      <c r="BS28" s="3">
        <f>1</f>
        <v>1</v>
      </c>
      <c r="BT28" s="54" t="e">
        <f t="shared" si="67"/>
        <v>#N/A</v>
      </c>
      <c r="BV28" s="112" t="str">
        <f t="shared" si="22"/>
        <v>Kuala Lumpur</v>
      </c>
      <c r="BW28" s="20">
        <f t="shared" si="23"/>
        <v>50</v>
      </c>
      <c r="BX28" s="3">
        <f t="shared" si="68"/>
        <v>50</v>
      </c>
      <c r="BY28" s="3">
        <f>1</f>
        <v>1</v>
      </c>
      <c r="BZ28" s="54" t="e">
        <f t="shared" si="69"/>
        <v>#N/A</v>
      </c>
      <c r="CB28" s="112" t="str">
        <f t="shared" si="24"/>
        <v>Kuala Lumpur</v>
      </c>
      <c r="CC28" s="20">
        <f t="shared" si="25"/>
        <v>7</v>
      </c>
      <c r="CD28" s="3">
        <f t="shared" si="70"/>
        <v>7</v>
      </c>
      <c r="CE28" s="3">
        <f>1</f>
        <v>1</v>
      </c>
      <c r="CF28" s="54" t="e">
        <f t="shared" si="71"/>
        <v>#N/A</v>
      </c>
      <c r="CH28" s="112" t="str">
        <f t="shared" si="26"/>
        <v>Kuala Lumpur</v>
      </c>
      <c r="CI28" s="20">
        <f t="shared" si="27"/>
        <v>56.9</v>
      </c>
      <c r="CJ28" s="3">
        <f t="shared" si="72"/>
        <v>56.9</v>
      </c>
      <c r="CK28" s="3">
        <f>1</f>
        <v>1</v>
      </c>
      <c r="CL28" s="54" t="e">
        <f t="shared" si="73"/>
        <v>#N/A</v>
      </c>
      <c r="CN28" s="112" t="str">
        <f t="shared" si="28"/>
        <v>Kuala Lumpur</v>
      </c>
      <c r="CO28" s="20">
        <f t="shared" si="29"/>
        <v>73.8</v>
      </c>
      <c r="CP28" s="3">
        <f t="shared" si="74"/>
        <v>73.8</v>
      </c>
      <c r="CQ28" s="3">
        <f>1</f>
        <v>1</v>
      </c>
      <c r="CR28" s="54" t="e">
        <f t="shared" si="75"/>
        <v>#N/A</v>
      </c>
      <c r="CT28" s="112" t="str">
        <f t="shared" si="30"/>
        <v>Kuala Lumpur</v>
      </c>
      <c r="CU28" s="20">
        <f t="shared" si="31"/>
        <v>69.099999999999994</v>
      </c>
      <c r="CV28" s="3">
        <f t="shared" si="76"/>
        <v>69.099999999999994</v>
      </c>
      <c r="CW28" s="3">
        <f>1</f>
        <v>1</v>
      </c>
      <c r="CX28" s="54" t="e">
        <f t="shared" si="77"/>
        <v>#N/A</v>
      </c>
      <c r="CZ28" s="112" t="str">
        <f t="shared" si="32"/>
        <v>Kuala Lumpur</v>
      </c>
      <c r="DA28" s="20">
        <f t="shared" si="33"/>
        <v>31.7</v>
      </c>
      <c r="DB28" s="3">
        <f t="shared" si="78"/>
        <v>31.7</v>
      </c>
      <c r="DC28" s="3">
        <f>1</f>
        <v>1</v>
      </c>
      <c r="DD28" s="54" t="e">
        <f t="shared" si="79"/>
        <v>#N/A</v>
      </c>
      <c r="DF28" s="112" t="str">
        <f t="shared" si="34"/>
        <v>Kuala Lumpur</v>
      </c>
      <c r="DG28" s="20">
        <f t="shared" si="35"/>
        <v>61.6</v>
      </c>
      <c r="DH28" s="3">
        <f t="shared" si="80"/>
        <v>61.6</v>
      </c>
      <c r="DI28" s="3">
        <f>1</f>
        <v>1</v>
      </c>
      <c r="DJ28" s="54" t="e">
        <f t="shared" si="81"/>
        <v>#N/A</v>
      </c>
      <c r="DL28" s="112" t="str">
        <f t="shared" si="36"/>
        <v>Kuala Lumpur</v>
      </c>
      <c r="DM28" s="20">
        <f t="shared" si="37"/>
        <v>66</v>
      </c>
      <c r="DN28" s="3">
        <f t="shared" si="82"/>
        <v>66</v>
      </c>
      <c r="DO28" s="3">
        <f>1</f>
        <v>1</v>
      </c>
      <c r="DP28" s="54" t="e">
        <f t="shared" si="83"/>
        <v>#N/A</v>
      </c>
      <c r="DR28" s="112" t="str">
        <f t="shared" si="38"/>
        <v>Kuala Lumpur</v>
      </c>
      <c r="DS28" s="20">
        <f t="shared" si="39"/>
        <v>41.5</v>
      </c>
      <c r="DT28" s="3">
        <f t="shared" si="84"/>
        <v>41.5</v>
      </c>
      <c r="DU28" s="3">
        <f>1</f>
        <v>1</v>
      </c>
      <c r="DV28" s="54" t="e">
        <f t="shared" si="85"/>
        <v>#N/A</v>
      </c>
      <c r="DX28" s="112" t="str">
        <f t="shared" si="40"/>
        <v>Kuala Lumpur</v>
      </c>
      <c r="DY28" s="20">
        <f t="shared" si="41"/>
        <v>76.2</v>
      </c>
      <c r="DZ28" s="3">
        <f t="shared" si="86"/>
        <v>76.2</v>
      </c>
      <c r="EA28" s="3">
        <f>1</f>
        <v>1</v>
      </c>
      <c r="EB28" s="54" t="e">
        <f t="shared" si="87"/>
        <v>#N/A</v>
      </c>
      <c r="ED28" s="112" t="str">
        <f t="shared" si="42"/>
        <v>Kuala Lumpur</v>
      </c>
      <c r="EE28" s="20">
        <f t="shared" si="43"/>
        <v>50</v>
      </c>
      <c r="EF28" s="3">
        <f t="shared" si="88"/>
        <v>50</v>
      </c>
      <c r="EG28" s="3">
        <f>1</f>
        <v>1</v>
      </c>
      <c r="EH28" s="54" t="e">
        <f t="shared" si="89"/>
        <v>#N/A</v>
      </c>
      <c r="EJ28" s="112" t="str">
        <f t="shared" si="44"/>
        <v>Kuala Lumpur</v>
      </c>
      <c r="EK28" s="20">
        <f t="shared" si="45"/>
        <v>100</v>
      </c>
      <c r="EL28" s="3">
        <f t="shared" si="90"/>
        <v>100</v>
      </c>
      <c r="EM28" s="3">
        <f>1</f>
        <v>1</v>
      </c>
      <c r="EN28" s="54" t="e">
        <f t="shared" si="91"/>
        <v>#N/A</v>
      </c>
    </row>
    <row r="29" spans="1:144" ht="12" customHeight="1" thickBot="1">
      <c r="A29" s="3">
        <f>tblTerritories!A26</f>
        <v>24</v>
      </c>
      <c r="B29" s="3">
        <f>tblTerritories!B26</f>
        <v>0</v>
      </c>
      <c r="C29" s="3" t="str">
        <f>tblTerritories!C26</f>
        <v>Seoul</v>
      </c>
      <c r="D29" s="3">
        <f>tblTerritories!K26</f>
        <v>1</v>
      </c>
      <c r="E29" s="3">
        <f t="shared" si="46"/>
        <v>0</v>
      </c>
      <c r="F29" s="3">
        <f>IF(E29=1,1,IF(tblTerritories!F26="",0,tblTerritories!F26))</f>
        <v>1</v>
      </c>
      <c r="G29" s="3">
        <f t="shared" si="92"/>
        <v>73.599999999999994</v>
      </c>
      <c r="H29" s="3">
        <f>IF(F29=0,"",RANK(G29,G$6:G$35,0)+COUNTIF(G$6:G29,G29)-1)</f>
        <v>5</v>
      </c>
      <c r="I29" s="3">
        <f t="shared" si="1"/>
        <v>23</v>
      </c>
      <c r="J29" s="3">
        <f t="shared" si="47"/>
        <v>1</v>
      </c>
      <c r="K29" s="19"/>
      <c r="L29" s="19"/>
      <c r="M29" s="18"/>
      <c r="N29" s="112" t="str">
        <f t="shared" si="2"/>
        <v>Sao Paulo</v>
      </c>
      <c r="O29" s="20">
        <f t="shared" si="3"/>
        <v>50.7</v>
      </c>
      <c r="P29" s="3">
        <f t="shared" si="48"/>
        <v>50.7</v>
      </c>
      <c r="Q29" s="3">
        <f>1</f>
        <v>1</v>
      </c>
      <c r="R29" s="54" t="e">
        <f t="shared" si="49"/>
        <v>#N/A</v>
      </c>
      <c r="T29" s="112" t="str">
        <f t="shared" si="4"/>
        <v>Sao Paulo</v>
      </c>
      <c r="U29" s="20">
        <f t="shared" si="5"/>
        <v>56.5</v>
      </c>
      <c r="V29" s="3">
        <f t="shared" si="50"/>
        <v>56.5</v>
      </c>
      <c r="W29" s="3">
        <f>1</f>
        <v>1</v>
      </c>
      <c r="X29" s="54" t="e">
        <f t="shared" si="51"/>
        <v>#N/A</v>
      </c>
      <c r="Z29" s="112" t="str">
        <f t="shared" si="6"/>
        <v>Sao Paulo</v>
      </c>
      <c r="AA29" s="20">
        <f t="shared" si="7"/>
        <v>63.8</v>
      </c>
      <c r="AB29" s="3">
        <f t="shared" si="52"/>
        <v>63.8</v>
      </c>
      <c r="AC29" s="756">
        <v>1</v>
      </c>
      <c r="AD29" s="54" t="e">
        <f t="shared" si="53"/>
        <v>#N/A</v>
      </c>
      <c r="AF29" s="112" t="str">
        <f t="shared" si="8"/>
        <v>Sao Paulo</v>
      </c>
      <c r="AG29" s="20">
        <f t="shared" si="9"/>
        <v>37.1</v>
      </c>
      <c r="AH29" s="3">
        <f t="shared" si="54"/>
        <v>37.1</v>
      </c>
      <c r="AI29" s="3">
        <f>1</f>
        <v>1</v>
      </c>
      <c r="AJ29" s="54" t="e">
        <f t="shared" si="55"/>
        <v>#N/A</v>
      </c>
      <c r="AL29" s="112" t="str">
        <f t="shared" si="10"/>
        <v>Sao Paulo</v>
      </c>
      <c r="AM29" s="20">
        <f t="shared" si="11"/>
        <v>59.7</v>
      </c>
      <c r="AN29" s="3">
        <f t="shared" si="56"/>
        <v>59.7</v>
      </c>
      <c r="AO29" s="3">
        <f>1</f>
        <v>1</v>
      </c>
      <c r="AP29" s="54" t="e">
        <f t="shared" si="57"/>
        <v>#N/A</v>
      </c>
      <c r="AR29" s="112" t="str">
        <f t="shared" si="12"/>
        <v>Sao Paulo</v>
      </c>
      <c r="AS29" s="20">
        <f t="shared" si="13"/>
        <v>41.3</v>
      </c>
      <c r="AT29" s="3">
        <f t="shared" si="58"/>
        <v>41.3</v>
      </c>
      <c r="AU29" s="3">
        <f>1</f>
        <v>1</v>
      </c>
      <c r="AV29" s="54" t="e">
        <f t="shared" si="59"/>
        <v>#N/A</v>
      </c>
      <c r="AX29" s="112" t="str">
        <f t="shared" si="14"/>
        <v>Sao Paulo</v>
      </c>
      <c r="AY29" s="20">
        <f t="shared" si="15"/>
        <v>95.4</v>
      </c>
      <c r="AZ29" s="3">
        <f t="shared" si="60"/>
        <v>95.4</v>
      </c>
      <c r="BA29" s="3">
        <f>1</f>
        <v>1</v>
      </c>
      <c r="BB29" s="54" t="e">
        <f t="shared" si="61"/>
        <v>#N/A</v>
      </c>
      <c r="BD29" s="112" t="str">
        <f t="shared" si="16"/>
        <v>Sao Paulo</v>
      </c>
      <c r="BE29" s="20">
        <f t="shared" si="17"/>
        <v>47.7</v>
      </c>
      <c r="BF29" s="3">
        <f t="shared" si="62"/>
        <v>47.7</v>
      </c>
      <c r="BG29" s="3">
        <f>1</f>
        <v>1</v>
      </c>
      <c r="BH29" s="54" t="e">
        <f t="shared" si="63"/>
        <v>#N/A</v>
      </c>
      <c r="BJ29" s="112" t="str">
        <f t="shared" si="18"/>
        <v>Sao Paulo</v>
      </c>
      <c r="BK29" s="20">
        <f t="shared" si="19"/>
        <v>0</v>
      </c>
      <c r="BL29" s="3">
        <f t="shared" si="64"/>
        <v>0</v>
      </c>
      <c r="BM29" s="3">
        <f>1</f>
        <v>1</v>
      </c>
      <c r="BN29" s="54" t="e">
        <f t="shared" si="65"/>
        <v>#N/A</v>
      </c>
      <c r="BP29" s="112" t="str">
        <f t="shared" si="20"/>
        <v>Sao Paulo</v>
      </c>
      <c r="BQ29" s="20">
        <f t="shared" si="21"/>
        <v>44.5</v>
      </c>
      <c r="BR29" s="3">
        <f t="shared" si="66"/>
        <v>44.5</v>
      </c>
      <c r="BS29" s="3">
        <f>1</f>
        <v>1</v>
      </c>
      <c r="BT29" s="54" t="e">
        <f t="shared" si="67"/>
        <v>#N/A</v>
      </c>
      <c r="BV29" s="112" t="str">
        <f t="shared" si="22"/>
        <v>Sao Paulo</v>
      </c>
      <c r="BW29" s="20">
        <f t="shared" si="23"/>
        <v>50</v>
      </c>
      <c r="BX29" s="3">
        <f t="shared" si="68"/>
        <v>50</v>
      </c>
      <c r="BY29" s="3">
        <f>1</f>
        <v>1</v>
      </c>
      <c r="BZ29" s="54" t="e">
        <f t="shared" si="69"/>
        <v>#N/A</v>
      </c>
      <c r="CB29" s="112" t="str">
        <f t="shared" si="24"/>
        <v>Sao Paulo</v>
      </c>
      <c r="CC29" s="20">
        <f t="shared" si="25"/>
        <v>7</v>
      </c>
      <c r="CD29" s="3">
        <f t="shared" si="70"/>
        <v>7</v>
      </c>
      <c r="CE29" s="3">
        <f>1</f>
        <v>1</v>
      </c>
      <c r="CF29" s="54" t="e">
        <f t="shared" si="71"/>
        <v>#N/A</v>
      </c>
      <c r="CH29" s="112" t="str">
        <f t="shared" si="26"/>
        <v>Sao Paulo</v>
      </c>
      <c r="CI29" s="20">
        <f t="shared" si="27"/>
        <v>57</v>
      </c>
      <c r="CJ29" s="3">
        <f t="shared" si="72"/>
        <v>57</v>
      </c>
      <c r="CK29" s="3">
        <f>1</f>
        <v>1</v>
      </c>
      <c r="CL29" s="54" t="e">
        <f t="shared" si="73"/>
        <v>#N/A</v>
      </c>
      <c r="CN29" s="112" t="str">
        <f t="shared" si="28"/>
        <v>Sao Paulo</v>
      </c>
      <c r="CO29" s="20">
        <f t="shared" si="29"/>
        <v>68.099999999999994</v>
      </c>
      <c r="CP29" s="3">
        <f t="shared" si="74"/>
        <v>68.099999999999994</v>
      </c>
      <c r="CQ29" s="3">
        <f>1</f>
        <v>1</v>
      </c>
      <c r="CR29" s="54" t="e">
        <f t="shared" si="75"/>
        <v>#N/A</v>
      </c>
      <c r="CT29" s="112" t="str">
        <f t="shared" si="30"/>
        <v>Sao Paulo</v>
      </c>
      <c r="CU29" s="20">
        <f t="shared" si="31"/>
        <v>73.400000000000006</v>
      </c>
      <c r="CV29" s="3">
        <f t="shared" si="76"/>
        <v>73.400000000000006</v>
      </c>
      <c r="CW29" s="3">
        <f>1</f>
        <v>1</v>
      </c>
      <c r="CX29" s="54" t="e">
        <f t="shared" si="77"/>
        <v>#N/A</v>
      </c>
      <c r="CZ29" s="112" t="str">
        <f t="shared" si="32"/>
        <v>Sao Paulo</v>
      </c>
      <c r="DA29" s="20">
        <f t="shared" si="33"/>
        <v>36.5</v>
      </c>
      <c r="DB29" s="3">
        <f t="shared" si="78"/>
        <v>36.5</v>
      </c>
      <c r="DC29" s="3">
        <f>1</f>
        <v>1</v>
      </c>
      <c r="DD29" s="54" t="e">
        <f t="shared" si="79"/>
        <v>#N/A</v>
      </c>
      <c r="DF29" s="112" t="str">
        <f t="shared" si="34"/>
        <v>Sao Paulo</v>
      </c>
      <c r="DG29" s="20">
        <f t="shared" si="35"/>
        <v>52.6</v>
      </c>
      <c r="DH29" s="3">
        <f t="shared" si="80"/>
        <v>52.6</v>
      </c>
      <c r="DI29" s="3">
        <f>1</f>
        <v>1</v>
      </c>
      <c r="DJ29" s="54" t="e">
        <f t="shared" si="81"/>
        <v>#N/A</v>
      </c>
      <c r="DL29" s="112" t="str">
        <f t="shared" si="36"/>
        <v>Sao Paulo</v>
      </c>
      <c r="DM29" s="20">
        <f t="shared" si="37"/>
        <v>48.8</v>
      </c>
      <c r="DN29" s="3">
        <f t="shared" si="82"/>
        <v>48.8</v>
      </c>
      <c r="DO29" s="3">
        <f>1</f>
        <v>1</v>
      </c>
      <c r="DP29" s="54" t="e">
        <f t="shared" si="83"/>
        <v>#N/A</v>
      </c>
      <c r="DR29" s="112" t="str">
        <f t="shared" si="38"/>
        <v>Sao Paulo</v>
      </c>
      <c r="DS29" s="20">
        <f t="shared" si="39"/>
        <v>58.5</v>
      </c>
      <c r="DT29" s="3">
        <f t="shared" si="84"/>
        <v>58.5</v>
      </c>
      <c r="DU29" s="3">
        <f>1</f>
        <v>1</v>
      </c>
      <c r="DV29" s="54" t="e">
        <f t="shared" si="85"/>
        <v>#N/A</v>
      </c>
      <c r="DX29" s="112" t="str">
        <f t="shared" si="40"/>
        <v>Sao Paulo</v>
      </c>
      <c r="DY29" s="20">
        <f t="shared" si="41"/>
        <v>46.5</v>
      </c>
      <c r="DZ29" s="3">
        <f t="shared" si="86"/>
        <v>46.5</v>
      </c>
      <c r="EA29" s="3">
        <f>1</f>
        <v>1</v>
      </c>
      <c r="EB29" s="54" t="e">
        <f t="shared" si="87"/>
        <v>#N/A</v>
      </c>
      <c r="ED29" s="112" t="str">
        <f t="shared" si="42"/>
        <v>Sao Paulo</v>
      </c>
      <c r="EE29" s="20">
        <f t="shared" si="43"/>
        <v>50</v>
      </c>
      <c r="EF29" s="3">
        <f t="shared" si="88"/>
        <v>50</v>
      </c>
      <c r="EG29" s="3">
        <f>1</f>
        <v>1</v>
      </c>
      <c r="EH29" s="54" t="e">
        <f t="shared" si="89"/>
        <v>#N/A</v>
      </c>
      <c r="EJ29" s="112" t="str">
        <f t="shared" si="44"/>
        <v>Sao Paulo</v>
      </c>
      <c r="EK29" s="20">
        <f t="shared" si="45"/>
        <v>38.1</v>
      </c>
      <c r="EL29" s="3">
        <f t="shared" si="90"/>
        <v>38.1</v>
      </c>
      <c r="EM29" s="3">
        <f>1</f>
        <v>1</v>
      </c>
      <c r="EN29" s="54" t="e">
        <f t="shared" si="91"/>
        <v>#N/A</v>
      </c>
    </row>
    <row r="30" spans="1:144" ht="12" customHeight="1" thickBot="1">
      <c r="A30" s="3">
        <f>tblTerritories!A27</f>
        <v>25</v>
      </c>
      <c r="B30" s="3">
        <f>tblTerritories!B27</f>
        <v>0</v>
      </c>
      <c r="C30" s="3" t="str">
        <f>tblTerritories!C27</f>
        <v>Singapore</v>
      </c>
      <c r="D30" s="3">
        <f>tblTerritories!K27</f>
        <v>1</v>
      </c>
      <c r="E30" s="3">
        <f t="shared" si="46"/>
        <v>0</v>
      </c>
      <c r="F30" s="3">
        <f>IF(E30=1,1,IF(tblTerritories!F27="",0,tblTerritories!F27))</f>
        <v>1</v>
      </c>
      <c r="G30" s="3">
        <f t="shared" si="92"/>
        <v>71.400000000000006</v>
      </c>
      <c r="H30" s="3">
        <f>IF(F30=0,"",RANK(G30,G$6:G$35,0)+COUNTIF(G$6:G30,G30)-1)</f>
        <v>8</v>
      </c>
      <c r="I30" s="3">
        <f t="shared" si="1"/>
        <v>3</v>
      </c>
      <c r="J30" s="3">
        <f t="shared" si="47"/>
        <v>1</v>
      </c>
      <c r="K30" s="19"/>
      <c r="L30" s="19"/>
      <c r="M30" s="18"/>
      <c r="N30" s="112" t="str">
        <f t="shared" si="2"/>
        <v>Bangkok</v>
      </c>
      <c r="O30" s="20">
        <f t="shared" si="3"/>
        <v>49.1</v>
      </c>
      <c r="P30" s="3">
        <f t="shared" si="48"/>
        <v>49.1</v>
      </c>
      <c r="Q30" s="3">
        <f>1</f>
        <v>1</v>
      </c>
      <c r="R30" s="54" t="e">
        <f t="shared" si="49"/>
        <v>#N/A</v>
      </c>
      <c r="T30" s="112" t="str">
        <f t="shared" si="4"/>
        <v>Bangkok</v>
      </c>
      <c r="U30" s="20">
        <f t="shared" si="5"/>
        <v>55.3</v>
      </c>
      <c r="V30" s="3">
        <f t="shared" si="50"/>
        <v>55.3</v>
      </c>
      <c r="W30" s="3">
        <f>1</f>
        <v>1</v>
      </c>
      <c r="X30" s="54" t="e">
        <f t="shared" si="51"/>
        <v>#N/A</v>
      </c>
      <c r="Z30" s="112" t="str">
        <f t="shared" si="6"/>
        <v>Bangkok</v>
      </c>
      <c r="AA30" s="20">
        <f t="shared" si="7"/>
        <v>59</v>
      </c>
      <c r="AB30" s="3">
        <f t="shared" si="52"/>
        <v>59</v>
      </c>
      <c r="AC30" s="756">
        <v>1</v>
      </c>
      <c r="AD30" s="54" t="e">
        <f t="shared" si="53"/>
        <v>#N/A</v>
      </c>
      <c r="AF30" s="112" t="str">
        <f t="shared" si="8"/>
        <v>Bangkok</v>
      </c>
      <c r="AG30" s="20">
        <f t="shared" si="9"/>
        <v>50.9</v>
      </c>
      <c r="AH30" s="3">
        <f t="shared" si="54"/>
        <v>50.9</v>
      </c>
      <c r="AI30" s="3">
        <f>1</f>
        <v>1</v>
      </c>
      <c r="AJ30" s="54" t="e">
        <f t="shared" si="55"/>
        <v>#N/A</v>
      </c>
      <c r="AL30" s="112" t="str">
        <f t="shared" si="10"/>
        <v>Bangkok</v>
      </c>
      <c r="AM30" s="20">
        <f t="shared" si="11"/>
        <v>53.4</v>
      </c>
      <c r="AN30" s="3">
        <f t="shared" si="56"/>
        <v>53.4</v>
      </c>
      <c r="AO30" s="3">
        <f>1</f>
        <v>1</v>
      </c>
      <c r="AP30" s="54" t="e">
        <f t="shared" si="57"/>
        <v>#N/A</v>
      </c>
      <c r="AR30" s="112" t="str">
        <f t="shared" si="12"/>
        <v>Bangkok</v>
      </c>
      <c r="AS30" s="20">
        <f t="shared" si="13"/>
        <v>52.6</v>
      </c>
      <c r="AT30" s="3">
        <f t="shared" si="58"/>
        <v>52.6</v>
      </c>
      <c r="AU30" s="3">
        <f>1</f>
        <v>1</v>
      </c>
      <c r="AV30" s="54" t="e">
        <f t="shared" si="59"/>
        <v>#N/A</v>
      </c>
      <c r="AX30" s="112" t="str">
        <f t="shared" si="14"/>
        <v>Bangkok</v>
      </c>
      <c r="AY30" s="20">
        <f t="shared" si="15"/>
        <v>60.4</v>
      </c>
      <c r="AZ30" s="3">
        <f t="shared" si="60"/>
        <v>60.4</v>
      </c>
      <c r="BA30" s="3">
        <f>1</f>
        <v>1</v>
      </c>
      <c r="BB30" s="54" t="e">
        <f t="shared" si="61"/>
        <v>#N/A</v>
      </c>
      <c r="BD30" s="112" t="str">
        <f t="shared" si="16"/>
        <v>Bangkok</v>
      </c>
      <c r="BE30" s="20">
        <f t="shared" si="17"/>
        <v>51.1</v>
      </c>
      <c r="BF30" s="3">
        <f t="shared" si="62"/>
        <v>51.1</v>
      </c>
      <c r="BG30" s="3">
        <f>1</f>
        <v>1</v>
      </c>
      <c r="BH30" s="54" t="e">
        <f t="shared" si="63"/>
        <v>#N/A</v>
      </c>
      <c r="BJ30" s="112" t="str">
        <f t="shared" si="18"/>
        <v>Bangkok</v>
      </c>
      <c r="BK30" s="20">
        <f t="shared" si="19"/>
        <v>23.1</v>
      </c>
      <c r="BL30" s="3">
        <f t="shared" si="64"/>
        <v>23.1</v>
      </c>
      <c r="BM30" s="3">
        <f>1</f>
        <v>1</v>
      </c>
      <c r="BN30" s="54" t="e">
        <f t="shared" si="65"/>
        <v>#N/A</v>
      </c>
      <c r="BP30" s="112" t="str">
        <f t="shared" si="20"/>
        <v>Bangkok</v>
      </c>
      <c r="BQ30" s="20">
        <f t="shared" si="21"/>
        <v>59.5</v>
      </c>
      <c r="BR30" s="3">
        <f t="shared" si="66"/>
        <v>59.5</v>
      </c>
      <c r="BS30" s="3">
        <f>1</f>
        <v>1</v>
      </c>
      <c r="BT30" s="54" t="e">
        <f t="shared" si="67"/>
        <v>#N/A</v>
      </c>
      <c r="BV30" s="112" t="str">
        <f t="shared" si="22"/>
        <v>Bangkok</v>
      </c>
      <c r="BW30" s="20">
        <f t="shared" si="23"/>
        <v>50</v>
      </c>
      <c r="BX30" s="3">
        <f t="shared" si="68"/>
        <v>50</v>
      </c>
      <c r="BY30" s="3">
        <f>1</f>
        <v>1</v>
      </c>
      <c r="BZ30" s="54" t="e">
        <f t="shared" si="69"/>
        <v>#N/A</v>
      </c>
      <c r="CB30" s="112" t="str">
        <f t="shared" si="24"/>
        <v>Bangkok</v>
      </c>
      <c r="CC30" s="20">
        <f t="shared" si="25"/>
        <v>76.7</v>
      </c>
      <c r="CD30" s="3">
        <f t="shared" si="70"/>
        <v>76.7</v>
      </c>
      <c r="CE30" s="3">
        <f>1</f>
        <v>1</v>
      </c>
      <c r="CF30" s="54" t="e">
        <f t="shared" si="71"/>
        <v>#N/A</v>
      </c>
      <c r="CH30" s="112" t="str">
        <f t="shared" si="26"/>
        <v>Bangkok</v>
      </c>
      <c r="CI30" s="20">
        <f t="shared" si="27"/>
        <v>43.4</v>
      </c>
      <c r="CJ30" s="3">
        <f t="shared" si="72"/>
        <v>43.4</v>
      </c>
      <c r="CK30" s="3">
        <f>1</f>
        <v>1</v>
      </c>
      <c r="CL30" s="54" t="e">
        <f t="shared" si="73"/>
        <v>#N/A</v>
      </c>
      <c r="CN30" s="112" t="str">
        <f t="shared" si="28"/>
        <v>Bangkok</v>
      </c>
      <c r="CO30" s="20">
        <f t="shared" si="29"/>
        <v>77.8</v>
      </c>
      <c r="CP30" s="3">
        <f t="shared" si="74"/>
        <v>77.8</v>
      </c>
      <c r="CQ30" s="3">
        <f>1</f>
        <v>1</v>
      </c>
      <c r="CR30" s="54" t="e">
        <f t="shared" si="75"/>
        <v>#N/A</v>
      </c>
      <c r="CT30" s="112" t="str">
        <f t="shared" si="30"/>
        <v>Bangkok</v>
      </c>
      <c r="CU30" s="20">
        <f t="shared" si="31"/>
        <v>38.6</v>
      </c>
      <c r="CV30" s="3">
        <f t="shared" si="76"/>
        <v>38.6</v>
      </c>
      <c r="CW30" s="3">
        <f>1</f>
        <v>1</v>
      </c>
      <c r="CX30" s="54" t="e">
        <f t="shared" si="77"/>
        <v>#N/A</v>
      </c>
      <c r="CZ30" s="112" t="str">
        <f t="shared" si="32"/>
        <v>Bangkok</v>
      </c>
      <c r="DA30" s="20">
        <f t="shared" si="33"/>
        <v>19</v>
      </c>
      <c r="DB30" s="3">
        <f t="shared" si="78"/>
        <v>19</v>
      </c>
      <c r="DC30" s="3">
        <f>1</f>
        <v>1</v>
      </c>
      <c r="DD30" s="54" t="e">
        <f t="shared" si="79"/>
        <v>#N/A</v>
      </c>
      <c r="DF30" s="112" t="str">
        <f t="shared" si="34"/>
        <v>Bangkok</v>
      </c>
      <c r="DG30" s="20">
        <f t="shared" si="35"/>
        <v>57.8</v>
      </c>
      <c r="DH30" s="3">
        <f t="shared" si="80"/>
        <v>57.8</v>
      </c>
      <c r="DI30" s="3">
        <f>1</f>
        <v>1</v>
      </c>
      <c r="DJ30" s="54" t="e">
        <f t="shared" si="81"/>
        <v>#N/A</v>
      </c>
      <c r="DL30" s="112" t="str">
        <f t="shared" si="36"/>
        <v>Bangkok</v>
      </c>
      <c r="DM30" s="20">
        <f t="shared" si="37"/>
        <v>41.3</v>
      </c>
      <c r="DN30" s="3">
        <f t="shared" si="82"/>
        <v>41.3</v>
      </c>
      <c r="DO30" s="3">
        <f>1</f>
        <v>1</v>
      </c>
      <c r="DP30" s="54" t="e">
        <f t="shared" si="83"/>
        <v>#N/A</v>
      </c>
      <c r="DR30" s="112" t="str">
        <f t="shared" si="38"/>
        <v>Bangkok</v>
      </c>
      <c r="DS30" s="20">
        <f t="shared" si="39"/>
        <v>62.5</v>
      </c>
      <c r="DT30" s="3">
        <f t="shared" si="84"/>
        <v>62.5</v>
      </c>
      <c r="DU30" s="3">
        <f>1</f>
        <v>1</v>
      </c>
      <c r="DV30" s="54" t="e">
        <f t="shared" si="85"/>
        <v>#N/A</v>
      </c>
      <c r="DX30" s="112" t="str">
        <f t="shared" si="40"/>
        <v>Bangkok</v>
      </c>
      <c r="DY30" s="20">
        <f t="shared" si="41"/>
        <v>46.2</v>
      </c>
      <c r="DZ30" s="3">
        <f t="shared" si="86"/>
        <v>46.2</v>
      </c>
      <c r="EA30" s="3">
        <f>1</f>
        <v>1</v>
      </c>
      <c r="EB30" s="54" t="e">
        <f t="shared" si="87"/>
        <v>#N/A</v>
      </c>
      <c r="ED30" s="112" t="str">
        <f t="shared" si="42"/>
        <v>Bangkok</v>
      </c>
      <c r="EE30" s="20">
        <f t="shared" si="43"/>
        <v>50</v>
      </c>
      <c r="EF30" s="3">
        <f t="shared" si="88"/>
        <v>50</v>
      </c>
      <c r="EG30" s="3">
        <f>1</f>
        <v>1</v>
      </c>
      <c r="EH30" s="54" t="e">
        <f t="shared" si="89"/>
        <v>#N/A</v>
      </c>
      <c r="EJ30" s="112" t="str">
        <f t="shared" si="44"/>
        <v>Bangkok</v>
      </c>
      <c r="EK30" s="20">
        <f t="shared" si="45"/>
        <v>0</v>
      </c>
      <c r="EL30" s="3">
        <f t="shared" si="90"/>
        <v>0</v>
      </c>
      <c r="EM30" s="3">
        <f>1</f>
        <v>1</v>
      </c>
      <c r="EN30" s="54" t="e">
        <f t="shared" si="91"/>
        <v>#N/A</v>
      </c>
    </row>
    <row r="31" spans="1:144" ht="12" customHeight="1" thickBot="1">
      <c r="A31" s="3">
        <f>tblTerritories!A28</f>
        <v>26</v>
      </c>
      <c r="B31" s="3">
        <f>tblTerritories!B28</f>
        <v>0</v>
      </c>
      <c r="C31" s="3" t="str">
        <f>tblTerritories!C28</f>
        <v>Sydney</v>
      </c>
      <c r="D31" s="3">
        <f>tblTerritories!K28</f>
        <v>1</v>
      </c>
      <c r="E31" s="3">
        <f t="shared" si="46"/>
        <v>0</v>
      </c>
      <c r="F31" s="3">
        <f>IF(E31=1,1,IF(tblTerritories!F28="",0,tblTerritories!F28))</f>
        <v>1</v>
      </c>
      <c r="G31" s="3">
        <f t="shared" si="92"/>
        <v>72.599999999999994</v>
      </c>
      <c r="H31" s="3">
        <f>IF(F31=0,"",RANK(G31,G$6:G$35,0)+COUNTIF(G$6:G31,G31)-1)</f>
        <v>7</v>
      </c>
      <c r="I31" s="3">
        <f t="shared" si="1"/>
        <v>7</v>
      </c>
      <c r="J31" s="3">
        <f t="shared" si="47"/>
        <v>1</v>
      </c>
      <c r="K31" s="19"/>
      <c r="L31" s="19"/>
      <c r="M31" s="18"/>
      <c r="N31" s="112" t="str">
        <f t="shared" si="2"/>
        <v>Buenos Aires</v>
      </c>
      <c r="O31" s="20">
        <f t="shared" si="3"/>
        <v>45.1</v>
      </c>
      <c r="P31" s="3">
        <f t="shared" si="48"/>
        <v>45.1</v>
      </c>
      <c r="Q31" s="3">
        <f>1</f>
        <v>1</v>
      </c>
      <c r="R31" s="54" t="e">
        <f t="shared" si="49"/>
        <v>#N/A</v>
      </c>
      <c r="T31" s="112" t="str">
        <f t="shared" si="4"/>
        <v>Buenos Aires</v>
      </c>
      <c r="U31" s="20">
        <f t="shared" si="5"/>
        <v>40.799999999999997</v>
      </c>
      <c r="V31" s="3">
        <f t="shared" si="50"/>
        <v>40.799999999999997</v>
      </c>
      <c r="W31" s="3">
        <f>1</f>
        <v>1</v>
      </c>
      <c r="X31" s="54" t="e">
        <f t="shared" si="51"/>
        <v>#N/A</v>
      </c>
      <c r="Z31" s="112" t="str">
        <f t="shared" si="6"/>
        <v>Buenos Aires</v>
      </c>
      <c r="AA31" s="20">
        <f t="shared" si="7"/>
        <v>63.9</v>
      </c>
      <c r="AB31" s="3">
        <f t="shared" si="52"/>
        <v>63.9</v>
      </c>
      <c r="AC31" s="756">
        <v>1</v>
      </c>
      <c r="AD31" s="54" t="e">
        <f t="shared" si="53"/>
        <v>#N/A</v>
      </c>
      <c r="AF31" s="112" t="str">
        <f t="shared" si="8"/>
        <v>Buenos Aires</v>
      </c>
      <c r="AG31" s="20">
        <f t="shared" si="9"/>
        <v>17.899999999999999</v>
      </c>
      <c r="AH31" s="3">
        <f t="shared" si="54"/>
        <v>17.899999999999999</v>
      </c>
      <c r="AI31" s="3">
        <f>1</f>
        <v>1</v>
      </c>
      <c r="AJ31" s="54" t="e">
        <f t="shared" si="55"/>
        <v>#N/A</v>
      </c>
      <c r="AL31" s="112" t="str">
        <f t="shared" si="10"/>
        <v>Buenos Aires</v>
      </c>
      <c r="AM31" s="20">
        <f t="shared" si="11"/>
        <v>25.1</v>
      </c>
      <c r="AN31" s="3">
        <f t="shared" si="56"/>
        <v>25.1</v>
      </c>
      <c r="AO31" s="3">
        <f>1</f>
        <v>1</v>
      </c>
      <c r="AP31" s="54" t="e">
        <f t="shared" si="57"/>
        <v>#N/A</v>
      </c>
      <c r="AR31" s="112" t="str">
        <f t="shared" si="12"/>
        <v>Buenos Aires</v>
      </c>
      <c r="AS31" s="20">
        <f t="shared" si="13"/>
        <v>42.2</v>
      </c>
      <c r="AT31" s="3">
        <f t="shared" si="58"/>
        <v>42.2</v>
      </c>
      <c r="AU31" s="3">
        <f>1</f>
        <v>1</v>
      </c>
      <c r="AV31" s="54" t="e">
        <f t="shared" si="59"/>
        <v>#N/A</v>
      </c>
      <c r="AX31" s="112" t="str">
        <f t="shared" si="14"/>
        <v>Buenos Aires</v>
      </c>
      <c r="AY31" s="20">
        <f t="shared" si="15"/>
        <v>46.4</v>
      </c>
      <c r="AZ31" s="3">
        <f t="shared" si="60"/>
        <v>46.4</v>
      </c>
      <c r="BA31" s="3">
        <f>1</f>
        <v>1</v>
      </c>
      <c r="BB31" s="54" t="e">
        <f t="shared" si="61"/>
        <v>#N/A</v>
      </c>
      <c r="BD31" s="112" t="str">
        <f t="shared" si="16"/>
        <v>Buenos Aires</v>
      </c>
      <c r="BE31" s="20">
        <f t="shared" si="17"/>
        <v>39.299999999999997</v>
      </c>
      <c r="BF31" s="3">
        <f t="shared" si="62"/>
        <v>39.299999999999997</v>
      </c>
      <c r="BG31" s="3">
        <f>1</f>
        <v>1</v>
      </c>
      <c r="BH31" s="54" t="e">
        <f t="shared" si="63"/>
        <v>#N/A</v>
      </c>
      <c r="BJ31" s="112" t="str">
        <f t="shared" si="18"/>
        <v>Buenos Aires</v>
      </c>
      <c r="BK31" s="20">
        <f t="shared" si="19"/>
        <v>59</v>
      </c>
      <c r="BL31" s="3">
        <f t="shared" si="64"/>
        <v>59</v>
      </c>
      <c r="BM31" s="3">
        <f>1</f>
        <v>1</v>
      </c>
      <c r="BN31" s="54" t="e">
        <f t="shared" si="65"/>
        <v>#N/A</v>
      </c>
      <c r="BP31" s="112" t="str">
        <f t="shared" si="20"/>
        <v>Buenos Aires</v>
      </c>
      <c r="BQ31" s="20">
        <f t="shared" si="21"/>
        <v>80.400000000000006</v>
      </c>
      <c r="BR31" s="3">
        <f t="shared" si="66"/>
        <v>80.400000000000006</v>
      </c>
      <c r="BS31" s="3">
        <f>1</f>
        <v>1</v>
      </c>
      <c r="BT31" s="54" t="e">
        <f t="shared" si="67"/>
        <v>#N/A</v>
      </c>
      <c r="BV31" s="112" t="str">
        <f t="shared" si="22"/>
        <v>Buenos Aires</v>
      </c>
      <c r="BW31" s="20">
        <f t="shared" si="23"/>
        <v>0</v>
      </c>
      <c r="BX31" s="3">
        <f t="shared" si="68"/>
        <v>0</v>
      </c>
      <c r="BY31" s="3">
        <f>1</f>
        <v>1</v>
      </c>
      <c r="BZ31" s="54" t="e">
        <f t="shared" si="69"/>
        <v>#N/A</v>
      </c>
      <c r="CB31" s="112" t="str">
        <f t="shared" si="24"/>
        <v>Buenos Aires</v>
      </c>
      <c r="CC31" s="20">
        <f t="shared" si="25"/>
        <v>22.9</v>
      </c>
      <c r="CD31" s="3">
        <f t="shared" si="70"/>
        <v>22.9</v>
      </c>
      <c r="CE31" s="3">
        <f>1</f>
        <v>1</v>
      </c>
      <c r="CF31" s="54" t="e">
        <f t="shared" si="71"/>
        <v>#N/A</v>
      </c>
      <c r="CH31" s="112" t="str">
        <f t="shared" si="26"/>
        <v>Buenos Aires</v>
      </c>
      <c r="CI31" s="20">
        <f t="shared" si="27"/>
        <v>48.7</v>
      </c>
      <c r="CJ31" s="3">
        <f t="shared" si="72"/>
        <v>48.7</v>
      </c>
      <c r="CK31" s="3">
        <f>1</f>
        <v>1</v>
      </c>
      <c r="CL31" s="54" t="e">
        <f t="shared" si="73"/>
        <v>#N/A</v>
      </c>
      <c r="CN31" s="112" t="str">
        <f t="shared" si="28"/>
        <v>Buenos Aires</v>
      </c>
      <c r="CO31" s="20">
        <f t="shared" si="29"/>
        <v>73.099999999999994</v>
      </c>
      <c r="CP31" s="3">
        <f t="shared" si="74"/>
        <v>73.099999999999994</v>
      </c>
      <c r="CQ31" s="3">
        <f>1</f>
        <v>1</v>
      </c>
      <c r="CR31" s="54" t="e">
        <f t="shared" si="75"/>
        <v>#N/A</v>
      </c>
      <c r="CT31" s="112" t="str">
        <f t="shared" si="30"/>
        <v>Buenos Aires</v>
      </c>
      <c r="CU31" s="20">
        <f t="shared" si="31"/>
        <v>64.900000000000006</v>
      </c>
      <c r="CV31" s="3">
        <f t="shared" si="76"/>
        <v>64.900000000000006</v>
      </c>
      <c r="CW31" s="3">
        <f>1</f>
        <v>1</v>
      </c>
      <c r="CX31" s="54" t="e">
        <f t="shared" si="77"/>
        <v>#N/A</v>
      </c>
      <c r="CZ31" s="112" t="str">
        <f t="shared" si="32"/>
        <v>Buenos Aires</v>
      </c>
      <c r="DA31" s="20">
        <f t="shared" si="33"/>
        <v>14.6</v>
      </c>
      <c r="DB31" s="3">
        <f t="shared" si="78"/>
        <v>14.6</v>
      </c>
      <c r="DC31" s="3">
        <f>1</f>
        <v>1</v>
      </c>
      <c r="DD31" s="54" t="e">
        <f t="shared" si="79"/>
        <v>#N/A</v>
      </c>
      <c r="DF31" s="112" t="str">
        <f t="shared" si="34"/>
        <v>Buenos Aires</v>
      </c>
      <c r="DG31" s="20">
        <f t="shared" si="35"/>
        <v>54.2</v>
      </c>
      <c r="DH31" s="3">
        <f t="shared" si="80"/>
        <v>54.2</v>
      </c>
      <c r="DI31" s="3">
        <f>1</f>
        <v>1</v>
      </c>
      <c r="DJ31" s="54" t="e">
        <f t="shared" si="81"/>
        <v>#N/A</v>
      </c>
      <c r="DL31" s="112" t="str">
        <f t="shared" si="36"/>
        <v>Buenos Aires</v>
      </c>
      <c r="DM31" s="20">
        <f t="shared" si="37"/>
        <v>51.5</v>
      </c>
      <c r="DN31" s="3">
        <f t="shared" si="82"/>
        <v>51.5</v>
      </c>
      <c r="DO31" s="3">
        <f>1</f>
        <v>1</v>
      </c>
      <c r="DP31" s="54" t="e">
        <f t="shared" si="83"/>
        <v>#N/A</v>
      </c>
      <c r="DR31" s="112" t="str">
        <f t="shared" si="38"/>
        <v>Buenos Aires</v>
      </c>
      <c r="DS31" s="20">
        <f t="shared" si="39"/>
        <v>37.5</v>
      </c>
      <c r="DT31" s="3">
        <f t="shared" si="84"/>
        <v>37.5</v>
      </c>
      <c r="DU31" s="3">
        <f>1</f>
        <v>1</v>
      </c>
      <c r="DV31" s="54" t="e">
        <f t="shared" si="85"/>
        <v>#N/A</v>
      </c>
      <c r="DX31" s="112" t="str">
        <f t="shared" si="40"/>
        <v>Buenos Aires</v>
      </c>
      <c r="DY31" s="20">
        <f t="shared" si="41"/>
        <v>77.599999999999994</v>
      </c>
      <c r="DZ31" s="3">
        <f t="shared" si="86"/>
        <v>77.599999999999994</v>
      </c>
      <c r="EA31" s="3">
        <f>1</f>
        <v>1</v>
      </c>
      <c r="EB31" s="54" t="e">
        <f t="shared" si="87"/>
        <v>#N/A</v>
      </c>
      <c r="ED31" s="112" t="str">
        <f t="shared" si="42"/>
        <v>Buenos Aires</v>
      </c>
      <c r="EE31" s="20">
        <f t="shared" si="43"/>
        <v>50</v>
      </c>
      <c r="EF31" s="3">
        <f t="shared" si="88"/>
        <v>50</v>
      </c>
      <c r="EG31" s="3">
        <f>1</f>
        <v>1</v>
      </c>
      <c r="EH31" s="54" t="e">
        <f t="shared" si="89"/>
        <v>#N/A</v>
      </c>
      <c r="EJ31" s="112" t="str">
        <f t="shared" si="44"/>
        <v>Buenos Aires</v>
      </c>
      <c r="EK31" s="20">
        <f t="shared" si="45"/>
        <v>38.1</v>
      </c>
      <c r="EL31" s="3">
        <f t="shared" si="90"/>
        <v>38.1</v>
      </c>
      <c r="EM31" s="3">
        <f>1</f>
        <v>1</v>
      </c>
      <c r="EN31" s="54" t="e">
        <f t="shared" si="91"/>
        <v>#N/A</v>
      </c>
    </row>
    <row r="32" spans="1:144" ht="12" customHeight="1" thickBot="1">
      <c r="A32" s="3">
        <f>tblTerritories!A29</f>
        <v>27</v>
      </c>
      <c r="B32" s="3">
        <f>tblTerritories!B29</f>
        <v>0</v>
      </c>
      <c r="C32" s="3" t="str">
        <f>tblTerritories!C29</f>
        <v>Tokyo</v>
      </c>
      <c r="D32" s="3">
        <f>tblTerritories!K29</f>
        <v>1</v>
      </c>
      <c r="E32" s="3">
        <f t="shared" si="46"/>
        <v>0</v>
      </c>
      <c r="F32" s="3">
        <f>IF(E32=1,1,IF(tblTerritories!F29="",0,tblTerritories!F29))</f>
        <v>1</v>
      </c>
      <c r="G32" s="3">
        <f t="shared" si="92"/>
        <v>63</v>
      </c>
      <c r="H32" s="3">
        <f>IF(F32=0,"",RANK(G32,G$6:G$35,0)+COUNTIF(G$6:G32,G32)-1)</f>
        <v>20</v>
      </c>
      <c r="I32" s="3">
        <f t="shared" si="1"/>
        <v>13</v>
      </c>
      <c r="J32" s="3">
        <f t="shared" si="47"/>
        <v>1</v>
      </c>
      <c r="K32" s="19"/>
      <c r="L32" s="19"/>
      <c r="M32" s="18"/>
      <c r="N32" s="112" t="str">
        <f t="shared" si="2"/>
        <v>Jakarta</v>
      </c>
      <c r="O32" s="20">
        <f t="shared" si="3"/>
        <v>43.5</v>
      </c>
      <c r="P32" s="3">
        <f t="shared" si="48"/>
        <v>43.5</v>
      </c>
      <c r="Q32" s="3">
        <f>1</f>
        <v>1</v>
      </c>
      <c r="R32" s="54" t="e">
        <f t="shared" si="49"/>
        <v>#N/A</v>
      </c>
      <c r="T32" s="112" t="str">
        <f t="shared" si="4"/>
        <v>Jakarta</v>
      </c>
      <c r="U32" s="20">
        <f t="shared" si="5"/>
        <v>48.1</v>
      </c>
      <c r="V32" s="3">
        <f t="shared" si="50"/>
        <v>48.1</v>
      </c>
      <c r="W32" s="3">
        <f>1</f>
        <v>1</v>
      </c>
      <c r="X32" s="54" t="e">
        <f t="shared" si="51"/>
        <v>#N/A</v>
      </c>
      <c r="Z32" s="112" t="str">
        <f t="shared" si="6"/>
        <v>Jakarta</v>
      </c>
      <c r="AA32" s="20">
        <f t="shared" si="7"/>
        <v>57</v>
      </c>
      <c r="AB32" s="3">
        <f t="shared" si="52"/>
        <v>57</v>
      </c>
      <c r="AC32" s="756">
        <v>1</v>
      </c>
      <c r="AD32" s="54" t="e">
        <f t="shared" si="53"/>
        <v>#N/A</v>
      </c>
      <c r="AF32" s="112" t="str">
        <f t="shared" si="8"/>
        <v>Jakarta</v>
      </c>
      <c r="AG32" s="20">
        <f t="shared" si="9"/>
        <v>33.799999999999997</v>
      </c>
      <c r="AH32" s="3">
        <f t="shared" si="54"/>
        <v>33.799999999999997</v>
      </c>
      <c r="AI32" s="3">
        <f>1</f>
        <v>1</v>
      </c>
      <c r="AJ32" s="54" t="e">
        <f t="shared" si="55"/>
        <v>#N/A</v>
      </c>
      <c r="AL32" s="112" t="str">
        <f t="shared" si="10"/>
        <v>Jakarta</v>
      </c>
      <c r="AM32" s="20">
        <f t="shared" si="11"/>
        <v>45.8</v>
      </c>
      <c r="AN32" s="3">
        <f t="shared" si="56"/>
        <v>45.8</v>
      </c>
      <c r="AO32" s="3">
        <f>1</f>
        <v>1</v>
      </c>
      <c r="AP32" s="54" t="e">
        <f t="shared" si="57"/>
        <v>#N/A</v>
      </c>
      <c r="AR32" s="112" t="str">
        <f t="shared" si="12"/>
        <v>Jakarta</v>
      </c>
      <c r="AS32" s="20">
        <f t="shared" si="13"/>
        <v>42.5</v>
      </c>
      <c r="AT32" s="3">
        <f t="shared" si="58"/>
        <v>42.5</v>
      </c>
      <c r="AU32" s="3">
        <f>1</f>
        <v>1</v>
      </c>
      <c r="AV32" s="54" t="e">
        <f t="shared" si="59"/>
        <v>#N/A</v>
      </c>
      <c r="AX32" s="112" t="str">
        <f t="shared" si="14"/>
        <v>Jakarta</v>
      </c>
      <c r="AY32" s="20">
        <f t="shared" si="15"/>
        <v>56.4</v>
      </c>
      <c r="AZ32" s="3">
        <f t="shared" si="60"/>
        <v>56.4</v>
      </c>
      <c r="BA32" s="3">
        <f>1</f>
        <v>1</v>
      </c>
      <c r="BB32" s="54" t="e">
        <f t="shared" si="61"/>
        <v>#N/A</v>
      </c>
      <c r="BD32" s="112" t="str">
        <f t="shared" si="16"/>
        <v>Jakarta</v>
      </c>
      <c r="BE32" s="20">
        <f t="shared" si="17"/>
        <v>51.6</v>
      </c>
      <c r="BF32" s="3">
        <f t="shared" si="62"/>
        <v>51.6</v>
      </c>
      <c r="BG32" s="3">
        <f>1</f>
        <v>1</v>
      </c>
      <c r="BH32" s="54" t="e">
        <f t="shared" si="63"/>
        <v>#N/A</v>
      </c>
      <c r="BJ32" s="112" t="str">
        <f t="shared" si="18"/>
        <v>Jakarta</v>
      </c>
      <c r="BK32" s="20">
        <f t="shared" si="19"/>
        <v>76.900000000000006</v>
      </c>
      <c r="BL32" s="3">
        <f t="shared" si="64"/>
        <v>76.900000000000006</v>
      </c>
      <c r="BM32" s="3">
        <f>1</f>
        <v>1</v>
      </c>
      <c r="BN32" s="54" t="e">
        <f t="shared" si="65"/>
        <v>#N/A</v>
      </c>
      <c r="BP32" s="112" t="str">
        <f t="shared" si="20"/>
        <v>Jakarta</v>
      </c>
      <c r="BQ32" s="20">
        <f t="shared" si="21"/>
        <v>42.6</v>
      </c>
      <c r="BR32" s="3">
        <f t="shared" si="66"/>
        <v>42.6</v>
      </c>
      <c r="BS32" s="3">
        <f>1</f>
        <v>1</v>
      </c>
      <c r="BT32" s="54" t="e">
        <f t="shared" si="67"/>
        <v>#N/A</v>
      </c>
      <c r="BV32" s="112" t="str">
        <f t="shared" si="22"/>
        <v>Jakarta</v>
      </c>
      <c r="BW32" s="20">
        <f t="shared" si="23"/>
        <v>0</v>
      </c>
      <c r="BX32" s="3">
        <f t="shared" si="68"/>
        <v>0</v>
      </c>
      <c r="BY32" s="3">
        <f>1</f>
        <v>1</v>
      </c>
      <c r="BZ32" s="54" t="e">
        <f t="shared" si="69"/>
        <v>#N/A</v>
      </c>
      <c r="CB32" s="112" t="str">
        <f t="shared" si="24"/>
        <v>Jakarta</v>
      </c>
      <c r="CC32" s="20">
        <f t="shared" si="25"/>
        <v>15.5</v>
      </c>
      <c r="CD32" s="3">
        <f t="shared" si="70"/>
        <v>15.5</v>
      </c>
      <c r="CE32" s="3">
        <f>1</f>
        <v>1</v>
      </c>
      <c r="CF32" s="54" t="e">
        <f t="shared" si="71"/>
        <v>#N/A</v>
      </c>
      <c r="CH32" s="112" t="str">
        <f t="shared" si="26"/>
        <v>Jakarta</v>
      </c>
      <c r="CI32" s="20">
        <f t="shared" si="27"/>
        <v>47.2</v>
      </c>
      <c r="CJ32" s="3">
        <f t="shared" si="72"/>
        <v>47.2</v>
      </c>
      <c r="CK32" s="3">
        <f>1</f>
        <v>1</v>
      </c>
      <c r="CL32" s="54" t="e">
        <f t="shared" si="73"/>
        <v>#N/A</v>
      </c>
      <c r="CN32" s="112" t="str">
        <f t="shared" si="28"/>
        <v>Jakarta</v>
      </c>
      <c r="CO32" s="20">
        <f t="shared" si="29"/>
        <v>75.900000000000006</v>
      </c>
      <c r="CP32" s="3">
        <f t="shared" si="74"/>
        <v>75.900000000000006</v>
      </c>
      <c r="CQ32" s="3">
        <f>1</f>
        <v>1</v>
      </c>
      <c r="CR32" s="54" t="e">
        <f t="shared" si="75"/>
        <v>#N/A</v>
      </c>
      <c r="CT32" s="112" t="str">
        <f t="shared" si="30"/>
        <v>Jakarta</v>
      </c>
      <c r="CU32" s="20">
        <f t="shared" si="31"/>
        <v>44.1</v>
      </c>
      <c r="CV32" s="3">
        <f t="shared" si="76"/>
        <v>44.1</v>
      </c>
      <c r="CW32" s="3">
        <f>1</f>
        <v>1</v>
      </c>
      <c r="CX32" s="54" t="e">
        <f t="shared" si="77"/>
        <v>#N/A</v>
      </c>
      <c r="CZ32" s="112" t="str">
        <f t="shared" si="32"/>
        <v>Jakarta</v>
      </c>
      <c r="DA32" s="20">
        <f t="shared" si="33"/>
        <v>14.5</v>
      </c>
      <c r="DB32" s="3">
        <f t="shared" si="78"/>
        <v>14.5</v>
      </c>
      <c r="DC32" s="3">
        <f>1</f>
        <v>1</v>
      </c>
      <c r="DD32" s="54" t="e">
        <f t="shared" si="79"/>
        <v>#N/A</v>
      </c>
      <c r="DF32" s="112" t="str">
        <f t="shared" si="34"/>
        <v>Jakarta</v>
      </c>
      <c r="DG32" s="20">
        <f t="shared" si="35"/>
        <v>78.2</v>
      </c>
      <c r="DH32" s="3">
        <f t="shared" si="80"/>
        <v>78.2</v>
      </c>
      <c r="DI32" s="3">
        <f>1</f>
        <v>1</v>
      </c>
      <c r="DJ32" s="54" t="e">
        <f t="shared" si="81"/>
        <v>#N/A</v>
      </c>
      <c r="DL32" s="112" t="str">
        <f t="shared" si="36"/>
        <v>Jakarta</v>
      </c>
      <c r="DM32" s="20">
        <f t="shared" si="37"/>
        <v>34.700000000000003</v>
      </c>
      <c r="DN32" s="3">
        <f t="shared" si="82"/>
        <v>34.700000000000003</v>
      </c>
      <c r="DO32" s="3">
        <f>1</f>
        <v>1</v>
      </c>
      <c r="DP32" s="54" t="e">
        <f t="shared" si="83"/>
        <v>#N/A</v>
      </c>
      <c r="DR32" s="112" t="str">
        <f t="shared" si="38"/>
        <v>Jakarta</v>
      </c>
      <c r="DS32" s="20">
        <f t="shared" si="39"/>
        <v>41.5</v>
      </c>
      <c r="DT32" s="3">
        <f t="shared" si="84"/>
        <v>41.5</v>
      </c>
      <c r="DU32" s="3">
        <f>1</f>
        <v>1</v>
      </c>
      <c r="DV32" s="54" t="e">
        <f t="shared" si="85"/>
        <v>#N/A</v>
      </c>
      <c r="DX32" s="112" t="str">
        <f t="shared" si="40"/>
        <v>Jakarta</v>
      </c>
      <c r="DY32" s="20">
        <f t="shared" si="41"/>
        <v>70</v>
      </c>
      <c r="DZ32" s="3">
        <f t="shared" si="86"/>
        <v>70</v>
      </c>
      <c r="EA32" s="3">
        <f>1</f>
        <v>1</v>
      </c>
      <c r="EB32" s="54" t="e">
        <f t="shared" si="87"/>
        <v>#N/A</v>
      </c>
      <c r="ED32" s="112" t="str">
        <f t="shared" si="42"/>
        <v>Jakarta</v>
      </c>
      <c r="EE32" s="20">
        <f t="shared" si="43"/>
        <v>16.7</v>
      </c>
      <c r="EF32" s="3">
        <f t="shared" si="88"/>
        <v>16.7</v>
      </c>
      <c r="EG32" s="3">
        <f>1</f>
        <v>1</v>
      </c>
      <c r="EH32" s="54" t="e">
        <f t="shared" si="89"/>
        <v>#N/A</v>
      </c>
      <c r="EJ32" s="112" t="str">
        <f t="shared" si="44"/>
        <v>Jakarta</v>
      </c>
      <c r="EK32" s="20">
        <f t="shared" si="45"/>
        <v>0</v>
      </c>
      <c r="EL32" s="3">
        <f t="shared" si="90"/>
        <v>0</v>
      </c>
      <c r="EM32" s="3">
        <f>1</f>
        <v>1</v>
      </c>
      <c r="EN32" s="54" t="e">
        <f t="shared" si="91"/>
        <v>#N/A</v>
      </c>
    </row>
    <row r="33" spans="1:268" ht="12" customHeight="1" thickBot="1">
      <c r="A33" s="3">
        <f>tblTerritories!A30</f>
        <v>28</v>
      </c>
      <c r="B33" s="3">
        <f>tblTerritories!B30</f>
        <v>0</v>
      </c>
      <c r="C33" s="3" t="str">
        <f>tblTerritories!C30</f>
        <v>Toronto</v>
      </c>
      <c r="D33" s="3">
        <f>tblTerritories!K30</f>
        <v>1</v>
      </c>
      <c r="E33" s="3">
        <f t="shared" si="46"/>
        <v>0</v>
      </c>
      <c r="F33" s="3">
        <f>IF(E33=1,1,IF(tblTerritories!F30="",0,tblTerritories!F30))</f>
        <v>1</v>
      </c>
      <c r="G33" s="3">
        <f t="shared" si="92"/>
        <v>70.099999999999994</v>
      </c>
      <c r="H33" s="3">
        <f>IF(F33=0,"",RANK(G33,G$6:G$35,0)+COUNTIF(G$6:G33,G33)-1)</f>
        <v>11</v>
      </c>
      <c r="I33" s="3">
        <f t="shared" si="1"/>
        <v>18</v>
      </c>
      <c r="J33" s="3">
        <f t="shared" si="47"/>
        <v>1</v>
      </c>
      <c r="K33" s="19"/>
      <c r="L33" s="19"/>
      <c r="M33" s="18"/>
      <c r="N33" s="112" t="str">
        <f t="shared" si="2"/>
        <v>Mexico City</v>
      </c>
      <c r="O33" s="20">
        <f t="shared" si="3"/>
        <v>42.6</v>
      </c>
      <c r="P33" s="3">
        <f t="shared" si="48"/>
        <v>42.6</v>
      </c>
      <c r="Q33" s="3">
        <f>1</f>
        <v>1</v>
      </c>
      <c r="R33" s="54" t="e">
        <f t="shared" si="49"/>
        <v>#N/A</v>
      </c>
      <c r="T33" s="112" t="str">
        <f t="shared" si="4"/>
        <v>Mexico City</v>
      </c>
      <c r="U33" s="20">
        <f t="shared" si="5"/>
        <v>53</v>
      </c>
      <c r="V33" s="3">
        <f t="shared" si="50"/>
        <v>53</v>
      </c>
      <c r="W33" s="3">
        <f>1</f>
        <v>1</v>
      </c>
      <c r="X33" s="54" t="e">
        <f t="shared" si="51"/>
        <v>#N/A</v>
      </c>
      <c r="Z33" s="112" t="str">
        <f t="shared" si="6"/>
        <v>Mexico City</v>
      </c>
      <c r="AA33" s="20">
        <f t="shared" si="7"/>
        <v>60.7</v>
      </c>
      <c r="AB33" s="3">
        <f t="shared" si="52"/>
        <v>60.7</v>
      </c>
      <c r="AC33" s="756">
        <v>1</v>
      </c>
      <c r="AD33" s="54" t="e">
        <f t="shared" si="53"/>
        <v>#N/A</v>
      </c>
      <c r="AF33" s="112" t="str">
        <f t="shared" si="8"/>
        <v>Mexico City</v>
      </c>
      <c r="AG33" s="20">
        <f t="shared" si="9"/>
        <v>22.9</v>
      </c>
      <c r="AH33" s="3">
        <f t="shared" si="54"/>
        <v>22.9</v>
      </c>
      <c r="AI33" s="3">
        <f>1</f>
        <v>1</v>
      </c>
      <c r="AJ33" s="54" t="e">
        <f t="shared" si="55"/>
        <v>#N/A</v>
      </c>
      <c r="AL33" s="112" t="str">
        <f t="shared" si="10"/>
        <v>Mexico City</v>
      </c>
      <c r="AM33" s="20">
        <f t="shared" si="11"/>
        <v>63</v>
      </c>
      <c r="AN33" s="3">
        <f t="shared" si="56"/>
        <v>63</v>
      </c>
      <c r="AO33" s="3">
        <f>1</f>
        <v>1</v>
      </c>
      <c r="AP33" s="54" t="e">
        <f t="shared" si="57"/>
        <v>#N/A</v>
      </c>
      <c r="AR33" s="112" t="str">
        <f t="shared" si="12"/>
        <v>Mexico City</v>
      </c>
      <c r="AS33" s="20">
        <f t="shared" si="13"/>
        <v>34.4</v>
      </c>
      <c r="AT33" s="3">
        <f t="shared" si="58"/>
        <v>34.4</v>
      </c>
      <c r="AU33" s="3">
        <f>1</f>
        <v>1</v>
      </c>
      <c r="AV33" s="54" t="e">
        <f t="shared" si="59"/>
        <v>#N/A</v>
      </c>
      <c r="AX33" s="112" t="str">
        <f t="shared" si="14"/>
        <v>Mexico City</v>
      </c>
      <c r="AY33" s="20">
        <f t="shared" si="15"/>
        <v>61.4</v>
      </c>
      <c r="AZ33" s="3">
        <f t="shared" si="60"/>
        <v>61.4</v>
      </c>
      <c r="BA33" s="3">
        <f>1</f>
        <v>1</v>
      </c>
      <c r="BB33" s="54" t="e">
        <f t="shared" si="61"/>
        <v>#N/A</v>
      </c>
      <c r="BD33" s="112" t="str">
        <f t="shared" si="16"/>
        <v>Mexico City</v>
      </c>
      <c r="BE33" s="20">
        <f t="shared" si="17"/>
        <v>30.7</v>
      </c>
      <c r="BF33" s="3">
        <f t="shared" si="62"/>
        <v>30.7</v>
      </c>
      <c r="BG33" s="3">
        <f>1</f>
        <v>1</v>
      </c>
      <c r="BH33" s="54" t="e">
        <f t="shared" si="63"/>
        <v>#N/A</v>
      </c>
      <c r="BJ33" s="112" t="str">
        <f t="shared" si="18"/>
        <v>Mexico City</v>
      </c>
      <c r="BK33" s="20">
        <f t="shared" si="19"/>
        <v>23.1</v>
      </c>
      <c r="BL33" s="3">
        <f t="shared" si="64"/>
        <v>23.1</v>
      </c>
      <c r="BM33" s="3">
        <f>1</f>
        <v>1</v>
      </c>
      <c r="BN33" s="54" t="e">
        <f t="shared" si="65"/>
        <v>#N/A</v>
      </c>
      <c r="BP33" s="112" t="str">
        <f t="shared" si="20"/>
        <v>Mexico City</v>
      </c>
      <c r="BQ33" s="20">
        <f t="shared" si="21"/>
        <v>26.7</v>
      </c>
      <c r="BR33" s="3">
        <f t="shared" si="66"/>
        <v>26.7</v>
      </c>
      <c r="BS33" s="3">
        <f>1</f>
        <v>1</v>
      </c>
      <c r="BT33" s="54" t="e">
        <f t="shared" si="67"/>
        <v>#N/A</v>
      </c>
      <c r="BV33" s="112" t="str">
        <f t="shared" si="22"/>
        <v>Mexico City</v>
      </c>
      <c r="BW33" s="20">
        <f t="shared" si="23"/>
        <v>50</v>
      </c>
      <c r="BX33" s="3">
        <f t="shared" si="68"/>
        <v>50</v>
      </c>
      <c r="BY33" s="3">
        <f>1</f>
        <v>1</v>
      </c>
      <c r="BZ33" s="54" t="e">
        <f t="shared" si="69"/>
        <v>#N/A</v>
      </c>
      <c r="CB33" s="112" t="str">
        <f t="shared" si="24"/>
        <v>Mexico City</v>
      </c>
      <c r="CC33" s="20">
        <f t="shared" si="25"/>
        <v>10.3</v>
      </c>
      <c r="CD33" s="3">
        <f t="shared" si="70"/>
        <v>10.3</v>
      </c>
      <c r="CE33" s="3">
        <f>1</f>
        <v>1</v>
      </c>
      <c r="CF33" s="54" t="e">
        <f t="shared" si="71"/>
        <v>#N/A</v>
      </c>
      <c r="CH33" s="112" t="str">
        <f t="shared" si="26"/>
        <v>Mexico City</v>
      </c>
      <c r="CI33" s="20">
        <f t="shared" si="27"/>
        <v>48.3</v>
      </c>
      <c r="CJ33" s="3">
        <f t="shared" si="72"/>
        <v>48.3</v>
      </c>
      <c r="CK33" s="3">
        <f>1</f>
        <v>1</v>
      </c>
      <c r="CL33" s="54" t="e">
        <f t="shared" si="73"/>
        <v>#N/A</v>
      </c>
      <c r="CN33" s="112" t="str">
        <f t="shared" si="28"/>
        <v>Mexico City</v>
      </c>
      <c r="CO33" s="20">
        <f t="shared" si="29"/>
        <v>74.8</v>
      </c>
      <c r="CP33" s="3">
        <f t="shared" si="74"/>
        <v>74.8</v>
      </c>
      <c r="CQ33" s="3">
        <f>1</f>
        <v>1</v>
      </c>
      <c r="CR33" s="54" t="e">
        <f t="shared" si="75"/>
        <v>#N/A</v>
      </c>
      <c r="CT33" s="112" t="str">
        <f t="shared" si="30"/>
        <v>Mexico City</v>
      </c>
      <c r="CU33" s="20">
        <f t="shared" si="31"/>
        <v>65.900000000000006</v>
      </c>
      <c r="CV33" s="3">
        <f t="shared" si="76"/>
        <v>65.900000000000006</v>
      </c>
      <c r="CW33" s="3">
        <f>1</f>
        <v>1</v>
      </c>
      <c r="CX33" s="54" t="e">
        <f t="shared" si="77"/>
        <v>#N/A</v>
      </c>
      <c r="CZ33" s="112" t="str">
        <f t="shared" si="32"/>
        <v>Mexico City</v>
      </c>
      <c r="DA33" s="20">
        <f t="shared" si="33"/>
        <v>19.8</v>
      </c>
      <c r="DB33" s="3">
        <f t="shared" si="78"/>
        <v>19.8</v>
      </c>
      <c r="DC33" s="3">
        <f>1</f>
        <v>1</v>
      </c>
      <c r="DD33" s="54" t="e">
        <f t="shared" si="79"/>
        <v>#N/A</v>
      </c>
      <c r="DF33" s="112" t="str">
        <f t="shared" si="34"/>
        <v>Mexico City</v>
      </c>
      <c r="DG33" s="20">
        <f t="shared" si="35"/>
        <v>40.200000000000003</v>
      </c>
      <c r="DH33" s="3">
        <f t="shared" si="80"/>
        <v>40.200000000000003</v>
      </c>
      <c r="DI33" s="3">
        <f>1</f>
        <v>1</v>
      </c>
      <c r="DJ33" s="54" t="e">
        <f t="shared" si="81"/>
        <v>#N/A</v>
      </c>
      <c r="DL33" s="112" t="str">
        <f t="shared" si="36"/>
        <v>Mexico City</v>
      </c>
      <c r="DM33" s="20">
        <f t="shared" si="37"/>
        <v>32.799999999999997</v>
      </c>
      <c r="DN33" s="3">
        <f t="shared" si="82"/>
        <v>32.799999999999997</v>
      </c>
      <c r="DO33" s="3">
        <f>1</f>
        <v>1</v>
      </c>
      <c r="DP33" s="54" t="e">
        <f t="shared" si="83"/>
        <v>#N/A</v>
      </c>
      <c r="DR33" s="112" t="str">
        <f t="shared" si="38"/>
        <v>Mexico City</v>
      </c>
      <c r="DS33" s="20">
        <f t="shared" si="39"/>
        <v>25</v>
      </c>
      <c r="DT33" s="3">
        <f t="shared" si="84"/>
        <v>25</v>
      </c>
      <c r="DU33" s="3">
        <f>1</f>
        <v>1</v>
      </c>
      <c r="DV33" s="54" t="e">
        <f t="shared" si="85"/>
        <v>#N/A</v>
      </c>
      <c r="DX33" s="112" t="str">
        <f t="shared" si="40"/>
        <v>Mexico City</v>
      </c>
      <c r="DY33" s="20">
        <f t="shared" si="41"/>
        <v>22.7</v>
      </c>
      <c r="DZ33" s="3">
        <f t="shared" si="86"/>
        <v>22.7</v>
      </c>
      <c r="EA33" s="3">
        <f>1</f>
        <v>1</v>
      </c>
      <c r="EB33" s="54" t="e">
        <f t="shared" si="87"/>
        <v>#N/A</v>
      </c>
      <c r="ED33" s="112" t="str">
        <f t="shared" si="42"/>
        <v>Mexico City</v>
      </c>
      <c r="EE33" s="20">
        <f t="shared" si="43"/>
        <v>50</v>
      </c>
      <c r="EF33" s="3">
        <f t="shared" si="88"/>
        <v>50</v>
      </c>
      <c r="EG33" s="3">
        <f>1</f>
        <v>1</v>
      </c>
      <c r="EH33" s="54" t="e">
        <f t="shared" si="89"/>
        <v>#N/A</v>
      </c>
      <c r="EJ33" s="112" t="str">
        <f t="shared" si="44"/>
        <v>Mexico City</v>
      </c>
      <c r="EK33" s="20">
        <f t="shared" si="45"/>
        <v>38.1</v>
      </c>
      <c r="EL33" s="3">
        <f t="shared" si="90"/>
        <v>38.1</v>
      </c>
      <c r="EM33" s="3">
        <f>1</f>
        <v>1</v>
      </c>
      <c r="EN33" s="54" t="e">
        <f t="shared" si="91"/>
        <v>#N/A</v>
      </c>
    </row>
    <row r="34" spans="1:268" ht="12" customHeight="1" thickBot="1">
      <c r="A34" s="3">
        <f>tblTerritories!A31</f>
        <v>29</v>
      </c>
      <c r="B34" s="3">
        <f>tblTerritories!B31</f>
        <v>0</v>
      </c>
      <c r="C34" s="3" t="str">
        <f>tblTerritories!C31</f>
        <v>Washington DC</v>
      </c>
      <c r="D34" s="3">
        <f>tblTerritories!K31</f>
        <v>1</v>
      </c>
      <c r="E34" s="3">
        <f t="shared" si="46"/>
        <v>0</v>
      </c>
      <c r="F34" s="3">
        <f>IF(E34=1,1,IF(tblTerritories!F31="",0,tblTerritories!F31))</f>
        <v>1</v>
      </c>
      <c r="G34" s="3">
        <f t="shared" si="92"/>
        <v>71.2</v>
      </c>
      <c r="H34" s="3">
        <f>IF(F34=0,"",RANK(G34,G$6:G$35,0)+COUNTIF(G$6:G34,G34)-1)</f>
        <v>9</v>
      </c>
      <c r="I34" s="3">
        <f t="shared" si="1"/>
        <v>19</v>
      </c>
      <c r="J34" s="3">
        <f t="shared" si="47"/>
        <v>1</v>
      </c>
      <c r="K34" s="19"/>
      <c r="L34" s="19"/>
      <c r="M34" s="18"/>
      <c r="N34" s="112" t="str">
        <f t="shared" si="2"/>
        <v>New Delhi</v>
      </c>
      <c r="O34" s="20">
        <f t="shared" si="3"/>
        <v>40.299999999999997</v>
      </c>
      <c r="P34" s="3">
        <f t="shared" si="48"/>
        <v>40.299999999999997</v>
      </c>
      <c r="Q34" s="3">
        <f>1</f>
        <v>1</v>
      </c>
      <c r="R34" s="54" t="e">
        <f t="shared" si="49"/>
        <v>#N/A</v>
      </c>
      <c r="T34" s="112" t="str">
        <f t="shared" si="4"/>
        <v>New Delhi</v>
      </c>
      <c r="U34" s="20">
        <f t="shared" si="5"/>
        <v>28.4</v>
      </c>
      <c r="V34" s="3">
        <f t="shared" si="50"/>
        <v>28.4</v>
      </c>
      <c r="W34" s="3">
        <f>1</f>
        <v>1</v>
      </c>
      <c r="X34" s="54" t="e">
        <f t="shared" si="51"/>
        <v>#N/A</v>
      </c>
      <c r="Z34" s="112" t="str">
        <f t="shared" si="6"/>
        <v>New Delhi</v>
      </c>
      <c r="AA34" s="20">
        <f t="shared" si="7"/>
        <v>34.4</v>
      </c>
      <c r="AB34" s="3">
        <f t="shared" si="52"/>
        <v>34.4</v>
      </c>
      <c r="AC34" s="756">
        <v>1</v>
      </c>
      <c r="AD34" s="54" t="e">
        <f t="shared" si="53"/>
        <v>#N/A</v>
      </c>
      <c r="AF34" s="112" t="str">
        <f t="shared" si="8"/>
        <v>New Delhi</v>
      </c>
      <c r="AG34" s="20">
        <f t="shared" si="9"/>
        <v>19.3</v>
      </c>
      <c r="AH34" s="3">
        <f t="shared" si="54"/>
        <v>19.3</v>
      </c>
      <c r="AI34" s="3">
        <f>1</f>
        <v>1</v>
      </c>
      <c r="AJ34" s="54" t="e">
        <f t="shared" si="55"/>
        <v>#N/A</v>
      </c>
      <c r="AL34" s="112" t="str">
        <f t="shared" si="10"/>
        <v>New Delhi</v>
      </c>
      <c r="AM34" s="20">
        <f t="shared" si="11"/>
        <v>26.5</v>
      </c>
      <c r="AN34" s="3">
        <f t="shared" si="56"/>
        <v>26.5</v>
      </c>
      <c r="AO34" s="3">
        <f>1</f>
        <v>1</v>
      </c>
      <c r="AP34" s="54" t="e">
        <f t="shared" si="57"/>
        <v>#N/A</v>
      </c>
      <c r="AR34" s="112" t="str">
        <f t="shared" si="12"/>
        <v>New Delhi</v>
      </c>
      <c r="AS34" s="20">
        <f t="shared" si="13"/>
        <v>54.3</v>
      </c>
      <c r="AT34" s="3">
        <f t="shared" si="58"/>
        <v>54.3</v>
      </c>
      <c r="AU34" s="3">
        <f>1</f>
        <v>1</v>
      </c>
      <c r="AV34" s="54" t="e">
        <f t="shared" si="59"/>
        <v>#N/A</v>
      </c>
      <c r="AX34" s="112" t="str">
        <f t="shared" si="14"/>
        <v>New Delhi</v>
      </c>
      <c r="AY34" s="20">
        <f t="shared" si="15"/>
        <v>94.6</v>
      </c>
      <c r="AZ34" s="3">
        <f t="shared" si="60"/>
        <v>94.6</v>
      </c>
      <c r="BA34" s="3">
        <f>1</f>
        <v>1</v>
      </c>
      <c r="BB34" s="54" t="e">
        <f t="shared" si="61"/>
        <v>#N/A</v>
      </c>
      <c r="BD34" s="112" t="str">
        <f t="shared" si="16"/>
        <v>New Delhi</v>
      </c>
      <c r="BE34" s="20">
        <f t="shared" si="17"/>
        <v>65.5</v>
      </c>
      <c r="BF34" s="3">
        <f t="shared" si="62"/>
        <v>65.5</v>
      </c>
      <c r="BG34" s="3">
        <f>1</f>
        <v>1</v>
      </c>
      <c r="BH34" s="54" t="e">
        <f t="shared" si="63"/>
        <v>#N/A</v>
      </c>
      <c r="BJ34" s="112" t="str">
        <f t="shared" si="18"/>
        <v>New Delhi</v>
      </c>
      <c r="BK34" s="20">
        <f t="shared" si="19"/>
        <v>17.899999999999999</v>
      </c>
      <c r="BL34" s="3">
        <f t="shared" si="64"/>
        <v>17.899999999999999</v>
      </c>
      <c r="BM34" s="3">
        <f>1</f>
        <v>1</v>
      </c>
      <c r="BN34" s="54" t="e">
        <f t="shared" si="65"/>
        <v>#N/A</v>
      </c>
      <c r="BP34" s="112" t="str">
        <f t="shared" si="20"/>
        <v>New Delhi</v>
      </c>
      <c r="BQ34" s="20">
        <f t="shared" si="21"/>
        <v>81.400000000000006</v>
      </c>
      <c r="BR34" s="3">
        <f t="shared" si="66"/>
        <v>81.400000000000006</v>
      </c>
      <c r="BS34" s="3">
        <f>1</f>
        <v>1</v>
      </c>
      <c r="BT34" s="54" t="e">
        <f t="shared" si="67"/>
        <v>#N/A</v>
      </c>
      <c r="BV34" s="112" t="str">
        <f t="shared" si="22"/>
        <v>New Delhi</v>
      </c>
      <c r="BW34" s="20">
        <f t="shared" si="23"/>
        <v>50</v>
      </c>
      <c r="BX34" s="3">
        <f t="shared" si="68"/>
        <v>50</v>
      </c>
      <c r="BY34" s="3">
        <f>1</f>
        <v>1</v>
      </c>
      <c r="BZ34" s="54" t="e">
        <f t="shared" si="69"/>
        <v>#N/A</v>
      </c>
      <c r="CB34" s="112" t="str">
        <f t="shared" si="24"/>
        <v>New Delhi</v>
      </c>
      <c r="CC34" s="20">
        <f t="shared" si="25"/>
        <v>15.5</v>
      </c>
      <c r="CD34" s="3">
        <f t="shared" si="70"/>
        <v>15.5</v>
      </c>
      <c r="CE34" s="3">
        <f>1</f>
        <v>1</v>
      </c>
      <c r="CF34" s="54" t="e">
        <f t="shared" si="71"/>
        <v>#N/A</v>
      </c>
      <c r="CH34" s="112" t="str">
        <f t="shared" si="26"/>
        <v>New Delhi</v>
      </c>
      <c r="CI34" s="20">
        <f t="shared" si="27"/>
        <v>46.1</v>
      </c>
      <c r="CJ34" s="3">
        <f t="shared" si="72"/>
        <v>46.1</v>
      </c>
      <c r="CK34" s="3">
        <f>1</f>
        <v>1</v>
      </c>
      <c r="CL34" s="54" t="e">
        <f t="shared" si="73"/>
        <v>#N/A</v>
      </c>
      <c r="CN34" s="112" t="str">
        <f t="shared" si="28"/>
        <v>New Delhi</v>
      </c>
      <c r="CO34" s="20">
        <f t="shared" si="29"/>
        <v>31.6</v>
      </c>
      <c r="CP34" s="3">
        <f t="shared" si="74"/>
        <v>31.6</v>
      </c>
      <c r="CQ34" s="3">
        <f>1</f>
        <v>1</v>
      </c>
      <c r="CR34" s="54" t="e">
        <f t="shared" si="75"/>
        <v>#N/A</v>
      </c>
      <c r="CT34" s="112" t="str">
        <f t="shared" si="30"/>
        <v>New Delhi</v>
      </c>
      <c r="CU34" s="20">
        <f t="shared" si="31"/>
        <v>50.6</v>
      </c>
      <c r="CV34" s="3">
        <f t="shared" si="76"/>
        <v>50.6</v>
      </c>
      <c r="CW34" s="3">
        <f>1</f>
        <v>1</v>
      </c>
      <c r="CX34" s="54" t="e">
        <f t="shared" si="77"/>
        <v>#N/A</v>
      </c>
      <c r="CZ34" s="112" t="str">
        <f t="shared" si="32"/>
        <v>New Delhi</v>
      </c>
      <c r="DA34" s="20">
        <f t="shared" si="33"/>
        <v>30.7</v>
      </c>
      <c r="DB34" s="3">
        <f t="shared" si="78"/>
        <v>30.7</v>
      </c>
      <c r="DC34" s="3">
        <f>1</f>
        <v>1</v>
      </c>
      <c r="DD34" s="54" t="e">
        <f t="shared" si="79"/>
        <v>#N/A</v>
      </c>
      <c r="DF34" s="112" t="str">
        <f t="shared" si="34"/>
        <v>New Delhi</v>
      </c>
      <c r="DG34" s="20">
        <f t="shared" si="35"/>
        <v>78.8</v>
      </c>
      <c r="DH34" s="3">
        <f t="shared" si="80"/>
        <v>78.8</v>
      </c>
      <c r="DI34" s="3">
        <f>1</f>
        <v>1</v>
      </c>
      <c r="DJ34" s="54" t="e">
        <f t="shared" si="81"/>
        <v>#N/A</v>
      </c>
      <c r="DL34" s="112" t="str">
        <f t="shared" si="36"/>
        <v>New Delhi</v>
      </c>
      <c r="DM34" s="20">
        <f t="shared" si="37"/>
        <v>32.9</v>
      </c>
      <c r="DN34" s="3">
        <f t="shared" si="82"/>
        <v>32.9</v>
      </c>
      <c r="DO34" s="3">
        <f>1</f>
        <v>1</v>
      </c>
      <c r="DP34" s="54" t="e">
        <f t="shared" si="83"/>
        <v>#N/A</v>
      </c>
      <c r="DR34" s="112" t="str">
        <f t="shared" si="38"/>
        <v>New Delhi</v>
      </c>
      <c r="DS34" s="20">
        <f t="shared" si="39"/>
        <v>37.5</v>
      </c>
      <c r="DT34" s="3">
        <f t="shared" si="84"/>
        <v>37.5</v>
      </c>
      <c r="DU34" s="3">
        <f>1</f>
        <v>1</v>
      </c>
      <c r="DV34" s="54" t="e">
        <f t="shared" si="85"/>
        <v>#N/A</v>
      </c>
      <c r="DX34" s="112" t="str">
        <f t="shared" si="40"/>
        <v>New Delhi</v>
      </c>
      <c r="DY34" s="20">
        <f t="shared" si="41"/>
        <v>23.8</v>
      </c>
      <c r="DZ34" s="3">
        <f t="shared" si="86"/>
        <v>23.8</v>
      </c>
      <c r="EA34" s="3">
        <f>1</f>
        <v>1</v>
      </c>
      <c r="EB34" s="54" t="e">
        <f t="shared" si="87"/>
        <v>#N/A</v>
      </c>
      <c r="ED34" s="112" t="str">
        <f t="shared" si="42"/>
        <v>New Delhi</v>
      </c>
      <c r="EE34" s="20">
        <f t="shared" si="43"/>
        <v>33.299999999999997</v>
      </c>
      <c r="EF34" s="3">
        <f t="shared" si="88"/>
        <v>33.299999999999997</v>
      </c>
      <c r="EG34" s="3">
        <f>1</f>
        <v>1</v>
      </c>
      <c r="EH34" s="54" t="e">
        <f t="shared" si="89"/>
        <v>#N/A</v>
      </c>
      <c r="EJ34" s="112" t="str">
        <f t="shared" si="44"/>
        <v>New Delhi</v>
      </c>
      <c r="EK34" s="20">
        <f t="shared" si="45"/>
        <v>38.1</v>
      </c>
      <c r="EL34" s="3">
        <f t="shared" si="90"/>
        <v>38.1</v>
      </c>
      <c r="EM34" s="3">
        <f>1</f>
        <v>1</v>
      </c>
      <c r="EN34" s="54" t="e">
        <f t="shared" si="91"/>
        <v>#N/A</v>
      </c>
    </row>
    <row r="35" spans="1:268" ht="12" customHeight="1">
      <c r="A35" s="3">
        <f>tblTerritories!A32</f>
        <v>30</v>
      </c>
      <c r="B35" s="3">
        <f>tblTerritories!B32</f>
        <v>0</v>
      </c>
      <c r="C35" s="3" t="str">
        <f>tblTerritories!C32</f>
        <v>Zurich</v>
      </c>
      <c r="D35" s="3">
        <f>tblTerritories!K32</f>
        <v>1</v>
      </c>
      <c r="E35" s="3">
        <f t="shared" si="46"/>
        <v>0</v>
      </c>
      <c r="F35" s="3">
        <f>IF(E35=1,1,IF(tblTerritories!F32="",0,tblTerritories!F32))</f>
        <v>1</v>
      </c>
      <c r="G35" s="3">
        <f t="shared" si="92"/>
        <v>70.099999999999994</v>
      </c>
      <c r="H35" s="3">
        <f>IF(F35=0,"",RANK(G35,G$6:G$35,0)+COUNTIF(G$6:G35,G35)-1)</f>
        <v>12</v>
      </c>
      <c r="I35" s="3">
        <f t="shared" si="1"/>
        <v>17</v>
      </c>
      <c r="J35" s="3">
        <f t="shared" si="47"/>
        <v>1</v>
      </c>
      <c r="K35" s="19"/>
      <c r="L35" s="19"/>
      <c r="M35" s="18"/>
      <c r="N35" s="112" t="str">
        <f t="shared" si="2"/>
        <v>Manila</v>
      </c>
      <c r="O35" s="20">
        <f t="shared" si="3"/>
        <v>39.1</v>
      </c>
      <c r="P35" s="3">
        <f t="shared" si="48"/>
        <v>39.1</v>
      </c>
      <c r="Q35" s="3">
        <f>1</f>
        <v>1</v>
      </c>
      <c r="R35" s="54" t="e">
        <f t="shared" si="49"/>
        <v>#N/A</v>
      </c>
      <c r="T35" s="112" t="str">
        <f t="shared" si="4"/>
        <v>Manila</v>
      </c>
      <c r="U35" s="20">
        <f t="shared" si="5"/>
        <v>43.8</v>
      </c>
      <c r="V35" s="3">
        <f t="shared" si="50"/>
        <v>43.8</v>
      </c>
      <c r="W35" s="3">
        <f>1</f>
        <v>1</v>
      </c>
      <c r="X35" s="54" t="e">
        <f t="shared" si="51"/>
        <v>#N/A</v>
      </c>
      <c r="Z35" s="112" t="str">
        <f t="shared" si="6"/>
        <v>Manila</v>
      </c>
      <c r="AA35" s="20">
        <f t="shared" si="7"/>
        <v>53.4</v>
      </c>
      <c r="AB35" s="3">
        <f t="shared" si="52"/>
        <v>53.4</v>
      </c>
      <c r="AC35" s="756">
        <v>1</v>
      </c>
      <c r="AD35" s="54" t="e">
        <f t="shared" si="53"/>
        <v>#N/A</v>
      </c>
      <c r="AF35" s="112" t="str">
        <f t="shared" si="8"/>
        <v>Manila</v>
      </c>
      <c r="AG35" s="20">
        <f t="shared" si="9"/>
        <v>34.700000000000003</v>
      </c>
      <c r="AH35" s="3">
        <f t="shared" si="54"/>
        <v>34.700000000000003</v>
      </c>
      <c r="AI35" s="3">
        <f>1</f>
        <v>1</v>
      </c>
      <c r="AJ35" s="54" t="e">
        <f t="shared" si="55"/>
        <v>#N/A</v>
      </c>
      <c r="AL35" s="112" t="str">
        <f t="shared" si="10"/>
        <v>Manila</v>
      </c>
      <c r="AM35" s="20">
        <f t="shared" si="11"/>
        <v>37.1</v>
      </c>
      <c r="AN35" s="3">
        <f t="shared" si="56"/>
        <v>37.1</v>
      </c>
      <c r="AO35" s="3">
        <f>1</f>
        <v>1</v>
      </c>
      <c r="AP35" s="54" t="e">
        <f t="shared" si="57"/>
        <v>#N/A</v>
      </c>
      <c r="AR35" s="112" t="str">
        <f t="shared" si="12"/>
        <v>Manila</v>
      </c>
      <c r="AS35" s="20">
        <f t="shared" si="13"/>
        <v>36.5</v>
      </c>
      <c r="AT35" s="3">
        <f t="shared" si="58"/>
        <v>36.5</v>
      </c>
      <c r="AU35" s="3">
        <f>1</f>
        <v>1</v>
      </c>
      <c r="AV35" s="54" t="e">
        <f t="shared" si="59"/>
        <v>#N/A</v>
      </c>
      <c r="AX35" s="112" t="str">
        <f t="shared" si="14"/>
        <v>Manila</v>
      </c>
      <c r="AY35" s="20">
        <f t="shared" si="15"/>
        <v>58.2</v>
      </c>
      <c r="AZ35" s="3">
        <f t="shared" si="60"/>
        <v>58.2</v>
      </c>
      <c r="BA35" s="3">
        <f>1</f>
        <v>1</v>
      </c>
      <c r="BB35" s="54" t="e">
        <f t="shared" si="61"/>
        <v>#N/A</v>
      </c>
      <c r="BD35" s="112" t="str">
        <f t="shared" si="16"/>
        <v>Manila</v>
      </c>
      <c r="BE35" s="20">
        <f t="shared" si="17"/>
        <v>26</v>
      </c>
      <c r="BF35" s="3">
        <f t="shared" si="62"/>
        <v>26</v>
      </c>
      <c r="BG35" s="3">
        <f>1</f>
        <v>1</v>
      </c>
      <c r="BH35" s="54" t="e">
        <f t="shared" si="63"/>
        <v>#N/A</v>
      </c>
      <c r="BJ35" s="112" t="str">
        <f t="shared" si="18"/>
        <v>Manila</v>
      </c>
      <c r="BK35" s="20">
        <f t="shared" si="19"/>
        <v>23.1</v>
      </c>
      <c r="BL35" s="3">
        <f t="shared" si="64"/>
        <v>23.1</v>
      </c>
      <c r="BM35" s="3">
        <f>1</f>
        <v>1</v>
      </c>
      <c r="BN35" s="54" t="e">
        <f t="shared" si="65"/>
        <v>#N/A</v>
      </c>
      <c r="BP35" s="112" t="str">
        <f t="shared" si="20"/>
        <v>Manila</v>
      </c>
      <c r="BQ35" s="20">
        <f t="shared" si="21"/>
        <v>59.5</v>
      </c>
      <c r="BR35" s="3">
        <f t="shared" si="66"/>
        <v>59.5</v>
      </c>
      <c r="BS35" s="3">
        <f>1</f>
        <v>1</v>
      </c>
      <c r="BT35" s="54" t="e">
        <f t="shared" si="67"/>
        <v>#N/A</v>
      </c>
      <c r="BV35" s="112" t="str">
        <f t="shared" si="22"/>
        <v>Manila</v>
      </c>
      <c r="BW35" s="20">
        <f t="shared" si="23"/>
        <v>50</v>
      </c>
      <c r="BX35" s="3">
        <f t="shared" si="68"/>
        <v>50</v>
      </c>
      <c r="BY35" s="3">
        <f>1</f>
        <v>1</v>
      </c>
      <c r="BZ35" s="54" t="e">
        <f t="shared" si="69"/>
        <v>#N/A</v>
      </c>
      <c r="CB35" s="112" t="str">
        <f t="shared" si="24"/>
        <v>Manila</v>
      </c>
      <c r="CC35" s="20">
        <f t="shared" si="25"/>
        <v>0</v>
      </c>
      <c r="CD35" s="3">
        <f t="shared" si="70"/>
        <v>0</v>
      </c>
      <c r="CE35" s="3">
        <f>1</f>
        <v>1</v>
      </c>
      <c r="CF35" s="54" t="e">
        <f t="shared" si="71"/>
        <v>#N/A</v>
      </c>
      <c r="CH35" s="112" t="str">
        <f t="shared" si="26"/>
        <v>Manila</v>
      </c>
      <c r="CI35" s="20">
        <f t="shared" si="27"/>
        <v>46.8</v>
      </c>
      <c r="CJ35" s="3">
        <f t="shared" si="72"/>
        <v>46.8</v>
      </c>
      <c r="CK35" s="3">
        <f>1</f>
        <v>1</v>
      </c>
      <c r="CL35" s="54" t="e">
        <f t="shared" si="73"/>
        <v>#N/A</v>
      </c>
      <c r="CN35" s="112" t="str">
        <f t="shared" si="28"/>
        <v>Manila</v>
      </c>
      <c r="CO35" s="20">
        <f t="shared" si="29"/>
        <v>73.599999999999994</v>
      </c>
      <c r="CP35" s="3">
        <f t="shared" si="74"/>
        <v>73.599999999999994</v>
      </c>
      <c r="CQ35" s="3">
        <f>1</f>
        <v>1</v>
      </c>
      <c r="CR35" s="54" t="e">
        <f t="shared" si="75"/>
        <v>#N/A</v>
      </c>
      <c r="CT35" s="112" t="str">
        <f t="shared" si="30"/>
        <v>Manila</v>
      </c>
      <c r="CU35" s="20">
        <f t="shared" si="31"/>
        <v>67.599999999999994</v>
      </c>
      <c r="CV35" s="3">
        <f t="shared" si="76"/>
        <v>67.599999999999994</v>
      </c>
      <c r="CW35" s="3">
        <f>1</f>
        <v>1</v>
      </c>
      <c r="CX35" s="54" t="e">
        <f t="shared" si="77"/>
        <v>#N/A</v>
      </c>
      <c r="CZ35" s="112" t="str">
        <f t="shared" si="32"/>
        <v>Manila</v>
      </c>
      <c r="DA35" s="20">
        <f t="shared" si="33"/>
        <v>10.3</v>
      </c>
      <c r="DB35" s="3">
        <f t="shared" si="78"/>
        <v>10.3</v>
      </c>
      <c r="DC35" s="3">
        <f>1</f>
        <v>1</v>
      </c>
      <c r="DD35" s="54" t="e">
        <f t="shared" si="79"/>
        <v>#N/A</v>
      </c>
      <c r="DF35" s="112" t="str">
        <f t="shared" si="34"/>
        <v>Manila</v>
      </c>
      <c r="DG35" s="20">
        <f t="shared" si="35"/>
        <v>46.3</v>
      </c>
      <c r="DH35" s="3">
        <f t="shared" si="80"/>
        <v>46.3</v>
      </c>
      <c r="DI35" s="3">
        <f>1</f>
        <v>1</v>
      </c>
      <c r="DJ35" s="54" t="e">
        <f t="shared" si="81"/>
        <v>#N/A</v>
      </c>
      <c r="DL35" s="112" t="str">
        <f t="shared" si="36"/>
        <v>Manila</v>
      </c>
      <c r="DM35" s="20">
        <f t="shared" si="37"/>
        <v>28</v>
      </c>
      <c r="DN35" s="3">
        <f t="shared" si="82"/>
        <v>28</v>
      </c>
      <c r="DO35" s="3">
        <f>1</f>
        <v>1</v>
      </c>
      <c r="DP35" s="54" t="e">
        <f t="shared" si="83"/>
        <v>#N/A</v>
      </c>
      <c r="DR35" s="112" t="str">
        <f t="shared" si="38"/>
        <v>Manila</v>
      </c>
      <c r="DS35" s="20">
        <f t="shared" si="39"/>
        <v>46.1</v>
      </c>
      <c r="DT35" s="3">
        <f t="shared" si="84"/>
        <v>46.1</v>
      </c>
      <c r="DU35" s="3">
        <f>1</f>
        <v>1</v>
      </c>
      <c r="DV35" s="54" t="e">
        <f t="shared" si="85"/>
        <v>#N/A</v>
      </c>
      <c r="DX35" s="112" t="str">
        <f t="shared" si="40"/>
        <v>Manila</v>
      </c>
      <c r="DY35" s="20">
        <f t="shared" si="41"/>
        <v>14.9</v>
      </c>
      <c r="DZ35" s="3">
        <f t="shared" si="86"/>
        <v>14.9</v>
      </c>
      <c r="EA35" s="3">
        <f>1</f>
        <v>1</v>
      </c>
      <c r="EB35" s="54" t="e">
        <f t="shared" si="87"/>
        <v>#N/A</v>
      </c>
      <c r="ED35" s="112" t="str">
        <f t="shared" si="42"/>
        <v>Manila</v>
      </c>
      <c r="EE35" s="20">
        <f t="shared" si="43"/>
        <v>50</v>
      </c>
      <c r="EF35" s="3">
        <f t="shared" si="88"/>
        <v>50</v>
      </c>
      <c r="EG35" s="3">
        <f>1</f>
        <v>1</v>
      </c>
      <c r="EH35" s="54" t="e">
        <f t="shared" si="89"/>
        <v>#N/A</v>
      </c>
      <c r="EJ35" s="112" t="str">
        <f t="shared" si="44"/>
        <v>Manila</v>
      </c>
      <c r="EK35" s="20">
        <f t="shared" si="45"/>
        <v>0</v>
      </c>
      <c r="EL35" s="3">
        <f t="shared" si="90"/>
        <v>0</v>
      </c>
      <c r="EM35" s="3">
        <f>1</f>
        <v>1</v>
      </c>
      <c r="EN35" s="54" t="e">
        <f t="shared" si="91"/>
        <v>#N/A</v>
      </c>
    </row>
    <row r="36" spans="1:268" ht="12" customHeight="1">
      <c r="K36" s="19"/>
      <c r="L36" s="19"/>
      <c r="M36" s="18"/>
      <c r="N36" s="112"/>
      <c r="O36" s="20"/>
      <c r="R36" s="54"/>
      <c r="T36" s="112"/>
      <c r="U36" s="20"/>
      <c r="X36" s="54"/>
      <c r="Z36" s="112"/>
      <c r="AA36" s="20"/>
      <c r="AD36" s="54"/>
      <c r="AF36" s="112"/>
      <c r="AG36" s="20"/>
      <c r="AJ36" s="54"/>
      <c r="AL36" s="112"/>
      <c r="AM36" s="20"/>
      <c r="AP36" s="54"/>
      <c r="AR36" s="112"/>
      <c r="AS36" s="20"/>
      <c r="AV36" s="54"/>
      <c r="AX36" s="112"/>
      <c r="AY36" s="20"/>
      <c r="BB36" s="54"/>
      <c r="BD36" s="112"/>
      <c r="BE36" s="20"/>
      <c r="BH36" s="54"/>
      <c r="BJ36" s="112"/>
      <c r="BK36" s="20"/>
      <c r="BN36" s="54"/>
      <c r="BP36" s="112"/>
      <c r="BQ36" s="20"/>
      <c r="BT36" s="54"/>
      <c r="BV36" s="112"/>
      <c r="BW36" s="20"/>
      <c r="BZ36" s="54"/>
      <c r="CB36" s="112"/>
      <c r="CC36" s="20"/>
      <c r="CF36" s="54"/>
      <c r="CH36" s="112"/>
      <c r="CI36" s="20"/>
      <c r="CL36" s="54"/>
      <c r="CN36" s="112"/>
      <c r="CO36" s="20"/>
      <c r="CR36" s="54"/>
      <c r="CT36" s="112"/>
      <c r="CU36" s="20"/>
      <c r="CX36" s="54"/>
      <c r="CZ36" s="112"/>
      <c r="DA36" s="20"/>
      <c r="DD36" s="54"/>
      <c r="DF36" s="112"/>
      <c r="DG36" s="20"/>
      <c r="DJ36" s="54"/>
      <c r="DL36" s="112"/>
      <c r="DM36" s="20"/>
      <c r="DP36" s="54"/>
      <c r="DR36" s="112"/>
      <c r="DS36" s="20"/>
      <c r="DV36" s="54"/>
      <c r="DX36" s="112"/>
      <c r="DY36" s="20"/>
      <c r="EB36" s="54"/>
      <c r="ED36" s="112"/>
      <c r="EE36" s="20"/>
      <c r="EH36" s="54"/>
      <c r="EJ36" s="112"/>
      <c r="EK36" s="20"/>
      <c r="EN36" s="54"/>
    </row>
    <row r="37" spans="1:268" ht="12" customHeight="1">
      <c r="A37" s="3" t="s">
        <v>160</v>
      </c>
      <c r="B37" s="3" t="str">
        <f>uxb_works!C8</f>
        <v>&lt;no filter&gt;</v>
      </c>
      <c r="K37" s="19"/>
      <c r="L37" s="19"/>
      <c r="M37" s="18"/>
      <c r="N37" s="112"/>
      <c r="O37" s="20"/>
      <c r="R37" s="54"/>
      <c r="T37" s="112"/>
      <c r="U37" s="20"/>
      <c r="X37" s="54"/>
      <c r="Z37" s="112"/>
      <c r="AA37" s="20"/>
      <c r="AD37" s="54"/>
      <c r="AF37" s="112"/>
      <c r="AG37" s="20"/>
      <c r="AJ37" s="54"/>
      <c r="AL37" s="112"/>
      <c r="AM37" s="20"/>
      <c r="AP37" s="54"/>
      <c r="AR37" s="112"/>
      <c r="AS37" s="20"/>
      <c r="AV37" s="54"/>
      <c r="AX37" s="112"/>
      <c r="AY37" s="20"/>
      <c r="BB37" s="54"/>
      <c r="BD37" s="112"/>
      <c r="BE37" s="20"/>
      <c r="BH37" s="54"/>
      <c r="BJ37" s="112"/>
      <c r="BK37" s="20"/>
      <c r="BN37" s="54"/>
      <c r="BP37" s="112"/>
      <c r="BQ37" s="20"/>
      <c r="BT37" s="54"/>
      <c r="BV37" s="112"/>
      <c r="BW37" s="20"/>
      <c r="BZ37" s="54"/>
      <c r="CB37" s="112"/>
      <c r="CC37" s="20"/>
      <c r="CF37" s="54"/>
      <c r="CH37" s="112"/>
      <c r="CI37" s="20"/>
      <c r="CL37" s="54"/>
      <c r="CN37" s="112"/>
      <c r="CO37" s="20"/>
      <c r="CR37" s="54"/>
      <c r="CT37" s="112"/>
      <c r="CU37" s="20"/>
      <c r="CX37" s="54"/>
      <c r="CZ37" s="112"/>
      <c r="DA37" s="20"/>
      <c r="DD37" s="54"/>
      <c r="DF37" s="112"/>
      <c r="DG37" s="20"/>
      <c r="DJ37" s="54"/>
      <c r="DL37" s="112"/>
      <c r="DM37" s="20"/>
      <c r="DP37" s="54"/>
      <c r="DR37" s="112"/>
      <c r="DS37" s="20"/>
      <c r="DV37" s="54"/>
      <c r="DX37" s="112"/>
      <c r="DY37" s="20"/>
      <c r="EB37" s="54"/>
      <c r="ED37" s="112"/>
      <c r="EE37" s="20"/>
      <c r="EH37" s="54"/>
      <c r="EJ37" s="112"/>
      <c r="EK37" s="20"/>
      <c r="EN37" s="54"/>
    </row>
    <row r="38" spans="1:268" ht="12" customHeight="1">
      <c r="A38" s="3" t="str">
        <f>uxb_works!A67</f>
        <v>REGION_AVERAGE_SHOW</v>
      </c>
      <c r="B38" s="3">
        <v>2</v>
      </c>
      <c r="C38" s="3">
        <f>uxb_works!C67</f>
        <v>0</v>
      </c>
      <c r="D38" s="3">
        <f>C38</f>
        <v>0</v>
      </c>
      <c r="M38" s="18"/>
      <c r="N38" s="112"/>
      <c r="R38" s="54"/>
      <c r="T38" s="112"/>
      <c r="X38" s="54"/>
      <c r="Z38" s="112"/>
      <c r="AD38" s="54"/>
      <c r="AF38" s="112"/>
      <c r="AJ38" s="54"/>
      <c r="AL38" s="112"/>
      <c r="AP38" s="54"/>
      <c r="AR38" s="112"/>
      <c r="AV38" s="54"/>
      <c r="AX38" s="112"/>
      <c r="BB38" s="54"/>
      <c r="BD38" s="112"/>
      <c r="BH38" s="54"/>
      <c r="BJ38" s="112"/>
      <c r="BN38" s="54"/>
      <c r="BP38" s="112"/>
      <c r="BT38" s="54"/>
      <c r="BV38" s="112"/>
      <c r="BZ38" s="54"/>
      <c r="CB38" s="112"/>
      <c r="CF38" s="54"/>
      <c r="CH38" s="112"/>
      <c r="CL38" s="54"/>
      <c r="CN38" s="112"/>
      <c r="CR38" s="54"/>
      <c r="CT38" s="112"/>
      <c r="CX38" s="54"/>
      <c r="CZ38" s="112"/>
      <c r="DD38" s="54"/>
      <c r="DF38" s="112"/>
      <c r="DJ38" s="54"/>
      <c r="DL38" s="112"/>
      <c r="DP38" s="54"/>
      <c r="DR38" s="112"/>
      <c r="DV38" s="54"/>
      <c r="DX38" s="112"/>
      <c r="EB38" s="54"/>
      <c r="ED38" s="112"/>
      <c r="EH38" s="54"/>
      <c r="EJ38" s="112"/>
      <c r="EN38" s="54"/>
    </row>
    <row r="39" spans="1:268" ht="12" customHeight="1">
      <c r="C39" s="18" t="s">
        <v>952</v>
      </c>
      <c r="N39" s="3">
        <v>1</v>
      </c>
      <c r="O39" s="3">
        <f>INDEX(O6:O35,MATCH(uxb_works!$C$26,iCntyScoreCard!N6:N35,0))</f>
        <v>74.599999999999994</v>
      </c>
      <c r="R39" s="54"/>
      <c r="T39" s="3">
        <v>1</v>
      </c>
      <c r="U39" s="3">
        <f>INDEX(U6:U35,MATCH(uxb_works!$C$26,iCntyScoreCard!T6:T35,0))</f>
        <v>77</v>
      </c>
      <c r="X39" s="54"/>
      <c r="Z39" s="112">
        <f>T39</f>
        <v>1</v>
      </c>
      <c r="AA39" s="3">
        <f>INDEX(AA6:AA35,MATCH(uxb_works!$C$26,iCntyScoreCard!Z6:Z35,0))</f>
        <v>84</v>
      </c>
      <c r="AD39" s="54"/>
      <c r="AF39" s="112">
        <f>Z39</f>
        <v>1</v>
      </c>
      <c r="AG39" s="3">
        <f>INDEX(AG6:AG35,MATCH(uxb_works!$C$26,iCntyScoreCard!AF6:AF35,0))</f>
        <v>66.7</v>
      </c>
      <c r="AJ39" s="54"/>
      <c r="AL39" s="112">
        <f>AF39</f>
        <v>1</v>
      </c>
      <c r="AM39" s="3">
        <f>INDEX(AM6:AM35,MATCH(uxb_works!$C$26,iCntyScoreCard!AL6:AL35,0))</f>
        <v>74.599999999999994</v>
      </c>
      <c r="AP39" s="54"/>
      <c r="AR39" s="112">
        <f>AL39</f>
        <v>1</v>
      </c>
      <c r="AS39" s="3">
        <f>INDEX(AS6:AS35,MATCH(uxb_works!$C$26,iCntyScoreCard!AR6:AR35,0))</f>
        <v>73.2</v>
      </c>
      <c r="AV39" s="54"/>
      <c r="AX39" s="112">
        <f>AR39</f>
        <v>1</v>
      </c>
      <c r="AY39" s="3">
        <f>INDEX(AY6:AY35,MATCH(uxb_works!$C$26,iCntyScoreCard!AX6:AX35,0))</f>
        <v>48.6</v>
      </c>
      <c r="BB39" s="54"/>
      <c r="BD39" s="112">
        <f>AX39</f>
        <v>1</v>
      </c>
      <c r="BE39" s="3">
        <f>INDEX(BE6:BE35,MATCH(uxb_works!$C$26,iCntyScoreCard!BD6:BD35,0))</f>
        <v>58.5</v>
      </c>
      <c r="BH39" s="54"/>
      <c r="BJ39" s="112">
        <f>BD39</f>
        <v>1</v>
      </c>
      <c r="BK39" s="3">
        <f>INDEX(BK6:BK35,MATCH(uxb_works!$C$26,iCntyScoreCard!BJ6:BJ35,0))</f>
        <v>100</v>
      </c>
      <c r="BN39" s="54"/>
      <c r="BP39" s="112">
        <f>BJ39</f>
        <v>1</v>
      </c>
      <c r="BQ39" s="3">
        <f>INDEX(BQ6:BQ35,MATCH(uxb_works!$C$26,iCntyScoreCard!BP6:BP35,0))</f>
        <v>91.6</v>
      </c>
      <c r="BT39" s="54"/>
      <c r="BV39" s="112">
        <f>BP39</f>
        <v>1</v>
      </c>
      <c r="BW39" s="3">
        <f>INDEX(BW6:BW35,MATCH(uxb_works!$C$26,iCntyScoreCard!BV6:BV35,0))</f>
        <v>100</v>
      </c>
      <c r="BZ39" s="54"/>
      <c r="CB39" s="112">
        <f>BV39</f>
        <v>1</v>
      </c>
      <c r="CC39" s="3">
        <f>INDEX(CC6:CC35,MATCH(uxb_works!$C$26,iCntyScoreCard!CB6:CB35,0))</f>
        <v>40.299999999999997</v>
      </c>
      <c r="CF39" s="54"/>
      <c r="CH39" s="112">
        <f>CB39</f>
        <v>1</v>
      </c>
      <c r="CI39" s="3">
        <f>INDEX(CI6:CI35,MATCH(uxb_works!$C$26,iCntyScoreCard!CH6:CH35,0))</f>
        <v>62.1</v>
      </c>
      <c r="CL39" s="54"/>
      <c r="CN39" s="112">
        <f>CH39</f>
        <v>1</v>
      </c>
      <c r="CO39" s="3">
        <f>INDEX(CO6:CO35,MATCH(uxb_works!$C$26,iCntyScoreCard!CN6:CN35,0))</f>
        <v>65.8</v>
      </c>
      <c r="CR39" s="54"/>
      <c r="CT39" s="112">
        <f>CN39</f>
        <v>1</v>
      </c>
      <c r="CU39" s="3">
        <f>INDEX(CU6:CU35,MATCH(uxb_works!$C$26,iCntyScoreCard!CT6:CT35,0))</f>
        <v>76</v>
      </c>
      <c r="CX39" s="54"/>
      <c r="CZ39" s="112">
        <f>CT39</f>
        <v>1</v>
      </c>
      <c r="DA39" s="3">
        <f>INDEX(DA6:DA35,MATCH(uxb_works!$C$26,iCntyScoreCard!CZ6:CZ35,0))</f>
        <v>62</v>
      </c>
      <c r="DD39" s="54"/>
      <c r="DF39" s="112">
        <f>CZ39</f>
        <v>1</v>
      </c>
      <c r="DG39" s="3">
        <f>INDEX(DG6:DG35,MATCH(uxb_works!$C$26,iCntyScoreCard!DF6:DF35,0))</f>
        <v>35.1</v>
      </c>
      <c r="DJ39" s="54"/>
      <c r="DL39" s="112">
        <f>DF39</f>
        <v>1</v>
      </c>
      <c r="DM39" s="3">
        <f>INDEX(DM6:DM35,MATCH(uxb_works!$C$26,iCntyScoreCard!DL6:DL35,0))</f>
        <v>85.4</v>
      </c>
      <c r="DP39" s="54"/>
      <c r="DR39" s="112">
        <f>DL39</f>
        <v>1</v>
      </c>
      <c r="DS39" s="3">
        <f>INDEX(DS6:DS35,MATCH(uxb_works!$C$26,iCntyScoreCard!DR6:DR35,0))</f>
        <v>87.5</v>
      </c>
      <c r="DV39" s="54"/>
      <c r="DX39" s="112">
        <f>DR39</f>
        <v>1</v>
      </c>
      <c r="DY39" s="3">
        <f>INDEX(DY6:DY35,MATCH(uxb_works!$C$26,iCntyScoreCard!DX6:DX35,0))</f>
        <v>100</v>
      </c>
      <c r="EB39" s="54"/>
      <c r="ED39" s="112">
        <f>DX39</f>
        <v>1</v>
      </c>
      <c r="EE39" s="3">
        <f>INDEX(EE6:EE35,MATCH(uxb_works!$C$26,iCntyScoreCard!ED6:ED35,0))</f>
        <v>50</v>
      </c>
      <c r="EH39" s="54"/>
      <c r="EJ39" s="112">
        <f>ED39</f>
        <v>1</v>
      </c>
      <c r="EK39" s="3">
        <f>INDEX(EK6:EK35,MATCH(uxb_works!$C$26,iCntyScoreCard!EJ6:EJ35,0))</f>
        <v>100</v>
      </c>
      <c r="EN39" s="54"/>
    </row>
    <row r="40" spans="1:268" s="1026" customFormat="1" ht="12" customHeight="1">
      <c r="C40" s="754" t="s">
        <v>953</v>
      </c>
      <c r="N40" s="1026">
        <v>1</v>
      </c>
      <c r="O40" s="1026">
        <f ca="1">IF(INDEX(aAverages,O4,$B$38)="n/a",#N/A,INDEX(aAverages,O4,$B$38))</f>
        <v>63.3</v>
      </c>
      <c r="P40" s="1026">
        <f>D38</f>
        <v>0</v>
      </c>
      <c r="T40" s="1026">
        <f>$N$40</f>
        <v>1</v>
      </c>
      <c r="U40" s="1026">
        <f ca="1">IF(INDEX(aAverages,U4,$B$38)="n/a",#N/A,INDEX(aAverages,U4,$B$38))</f>
        <v>65.900000000000006</v>
      </c>
      <c r="V40" s="1026">
        <f>P40</f>
        <v>0</v>
      </c>
      <c r="Z40" s="1026">
        <f>$N$40</f>
        <v>1</v>
      </c>
      <c r="AA40" s="1026">
        <f ca="1">IF(INDEX(aAverages,AA4,$B$38)="n/a",#N/A,INDEX(aAverages,AA4,$B$38))</f>
        <v>74.5</v>
      </c>
      <c r="AB40" s="1026">
        <f>V40</f>
        <v>0</v>
      </c>
      <c r="AF40" s="1026">
        <f>$N$40</f>
        <v>1</v>
      </c>
      <c r="AG40" s="1026">
        <f ca="1">IF(INDEX(aAverages,AG4,$B$38)="n/a",#N/A,INDEX(aAverages,AG4,$B$38))</f>
        <v>43.5</v>
      </c>
      <c r="AH40" s="1026">
        <f>AB40</f>
        <v>0</v>
      </c>
      <c r="AL40" s="1026">
        <f>$N$40</f>
        <v>1</v>
      </c>
      <c r="AM40" s="1026">
        <f ca="1">IF(INDEX(aAverages,AM4,$B$38)="n/a",#N/A,INDEX(aAverages,AM4,$B$38))</f>
        <v>69.3</v>
      </c>
      <c r="AN40" s="1026">
        <f>AH40</f>
        <v>0</v>
      </c>
      <c r="AR40" s="1026">
        <f>$N$40</f>
        <v>1</v>
      </c>
      <c r="AS40" s="1026">
        <f ca="1">IF(INDEX(aAverages,AS4,$B$38)="n/a",#N/A,INDEX(aAverages,AS4,$B$38))</f>
        <v>61.4</v>
      </c>
      <c r="AT40" s="1026">
        <f>AN40</f>
        <v>0</v>
      </c>
      <c r="AX40" s="1026">
        <f>$N$40</f>
        <v>1</v>
      </c>
      <c r="AY40" s="1026">
        <f ca="1">IF(INDEX(aAverages,AY4,$B$38)="n/a",#N/A,INDEX(aAverages,AY4,$B$38))</f>
        <v>68.2</v>
      </c>
      <c r="AZ40" s="1026">
        <f>AT40</f>
        <v>0</v>
      </c>
      <c r="BD40" s="1026">
        <f>$N$40</f>
        <v>1</v>
      </c>
      <c r="BE40" s="1026">
        <f ca="1">IF(INDEX(aAverages,BE4,$B$38)="n/a",#N/A,INDEX(aAverages,BE4,$B$38))</f>
        <v>50.8</v>
      </c>
      <c r="BF40" s="1026">
        <f>AZ40</f>
        <v>0</v>
      </c>
      <c r="BJ40" s="1026">
        <f>$N$40</f>
        <v>1</v>
      </c>
      <c r="BK40" s="1026">
        <f ca="1">IF(INDEX(aAverages,BK4,$B$38)="n/a",#N/A,INDEX(aAverages,BK4,$B$38))</f>
        <v>67.599999999999994</v>
      </c>
      <c r="BL40" s="1026">
        <f>BF40</f>
        <v>0</v>
      </c>
      <c r="BP40" s="1026">
        <f>$N$40</f>
        <v>1</v>
      </c>
      <c r="BQ40" s="1026">
        <f ca="1">IF(INDEX(aAverages,BQ4,$B$38)="n/a",#N/A,INDEX(aAverages,BQ4,$B$38))</f>
        <v>71.599999999999994</v>
      </c>
      <c r="BR40" s="1026">
        <f>BL40</f>
        <v>0</v>
      </c>
      <c r="BV40" s="1026">
        <f>$N$40</f>
        <v>1</v>
      </c>
      <c r="BW40" s="1026">
        <f ca="1">IF(INDEX(aAverages,BW4,$B$38)="n/a",#N/A,INDEX(aAverages,BW4,$B$38))</f>
        <v>73.3</v>
      </c>
      <c r="BX40" s="1026">
        <f>BR40</f>
        <v>0</v>
      </c>
      <c r="CB40" s="1026">
        <f>$N$40</f>
        <v>1</v>
      </c>
      <c r="CC40" s="1026">
        <f ca="1">IF(INDEX(aAverages,CC4,$B$38)="n/a",#N/A,INDEX(aAverages,CC4,$B$38))</f>
        <v>33.9</v>
      </c>
      <c r="CD40" s="1026">
        <f>BX40</f>
        <v>0</v>
      </c>
      <c r="CH40" s="1026">
        <f>$N$40</f>
        <v>1</v>
      </c>
      <c r="CI40" s="1026">
        <f ca="1">IF(INDEX(aAverages,CI4,$B$38)="n/a",#N/A,INDEX(aAverages,CI4,$B$38))</f>
        <v>59.2</v>
      </c>
      <c r="CJ40" s="1026">
        <f>CD40</f>
        <v>0</v>
      </c>
      <c r="CN40" s="1026">
        <f>$N$40</f>
        <v>1</v>
      </c>
      <c r="CO40" s="1026">
        <f ca="1">IF(INDEX(aAverages,CO4,$B$38)="n/a",#N/A,INDEX(aAverages,CO4,$B$38))</f>
        <v>69.5</v>
      </c>
      <c r="CP40" s="1026">
        <f>CJ40</f>
        <v>0</v>
      </c>
      <c r="CT40" s="1026">
        <f>$N$40</f>
        <v>1</v>
      </c>
      <c r="CU40" s="1026">
        <f ca="1">IF(INDEX(aAverages,CU4,$B$38)="n/a",#N/A,INDEX(aAverages,CU4,$B$38))</f>
        <v>71.7</v>
      </c>
      <c r="CV40" s="1026">
        <f>CP40</f>
        <v>0</v>
      </c>
      <c r="CZ40" s="1026">
        <f>$N$40</f>
        <v>1</v>
      </c>
      <c r="DA40" s="1026">
        <f ca="1">IF(INDEX(aAverages,DA4,$B$38)="n/a",#N/A,INDEX(aAverages,DA4,$B$38))</f>
        <v>49.1</v>
      </c>
      <c r="DB40" s="1026">
        <f>CV40</f>
        <v>0</v>
      </c>
      <c r="DF40" s="1026">
        <f>$N$40</f>
        <v>1</v>
      </c>
      <c r="DG40" s="1026">
        <f ca="1">IF(INDEX(aAverages,DG4,$B$38)="n/a",#N/A,INDEX(aAverages,DG4,$B$38))</f>
        <v>44.9</v>
      </c>
      <c r="DH40" s="1026">
        <f>DB40</f>
        <v>0</v>
      </c>
      <c r="DL40" s="1026">
        <f>$N$40</f>
        <v>1</v>
      </c>
      <c r="DM40" s="1026">
        <f ca="1">IF(INDEX(aAverages,DM4,$B$38)="n/a",#N/A,INDEX(aAverages,DM4,$B$38))</f>
        <v>66.3</v>
      </c>
      <c r="DN40" s="1026">
        <f>DH40</f>
        <v>0</v>
      </c>
      <c r="DR40" s="1026">
        <f>$N$40</f>
        <v>1</v>
      </c>
      <c r="DS40" s="1026">
        <f ca="1">IF(INDEX(aAverages,DS4,$B$38)="n/a",#N/A,INDEX(aAverages,DS4,$B$38))</f>
        <v>76</v>
      </c>
      <c r="DT40" s="1026">
        <f>DN40</f>
        <v>0</v>
      </c>
      <c r="DX40" s="1026">
        <f>$N$40</f>
        <v>1</v>
      </c>
      <c r="DY40" s="1026">
        <f ca="1">IF(INDEX(aAverages,DY4,$B$38)="n/a",#N/A,INDEX(aAverages,DY4,$B$38))</f>
        <v>78</v>
      </c>
      <c r="DZ40" s="1026">
        <f>DT40</f>
        <v>0</v>
      </c>
      <c r="ED40" s="1026">
        <f>$N$40</f>
        <v>1</v>
      </c>
      <c r="EE40" s="1026">
        <f ca="1">IF(INDEX(aAverages,EE4,$B$38)="n/a",#N/A,INDEX(aAverages,EE4,$B$38))</f>
        <v>57.8</v>
      </c>
      <c r="EF40" s="1026">
        <f>DZ40</f>
        <v>0</v>
      </c>
      <c r="EJ40" s="1026">
        <f>$N$40</f>
        <v>1</v>
      </c>
      <c r="EK40" s="1026">
        <f ca="1">IF(INDEX(aAverages,EK4,$B$38)="n/a",#N/A,INDEX(aAverages,EK4,$B$38))</f>
        <v>48</v>
      </c>
      <c r="EL40" s="1026">
        <f>EF40</f>
        <v>0</v>
      </c>
      <c r="EO40" s="367"/>
      <c r="EP40" s="367"/>
      <c r="EQ40" s="367"/>
      <c r="ER40" s="367"/>
      <c r="ES40" s="367"/>
      <c r="ET40" s="367"/>
      <c r="EU40" s="367"/>
      <c r="EV40" s="367"/>
      <c r="EW40" s="367"/>
      <c r="EX40" s="367"/>
      <c r="EY40" s="367"/>
      <c r="EZ40" s="367"/>
      <c r="FA40" s="367"/>
      <c r="FB40" s="367"/>
      <c r="FC40" s="367"/>
      <c r="FD40" s="367"/>
      <c r="FE40" s="367"/>
      <c r="FF40" s="367"/>
      <c r="FG40" s="367"/>
      <c r="FH40" s="367"/>
      <c r="FI40" s="367"/>
      <c r="FJ40" s="367"/>
      <c r="FK40" s="367"/>
      <c r="FL40" s="367"/>
      <c r="FM40" s="367"/>
      <c r="FN40" s="367"/>
      <c r="FO40" s="367"/>
      <c r="FP40" s="367"/>
      <c r="FQ40" s="367"/>
      <c r="FR40" s="367"/>
      <c r="FS40" s="367"/>
      <c r="FT40" s="367"/>
      <c r="FU40" s="367"/>
      <c r="FV40" s="367"/>
      <c r="FW40" s="367"/>
      <c r="FX40" s="367"/>
      <c r="FY40" s="367"/>
      <c r="FZ40" s="367"/>
      <c r="GA40" s="367"/>
      <c r="GB40" s="367"/>
      <c r="GC40" s="367"/>
      <c r="GD40" s="367"/>
      <c r="GE40" s="367"/>
      <c r="GF40" s="367"/>
      <c r="GG40" s="367"/>
      <c r="GH40" s="367"/>
      <c r="GI40" s="367"/>
      <c r="GJ40" s="367"/>
      <c r="GK40" s="367"/>
      <c r="GL40" s="367"/>
      <c r="GM40" s="367"/>
      <c r="GN40" s="367"/>
      <c r="GO40" s="367"/>
      <c r="GP40" s="367"/>
      <c r="GQ40" s="367"/>
      <c r="GR40" s="367"/>
      <c r="GS40" s="367"/>
      <c r="GT40" s="367"/>
      <c r="GU40" s="367"/>
      <c r="GV40" s="367"/>
      <c r="GW40" s="367"/>
      <c r="GX40" s="367"/>
      <c r="GY40" s="367"/>
      <c r="GZ40" s="367"/>
      <c r="HA40" s="367"/>
      <c r="HB40" s="367"/>
      <c r="HC40" s="367"/>
      <c r="HD40" s="367"/>
      <c r="HE40" s="367"/>
      <c r="HF40" s="367"/>
      <c r="HG40" s="367"/>
      <c r="HH40" s="367"/>
      <c r="HI40" s="367"/>
      <c r="HJ40" s="367"/>
      <c r="HK40" s="367"/>
      <c r="HL40" s="367"/>
      <c r="HM40" s="367"/>
      <c r="HN40" s="367"/>
      <c r="HO40" s="367"/>
      <c r="HP40" s="367"/>
      <c r="HQ40" s="367"/>
      <c r="HR40" s="367"/>
      <c r="HS40" s="367"/>
      <c r="HT40" s="367"/>
      <c r="HU40" s="367"/>
      <c r="HV40" s="367"/>
      <c r="HW40" s="367"/>
      <c r="HX40" s="367"/>
      <c r="HY40" s="367"/>
      <c r="HZ40" s="367"/>
      <c r="IA40" s="367"/>
      <c r="IB40" s="367"/>
      <c r="IC40" s="367"/>
      <c r="ID40" s="367"/>
      <c r="IE40" s="367"/>
      <c r="IF40" s="367"/>
      <c r="IG40" s="367"/>
      <c r="IH40" s="367"/>
      <c r="II40" s="367"/>
      <c r="IJ40" s="367"/>
      <c r="IK40" s="367"/>
      <c r="IL40" s="367"/>
      <c r="IM40" s="367"/>
      <c r="IN40" s="367"/>
      <c r="IO40" s="367"/>
      <c r="IP40" s="367"/>
      <c r="IQ40" s="367"/>
      <c r="IR40" s="367"/>
      <c r="IS40" s="367"/>
      <c r="IT40" s="367"/>
      <c r="IU40" s="367"/>
      <c r="IV40" s="367"/>
      <c r="IW40" s="367"/>
      <c r="IX40" s="367"/>
      <c r="IY40" s="367"/>
      <c r="IZ40" s="367"/>
      <c r="JA40" s="367"/>
      <c r="JB40" s="367"/>
      <c r="JC40" s="367"/>
      <c r="JD40" s="367"/>
      <c r="JE40" s="367"/>
      <c r="JF40" s="367"/>
      <c r="JG40" s="367"/>
      <c r="JH40" s="367"/>
    </row>
    <row r="41" spans="1:268" s="1026" customFormat="1" ht="12" customHeight="1">
      <c r="C41" s="1026" t="s">
        <v>615</v>
      </c>
      <c r="N41" s="1026">
        <v>50</v>
      </c>
      <c r="O41" s="1026">
        <f ca="1">MIN(OFFSET(aScoresRounded,O$4-1,0,1,$B$1))</f>
        <v>39.1</v>
      </c>
      <c r="T41" s="1026">
        <f>$N$41</f>
        <v>50</v>
      </c>
      <c r="U41" s="1026">
        <f ca="1">MIN(OFFSET(aScoresRounded,U$4-1,0,1,$B$1))</f>
        <v>28.4</v>
      </c>
      <c r="Z41" s="1026">
        <f>$N$41</f>
        <v>50</v>
      </c>
      <c r="AA41" s="1026">
        <f ca="1">MIN(OFFSET(aScoresRounded,AA$4-1,0,1,$B$1))</f>
        <v>34.4</v>
      </c>
      <c r="AF41" s="1026">
        <f>$N$41</f>
        <v>50</v>
      </c>
      <c r="AG41" s="1026">
        <f ca="1">MIN(OFFSET(aScoresRounded,AG$4-1,0,1,$B$1))</f>
        <v>17.899999999999999</v>
      </c>
      <c r="AL41" s="1026">
        <f>$N$41</f>
        <v>50</v>
      </c>
      <c r="AM41" s="1026">
        <f ca="1">MIN(OFFSET(aScoresRounded,AM$4-1,0,1,$B$1))</f>
        <v>0.4</v>
      </c>
      <c r="AR41" s="1026">
        <f>$N$41</f>
        <v>50</v>
      </c>
      <c r="AS41" s="1026">
        <f ca="1">MIN(OFFSET(aScoresRounded,AS$4-1,0,1,$B$1))</f>
        <v>34.4</v>
      </c>
      <c r="AX41" s="1026">
        <f>$N$41</f>
        <v>50</v>
      </c>
      <c r="AY41" s="1026">
        <f ca="1">MIN(OFFSET(aScoresRounded,AY$4-1,0,1,$B$1))</f>
        <v>46.4</v>
      </c>
      <c r="BD41" s="1026">
        <f>$N$41</f>
        <v>50</v>
      </c>
      <c r="BE41" s="1026">
        <f ca="1">MIN(OFFSET(aScoresRounded,BE$4-1,0,1,$B$1))</f>
        <v>6.9</v>
      </c>
      <c r="BJ41" s="1026">
        <f>$N$41</f>
        <v>50</v>
      </c>
      <c r="BK41" s="1026">
        <f ca="1">MIN(OFFSET(aScoresRounded,BK$4-1,0,1,$B$1))</f>
        <v>0</v>
      </c>
      <c r="BP41" s="1026">
        <f>$N$41</f>
        <v>50</v>
      </c>
      <c r="BQ41" s="1026">
        <f ca="1">MIN(OFFSET(aScoresRounded,BQ$4-1,0,1,$B$1))</f>
        <v>26.7</v>
      </c>
      <c r="BV41" s="1026">
        <f>$N$41</f>
        <v>50</v>
      </c>
      <c r="BW41" s="1026">
        <f ca="1">MIN(OFFSET(aScoresRounded,BW$4-1,0,1,$B$1))</f>
        <v>0</v>
      </c>
      <c r="CB41" s="1026">
        <f>$N$41</f>
        <v>50</v>
      </c>
      <c r="CC41" s="1026">
        <f ca="1">MIN(OFFSET(aScoresRounded,CC$4-1,0,1,$B$1))</f>
        <v>0</v>
      </c>
      <c r="CH41" s="1026">
        <f>$N$41</f>
        <v>50</v>
      </c>
      <c r="CI41" s="1026">
        <f ca="1">MIN(OFFSET(aScoresRounded,CI$4-1,0,1,$B$1))</f>
        <v>43.4</v>
      </c>
      <c r="CN41" s="1026">
        <f>$N$41</f>
        <v>50</v>
      </c>
      <c r="CO41" s="1026">
        <f ca="1">MIN(OFFSET(aScoresRounded,CO$4-1,0,1,$B$1))</f>
        <v>31.6</v>
      </c>
      <c r="CT41" s="1026">
        <f>$N$41</f>
        <v>50</v>
      </c>
      <c r="CU41" s="1026">
        <f ca="1">MIN(OFFSET(aScoresRounded,CU$4-1,0,1,$B$1))</f>
        <v>38.6</v>
      </c>
      <c r="CZ41" s="1026">
        <f>$N$41</f>
        <v>50</v>
      </c>
      <c r="DA41" s="1026">
        <f ca="1">MIN(OFFSET(aScoresRounded,DA$4-1,0,1,$B$1))</f>
        <v>10.3</v>
      </c>
      <c r="DF41" s="1026">
        <f>$N$41</f>
        <v>50</v>
      </c>
      <c r="DG41" s="1026">
        <f ca="1">MIN(OFFSET(aScoresRounded,DG$4-1,0,1,$B$1))</f>
        <v>12.1</v>
      </c>
      <c r="DL41" s="1026">
        <f>$N$41</f>
        <v>50</v>
      </c>
      <c r="DM41" s="1026">
        <f ca="1">MIN(OFFSET(aScoresRounded,DM$4-1,0,1,$B$1))</f>
        <v>28</v>
      </c>
      <c r="DR41" s="1026">
        <f>$N$41</f>
        <v>50</v>
      </c>
      <c r="DS41" s="1026">
        <f ca="1">MIN(OFFSET(aScoresRounded,DS$4-1,0,1,$B$1))</f>
        <v>25</v>
      </c>
      <c r="DX41" s="1026">
        <f>$N$41</f>
        <v>50</v>
      </c>
      <c r="DY41" s="1026">
        <f ca="1">MIN(OFFSET(aScoresRounded,DY$4-1,0,1,$B$1))</f>
        <v>14.9</v>
      </c>
      <c r="ED41" s="1026">
        <f>$N$41</f>
        <v>50</v>
      </c>
      <c r="EE41" s="1026">
        <f ca="1">MIN(OFFSET(aScoresRounded,EE$4-1,0,1,$B$1))</f>
        <v>16.7</v>
      </c>
      <c r="EJ41" s="1026">
        <f>$N$41</f>
        <v>50</v>
      </c>
      <c r="EK41" s="1026">
        <f ca="1">MIN(OFFSET(aScoresRounded,EK$4-1,0,1,$B$1))</f>
        <v>0</v>
      </c>
      <c r="EO41" s="367"/>
      <c r="EP41" s="367"/>
      <c r="EQ41" s="367"/>
      <c r="ER41" s="367"/>
      <c r="ES41" s="367"/>
      <c r="ET41" s="367"/>
      <c r="EU41" s="367"/>
      <c r="EV41" s="367"/>
      <c r="EW41" s="367"/>
      <c r="EX41" s="367"/>
      <c r="EY41" s="367"/>
      <c r="EZ41" s="367"/>
      <c r="FA41" s="367"/>
      <c r="FB41" s="367"/>
      <c r="FC41" s="367"/>
      <c r="FD41" s="367"/>
      <c r="FE41" s="367"/>
      <c r="FF41" s="367"/>
      <c r="FG41" s="367"/>
      <c r="FH41" s="367"/>
      <c r="FI41" s="367"/>
      <c r="FJ41" s="367"/>
      <c r="FK41" s="367"/>
      <c r="FL41" s="367"/>
      <c r="FM41" s="367"/>
      <c r="FN41" s="367"/>
      <c r="FO41" s="367"/>
      <c r="FP41" s="367"/>
      <c r="FQ41" s="367"/>
      <c r="FR41" s="367"/>
      <c r="FS41" s="367"/>
      <c r="FT41" s="367"/>
      <c r="FU41" s="367"/>
      <c r="FV41" s="367"/>
      <c r="FW41" s="367"/>
      <c r="FX41" s="367"/>
      <c r="FY41" s="367"/>
      <c r="FZ41" s="367"/>
      <c r="GA41" s="367"/>
      <c r="GB41" s="367"/>
      <c r="GC41" s="367"/>
      <c r="GD41" s="367"/>
      <c r="GE41" s="367"/>
      <c r="GF41" s="367"/>
      <c r="GG41" s="367"/>
      <c r="GH41" s="367"/>
      <c r="GI41" s="367"/>
      <c r="GJ41" s="367"/>
      <c r="GK41" s="367"/>
      <c r="GL41" s="367"/>
      <c r="GM41" s="367"/>
      <c r="GN41" s="367"/>
      <c r="GO41" s="367"/>
      <c r="GP41" s="367"/>
      <c r="GQ41" s="367"/>
      <c r="GR41" s="367"/>
      <c r="GS41" s="367"/>
      <c r="GT41" s="367"/>
      <c r="GU41" s="367"/>
      <c r="GV41" s="367"/>
      <c r="GW41" s="367"/>
      <c r="GX41" s="367"/>
      <c r="GY41" s="367"/>
      <c r="GZ41" s="367"/>
      <c r="HA41" s="367"/>
      <c r="HB41" s="367"/>
      <c r="HC41" s="367"/>
      <c r="HD41" s="367"/>
      <c r="HE41" s="367"/>
      <c r="HF41" s="367"/>
      <c r="HG41" s="367"/>
      <c r="HH41" s="367"/>
      <c r="HI41" s="367"/>
      <c r="HJ41" s="367"/>
      <c r="HK41" s="367"/>
      <c r="HL41" s="367"/>
      <c r="HM41" s="367"/>
      <c r="HN41" s="367"/>
      <c r="HO41" s="367"/>
      <c r="HP41" s="367"/>
      <c r="HQ41" s="367"/>
      <c r="HR41" s="367"/>
      <c r="HS41" s="367"/>
      <c r="HT41" s="367"/>
      <c r="HU41" s="367"/>
      <c r="HV41" s="367"/>
      <c r="HW41" s="367"/>
      <c r="HX41" s="367"/>
      <c r="HY41" s="367"/>
      <c r="HZ41" s="367"/>
      <c r="IA41" s="367"/>
      <c r="IB41" s="367"/>
      <c r="IC41" s="367"/>
      <c r="ID41" s="367"/>
      <c r="IE41" s="367"/>
      <c r="IF41" s="367"/>
      <c r="IG41" s="367"/>
      <c r="IH41" s="367"/>
      <c r="II41" s="367"/>
      <c r="IJ41" s="367"/>
      <c r="IK41" s="367"/>
      <c r="IL41" s="367"/>
      <c r="IM41" s="367"/>
      <c r="IN41" s="367"/>
      <c r="IO41" s="367"/>
      <c r="IP41" s="367"/>
      <c r="IQ41" s="367"/>
      <c r="IR41" s="367"/>
      <c r="IS41" s="367"/>
      <c r="IT41" s="367"/>
      <c r="IU41" s="367"/>
      <c r="IV41" s="367"/>
      <c r="IW41" s="367"/>
      <c r="IX41" s="367"/>
      <c r="IY41" s="367"/>
      <c r="IZ41" s="367"/>
      <c r="JA41" s="367"/>
      <c r="JB41" s="367"/>
      <c r="JC41" s="367"/>
      <c r="JD41" s="367"/>
      <c r="JE41" s="367"/>
      <c r="JF41" s="367"/>
      <c r="JG41" s="367"/>
      <c r="JH41" s="367"/>
    </row>
    <row r="42" spans="1:268" s="1026" customFormat="1" ht="12" customHeight="1">
      <c r="C42" s="1026" t="s">
        <v>616</v>
      </c>
      <c r="N42" s="1026">
        <v>50</v>
      </c>
      <c r="O42" s="1026">
        <f ca="1">MAX(OFFSET(aScoresRounded,O$4-1,0,1,$B$1))</f>
        <v>81.5</v>
      </c>
      <c r="T42" s="1026">
        <f>$N$42</f>
        <v>50</v>
      </c>
      <c r="U42" s="1026">
        <f ca="1">MAX(OFFSET(aScoresRounded,U$4-1,0,1,$B$1))</f>
        <v>85.4</v>
      </c>
      <c r="Z42" s="1026">
        <f>$N$42</f>
        <v>50</v>
      </c>
      <c r="AA42" s="1026">
        <f ca="1">MAX(OFFSET(aScoresRounded,AA$4-1,0,1,$B$1))</f>
        <v>93.9</v>
      </c>
      <c r="AF42" s="1026">
        <f>$N$42</f>
        <v>50</v>
      </c>
      <c r="AG42" s="1026">
        <f ca="1">MAX(OFFSET(aScoresRounded,AG$4-1,0,1,$B$1))</f>
        <v>99.1</v>
      </c>
      <c r="AL42" s="1026">
        <f>$N$42</f>
        <v>50</v>
      </c>
      <c r="AM42" s="1026">
        <f ca="1">MAX(OFFSET(aScoresRounded,AM$4-1,0,1,$B$1))</f>
        <v>95.7</v>
      </c>
      <c r="AR42" s="1026">
        <f>$N$42</f>
        <v>50</v>
      </c>
      <c r="AS42" s="1026">
        <f ca="1">MAX(OFFSET(aScoresRounded,AS$4-1,0,1,$B$1))</f>
        <v>79.3</v>
      </c>
      <c r="AX42" s="1026">
        <f>$N$42</f>
        <v>50</v>
      </c>
      <c r="AY42" s="1026">
        <f ca="1">MAX(OFFSET(aScoresRounded,AY$4-1,0,1,$B$1))</f>
        <v>98.6</v>
      </c>
      <c r="BD42" s="1026">
        <f>$N$42</f>
        <v>50</v>
      </c>
      <c r="BE42" s="1026">
        <f ca="1">MAX(OFFSET(aScoresRounded,BE$4-1,0,1,$B$1))</f>
        <v>87.4</v>
      </c>
      <c r="BJ42" s="1026">
        <f>$N$42</f>
        <v>50</v>
      </c>
      <c r="BK42" s="1026">
        <f ca="1">MAX(OFFSET(aScoresRounded,BK$4-1,0,1,$B$1))</f>
        <v>100</v>
      </c>
      <c r="BP42" s="1026">
        <f>$N$42</f>
        <v>50</v>
      </c>
      <c r="BQ42" s="1026">
        <f ca="1">MAX(OFFSET(aScoresRounded,BQ$4-1,0,1,$B$1))</f>
        <v>97.8</v>
      </c>
      <c r="BV42" s="1026">
        <f>$N$42</f>
        <v>50</v>
      </c>
      <c r="BW42" s="1026">
        <f ca="1">MAX(OFFSET(aScoresRounded,BW$4-1,0,1,$B$1))</f>
        <v>100</v>
      </c>
      <c r="CB42" s="1026">
        <f>$N$42</f>
        <v>50</v>
      </c>
      <c r="CC42" s="1026">
        <f ca="1">MAX(OFFSET(aScoresRounded,CC$4-1,0,1,$B$1))</f>
        <v>100</v>
      </c>
      <c r="CH42" s="1026">
        <f>$N$42</f>
        <v>50</v>
      </c>
      <c r="CI42" s="1026">
        <f ca="1">MAX(OFFSET(aScoresRounded,CI$4-1,0,1,$B$1))</f>
        <v>73.599999999999994</v>
      </c>
      <c r="CN42" s="1026">
        <f>$N$42</f>
        <v>50</v>
      </c>
      <c r="CO42" s="1026">
        <f ca="1">MAX(OFFSET(aScoresRounded,CO$4-1,0,1,$B$1))</f>
        <v>94.3</v>
      </c>
      <c r="CT42" s="1026">
        <f>$N$42</f>
        <v>50</v>
      </c>
      <c r="CU42" s="1026">
        <f ca="1">MAX(OFFSET(aScoresRounded,CU$4-1,0,1,$B$1))</f>
        <v>96.9</v>
      </c>
      <c r="CZ42" s="1026">
        <f>$N$42</f>
        <v>50</v>
      </c>
      <c r="DA42" s="1026">
        <f ca="1">MAX(OFFSET(aScoresRounded,DA$4-1,0,1,$B$1))</f>
        <v>87.9</v>
      </c>
      <c r="DF42" s="1026">
        <f>$N$42</f>
        <v>50</v>
      </c>
      <c r="DG42" s="1026">
        <f ca="1">MAX(OFFSET(aScoresRounded,DG$4-1,0,1,$B$1))</f>
        <v>89.7</v>
      </c>
      <c r="DL42" s="1026">
        <f>$N$42</f>
        <v>50</v>
      </c>
      <c r="DM42" s="1026">
        <f ca="1">MAX(OFFSET(aScoresRounded,DM$4-1,0,1,$B$1))</f>
        <v>92.6</v>
      </c>
      <c r="DR42" s="1026">
        <f>$N$42</f>
        <v>50</v>
      </c>
      <c r="DS42" s="1026">
        <f ca="1">MAX(OFFSET(aScoresRounded,DS$4-1,0,1,$B$1))</f>
        <v>100</v>
      </c>
      <c r="DX42" s="1026">
        <f>$N$42</f>
        <v>50</v>
      </c>
      <c r="DY42" s="1026">
        <f ca="1">MAX(OFFSET(aScoresRounded,DY$4-1,0,1,$B$1))</f>
        <v>100</v>
      </c>
      <c r="ED42" s="1026">
        <f>$N$42</f>
        <v>50</v>
      </c>
      <c r="EE42" s="1026">
        <f ca="1">MAX(OFFSET(aScoresRounded,EE$4-1,0,1,$B$1))</f>
        <v>100</v>
      </c>
      <c r="EJ42" s="1026">
        <f>$N$42</f>
        <v>50</v>
      </c>
      <c r="EK42" s="1026">
        <f ca="1">MAX(OFFSET(aScoresRounded,EK$4-1,0,1,$B$1))</f>
        <v>100</v>
      </c>
      <c r="EO42" s="367"/>
      <c r="EP42" s="367"/>
      <c r="EQ42" s="367"/>
      <c r="ER42" s="367"/>
      <c r="ES42" s="367"/>
      <c r="ET42" s="367"/>
      <c r="EU42" s="367"/>
      <c r="EV42" s="367"/>
      <c r="EW42" s="367"/>
      <c r="EX42" s="367"/>
      <c r="EY42" s="367"/>
      <c r="EZ42" s="367"/>
      <c r="FA42" s="367"/>
      <c r="FB42" s="367"/>
      <c r="FC42" s="367"/>
      <c r="FD42" s="367"/>
      <c r="FE42" s="367"/>
      <c r="FF42" s="367"/>
      <c r="FG42" s="367"/>
      <c r="FH42" s="367"/>
      <c r="FI42" s="367"/>
      <c r="FJ42" s="367"/>
      <c r="FK42" s="367"/>
      <c r="FL42" s="367"/>
      <c r="FM42" s="367"/>
      <c r="FN42" s="367"/>
      <c r="FO42" s="367"/>
      <c r="FP42" s="367"/>
      <c r="FQ42" s="367"/>
      <c r="FR42" s="367"/>
      <c r="FS42" s="367"/>
      <c r="FT42" s="367"/>
      <c r="FU42" s="367"/>
      <c r="FV42" s="367"/>
      <c r="FW42" s="367"/>
      <c r="FX42" s="367"/>
      <c r="FY42" s="367"/>
      <c r="FZ42" s="367"/>
      <c r="GA42" s="367"/>
      <c r="GB42" s="367"/>
      <c r="GC42" s="367"/>
      <c r="GD42" s="367"/>
      <c r="GE42" s="367"/>
      <c r="GF42" s="367"/>
      <c r="GG42" s="367"/>
      <c r="GH42" s="367"/>
      <c r="GI42" s="367"/>
      <c r="GJ42" s="367"/>
      <c r="GK42" s="367"/>
      <c r="GL42" s="367"/>
      <c r="GM42" s="367"/>
      <c r="GN42" s="367"/>
      <c r="GO42" s="367"/>
      <c r="GP42" s="367"/>
      <c r="GQ42" s="367"/>
      <c r="GR42" s="367"/>
      <c r="GS42" s="367"/>
      <c r="GT42" s="367"/>
      <c r="GU42" s="367"/>
      <c r="GV42" s="367"/>
      <c r="GW42" s="367"/>
      <c r="GX42" s="367"/>
      <c r="GY42" s="367"/>
      <c r="GZ42" s="367"/>
      <c r="HA42" s="367"/>
      <c r="HB42" s="367"/>
      <c r="HC42" s="367"/>
      <c r="HD42" s="367"/>
      <c r="HE42" s="367"/>
      <c r="HF42" s="367"/>
      <c r="HG42" s="367"/>
      <c r="HH42" s="367"/>
      <c r="HI42" s="367"/>
      <c r="HJ42" s="367"/>
      <c r="HK42" s="367"/>
      <c r="HL42" s="367"/>
      <c r="HM42" s="367"/>
      <c r="HN42" s="367"/>
      <c r="HO42" s="367"/>
      <c r="HP42" s="367"/>
      <c r="HQ42" s="367"/>
      <c r="HR42" s="367"/>
      <c r="HS42" s="367"/>
      <c r="HT42" s="367"/>
      <c r="HU42" s="367"/>
      <c r="HV42" s="367"/>
      <c r="HW42" s="367"/>
      <c r="HX42" s="367"/>
      <c r="HY42" s="367"/>
      <c r="HZ42" s="367"/>
      <c r="IA42" s="367"/>
      <c r="IB42" s="367"/>
      <c r="IC42" s="367"/>
      <c r="ID42" s="367"/>
      <c r="IE42" s="367"/>
      <c r="IF42" s="367"/>
      <c r="IG42" s="367"/>
      <c r="IH42" s="367"/>
      <c r="II42" s="367"/>
      <c r="IJ42" s="367"/>
      <c r="IK42" s="367"/>
      <c r="IL42" s="367"/>
      <c r="IM42" s="367"/>
      <c r="IN42" s="367"/>
      <c r="IO42" s="367"/>
      <c r="IP42" s="367"/>
      <c r="IQ42" s="367"/>
      <c r="IR42" s="367"/>
      <c r="IS42" s="367"/>
      <c r="IT42" s="367"/>
      <c r="IU42" s="367"/>
      <c r="IV42" s="367"/>
      <c r="IW42" s="367"/>
      <c r="IX42" s="367"/>
      <c r="IY42" s="367"/>
      <c r="IZ42" s="367"/>
      <c r="JA42" s="367"/>
      <c r="JB42" s="367"/>
      <c r="JC42" s="367"/>
      <c r="JD42" s="367"/>
      <c r="JE42" s="367"/>
      <c r="JF42" s="367"/>
      <c r="JG42" s="367"/>
      <c r="JH42" s="367"/>
    </row>
    <row r="46" spans="1:268" ht="12" customHeight="1">
      <c r="O46" s="20"/>
      <c r="U46" s="20"/>
      <c r="AA46" s="20"/>
      <c r="AG46" s="20"/>
      <c r="AM46" s="20"/>
      <c r="AS46" s="20"/>
      <c r="AY46" s="20"/>
      <c r="BE46" s="20"/>
      <c r="BK46" s="20"/>
      <c r="BQ46" s="20"/>
      <c r="BW46" s="20"/>
      <c r="CC46" s="20"/>
      <c r="CI46" s="20"/>
      <c r="CO46" s="20"/>
      <c r="CU46" s="20"/>
      <c r="DA46" s="20"/>
      <c r="DG46" s="20"/>
      <c r="DM46" s="20"/>
      <c r="DS46" s="20"/>
      <c r="DY46" s="20"/>
      <c r="EE46" s="20"/>
      <c r="EK46" s="20"/>
    </row>
    <row r="47" spans="1:268" ht="12" customHeight="1">
      <c r="O47" s="20"/>
      <c r="U47" s="20"/>
      <c r="AA47" s="20"/>
      <c r="AG47" s="20"/>
      <c r="AM47" s="20"/>
      <c r="AS47" s="20"/>
      <c r="AY47" s="20"/>
      <c r="BE47" s="20"/>
      <c r="BK47" s="20"/>
      <c r="BQ47" s="20"/>
      <c r="BW47" s="20"/>
      <c r="CC47" s="20"/>
      <c r="CI47" s="20"/>
      <c r="CO47" s="20"/>
      <c r="CU47" s="20"/>
      <c r="DA47" s="20"/>
      <c r="DG47" s="20"/>
      <c r="DM47" s="20"/>
      <c r="DS47" s="20"/>
      <c r="DY47" s="20"/>
      <c r="EE47" s="20"/>
      <c r="EK47" s="20"/>
    </row>
    <row r="48" spans="1:268" ht="12" customHeight="1">
      <c r="O48" s="20"/>
      <c r="U48" s="20"/>
      <c r="AA48" s="20"/>
      <c r="AG48" s="20"/>
      <c r="AM48" s="20"/>
      <c r="AS48" s="20"/>
      <c r="AY48" s="20"/>
      <c r="BE48" s="20"/>
      <c r="BK48" s="20"/>
      <c r="BQ48" s="20"/>
      <c r="BW48" s="20"/>
      <c r="CC48" s="20"/>
      <c r="CI48" s="20"/>
      <c r="CO48" s="20"/>
      <c r="CU48" s="20"/>
      <c r="DA48" s="20"/>
      <c r="DG48" s="20"/>
      <c r="DM48" s="20"/>
      <c r="DS48" s="20"/>
      <c r="DY48" s="20"/>
      <c r="EE48" s="20"/>
      <c r="EK48" s="20"/>
    </row>
    <row r="49" spans="15:141" ht="12" customHeight="1">
      <c r="O49" s="20"/>
      <c r="U49" s="20"/>
      <c r="AA49" s="20"/>
      <c r="AG49" s="20"/>
      <c r="AM49" s="20"/>
      <c r="AS49" s="20"/>
      <c r="AY49" s="20"/>
      <c r="BE49" s="20"/>
      <c r="BK49" s="20"/>
      <c r="BQ49" s="20"/>
      <c r="BW49" s="20"/>
      <c r="CC49" s="20"/>
      <c r="CI49" s="20"/>
      <c r="CO49" s="20"/>
      <c r="CU49" s="20"/>
      <c r="DA49" s="20"/>
      <c r="DG49" s="20"/>
      <c r="DM49" s="20"/>
      <c r="DS49" s="20"/>
      <c r="DY49" s="20"/>
      <c r="EE49" s="20"/>
      <c r="EK49" s="20"/>
    </row>
    <row r="50" spans="15:141" ht="12" customHeight="1">
      <c r="O50" s="20"/>
      <c r="U50" s="20"/>
      <c r="AA50" s="20"/>
      <c r="AG50" s="20"/>
      <c r="AM50" s="20"/>
      <c r="AS50" s="20"/>
      <c r="AY50" s="20"/>
      <c r="BE50" s="20"/>
      <c r="BK50" s="20"/>
      <c r="BQ50" s="20"/>
      <c r="BW50" s="20"/>
      <c r="CC50" s="20"/>
      <c r="CI50" s="20"/>
      <c r="CO50" s="20"/>
      <c r="CU50" s="20"/>
      <c r="DA50" s="20"/>
      <c r="DG50" s="20"/>
      <c r="DM50" s="20"/>
      <c r="DS50" s="20"/>
      <c r="DY50" s="20"/>
      <c r="EE50" s="20"/>
      <c r="EK50" s="20"/>
    </row>
    <row r="51" spans="15:141" ht="12" customHeight="1">
      <c r="O51" s="20"/>
      <c r="U51" s="20"/>
      <c r="AA51" s="20"/>
      <c r="AG51" s="20"/>
      <c r="AM51" s="20"/>
      <c r="AS51" s="20"/>
      <c r="AY51" s="20"/>
      <c r="BE51" s="20"/>
      <c r="BK51" s="20"/>
      <c r="BQ51" s="20"/>
      <c r="BW51" s="20"/>
      <c r="CC51" s="20"/>
      <c r="CI51" s="20"/>
      <c r="CO51" s="20"/>
      <c r="CU51" s="20"/>
      <c r="DA51" s="20"/>
      <c r="DG51" s="20"/>
      <c r="DM51" s="20"/>
      <c r="DS51" s="20"/>
      <c r="DY51" s="20"/>
      <c r="EE51" s="20"/>
      <c r="EK51" s="20"/>
    </row>
    <row r="52" spans="15:141" ht="12" customHeight="1">
      <c r="O52" s="20"/>
      <c r="U52" s="20"/>
      <c r="AA52" s="20"/>
      <c r="AG52" s="20"/>
      <c r="AM52" s="20"/>
      <c r="AS52" s="20"/>
      <c r="AY52" s="20"/>
      <c r="BE52" s="20"/>
      <c r="BK52" s="20"/>
      <c r="BQ52" s="20"/>
      <c r="BW52" s="20"/>
      <c r="CC52" s="20"/>
      <c r="CI52" s="20"/>
      <c r="CO52" s="20"/>
      <c r="CU52" s="20"/>
      <c r="DA52" s="20"/>
      <c r="DG52" s="20"/>
      <c r="DM52" s="20"/>
      <c r="DS52" s="20"/>
      <c r="DY52" s="20"/>
      <c r="EE52" s="20"/>
      <c r="EK52" s="20"/>
    </row>
    <row r="53" spans="15:141" ht="12" customHeight="1">
      <c r="O53" s="20"/>
      <c r="U53" s="20"/>
      <c r="AA53" s="20"/>
      <c r="AG53" s="20"/>
      <c r="AM53" s="20"/>
      <c r="AS53" s="20"/>
      <c r="AY53" s="20"/>
      <c r="BE53" s="20"/>
      <c r="BK53" s="20"/>
      <c r="BQ53" s="20"/>
      <c r="BW53" s="20"/>
      <c r="CC53" s="20"/>
      <c r="CI53" s="20"/>
      <c r="CO53" s="20"/>
      <c r="CU53" s="20"/>
      <c r="DA53" s="20"/>
      <c r="DG53" s="20"/>
      <c r="DM53" s="20"/>
      <c r="DS53" s="20"/>
      <c r="DY53" s="20"/>
      <c r="EE53" s="20"/>
      <c r="EK53" s="20"/>
    </row>
    <row r="54" spans="15:141" ht="12" customHeight="1">
      <c r="O54" s="20"/>
      <c r="U54" s="20"/>
      <c r="AA54" s="20"/>
      <c r="AG54" s="20"/>
      <c r="AM54" s="20"/>
      <c r="AS54" s="20"/>
      <c r="AY54" s="20"/>
      <c r="BE54" s="20"/>
      <c r="BK54" s="20"/>
      <c r="BQ54" s="20"/>
      <c r="BW54" s="20"/>
      <c r="CC54" s="20"/>
      <c r="CI54" s="20"/>
      <c r="CO54" s="20"/>
      <c r="CU54" s="20"/>
      <c r="DA54" s="20"/>
      <c r="DG54" s="20"/>
      <c r="DM54" s="20"/>
      <c r="DS54" s="20"/>
      <c r="DY54" s="20"/>
      <c r="EE54" s="20"/>
      <c r="EK54" s="20"/>
    </row>
    <row r="55" spans="15:141" ht="12" customHeight="1">
      <c r="O55" s="20"/>
      <c r="U55" s="20"/>
      <c r="AA55" s="20"/>
      <c r="AG55" s="20"/>
      <c r="AM55" s="20"/>
      <c r="AS55" s="20"/>
      <c r="AY55" s="20"/>
      <c r="BE55" s="20"/>
      <c r="BK55" s="20"/>
      <c r="BQ55" s="20"/>
      <c r="BW55" s="20"/>
      <c r="CC55" s="20"/>
      <c r="CI55" s="20"/>
      <c r="CO55" s="20"/>
      <c r="CU55" s="20"/>
      <c r="DA55" s="20"/>
      <c r="DG55" s="20"/>
      <c r="DM55" s="20"/>
      <c r="DS55" s="20"/>
      <c r="DY55" s="20"/>
      <c r="EE55" s="20"/>
      <c r="EK55" s="20"/>
    </row>
    <row r="56" spans="15:141" ht="12" customHeight="1">
      <c r="O56" s="20"/>
      <c r="U56" s="20"/>
      <c r="AA56" s="20"/>
      <c r="AG56" s="20"/>
      <c r="AM56" s="20"/>
      <c r="AS56" s="20"/>
      <c r="AY56" s="20"/>
      <c r="BE56" s="20"/>
      <c r="BK56" s="20"/>
      <c r="BQ56" s="20"/>
      <c r="BW56" s="20"/>
      <c r="CC56" s="20"/>
      <c r="CI56" s="20"/>
      <c r="CO56" s="20"/>
      <c r="CU56" s="20"/>
      <c r="DA56" s="20"/>
      <c r="DG56" s="20"/>
      <c r="DM56" s="20"/>
      <c r="DS56" s="20"/>
      <c r="DY56" s="20"/>
      <c r="EE56" s="20"/>
      <c r="EK56" s="20"/>
    </row>
  </sheetData>
  <pageMargins left="0.55118110236220474" right="0.55118110236220474" top="0.59055118110236227" bottom="0.78740157480314965" header="0.51181102362204722" footer="0.51181102362204722"/>
  <pageSetup paperSize="9" scale="18" orientation="landscape" r:id="rId1"/>
  <headerFooter alignWithMargins="0">
    <oddHeader>&amp;RNEC SAFE CITIES INDEX: 2021</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000"/>
    <pageSetUpPr fitToPage="1"/>
  </sheetPr>
  <dimension ref="A1:AV91"/>
  <sheetViews>
    <sheetView showRowColHeaders="0" zoomScaleNormal="100" workbookViewId="0">
      <pane xSplit="3" ySplit="3" topLeftCell="D68" activePane="bottomRight" state="frozen"/>
      <selection activeCell="CC8" sqref="CC8"/>
      <selection pane="topRight" activeCell="CC8" sqref="CC8"/>
      <selection pane="bottomLeft" activeCell="CC8" sqref="CC8"/>
      <selection pane="bottomRight" activeCell="A43" sqref="A43:XFD91"/>
    </sheetView>
  </sheetViews>
  <sheetFormatPr defaultColWidth="9.453125" defaultRowHeight="14.5"/>
  <cols>
    <col min="1" max="1" width="17.453125" style="367" bestFit="1" customWidth="1"/>
    <col min="2" max="3" width="5.54296875" style="367" bestFit="1" customWidth="1"/>
    <col min="4" max="4" width="7.54296875" style="367" customWidth="1"/>
    <col min="5" max="5" width="71.453125" style="367" customWidth="1"/>
    <col min="6" max="6" width="8.54296875" style="367" customWidth="1"/>
    <col min="7" max="12" width="8.453125" style="367" bestFit="1" customWidth="1"/>
    <col min="13" max="14" width="8.453125" style="367" customWidth="1"/>
    <col min="15" max="20" width="8.453125" style="367" bestFit="1" customWidth="1"/>
    <col min="21" max="21" width="8.453125" style="367" customWidth="1"/>
    <col min="22" max="25" width="7.453125" style="367" customWidth="1"/>
    <col min="26" max="26" width="4" style="367" customWidth="1"/>
    <col min="27" max="27" width="15.453125" style="367" customWidth="1"/>
    <col min="28" max="34" width="11.54296875" style="367" customWidth="1"/>
    <col min="35" max="35" width="10.453125" style="367" customWidth="1"/>
    <col min="36" max="40" width="12.54296875" style="367" customWidth="1"/>
    <col min="41" max="43" width="11.54296875" style="367" customWidth="1"/>
    <col min="44" max="45" width="9.453125" style="367"/>
    <col min="46" max="48" width="9.453125" style="367" bestFit="1" customWidth="1"/>
    <col min="49" max="16384" width="9.453125" style="367"/>
  </cols>
  <sheetData>
    <row r="1" spans="1:48" ht="22.5" customHeight="1">
      <c r="A1" s="11" t="s">
        <v>118</v>
      </c>
      <c r="B1" s="11">
        <f>uxb_works!B1</f>
        <v>30</v>
      </c>
      <c r="C1" s="947" t="s">
        <v>270</v>
      </c>
      <c r="D1" s="947" t="s">
        <v>917</v>
      </c>
      <c r="F1" s="36">
        <f>uxb_works!B169</f>
        <v>1</v>
      </c>
    </row>
    <row r="2" spans="1:48" ht="63" customHeight="1" thickBot="1">
      <c r="A2" s="367" t="str">
        <f>uxb_works!A168</f>
        <v>REGION_COMPARE_INDICATOR</v>
      </c>
      <c r="B2" s="367">
        <f>uxb_works!B168</f>
        <v>1</v>
      </c>
      <c r="C2" s="948">
        <f>uxb_works!C168</f>
        <v>16</v>
      </c>
      <c r="D2" s="948">
        <f>uxb_works!D168</f>
        <v>1</v>
      </c>
      <c r="E2" s="949" t="str">
        <f>TRIM(INDEX(tblIndiSets!AS$4:AS$67,B2))</f>
        <v>OVERALL SCORE</v>
      </c>
    </row>
    <row r="3" spans="1:48" ht="15" thickBot="1">
      <c r="A3" s="367" t="str">
        <f>uxb_works!A169</f>
        <v>SORT_BY_REGION</v>
      </c>
      <c r="B3" s="367">
        <f>uxb_works!B167+1</f>
        <v>3</v>
      </c>
      <c r="E3" s="11"/>
    </row>
    <row r="4" spans="1:48">
      <c r="A4" s="367" t="str">
        <f>uxb_works!A41</f>
        <v>Country_profile_extras</v>
      </c>
      <c r="B4" s="367">
        <f>uxb_works!B41</f>
        <v>0</v>
      </c>
      <c r="C4" s="367">
        <f>uxb_works!C41</f>
        <v>0</v>
      </c>
      <c r="E4" s="11"/>
      <c r="G4" s="305" t="str">
        <f>iScores!CD4</f>
        <v>All</v>
      </c>
      <c r="H4" s="108">
        <f>iScores!CE4</f>
        <v>0</v>
      </c>
      <c r="I4" s="108" t="str">
        <f>iScores!CF4</f>
        <v>APAC</v>
      </c>
      <c r="J4" s="109" t="str">
        <f>iScores!CG4</f>
        <v>EUROPE</v>
      </c>
      <c r="K4" s="109" t="str">
        <f>iScores!CH4</f>
        <v>LATAM</v>
      </c>
      <c r="L4" s="109" t="str">
        <f>iScores!CI4</f>
        <v>MEA</v>
      </c>
      <c r="M4" s="950" t="str">
        <f>iScores!CJ4</f>
        <v>NA</v>
      </c>
      <c r="N4" s="108" t="str">
        <f>iScores!CK4</f>
        <v>Low &amp; lower middle income</v>
      </c>
      <c r="O4" s="109" t="str">
        <f>iScores!CL4</f>
        <v>Upper middle income</v>
      </c>
      <c r="P4" s="950" t="str">
        <f>iScores!CM4</f>
        <v>High income</v>
      </c>
      <c r="Q4" s="108" t="str">
        <f>iScores!CN4</f>
        <v>Population &lt; 5m</v>
      </c>
      <c r="R4" s="109" t="str">
        <f>iScores!CO4</f>
        <v>Population 5-10m</v>
      </c>
      <c r="S4" s="109" t="str">
        <f>iScores!CP4</f>
        <v>Population 10-15m</v>
      </c>
      <c r="T4" s="950" t="str">
        <f>iScores!CQ4</f>
        <v>Population 15m +</v>
      </c>
      <c r="AF4" s="367">
        <v>1</v>
      </c>
      <c r="AG4" s="367">
        <v>2</v>
      </c>
      <c r="AH4" s="367">
        <v>3</v>
      </c>
      <c r="AI4" s="367">
        <v>4</v>
      </c>
      <c r="AJ4" s="367">
        <v>5</v>
      </c>
      <c r="AK4" s="367">
        <v>1</v>
      </c>
      <c r="AL4" s="367">
        <v>2</v>
      </c>
      <c r="AM4" s="367">
        <v>3</v>
      </c>
      <c r="AN4" s="367">
        <v>1</v>
      </c>
      <c r="AO4" s="367">
        <v>2</v>
      </c>
      <c r="AP4" s="367">
        <v>3</v>
      </c>
      <c r="AQ4" s="367">
        <v>4</v>
      </c>
    </row>
    <row r="5" spans="1:48">
      <c r="E5" s="11"/>
      <c r="G5" s="951" t="str">
        <f>"Region_"&amp;G6</f>
        <v>Region_1</v>
      </c>
      <c r="H5" s="952" t="str">
        <f t="shared" ref="H5:T5" si="0">"Region_"&amp;H6</f>
        <v>Region_2</v>
      </c>
      <c r="I5" s="952" t="str">
        <f t="shared" si="0"/>
        <v>Region_3</v>
      </c>
      <c r="J5" s="953" t="str">
        <f t="shared" si="0"/>
        <v>Region_4</v>
      </c>
      <c r="K5" s="953" t="str">
        <f t="shared" si="0"/>
        <v>Region_5</v>
      </c>
      <c r="L5" s="953" t="str">
        <f t="shared" si="0"/>
        <v>Region_6</v>
      </c>
      <c r="M5" s="954" t="str">
        <f t="shared" si="0"/>
        <v>Region_7</v>
      </c>
      <c r="N5" s="952" t="str">
        <f t="shared" si="0"/>
        <v>Region_8</v>
      </c>
      <c r="O5" s="953" t="str">
        <f t="shared" si="0"/>
        <v>Region_9</v>
      </c>
      <c r="P5" s="954" t="str">
        <f t="shared" si="0"/>
        <v>Region_10</v>
      </c>
      <c r="Q5" s="952" t="str">
        <f t="shared" si="0"/>
        <v>Region_11</v>
      </c>
      <c r="R5" s="953" t="str">
        <f t="shared" si="0"/>
        <v>Region_12</v>
      </c>
      <c r="S5" s="953" t="str">
        <f t="shared" si="0"/>
        <v>Region_13</v>
      </c>
      <c r="T5" s="954" t="str">
        <f t="shared" si="0"/>
        <v>Region_14</v>
      </c>
    </row>
    <row r="6" spans="1:48">
      <c r="E6" s="11"/>
      <c r="F6" s="367">
        <v>0</v>
      </c>
      <c r="G6" s="295">
        <f>F6+1</f>
        <v>1</v>
      </c>
      <c r="H6" s="291">
        <f t="shared" ref="H6:T6" si="1">G6+1</f>
        <v>2</v>
      </c>
      <c r="I6" s="291">
        <f t="shared" si="1"/>
        <v>3</v>
      </c>
      <c r="J6" s="367">
        <f t="shared" si="1"/>
        <v>4</v>
      </c>
      <c r="K6" s="367">
        <f t="shared" si="1"/>
        <v>5</v>
      </c>
      <c r="L6" s="367">
        <f t="shared" si="1"/>
        <v>6</v>
      </c>
      <c r="M6" s="955">
        <f t="shared" si="1"/>
        <v>7</v>
      </c>
      <c r="N6" s="291">
        <f t="shared" si="1"/>
        <v>8</v>
      </c>
      <c r="O6" s="367">
        <f>N6+1</f>
        <v>9</v>
      </c>
      <c r="P6" s="955">
        <f t="shared" si="1"/>
        <v>10</v>
      </c>
      <c r="Q6" s="291">
        <f t="shared" si="1"/>
        <v>11</v>
      </c>
      <c r="R6" s="367">
        <f t="shared" si="1"/>
        <v>12</v>
      </c>
      <c r="S6" s="367">
        <f t="shared" si="1"/>
        <v>13</v>
      </c>
      <c r="T6" s="955">
        <f t="shared" si="1"/>
        <v>14</v>
      </c>
      <c r="U6" s="12"/>
      <c r="AC6" s="367">
        <v>0</v>
      </c>
      <c r="AD6" s="367">
        <f>AC6+1</f>
        <v>1</v>
      </c>
      <c r="AE6" s="367">
        <f t="shared" ref="AE6:AQ6" si="2">AD6+1</f>
        <v>2</v>
      </c>
      <c r="AF6" s="367">
        <f t="shared" si="2"/>
        <v>3</v>
      </c>
      <c r="AG6" s="367">
        <f t="shared" si="2"/>
        <v>4</v>
      </c>
      <c r="AH6" s="367">
        <f t="shared" si="2"/>
        <v>5</v>
      </c>
      <c r="AI6" s="367">
        <f t="shared" si="2"/>
        <v>6</v>
      </c>
      <c r="AJ6" s="367">
        <f t="shared" si="2"/>
        <v>7</v>
      </c>
      <c r="AK6" s="367">
        <f t="shared" si="2"/>
        <v>8</v>
      </c>
      <c r="AL6" s="367">
        <f t="shared" si="2"/>
        <v>9</v>
      </c>
      <c r="AM6" s="367">
        <f t="shared" si="2"/>
        <v>10</v>
      </c>
      <c r="AN6" s="367">
        <f t="shared" si="2"/>
        <v>11</v>
      </c>
      <c r="AO6" s="367">
        <f t="shared" si="2"/>
        <v>12</v>
      </c>
      <c r="AP6" s="367">
        <f t="shared" si="2"/>
        <v>13</v>
      </c>
      <c r="AQ6" s="367">
        <f t="shared" si="2"/>
        <v>14</v>
      </c>
    </row>
    <row r="7" spans="1:48">
      <c r="G7" s="295"/>
      <c r="H7" s="291"/>
      <c r="I7" s="291"/>
      <c r="M7" s="955"/>
      <c r="N7" s="291"/>
      <c r="P7" s="955"/>
      <c r="Q7" s="291"/>
      <c r="T7" s="955"/>
      <c r="AD7" s="367" t="s">
        <v>325</v>
      </c>
      <c r="AE7" s="367" t="s">
        <v>927</v>
      </c>
      <c r="AF7" s="367" t="str" cm="1">
        <f t="array" ref="AF7">INDEX(tblTerritories!$AR$4:$AR$8,iRegionComp!AF4)</f>
        <v>APAC</v>
      </c>
      <c r="AG7" s="367" t="str" cm="1">
        <f t="array" ref="AG7">INDEX(tblTerritories!$AR$4:$AR$8,iRegionComp!AG4)</f>
        <v>EUROPE</v>
      </c>
      <c r="AH7" s="367" t="str" cm="1">
        <f t="array" ref="AH7">INDEX(tblTerritories!$AR$4:$AR$8,iRegionComp!AH4)</f>
        <v>LATAM</v>
      </c>
      <c r="AI7" s="367" t="str" cm="1">
        <f t="array" ref="AI7">INDEX(tblTerritories!$AR$4:$AR$8,iRegionComp!AI4)</f>
        <v>MEA</v>
      </c>
      <c r="AJ7" s="367" t="str" cm="1">
        <f t="array" ref="AJ7">INDEX(tblTerritories!$AR$4:$AR$8,iRegionComp!AJ4)</f>
        <v>NA</v>
      </c>
      <c r="AK7" s="367" t="str" cm="1">
        <f t="array" ref="AK7">INDEX(tblTerritories!$AU$4:$AU$8,iRegionComp!AK4)</f>
        <v>Low &amp; lower middle income</v>
      </c>
      <c r="AL7" s="367" t="str" cm="1">
        <f t="array" ref="AL7">INDEX(tblTerritories!$AU$4:$AU$8,iRegionComp!AL4)</f>
        <v>Upper middle income</v>
      </c>
      <c r="AM7" s="367" t="str" cm="1">
        <f t="array" ref="AM7">INDEX(tblTerritories!$AU$4:$AU$8,iRegionComp!AM4)</f>
        <v>High income</v>
      </c>
      <c r="AN7" s="367" t="str" cm="1">
        <f t="array" ref="AN7">INDEX(tblTerritories!$AS$4:$AS$8,iRegionComp!AN4)</f>
        <v>Population &lt; 5m</v>
      </c>
      <c r="AO7" s="367" t="str" cm="1">
        <f t="array" ref="AO7">INDEX(tblTerritories!$AS$4:$AS$8,iRegionComp!AO4)</f>
        <v>Population 5-10m</v>
      </c>
      <c r="AP7" s="367" t="str" cm="1">
        <f t="array" ref="AP7">INDEX(tblTerritories!$AS$4:$AS$8,iRegionComp!AP4)</f>
        <v>Population 10-15m</v>
      </c>
      <c r="AQ7" s="367" t="str" cm="1">
        <f t="array" ref="AQ7">INDEX(tblTerritories!$AS$4:$AS$8,iRegionComp!AQ4)</f>
        <v>Population 15m +</v>
      </c>
    </row>
    <row r="8" spans="1:48">
      <c r="A8" s="367" t="str">
        <f>tblIndiSets!A5</f>
        <v>OVERALL</v>
      </c>
      <c r="B8" s="367">
        <f>tblIndiSets!$B5</f>
        <v>1</v>
      </c>
      <c r="D8" s="367">
        <f>IF($D$2=B8,1,0)</f>
        <v>1</v>
      </c>
      <c r="E8" s="367" t="str">
        <f>tblIndiSets!E5</f>
        <v>OVERALL SCORE</v>
      </c>
      <c r="G8" s="956">
        <f ca="1">IF(ISERROR(INDEX(aAverages,$B8,G$6)),"-",INDEX(aAverages,$B8,G$6))</f>
        <v>63.3</v>
      </c>
      <c r="H8" s="957">
        <f t="shared" ref="G8:T12" ca="1" si="3">IF(ISERROR(INDEX(aAverages,$B8,H$6)),"-",INDEX(aAverages,$B8,H$6))</f>
        <v>63.3</v>
      </c>
      <c r="I8" s="957">
        <f t="shared" ca="1" si="3"/>
        <v>59.4</v>
      </c>
      <c r="J8" s="14">
        <f t="shared" ca="1" si="3"/>
        <v>70.099999999999994</v>
      </c>
      <c r="K8" s="14">
        <f t="shared" ca="1" si="3"/>
        <v>46.1</v>
      </c>
      <c r="L8" s="14">
        <f t="shared" ca="1" si="3"/>
        <v>63.8</v>
      </c>
      <c r="M8" s="958">
        <f t="shared" ca="1" si="3"/>
        <v>70.8</v>
      </c>
      <c r="N8" s="957">
        <f t="shared" ca="1" si="3"/>
        <v>41</v>
      </c>
      <c r="O8" s="14">
        <f t="shared" ca="1" si="3"/>
        <v>53.2</v>
      </c>
      <c r="P8" s="958">
        <f t="shared" ca="1" si="3"/>
        <v>69.400000000000006</v>
      </c>
      <c r="Q8" s="957">
        <f t="shared" ca="1" si="3"/>
        <v>69.099999999999994</v>
      </c>
      <c r="R8" s="14">
        <f t="shared" ca="1" si="3"/>
        <v>67.599999999999994</v>
      </c>
      <c r="S8" s="14">
        <f t="shared" ca="1" si="3"/>
        <v>58</v>
      </c>
      <c r="T8" s="958">
        <f t="shared" ca="1" si="3"/>
        <v>56.2</v>
      </c>
      <c r="AC8" s="367" t="str">
        <f>E2</f>
        <v>OVERALL SCORE</v>
      </c>
      <c r="AD8" s="367">
        <f ca="1">INDEX(aAverages,$D$2,AD$6)</f>
        <v>63.3</v>
      </c>
      <c r="AE8" s="367">
        <f ca="1">IF(INDEX(aAverages,$D$2,AE$6)="n/a",#N/A,INDEX(aAverages,$D$2,AE$6))</f>
        <v>63.3</v>
      </c>
      <c r="AF8" s="367">
        <f t="shared" ref="AF8:AQ8" ca="1" si="4">INDEX(aAverages,$D$2,AF$6)</f>
        <v>59.4</v>
      </c>
      <c r="AG8" s="367">
        <f t="shared" ca="1" si="4"/>
        <v>70.099999999999994</v>
      </c>
      <c r="AH8" s="367">
        <f t="shared" ca="1" si="4"/>
        <v>46.1</v>
      </c>
      <c r="AI8" s="367">
        <f t="shared" ca="1" si="4"/>
        <v>63.8</v>
      </c>
      <c r="AJ8" s="367">
        <f t="shared" ca="1" si="4"/>
        <v>70.8</v>
      </c>
      <c r="AK8" s="367">
        <f t="shared" ca="1" si="4"/>
        <v>41</v>
      </c>
      <c r="AL8" s="367">
        <f t="shared" ca="1" si="4"/>
        <v>53.2</v>
      </c>
      <c r="AM8" s="367">
        <f t="shared" ca="1" si="4"/>
        <v>69.400000000000006</v>
      </c>
      <c r="AN8" s="367">
        <f t="shared" ca="1" si="4"/>
        <v>69.099999999999994</v>
      </c>
      <c r="AO8" s="367">
        <f t="shared" ca="1" si="4"/>
        <v>67.599999999999994</v>
      </c>
      <c r="AP8" s="367">
        <f t="shared" ca="1" si="4"/>
        <v>58</v>
      </c>
      <c r="AQ8" s="367">
        <f t="shared" ca="1" si="4"/>
        <v>56.2</v>
      </c>
    </row>
    <row r="9" spans="1:48">
      <c r="A9" s="367" t="str">
        <f>tblIndiSets!A6</f>
        <v>CNTY</v>
      </c>
      <c r="B9" s="367">
        <f>tblIndiSets!$B6</f>
        <v>2</v>
      </c>
      <c r="D9" s="367">
        <f t="shared" ref="D9:D12" si="5">IF($D$2=B9,1,0)</f>
        <v>0</v>
      </c>
      <c r="E9" s="367" t="str">
        <f>tblIndiSets!E6</f>
        <v>1) CONNECTIVITY</v>
      </c>
      <c r="G9" s="956">
        <f t="shared" ca="1" si="3"/>
        <v>65.900000000000006</v>
      </c>
      <c r="H9" s="957">
        <f t="shared" ca="1" si="3"/>
        <v>65.900000000000006</v>
      </c>
      <c r="I9" s="957">
        <f t="shared" ca="1" si="3"/>
        <v>63.3</v>
      </c>
      <c r="J9" s="14">
        <f t="shared" ca="1" si="3"/>
        <v>71.5</v>
      </c>
      <c r="K9" s="14">
        <f t="shared" ca="1" si="3"/>
        <v>50.1</v>
      </c>
      <c r="L9" s="14">
        <f t="shared" ca="1" si="3"/>
        <v>63.5</v>
      </c>
      <c r="M9" s="958">
        <f t="shared" ca="1" si="3"/>
        <v>72.2</v>
      </c>
      <c r="N9" s="957">
        <f t="shared" ca="1" si="3"/>
        <v>40.1</v>
      </c>
      <c r="O9" s="14">
        <f t="shared" ca="1" si="3"/>
        <v>57.5</v>
      </c>
      <c r="P9" s="958">
        <f t="shared" ca="1" si="3"/>
        <v>72</v>
      </c>
      <c r="Q9" s="957">
        <f t="shared" ca="1" si="3"/>
        <v>72.599999999999994</v>
      </c>
      <c r="R9" s="14">
        <f t="shared" ca="1" si="3"/>
        <v>69.3</v>
      </c>
      <c r="S9" s="14">
        <f t="shared" ca="1" si="3"/>
        <v>60.6</v>
      </c>
      <c r="T9" s="958">
        <f t="shared" ca="1" si="3"/>
        <v>58.9</v>
      </c>
      <c r="AR9" s="14"/>
      <c r="AS9" s="14"/>
      <c r="AT9" s="14"/>
      <c r="AU9" s="14"/>
      <c r="AV9" s="14"/>
    </row>
    <row r="10" spans="1:48">
      <c r="A10" s="367" t="str">
        <f>tblIndiSets!A7</f>
        <v>SERV</v>
      </c>
      <c r="B10" s="367">
        <f>tblIndiSets!$B7</f>
        <v>16</v>
      </c>
      <c r="D10" s="367">
        <f>IF($D$2=B10,1,0)</f>
        <v>0</v>
      </c>
      <c r="E10" s="367" t="str">
        <f>tblIndiSets!E7</f>
        <v>2) SERVICES</v>
      </c>
      <c r="G10" s="956">
        <f t="shared" ca="1" si="3"/>
        <v>61.4</v>
      </c>
      <c r="H10" s="957">
        <f t="shared" ca="1" si="3"/>
        <v>61.4</v>
      </c>
      <c r="I10" s="957">
        <f t="shared" ca="1" si="3"/>
        <v>57.1</v>
      </c>
      <c r="J10" s="14">
        <f t="shared" ca="1" si="3"/>
        <v>70.7</v>
      </c>
      <c r="K10" s="14">
        <f t="shared" ca="1" si="3"/>
        <v>39.299999999999997</v>
      </c>
      <c r="L10" s="14">
        <f t="shared" ca="1" si="3"/>
        <v>69.8</v>
      </c>
      <c r="M10" s="958">
        <f t="shared" ca="1" si="3"/>
        <v>65.900000000000006</v>
      </c>
      <c r="N10" s="957">
        <f t="shared" ca="1" si="3"/>
        <v>44.4</v>
      </c>
      <c r="O10" s="14">
        <f t="shared" ca="1" si="3"/>
        <v>48.6</v>
      </c>
      <c r="P10" s="958">
        <f t="shared" ca="1" si="3"/>
        <v>67.599999999999994</v>
      </c>
      <c r="Q10" s="957">
        <f t="shared" ca="1" si="3"/>
        <v>67.900000000000006</v>
      </c>
      <c r="R10" s="14">
        <f t="shared" ca="1" si="3"/>
        <v>66.599999999999994</v>
      </c>
      <c r="S10" s="14">
        <f t="shared" ca="1" si="3"/>
        <v>58.8</v>
      </c>
      <c r="T10" s="958">
        <f t="shared" ca="1" si="3"/>
        <v>51.7</v>
      </c>
      <c r="AR10" s="14"/>
    </row>
    <row r="11" spans="1:48">
      <c r="A11" s="367" t="str">
        <f>tblIndiSets!A8</f>
        <v>CULT</v>
      </c>
      <c r="B11" s="367">
        <f>tblIndiSets!$B8</f>
        <v>37</v>
      </c>
      <c r="D11" s="367">
        <f t="shared" si="5"/>
        <v>0</v>
      </c>
      <c r="E11" s="367" t="str">
        <f>tblIndiSets!E8</f>
        <v>3) CULTURE</v>
      </c>
      <c r="G11" s="956">
        <f t="shared" ca="1" si="3"/>
        <v>59.2</v>
      </c>
      <c r="H11" s="957">
        <f t="shared" ca="1" si="3"/>
        <v>59.2</v>
      </c>
      <c r="I11" s="957">
        <f t="shared" ca="1" si="3"/>
        <v>55.1</v>
      </c>
      <c r="J11" s="14">
        <f t="shared" ca="1" si="3"/>
        <v>61.6</v>
      </c>
      <c r="K11" s="14">
        <f t="shared" ca="1" si="3"/>
        <v>51.3</v>
      </c>
      <c r="L11" s="14">
        <f t="shared" ca="1" si="3"/>
        <v>65.2</v>
      </c>
      <c r="M11" s="958">
        <f t="shared" ca="1" si="3"/>
        <v>69.7</v>
      </c>
      <c r="N11" s="957">
        <f t="shared" ca="1" si="3"/>
        <v>46.7</v>
      </c>
      <c r="O11" s="14">
        <f t="shared" ca="1" si="3"/>
        <v>52</v>
      </c>
      <c r="P11" s="958">
        <f t="shared" ca="1" si="3"/>
        <v>63</v>
      </c>
      <c r="Q11" s="957">
        <f t="shared" ca="1" si="3"/>
        <v>62.5</v>
      </c>
      <c r="R11" s="14">
        <f t="shared" ca="1" si="3"/>
        <v>61.6</v>
      </c>
      <c r="S11" s="14">
        <f t="shared" ca="1" si="3"/>
        <v>54.9</v>
      </c>
      <c r="T11" s="958">
        <f t="shared" ca="1" si="3"/>
        <v>55.8</v>
      </c>
      <c r="AR11" s="14"/>
    </row>
    <row r="12" spans="1:48">
      <c r="A12" s="367" t="str">
        <f>tblIndiSets!A9</f>
        <v>SUST</v>
      </c>
      <c r="B12" s="367">
        <f>tblIndiSets!$B9</f>
        <v>57</v>
      </c>
      <c r="D12" s="367">
        <f t="shared" si="5"/>
        <v>0</v>
      </c>
      <c r="E12" s="367" t="str">
        <f>tblIndiSets!E9</f>
        <v>4) SUSTAINABILITY</v>
      </c>
      <c r="G12" s="956">
        <f t="shared" ca="1" si="3"/>
        <v>66.3</v>
      </c>
      <c r="H12" s="957">
        <f t="shared" ca="1" si="3"/>
        <v>66.3</v>
      </c>
      <c r="I12" s="957">
        <f t="shared" ca="1" si="3"/>
        <v>61.2</v>
      </c>
      <c r="J12" s="14">
        <f t="shared" ca="1" si="3"/>
        <v>76</v>
      </c>
      <c r="K12" s="14">
        <f t="shared" ca="1" si="3"/>
        <v>44.4</v>
      </c>
      <c r="L12" s="14">
        <f t="shared" ca="1" si="3"/>
        <v>54.8</v>
      </c>
      <c r="M12" s="958">
        <f t="shared" ca="1" si="3"/>
        <v>76.599999999999994</v>
      </c>
      <c r="N12" s="957">
        <f t="shared" ca="1" si="3"/>
        <v>31.9</v>
      </c>
      <c r="O12" s="14">
        <f t="shared" ca="1" si="3"/>
        <v>54.5</v>
      </c>
      <c r="P12" s="958">
        <f t="shared" ca="1" si="3"/>
        <v>74.599999999999994</v>
      </c>
      <c r="Q12" s="957">
        <f t="shared" ca="1" si="3"/>
        <v>72.400000000000006</v>
      </c>
      <c r="R12" s="14">
        <f t="shared" ca="1" si="3"/>
        <v>72.8</v>
      </c>
      <c r="S12" s="14">
        <f t="shared" ca="1" si="3"/>
        <v>56.4</v>
      </c>
      <c r="T12" s="958">
        <f t="shared" ca="1" si="3"/>
        <v>58.7</v>
      </c>
      <c r="AR12" s="14"/>
    </row>
    <row r="13" spans="1:48">
      <c r="G13" s="956"/>
      <c r="H13" s="957"/>
      <c r="I13" s="957"/>
      <c r="J13" s="14"/>
      <c r="K13" s="14"/>
      <c r="L13" s="14"/>
      <c r="M13" s="958"/>
      <c r="N13" s="957"/>
      <c r="O13" s="14"/>
      <c r="P13" s="958"/>
      <c r="Q13" s="957"/>
      <c r="R13" s="14"/>
      <c r="S13" s="14"/>
      <c r="T13" s="958"/>
      <c r="AR13" s="14"/>
    </row>
    <row r="14" spans="1:48" ht="15" thickBot="1">
      <c r="G14" s="959"/>
      <c r="H14" s="960"/>
      <c r="I14" s="960"/>
      <c r="J14" s="961"/>
      <c r="K14" s="961"/>
      <c r="L14" s="961"/>
      <c r="M14" s="962"/>
      <c r="N14" s="960"/>
      <c r="O14" s="961"/>
      <c r="P14" s="962"/>
      <c r="Q14" s="960"/>
      <c r="R14" s="961"/>
      <c r="S14" s="961"/>
      <c r="T14" s="962"/>
      <c r="AD14" s="14"/>
      <c r="AE14" s="14"/>
      <c r="AF14" s="14"/>
      <c r="AG14" s="14"/>
      <c r="AH14" s="14"/>
      <c r="AI14" s="14"/>
      <c r="AJ14" s="14"/>
      <c r="AK14" s="14"/>
      <c r="AL14" s="14"/>
      <c r="AM14" s="14"/>
      <c r="AN14" s="14"/>
      <c r="AO14" s="14"/>
      <c r="AP14" s="14"/>
      <c r="AQ14" s="14"/>
    </row>
    <row r="15" spans="1:48">
      <c r="G15" s="14"/>
      <c r="H15" s="14"/>
      <c r="I15" s="14"/>
      <c r="J15" s="14"/>
      <c r="K15" s="14"/>
      <c r="L15" s="14"/>
      <c r="M15" s="14"/>
      <c r="N15" s="14"/>
      <c r="O15" s="14"/>
      <c r="P15" s="14"/>
      <c r="Q15" s="14"/>
      <c r="R15" s="14"/>
      <c r="S15" s="14"/>
      <c r="T15" s="14"/>
      <c r="AD15" s="14"/>
      <c r="AE15" s="14"/>
      <c r="AF15" s="14"/>
      <c r="AG15" s="14"/>
      <c r="AH15" s="14"/>
      <c r="AI15" s="14"/>
      <c r="AJ15" s="14"/>
      <c r="AK15" s="14"/>
      <c r="AL15" s="14"/>
      <c r="AM15" s="14"/>
      <c r="AN15" s="14"/>
      <c r="AO15" s="14"/>
      <c r="AP15" s="14"/>
      <c r="AQ15" s="14"/>
    </row>
    <row r="16" spans="1:48">
      <c r="G16" s="14"/>
      <c r="H16" s="14"/>
      <c r="I16" s="14"/>
      <c r="J16" s="14"/>
      <c r="K16" s="14"/>
      <c r="L16" s="14"/>
      <c r="M16" s="14"/>
      <c r="N16" s="14"/>
      <c r="O16" s="14"/>
      <c r="P16" s="14"/>
      <c r="Q16" s="14"/>
      <c r="R16" s="14"/>
      <c r="S16" s="14"/>
      <c r="T16" s="14"/>
      <c r="AD16" s="14"/>
      <c r="AE16" s="14"/>
      <c r="AF16" s="14"/>
      <c r="AG16" s="14"/>
      <c r="AH16" s="14"/>
      <c r="AI16" s="14"/>
      <c r="AJ16" s="14"/>
      <c r="AK16" s="14"/>
      <c r="AL16" s="14"/>
      <c r="AM16" s="14"/>
      <c r="AN16" s="14"/>
      <c r="AO16" s="14"/>
      <c r="AP16" s="14"/>
      <c r="AQ16" s="14"/>
    </row>
    <row r="17" spans="1:43">
      <c r="F17" s="13">
        <f>IF($F$1=F18,1,0)</f>
        <v>1</v>
      </c>
      <c r="G17" s="13">
        <f t="shared" ref="G17:T17" si="6">IF($F$1=G18,1,0)</f>
        <v>0</v>
      </c>
      <c r="H17" s="13">
        <f t="shared" si="6"/>
        <v>0</v>
      </c>
      <c r="I17" s="13">
        <f t="shared" si="6"/>
        <v>0</v>
      </c>
      <c r="J17" s="13">
        <f t="shared" si="6"/>
        <v>0</v>
      </c>
      <c r="K17" s="13">
        <f t="shared" si="6"/>
        <v>0</v>
      </c>
      <c r="L17" s="13">
        <f t="shared" si="6"/>
        <v>0</v>
      </c>
      <c r="M17" s="13">
        <f t="shared" si="6"/>
        <v>0</v>
      </c>
      <c r="N17" s="13">
        <f t="shared" si="6"/>
        <v>0</v>
      </c>
      <c r="O17" s="13">
        <f t="shared" si="6"/>
        <v>0</v>
      </c>
      <c r="P17" s="13">
        <f t="shared" si="6"/>
        <v>0</v>
      </c>
      <c r="Q17" s="13">
        <f t="shared" si="6"/>
        <v>0</v>
      </c>
      <c r="R17" s="13">
        <f t="shared" si="6"/>
        <v>0</v>
      </c>
      <c r="S17" s="13">
        <f t="shared" si="6"/>
        <v>0</v>
      </c>
      <c r="T17" s="13">
        <f t="shared" si="6"/>
        <v>0</v>
      </c>
      <c r="AD17" s="14"/>
      <c r="AE17" s="14"/>
      <c r="AF17" s="14"/>
      <c r="AG17" s="14"/>
      <c r="AH17" s="14"/>
      <c r="AI17" s="14"/>
      <c r="AJ17" s="14"/>
      <c r="AK17" s="14"/>
      <c r="AL17" s="14"/>
      <c r="AM17" s="14"/>
      <c r="AN17" s="14"/>
      <c r="AO17" s="14"/>
      <c r="AP17" s="14"/>
      <c r="AQ17" s="14"/>
    </row>
    <row r="18" spans="1:43">
      <c r="F18" s="367">
        <v>1</v>
      </c>
      <c r="G18" s="13">
        <f>F18+1</f>
        <v>2</v>
      </c>
      <c r="H18" s="13">
        <f t="shared" ref="H18:T18" si="7">G18+1</f>
        <v>3</v>
      </c>
      <c r="I18" s="13">
        <f t="shared" si="7"/>
        <v>4</v>
      </c>
      <c r="J18" s="13">
        <f t="shared" si="7"/>
        <v>5</v>
      </c>
      <c r="K18" s="13">
        <f t="shared" si="7"/>
        <v>6</v>
      </c>
      <c r="L18" s="13">
        <f t="shared" si="7"/>
        <v>7</v>
      </c>
      <c r="M18" s="13">
        <f t="shared" si="7"/>
        <v>8</v>
      </c>
      <c r="N18" s="13">
        <f t="shared" si="7"/>
        <v>9</v>
      </c>
      <c r="O18" s="13">
        <f t="shared" si="7"/>
        <v>10</v>
      </c>
      <c r="P18" s="13">
        <f t="shared" si="7"/>
        <v>11</v>
      </c>
      <c r="Q18" s="13">
        <f t="shared" si="7"/>
        <v>12</v>
      </c>
      <c r="R18" s="13">
        <f t="shared" si="7"/>
        <v>13</v>
      </c>
      <c r="S18" s="13">
        <f t="shared" si="7"/>
        <v>14</v>
      </c>
      <c r="T18" s="13">
        <f t="shared" si="7"/>
        <v>15</v>
      </c>
      <c r="U18" s="14"/>
      <c r="AD18" s="14"/>
      <c r="AE18" s="14"/>
      <c r="AF18" s="14"/>
      <c r="AG18" s="14"/>
      <c r="AH18" s="14"/>
      <c r="AI18" s="14"/>
      <c r="AJ18" s="14"/>
      <c r="AK18" s="14"/>
      <c r="AL18" s="14"/>
      <c r="AM18" s="14"/>
      <c r="AN18" s="14"/>
      <c r="AO18" s="14"/>
      <c r="AP18" s="14"/>
      <c r="AQ18" s="14"/>
    </row>
    <row r="19" spans="1:43">
      <c r="G19" s="953" t="str">
        <f>G5</f>
        <v>Region_1</v>
      </c>
      <c r="H19" s="953" t="str">
        <f t="shared" ref="H19:T19" si="8">H5</f>
        <v>Region_2</v>
      </c>
      <c r="I19" s="953" t="str">
        <f t="shared" si="8"/>
        <v>Region_3</v>
      </c>
      <c r="J19" s="953" t="str">
        <f t="shared" si="8"/>
        <v>Region_4</v>
      </c>
      <c r="K19" s="953" t="str">
        <f t="shared" si="8"/>
        <v>Region_5</v>
      </c>
      <c r="L19" s="953" t="str">
        <f t="shared" si="8"/>
        <v>Region_6</v>
      </c>
      <c r="M19" s="953" t="str">
        <f t="shared" si="8"/>
        <v>Region_7</v>
      </c>
      <c r="N19" s="953" t="str">
        <f t="shared" si="8"/>
        <v>Region_8</v>
      </c>
      <c r="O19" s="953" t="str">
        <f t="shared" si="8"/>
        <v>Region_9</v>
      </c>
      <c r="P19" s="953" t="str">
        <f t="shared" si="8"/>
        <v>Region_10</v>
      </c>
      <c r="Q19" s="953" t="str">
        <f t="shared" si="8"/>
        <v>Region_11</v>
      </c>
      <c r="R19" s="953" t="str">
        <f t="shared" si="8"/>
        <v>Region_12</v>
      </c>
      <c r="S19" s="953" t="str">
        <f t="shared" si="8"/>
        <v>Region_13</v>
      </c>
      <c r="T19" s="953" t="str">
        <f t="shared" si="8"/>
        <v>Region_14</v>
      </c>
      <c r="U19" s="953"/>
      <c r="AA19" s="12"/>
    </row>
    <row r="20" spans="1:43">
      <c r="F20" s="367">
        <v>0</v>
      </c>
      <c r="G20" s="367">
        <f>F20+1</f>
        <v>1</v>
      </c>
      <c r="H20" s="367">
        <f t="shared" ref="H20:T20" si="9">G20+1</f>
        <v>2</v>
      </c>
      <c r="I20" s="367">
        <f t="shared" si="9"/>
        <v>3</v>
      </c>
      <c r="J20" s="367">
        <f t="shared" si="9"/>
        <v>4</v>
      </c>
      <c r="K20" s="367">
        <f t="shared" si="9"/>
        <v>5</v>
      </c>
      <c r="L20" s="367">
        <f t="shared" si="9"/>
        <v>6</v>
      </c>
      <c r="M20" s="367">
        <f t="shared" si="9"/>
        <v>7</v>
      </c>
      <c r="N20" s="367">
        <f t="shared" si="9"/>
        <v>8</v>
      </c>
      <c r="O20" s="367">
        <f t="shared" si="9"/>
        <v>9</v>
      </c>
      <c r="P20" s="367">
        <f t="shared" si="9"/>
        <v>10</v>
      </c>
      <c r="Q20" s="367">
        <f t="shared" si="9"/>
        <v>11</v>
      </c>
      <c r="R20" s="367">
        <f t="shared" si="9"/>
        <v>12</v>
      </c>
      <c r="S20" s="367">
        <f t="shared" si="9"/>
        <v>13</v>
      </c>
      <c r="T20" s="367">
        <f t="shared" si="9"/>
        <v>14</v>
      </c>
      <c r="V20" s="36"/>
      <c r="W20" s="36"/>
      <c r="X20" s="36"/>
      <c r="Y20" s="36"/>
      <c r="AA20" s="12">
        <v>2</v>
      </c>
      <c r="AC20" s="11"/>
      <c r="AD20" s="367" t="str">
        <f t="shared" ref="AD20:AQ20" si="10">G19</f>
        <v>Region_1</v>
      </c>
      <c r="AE20" s="367" t="str">
        <f t="shared" si="10"/>
        <v>Region_2</v>
      </c>
      <c r="AF20" s="367" t="str">
        <f t="shared" si="10"/>
        <v>Region_3</v>
      </c>
      <c r="AG20" s="367" t="str">
        <f t="shared" si="10"/>
        <v>Region_4</v>
      </c>
      <c r="AH20" s="367" t="str">
        <f t="shared" si="10"/>
        <v>Region_5</v>
      </c>
      <c r="AI20" s="367" t="str">
        <f t="shared" si="10"/>
        <v>Region_6</v>
      </c>
      <c r="AJ20" s="367" t="str">
        <f t="shared" si="10"/>
        <v>Region_7</v>
      </c>
      <c r="AK20" s="367" t="str">
        <f t="shared" si="10"/>
        <v>Region_8</v>
      </c>
      <c r="AL20" s="367" t="str">
        <f t="shared" si="10"/>
        <v>Region_9</v>
      </c>
      <c r="AM20" s="367" t="str">
        <f t="shared" si="10"/>
        <v>Region_10</v>
      </c>
      <c r="AN20" s="367" t="str">
        <f t="shared" si="10"/>
        <v>Region_11</v>
      </c>
      <c r="AO20" s="367" t="str">
        <f t="shared" si="10"/>
        <v>Region_12</v>
      </c>
      <c r="AP20" s="367" t="str">
        <f t="shared" si="10"/>
        <v>Region_13</v>
      </c>
      <c r="AQ20" s="367" t="str">
        <f t="shared" si="10"/>
        <v>Region_14</v>
      </c>
    </row>
    <row r="21" spans="1:43">
      <c r="A21" s="12"/>
      <c r="B21" s="12"/>
      <c r="C21" s="12"/>
      <c r="D21" s="12"/>
      <c r="E21" s="12"/>
      <c r="F21" s="12">
        <v>100</v>
      </c>
      <c r="G21" s="12"/>
      <c r="H21" s="12"/>
      <c r="I21" s="12"/>
      <c r="J21" s="12"/>
      <c r="K21" s="12"/>
      <c r="L21" s="12"/>
      <c r="M21" s="12"/>
      <c r="N21" s="12"/>
      <c r="O21" s="12"/>
      <c r="P21" s="12"/>
      <c r="Q21" s="12"/>
      <c r="R21" s="12"/>
      <c r="S21" s="12"/>
      <c r="T21" s="12"/>
      <c r="U21" s="12"/>
      <c r="V21" s="12" t="s">
        <v>42</v>
      </c>
      <c r="W21" s="12"/>
      <c r="X21" s="12"/>
      <c r="Y21" s="12"/>
      <c r="Z21" s="12"/>
      <c r="AA21" s="12">
        <v>0</v>
      </c>
      <c r="AB21" s="12"/>
      <c r="AC21" s="12"/>
      <c r="AD21" s="12"/>
      <c r="AE21" s="12"/>
      <c r="AF21" s="12"/>
      <c r="AG21" s="12"/>
      <c r="AH21" s="12"/>
      <c r="AI21" s="12"/>
      <c r="AJ21" s="12"/>
      <c r="AK21" s="12"/>
      <c r="AL21" s="12"/>
      <c r="AM21" s="12"/>
      <c r="AN21" s="12"/>
      <c r="AO21" s="12"/>
      <c r="AP21" s="12"/>
      <c r="AQ21" s="12"/>
    </row>
    <row r="22" spans="1:43">
      <c r="A22" s="367">
        <f>A21+1</f>
        <v>1</v>
      </c>
      <c r="B22" s="367">
        <f>tblIndiSets!B12</f>
        <v>1</v>
      </c>
      <c r="C22" s="367">
        <f>IF(tblIndiSets!D12&lt;=$B$3,tblIndiSets!D12,"")</f>
        <v>0</v>
      </c>
      <c r="D22" s="367">
        <f>C22</f>
        <v>0</v>
      </c>
      <c r="E22" s="367" t="str">
        <f>tblIndiSets!E12</f>
        <v>OVERALL SCORE</v>
      </c>
      <c r="F22" s="367">
        <f>F21-1</f>
        <v>99</v>
      </c>
      <c r="G22" s="21">
        <f t="shared" ref="G22:T54" ca="1" si="11">IF($B22="","",IF(ISERROR(INDEX(aAverages,$B22,G$20)),"-",INDEX(aAverages,$B22,G$20)))</f>
        <v>63.3</v>
      </c>
      <c r="H22" s="21">
        <f t="shared" ref="H22:T50" ca="1" si="12">IF($B22="","",IF(ISERROR(INDEX(aAverages,$B22,H$20)),"-",INDEX(aAverages,$B22,H$20)))</f>
        <v>63.3</v>
      </c>
      <c r="I22" s="21">
        <f t="shared" ref="I22:T37" ca="1" si="13">IF($B22="","",IF(ISERROR(INDEX(aAverages,$B22,I$20)),"-",INDEX(aAverages,$B22,I$20)))</f>
        <v>59.4</v>
      </c>
      <c r="J22" s="21">
        <f t="shared" ca="1" si="13"/>
        <v>70.099999999999994</v>
      </c>
      <c r="K22" s="21">
        <f t="shared" ca="1" si="13"/>
        <v>46.1</v>
      </c>
      <c r="L22" s="21">
        <f t="shared" ca="1" si="13"/>
        <v>63.8</v>
      </c>
      <c r="M22" s="21">
        <f t="shared" ca="1" si="13"/>
        <v>70.8</v>
      </c>
      <c r="N22" s="21">
        <f t="shared" ca="1" si="13"/>
        <v>41</v>
      </c>
      <c r="O22" s="21">
        <f t="shared" ca="1" si="13"/>
        <v>53.2</v>
      </c>
      <c r="P22" s="21">
        <f t="shared" ca="1" si="13"/>
        <v>69.400000000000006</v>
      </c>
      <c r="Q22" s="21">
        <f t="shared" ca="1" si="13"/>
        <v>69.099999999999994</v>
      </c>
      <c r="R22" s="21">
        <f t="shared" ca="1" si="13"/>
        <v>67.599999999999994</v>
      </c>
      <c r="S22" s="21">
        <f t="shared" ca="1" si="13"/>
        <v>58</v>
      </c>
      <c r="T22" s="21">
        <f t="shared" ca="1" si="13"/>
        <v>56.2</v>
      </c>
      <c r="U22" s="21" t="str">
        <f t="shared" ref="U22" si="14">IF(OR($C22="",$C22=0,$C22=1),"",INDEX(F22:T22,$F$1))</f>
        <v/>
      </c>
      <c r="V22" s="367">
        <f t="shared" ref="V22" si="15">D22</f>
        <v>0</v>
      </c>
      <c r="W22" s="3" t="str">
        <f>IF(OR($C22="",$C22=0,$C22=1),"",RANK(U22,U$22:U$91,0)+COUNTIF(U$22:U22,U22)-1)</f>
        <v/>
      </c>
      <c r="X22" s="3">
        <f t="shared" ref="X22:X43" si="16">IF(ISERROR(MATCH($A22,W$22:W$91,0)),"",MATCH($A22,W$22:W$91,0))</f>
        <v>3</v>
      </c>
      <c r="Z22" s="367">
        <f t="shared" ref="Z22:Z43" si="17">IF(ISNUMBER(AA22),INDEX($C$22:$C$91,AA22),"")</f>
        <v>2</v>
      </c>
      <c r="AA22" s="367">
        <f>X22</f>
        <v>3</v>
      </c>
      <c r="AB22" s="367">
        <f>IF($D$2=AA22,1,CHOOSE($B$3,0,0,IF(Z22=2,2,0),Z22,Z22))</f>
        <v>2</v>
      </c>
      <c r="AC22" s="367" t="str">
        <f t="shared" ref="AC22:AC43" si="18">IF(ISNUMBER(AA22),INDEX($E$22:$E$91,AA22),"")</f>
        <v xml:space="preserve">  1.1) Digital infrastructure</v>
      </c>
      <c r="AD22" s="367">
        <f t="shared" ref="AD22:AD43" ca="1" si="19">IF(ISNUMBER($AA22),INDEX(G$22:G$91,$AA22),"")</f>
        <v>74.5</v>
      </c>
      <c r="AE22" s="367">
        <f t="shared" ref="AE22:AE43" ca="1" si="20">IF(ISNUMBER($AA22),INDEX(H$22:H$91,$AA22),"")</f>
        <v>74.5</v>
      </c>
      <c r="AF22" s="367">
        <f t="shared" ref="AF22:AF43" ca="1" si="21">IF(ISNUMBER($AA22),INDEX(I$22:I$91,$AA22),"")</f>
        <v>70.099999999999994</v>
      </c>
      <c r="AG22" s="367">
        <f t="shared" ref="AG22:AG43" ca="1" si="22">IF(ISNUMBER($AA22),INDEX(J$22:J$91,$AA22),"")</f>
        <v>78.5</v>
      </c>
      <c r="AH22" s="367">
        <f t="shared" ref="AH22:AH43" ca="1" si="23">IF(ISNUMBER($AA22),INDEX(K$22:K$91,$AA22),"")</f>
        <v>62.8</v>
      </c>
      <c r="AI22" s="367">
        <f t="shared" ref="AI22:AI43" ca="1" si="24">IF(ISNUMBER($AA22),INDEX(L$22:L$91,$AA22),"")</f>
        <v>93.1</v>
      </c>
      <c r="AJ22" s="367">
        <f t="shared" ref="AJ22:AJ43" ca="1" si="25">IF(ISNUMBER($AA22),INDEX(M$22:M$91,$AA22),"")</f>
        <v>82.2</v>
      </c>
      <c r="AK22" s="367">
        <f t="shared" ref="AK22:AK43" ca="1" si="26">IF(ISNUMBER($AA22),INDEX(N$22:N$91,$AA22),"")</f>
        <v>48.3</v>
      </c>
      <c r="AL22" s="367">
        <f t="shared" ref="AL22:AL43" ca="1" si="27">IF(ISNUMBER($AA22),INDEX(O$22:O$91,$AA22),"")</f>
        <v>64.7</v>
      </c>
      <c r="AM22" s="367">
        <f t="shared" ref="AM22:AM43" ca="1" si="28">IF(ISNUMBER($AA22),INDEX(P$22:P$91,$AA22),"")</f>
        <v>81.099999999999994</v>
      </c>
      <c r="AN22" s="367">
        <f t="shared" ref="AN22:AN43" ca="1" si="29">IF(ISNUMBER($AA22),INDEX(Q$22:Q$91,$AA22),"")</f>
        <v>81.2</v>
      </c>
      <c r="AO22" s="367">
        <f t="shared" ref="AO22:AO43" ca="1" si="30">IF(ISNUMBER($AA22),INDEX(R$22:R$91,$AA22),"")</f>
        <v>77.8</v>
      </c>
      <c r="AP22" s="367">
        <f t="shared" ref="AP22:AP43" ca="1" si="31">IF(ISNUMBER($AA22),INDEX(S$22:S$91,$AA22),"")</f>
        <v>68.099999999999994</v>
      </c>
      <c r="AQ22" s="367">
        <f t="shared" ref="AQ22:AQ43" ca="1" si="32">IF(ISNUMBER($AA22),INDEX(T$22:T$91,$AA22),"")</f>
        <v>68.2</v>
      </c>
    </row>
    <row r="23" spans="1:43">
      <c r="A23" s="367">
        <f t="shared" ref="A23:A89" si="33">A22+1</f>
        <v>2</v>
      </c>
      <c r="B23" s="367">
        <f>tblIndiSets!B13</f>
        <v>2</v>
      </c>
      <c r="C23" s="367">
        <f>IF(tblIndiSets!D13&lt;=$B$3,tblIndiSets!D13,"")</f>
        <v>1</v>
      </c>
      <c r="D23" s="367">
        <f t="shared" ref="D23:D30" si="34">C23</f>
        <v>1</v>
      </c>
      <c r="E23" s="367" t="str">
        <f>tblIndiSets!E13</f>
        <v xml:space="preserve"> 1) CONNECTIVITY</v>
      </c>
      <c r="F23" s="367">
        <f t="shared" ref="F23:F89" si="35">F22-1</f>
        <v>98</v>
      </c>
      <c r="G23" s="21">
        <f t="shared" ca="1" si="11"/>
        <v>65.900000000000006</v>
      </c>
      <c r="H23" s="21">
        <f t="shared" ca="1" si="12"/>
        <v>65.900000000000006</v>
      </c>
      <c r="I23" s="21">
        <f t="shared" ca="1" si="13"/>
        <v>63.3</v>
      </c>
      <c r="J23" s="21">
        <f t="shared" ca="1" si="13"/>
        <v>71.5</v>
      </c>
      <c r="K23" s="21">
        <f t="shared" ca="1" si="13"/>
        <v>50.1</v>
      </c>
      <c r="L23" s="21">
        <f t="shared" ca="1" si="13"/>
        <v>63.5</v>
      </c>
      <c r="M23" s="21">
        <f t="shared" ca="1" si="13"/>
        <v>72.2</v>
      </c>
      <c r="N23" s="21">
        <f t="shared" ca="1" si="13"/>
        <v>40.1</v>
      </c>
      <c r="O23" s="21">
        <f t="shared" ca="1" si="13"/>
        <v>57.5</v>
      </c>
      <c r="P23" s="21">
        <f t="shared" ca="1" si="13"/>
        <v>72</v>
      </c>
      <c r="Q23" s="21">
        <f t="shared" ca="1" si="13"/>
        <v>72.599999999999994</v>
      </c>
      <c r="R23" s="21">
        <f t="shared" ca="1" si="13"/>
        <v>69.3</v>
      </c>
      <c r="S23" s="21">
        <f t="shared" ca="1" si="13"/>
        <v>60.6</v>
      </c>
      <c r="T23" s="21">
        <f t="shared" ca="1" si="13"/>
        <v>58.9</v>
      </c>
      <c r="U23" s="21" t="str">
        <f t="shared" ref="U23:U30" si="36">IF(OR($C23="",$C23=0,$C23=1),"",INDEX(F23:T23,$F$1))</f>
        <v/>
      </c>
      <c r="V23" s="367">
        <f t="shared" ref="V23:V30" si="37">D23</f>
        <v>1</v>
      </c>
      <c r="W23" s="3" t="str">
        <f>IF(OR($C23="",$C23=0,$C23=1),"",RANK(U23,U$22:U$91,0)+COUNTIF(U$22:U23,U23)-1)</f>
        <v/>
      </c>
      <c r="X23" s="3">
        <f t="shared" si="16"/>
        <v>4</v>
      </c>
      <c r="Z23" s="367">
        <f t="shared" si="17"/>
        <v>3</v>
      </c>
      <c r="AA23" s="367">
        <f t="shared" ref="AA23:AA30" si="38">X23</f>
        <v>4</v>
      </c>
      <c r="AB23" s="367">
        <f t="shared" ref="AB23:AB30" si="39">IF($D$2=AA23,1,CHOOSE($B$3,0,0,IF(Z23=2,2,0),Z23,Z23))</f>
        <v>0</v>
      </c>
      <c r="AC23" s="367" t="str">
        <f t="shared" si="18"/>
        <v xml:space="preserve">   1.1.1) Mobile broadband subscriptions</v>
      </c>
      <c r="AD23" s="367">
        <f t="shared" ca="1" si="19"/>
        <v>41.3</v>
      </c>
      <c r="AE23" s="367">
        <f t="shared" ca="1" si="20"/>
        <v>41.3</v>
      </c>
      <c r="AF23" s="367">
        <f t="shared" ca="1" si="21"/>
        <v>42</v>
      </c>
      <c r="AG23" s="367">
        <f t="shared" ca="1" si="22"/>
        <v>36.200000000000003</v>
      </c>
      <c r="AH23" s="367">
        <f t="shared" ca="1" si="23"/>
        <v>19.8</v>
      </c>
      <c r="AI23" s="367">
        <f t="shared" ca="1" si="24"/>
        <v>100</v>
      </c>
      <c r="AJ23" s="367">
        <f t="shared" ca="1" si="25"/>
        <v>53.8</v>
      </c>
      <c r="AK23" s="367">
        <f t="shared" ca="1" si="26"/>
        <v>11</v>
      </c>
      <c r="AL23" s="367">
        <f t="shared" ca="1" si="27"/>
        <v>28.4</v>
      </c>
      <c r="AM23" s="367">
        <f t="shared" ca="1" si="28"/>
        <v>49.3</v>
      </c>
      <c r="AN23" s="367">
        <f t="shared" ca="1" si="29"/>
        <v>48.7</v>
      </c>
      <c r="AO23" s="367">
        <f t="shared" ca="1" si="30"/>
        <v>46.2</v>
      </c>
      <c r="AP23" s="367">
        <f t="shared" ca="1" si="31"/>
        <v>28.2</v>
      </c>
      <c r="AQ23" s="367">
        <f t="shared" ca="1" si="32"/>
        <v>35.799999999999997</v>
      </c>
    </row>
    <row r="24" spans="1:43">
      <c r="A24" s="367">
        <f t="shared" si="33"/>
        <v>3</v>
      </c>
      <c r="B24" s="367">
        <f>tblIndiSets!B14</f>
        <v>3</v>
      </c>
      <c r="C24" s="367">
        <f>IF(tblIndiSets!D14&lt;=$B$3,tblIndiSets!D14,"")</f>
        <v>2</v>
      </c>
      <c r="D24" s="367">
        <f t="shared" si="34"/>
        <v>2</v>
      </c>
      <c r="E24" s="367" t="str">
        <f>tblIndiSets!E14</f>
        <v xml:space="preserve">  1.1) Digital infrastructure</v>
      </c>
      <c r="F24" s="367">
        <f t="shared" si="35"/>
        <v>97</v>
      </c>
      <c r="G24" s="21">
        <f t="shared" ca="1" si="11"/>
        <v>74.5</v>
      </c>
      <c r="H24" s="21">
        <f t="shared" ca="1" si="12"/>
        <v>74.5</v>
      </c>
      <c r="I24" s="21">
        <f t="shared" ca="1" si="13"/>
        <v>70.099999999999994</v>
      </c>
      <c r="J24" s="21">
        <f t="shared" ca="1" si="13"/>
        <v>78.5</v>
      </c>
      <c r="K24" s="21">
        <f t="shared" ca="1" si="13"/>
        <v>62.8</v>
      </c>
      <c r="L24" s="21">
        <f t="shared" ca="1" si="13"/>
        <v>93.1</v>
      </c>
      <c r="M24" s="21">
        <f t="shared" ca="1" si="13"/>
        <v>82.2</v>
      </c>
      <c r="N24" s="21">
        <f t="shared" ca="1" si="13"/>
        <v>48.3</v>
      </c>
      <c r="O24" s="21">
        <f t="shared" ca="1" si="13"/>
        <v>64.7</v>
      </c>
      <c r="P24" s="21">
        <f t="shared" ca="1" si="13"/>
        <v>81.099999999999994</v>
      </c>
      <c r="Q24" s="21">
        <f t="shared" ca="1" si="13"/>
        <v>81.2</v>
      </c>
      <c r="R24" s="21">
        <f t="shared" ca="1" si="13"/>
        <v>77.8</v>
      </c>
      <c r="S24" s="21">
        <f t="shared" ca="1" si="13"/>
        <v>68.099999999999994</v>
      </c>
      <c r="T24" s="21">
        <f t="shared" ca="1" si="13"/>
        <v>68.2</v>
      </c>
      <c r="U24" s="21">
        <f t="shared" si="36"/>
        <v>97</v>
      </c>
      <c r="V24" s="367">
        <f t="shared" si="37"/>
        <v>2</v>
      </c>
      <c r="W24" s="3">
        <f>IF(OR($C24="",$C24=0,$C24=1),"",RANK(U24,U$22:U$91,0)+COUNTIF(U$22:U24,U24)-1)</f>
        <v>1</v>
      </c>
      <c r="X24" s="3">
        <f t="shared" si="16"/>
        <v>5</v>
      </c>
      <c r="Z24" s="367">
        <f t="shared" si="17"/>
        <v>3</v>
      </c>
      <c r="AA24" s="367">
        <f t="shared" si="38"/>
        <v>5</v>
      </c>
      <c r="AB24" s="367">
        <f t="shared" si="39"/>
        <v>0</v>
      </c>
      <c r="AC24" s="367" t="str">
        <f t="shared" si="18"/>
        <v xml:space="preserve">   1.1.2) Fixed broadband susbcriptions</v>
      </c>
      <c r="AD24" s="367">
        <f t="shared" ca="1" si="19"/>
        <v>64.7</v>
      </c>
      <c r="AE24" s="367">
        <f t="shared" ca="1" si="20"/>
        <v>64.7</v>
      </c>
      <c r="AF24" s="367">
        <f t="shared" ca="1" si="21"/>
        <v>48.7</v>
      </c>
      <c r="AG24" s="367">
        <f t="shared" ca="1" si="22"/>
        <v>86</v>
      </c>
      <c r="AH24" s="367">
        <f t="shared" ca="1" si="23"/>
        <v>36.799999999999997</v>
      </c>
      <c r="AI24" s="367">
        <f t="shared" ca="1" si="24"/>
        <v>68.900000000000006</v>
      </c>
      <c r="AJ24" s="367">
        <f t="shared" ca="1" si="25"/>
        <v>79.8</v>
      </c>
      <c r="AK24" s="367">
        <f t="shared" ca="1" si="26"/>
        <v>4.5999999999999996</v>
      </c>
      <c r="AL24" s="367">
        <f t="shared" ca="1" si="27"/>
        <v>38.9</v>
      </c>
      <c r="AM24" s="367">
        <f t="shared" ca="1" si="28"/>
        <v>80.7</v>
      </c>
      <c r="AN24" s="367">
        <f t="shared" ca="1" si="29"/>
        <v>82</v>
      </c>
      <c r="AO24" s="367">
        <f t="shared" ca="1" si="30"/>
        <v>70</v>
      </c>
      <c r="AP24" s="367">
        <f t="shared" ca="1" si="31"/>
        <v>56.9</v>
      </c>
      <c r="AQ24" s="367">
        <f t="shared" ca="1" si="32"/>
        <v>47.6</v>
      </c>
    </row>
    <row r="25" spans="1:43">
      <c r="A25" s="367">
        <f t="shared" si="33"/>
        <v>4</v>
      </c>
      <c r="B25" s="367">
        <f>tblIndiSets!B15</f>
        <v>4</v>
      </c>
      <c r="C25" s="367">
        <f>IF(tblIndiSets!D15&lt;=$B$3,tblIndiSets!D15,"")</f>
        <v>3</v>
      </c>
      <c r="D25" s="367">
        <f t="shared" si="34"/>
        <v>3</v>
      </c>
      <c r="E25" s="367" t="str">
        <f>tblIndiSets!E15</f>
        <v xml:space="preserve">   1.1.1) Mobile broadband subscriptions</v>
      </c>
      <c r="F25" s="367">
        <f t="shared" si="35"/>
        <v>96</v>
      </c>
      <c r="G25" s="21">
        <f t="shared" ca="1" si="11"/>
        <v>41.3</v>
      </c>
      <c r="H25" s="21">
        <f t="shared" ca="1" si="12"/>
        <v>41.3</v>
      </c>
      <c r="I25" s="21">
        <f t="shared" ca="1" si="13"/>
        <v>42</v>
      </c>
      <c r="J25" s="21">
        <f t="shared" ca="1" si="13"/>
        <v>36.200000000000003</v>
      </c>
      <c r="K25" s="21">
        <f t="shared" ca="1" si="13"/>
        <v>19.8</v>
      </c>
      <c r="L25" s="21">
        <f t="shared" ca="1" si="13"/>
        <v>100</v>
      </c>
      <c r="M25" s="21">
        <f t="shared" ca="1" si="13"/>
        <v>53.8</v>
      </c>
      <c r="N25" s="21">
        <f t="shared" ca="1" si="13"/>
        <v>11</v>
      </c>
      <c r="O25" s="21">
        <f t="shared" ca="1" si="13"/>
        <v>28.4</v>
      </c>
      <c r="P25" s="21">
        <f t="shared" ca="1" si="13"/>
        <v>49.3</v>
      </c>
      <c r="Q25" s="21">
        <f t="shared" ca="1" si="13"/>
        <v>48.7</v>
      </c>
      <c r="R25" s="21">
        <f t="shared" ca="1" si="13"/>
        <v>46.2</v>
      </c>
      <c r="S25" s="21">
        <f t="shared" ca="1" si="13"/>
        <v>28.2</v>
      </c>
      <c r="T25" s="21">
        <f t="shared" ca="1" si="13"/>
        <v>35.799999999999997</v>
      </c>
      <c r="U25" s="21">
        <f t="shared" si="36"/>
        <v>96</v>
      </c>
      <c r="V25" s="367">
        <f t="shared" si="37"/>
        <v>3</v>
      </c>
      <c r="W25" s="3">
        <f>IF(OR($C25="",$C25=0,$C25=1),"",RANK(U25,U$22:U$91,0)+COUNTIF(U$22:U25,U25)-1)</f>
        <v>2</v>
      </c>
      <c r="X25" s="3">
        <f t="shared" si="16"/>
        <v>6</v>
      </c>
      <c r="Z25" s="367">
        <f t="shared" si="17"/>
        <v>3</v>
      </c>
      <c r="AA25" s="367">
        <f t="shared" si="38"/>
        <v>6</v>
      </c>
      <c r="AB25" s="367">
        <f t="shared" si="39"/>
        <v>0</v>
      </c>
      <c r="AC25" s="367" t="str">
        <f t="shared" si="18"/>
        <v xml:space="preserve">   1.1.3) 5G readiness</v>
      </c>
      <c r="AD25" s="367">
        <f t="shared" ca="1" si="19"/>
        <v>98.9</v>
      </c>
      <c r="AE25" s="367">
        <f t="shared" ca="1" si="20"/>
        <v>98.9</v>
      </c>
      <c r="AF25" s="367">
        <f t="shared" ca="1" si="21"/>
        <v>97.2</v>
      </c>
      <c r="AG25" s="367">
        <f t="shared" ca="1" si="22"/>
        <v>100</v>
      </c>
      <c r="AH25" s="367">
        <f t="shared" ca="1" si="23"/>
        <v>100</v>
      </c>
      <c r="AI25" s="367">
        <f t="shared" ca="1" si="24"/>
        <v>100</v>
      </c>
      <c r="AJ25" s="367">
        <f t="shared" ca="1" si="25"/>
        <v>100</v>
      </c>
      <c r="AK25" s="367">
        <f t="shared" ca="1" si="26"/>
        <v>100</v>
      </c>
      <c r="AL25" s="367">
        <f t="shared" ca="1" si="27"/>
        <v>94.5</v>
      </c>
      <c r="AM25" s="367">
        <f t="shared" ca="1" si="28"/>
        <v>100</v>
      </c>
      <c r="AN25" s="367">
        <f t="shared" ca="1" si="29"/>
        <v>100</v>
      </c>
      <c r="AO25" s="367">
        <f t="shared" ca="1" si="30"/>
        <v>100</v>
      </c>
      <c r="AP25" s="367">
        <f t="shared" ca="1" si="31"/>
        <v>91.7</v>
      </c>
      <c r="AQ25" s="367">
        <f t="shared" ca="1" si="32"/>
        <v>100</v>
      </c>
    </row>
    <row r="26" spans="1:43">
      <c r="A26" s="367">
        <f t="shared" si="33"/>
        <v>5</v>
      </c>
      <c r="B26" s="367">
        <f>tblIndiSets!B16</f>
        <v>5</v>
      </c>
      <c r="C26" s="367">
        <f>IF(tblIndiSets!D16&lt;=$B$3,tblIndiSets!D16,"")</f>
        <v>3</v>
      </c>
      <c r="D26" s="367">
        <f t="shared" si="34"/>
        <v>3</v>
      </c>
      <c r="E26" s="367" t="str">
        <f>tblIndiSets!E16</f>
        <v xml:space="preserve">   1.1.2) Fixed broadband susbcriptions</v>
      </c>
      <c r="F26" s="367">
        <f t="shared" si="35"/>
        <v>95</v>
      </c>
      <c r="G26" s="21">
        <f t="shared" ca="1" si="11"/>
        <v>64.7</v>
      </c>
      <c r="H26" s="21">
        <f t="shared" ca="1" si="12"/>
        <v>64.7</v>
      </c>
      <c r="I26" s="21">
        <f t="shared" ca="1" si="13"/>
        <v>48.7</v>
      </c>
      <c r="J26" s="21">
        <f t="shared" ca="1" si="13"/>
        <v>86</v>
      </c>
      <c r="K26" s="21">
        <f t="shared" ca="1" si="13"/>
        <v>36.799999999999997</v>
      </c>
      <c r="L26" s="21">
        <f t="shared" ca="1" si="13"/>
        <v>68.900000000000006</v>
      </c>
      <c r="M26" s="21">
        <f t="shared" ca="1" si="13"/>
        <v>79.8</v>
      </c>
      <c r="N26" s="21">
        <f t="shared" ca="1" si="13"/>
        <v>4.5999999999999996</v>
      </c>
      <c r="O26" s="21">
        <f t="shared" ca="1" si="13"/>
        <v>38.9</v>
      </c>
      <c r="P26" s="21">
        <f t="shared" ca="1" si="13"/>
        <v>80.7</v>
      </c>
      <c r="Q26" s="21">
        <f t="shared" ca="1" si="13"/>
        <v>82</v>
      </c>
      <c r="R26" s="21">
        <f t="shared" ca="1" si="13"/>
        <v>70</v>
      </c>
      <c r="S26" s="21">
        <f t="shared" ca="1" si="13"/>
        <v>56.9</v>
      </c>
      <c r="T26" s="21">
        <f t="shared" ca="1" si="13"/>
        <v>47.6</v>
      </c>
      <c r="U26" s="21">
        <f t="shared" si="36"/>
        <v>95</v>
      </c>
      <c r="V26" s="367">
        <f t="shared" si="37"/>
        <v>3</v>
      </c>
      <c r="W26" s="3">
        <f>IF(OR($C26="",$C26=0,$C26=1),"",RANK(U26,U$22:U$91,0)+COUNTIF(U$22:U26,U26)-1)</f>
        <v>3</v>
      </c>
      <c r="X26" s="3">
        <f t="shared" si="16"/>
        <v>7</v>
      </c>
      <c r="Z26" s="367">
        <f t="shared" si="17"/>
        <v>3</v>
      </c>
      <c r="AA26" s="367">
        <f t="shared" si="38"/>
        <v>7</v>
      </c>
      <c r="AB26" s="367">
        <f t="shared" si="39"/>
        <v>0</v>
      </c>
      <c r="AC26" s="367" t="str">
        <f t="shared" si="18"/>
        <v xml:space="preserve">   1.1.4) 5G deployment</v>
      </c>
      <c r="AD26" s="367">
        <f t="shared" ca="1" si="19"/>
        <v>98.3</v>
      </c>
      <c r="AE26" s="367">
        <f t="shared" ca="1" si="20"/>
        <v>98.3</v>
      </c>
      <c r="AF26" s="367">
        <f t="shared" ca="1" si="21"/>
        <v>95.8</v>
      </c>
      <c r="AG26" s="367">
        <f t="shared" ca="1" si="22"/>
        <v>100</v>
      </c>
      <c r="AH26" s="367">
        <f t="shared" ca="1" si="23"/>
        <v>100</v>
      </c>
      <c r="AI26" s="367">
        <f t="shared" ca="1" si="24"/>
        <v>100</v>
      </c>
      <c r="AJ26" s="367">
        <f t="shared" ca="1" si="25"/>
        <v>100</v>
      </c>
      <c r="AK26" s="367">
        <f t="shared" ca="1" si="26"/>
        <v>83.3</v>
      </c>
      <c r="AL26" s="367">
        <f t="shared" ca="1" si="27"/>
        <v>100</v>
      </c>
      <c r="AM26" s="367">
        <f t="shared" ca="1" si="28"/>
        <v>100</v>
      </c>
      <c r="AN26" s="367">
        <f t="shared" ca="1" si="29"/>
        <v>100</v>
      </c>
      <c r="AO26" s="367">
        <f t="shared" ca="1" si="30"/>
        <v>100</v>
      </c>
      <c r="AP26" s="367">
        <f t="shared" ca="1" si="31"/>
        <v>100</v>
      </c>
      <c r="AQ26" s="367">
        <f t="shared" ca="1" si="32"/>
        <v>94.4</v>
      </c>
    </row>
    <row r="27" spans="1:43">
      <c r="A27" s="367">
        <f t="shared" si="33"/>
        <v>6</v>
      </c>
      <c r="B27" s="367">
        <f>tblIndiSets!B17</f>
        <v>6</v>
      </c>
      <c r="C27" s="367">
        <f>IF(tblIndiSets!D17&lt;=$B$3,tblIndiSets!D17,"")</f>
        <v>3</v>
      </c>
      <c r="D27" s="367">
        <f t="shared" si="34"/>
        <v>3</v>
      </c>
      <c r="E27" s="367" t="str">
        <f>tblIndiSets!E17</f>
        <v xml:space="preserve">   1.1.3) 5G readiness</v>
      </c>
      <c r="F27" s="367">
        <f t="shared" si="35"/>
        <v>94</v>
      </c>
      <c r="G27" s="21">
        <f t="shared" ca="1" si="11"/>
        <v>98.9</v>
      </c>
      <c r="H27" s="21">
        <f t="shared" ca="1" si="12"/>
        <v>98.9</v>
      </c>
      <c r="I27" s="21">
        <f t="shared" ca="1" si="13"/>
        <v>97.2</v>
      </c>
      <c r="J27" s="21">
        <f t="shared" ca="1" si="13"/>
        <v>100</v>
      </c>
      <c r="K27" s="21">
        <f t="shared" ca="1" si="13"/>
        <v>100</v>
      </c>
      <c r="L27" s="21">
        <f t="shared" ca="1" si="13"/>
        <v>100</v>
      </c>
      <c r="M27" s="21">
        <f t="shared" ca="1" si="13"/>
        <v>100</v>
      </c>
      <c r="N27" s="21">
        <f t="shared" ca="1" si="13"/>
        <v>100</v>
      </c>
      <c r="O27" s="21">
        <f t="shared" ca="1" si="13"/>
        <v>94.5</v>
      </c>
      <c r="P27" s="21">
        <f t="shared" ca="1" si="13"/>
        <v>100</v>
      </c>
      <c r="Q27" s="21">
        <f t="shared" ca="1" si="13"/>
        <v>100</v>
      </c>
      <c r="R27" s="21">
        <f t="shared" ca="1" si="13"/>
        <v>100</v>
      </c>
      <c r="S27" s="21">
        <f t="shared" ca="1" si="13"/>
        <v>91.7</v>
      </c>
      <c r="T27" s="21">
        <f t="shared" ca="1" si="13"/>
        <v>100</v>
      </c>
      <c r="U27" s="21">
        <f t="shared" si="36"/>
        <v>94</v>
      </c>
      <c r="V27" s="367">
        <f t="shared" si="37"/>
        <v>3</v>
      </c>
      <c r="W27" s="3">
        <f>IF(OR($C27="",$C27=0,$C27=1),"",RANK(U27,U$22:U$91,0)+COUNTIF(U$22:U27,U27)-1)</f>
        <v>4</v>
      </c>
      <c r="X27" s="3">
        <f t="shared" si="16"/>
        <v>8</v>
      </c>
      <c r="Z27" s="367">
        <f t="shared" si="17"/>
        <v>2</v>
      </c>
      <c r="AA27" s="367">
        <f t="shared" si="38"/>
        <v>8</v>
      </c>
      <c r="AB27" s="367">
        <f t="shared" si="39"/>
        <v>2</v>
      </c>
      <c r="AC27" s="367" t="str">
        <f t="shared" si="18"/>
        <v xml:space="preserve">  1.2) Quality</v>
      </c>
      <c r="AD27" s="367">
        <f t="shared" ca="1" si="19"/>
        <v>43.5</v>
      </c>
      <c r="AE27" s="367">
        <f t="shared" ca="1" si="20"/>
        <v>43.5</v>
      </c>
      <c r="AF27" s="367">
        <f t="shared" ca="1" si="21"/>
        <v>48.8</v>
      </c>
      <c r="AG27" s="367">
        <f t="shared" ca="1" si="22"/>
        <v>40.4</v>
      </c>
      <c r="AH27" s="367">
        <f t="shared" ca="1" si="23"/>
        <v>26</v>
      </c>
      <c r="AI27" s="367">
        <f t="shared" ca="1" si="24"/>
        <v>99.1</v>
      </c>
      <c r="AJ27" s="367">
        <f t="shared" ca="1" si="25"/>
        <v>34.4</v>
      </c>
      <c r="AK27" s="367">
        <f t="shared" ca="1" si="26"/>
        <v>29.3</v>
      </c>
      <c r="AL27" s="367">
        <f t="shared" ca="1" si="27"/>
        <v>39.5</v>
      </c>
      <c r="AM27" s="367">
        <f t="shared" ca="1" si="28"/>
        <v>46.6</v>
      </c>
      <c r="AN27" s="367">
        <f t="shared" ca="1" si="29"/>
        <v>59</v>
      </c>
      <c r="AO27" s="367">
        <f t="shared" ca="1" si="30"/>
        <v>39.799999999999997</v>
      </c>
      <c r="AP27" s="367">
        <f t="shared" ca="1" si="31"/>
        <v>34.4</v>
      </c>
      <c r="AQ27" s="367">
        <f t="shared" ca="1" si="32"/>
        <v>37.4</v>
      </c>
    </row>
    <row r="28" spans="1:43">
      <c r="A28" s="367">
        <f t="shared" si="33"/>
        <v>7</v>
      </c>
      <c r="B28" s="367">
        <f>tblIndiSets!B18</f>
        <v>7</v>
      </c>
      <c r="C28" s="367">
        <f>IF(tblIndiSets!D18&lt;=$B$3,tblIndiSets!D18,"")</f>
        <v>3</v>
      </c>
      <c r="D28" s="367">
        <f t="shared" si="34"/>
        <v>3</v>
      </c>
      <c r="E28" s="367" t="str">
        <f>tblIndiSets!E18</f>
        <v xml:space="preserve">   1.1.4) 5G deployment</v>
      </c>
      <c r="F28" s="367">
        <f t="shared" si="35"/>
        <v>93</v>
      </c>
      <c r="G28" s="21">
        <f t="shared" ca="1" si="11"/>
        <v>98.3</v>
      </c>
      <c r="H28" s="21">
        <f t="shared" ca="1" si="12"/>
        <v>98.3</v>
      </c>
      <c r="I28" s="21">
        <f t="shared" ca="1" si="13"/>
        <v>95.8</v>
      </c>
      <c r="J28" s="21">
        <f t="shared" ca="1" si="13"/>
        <v>100</v>
      </c>
      <c r="K28" s="21">
        <f t="shared" ca="1" si="13"/>
        <v>100</v>
      </c>
      <c r="L28" s="21">
        <f t="shared" ca="1" si="13"/>
        <v>100</v>
      </c>
      <c r="M28" s="21">
        <f t="shared" ca="1" si="13"/>
        <v>100</v>
      </c>
      <c r="N28" s="21">
        <f t="shared" ca="1" si="13"/>
        <v>83.3</v>
      </c>
      <c r="O28" s="21">
        <f t="shared" ca="1" si="13"/>
        <v>100</v>
      </c>
      <c r="P28" s="21">
        <f t="shared" ca="1" si="13"/>
        <v>100</v>
      </c>
      <c r="Q28" s="21">
        <f t="shared" ca="1" si="13"/>
        <v>100</v>
      </c>
      <c r="R28" s="21">
        <f t="shared" ca="1" si="13"/>
        <v>100</v>
      </c>
      <c r="S28" s="21">
        <f t="shared" ca="1" si="13"/>
        <v>100</v>
      </c>
      <c r="T28" s="21">
        <f t="shared" ca="1" si="13"/>
        <v>94.4</v>
      </c>
      <c r="U28" s="21">
        <f t="shared" si="36"/>
        <v>93</v>
      </c>
      <c r="V28" s="367">
        <f t="shared" si="37"/>
        <v>3</v>
      </c>
      <c r="W28" s="3">
        <f>IF(OR($C28="",$C28=0,$C28=1),"",RANK(U28,U$22:U$91,0)+COUNTIF(U$22:U28,U28)-1)</f>
        <v>5</v>
      </c>
      <c r="X28" s="3">
        <f t="shared" si="16"/>
        <v>9</v>
      </c>
      <c r="Z28" s="367">
        <f t="shared" si="17"/>
        <v>3</v>
      </c>
      <c r="AA28" s="367">
        <f t="shared" si="38"/>
        <v>9</v>
      </c>
      <c r="AB28" s="367">
        <f t="shared" si="39"/>
        <v>0</v>
      </c>
      <c r="AC28" s="367" t="str">
        <f t="shared" si="18"/>
        <v xml:space="preserve">   1.2.1) Internet upload speed</v>
      </c>
      <c r="AD28" s="367">
        <f t="shared" ca="1" si="19"/>
        <v>38.299999999999997</v>
      </c>
      <c r="AE28" s="367">
        <f t="shared" ca="1" si="20"/>
        <v>38.299999999999997</v>
      </c>
      <c r="AF28" s="367">
        <f t="shared" ca="1" si="21"/>
        <v>37.9</v>
      </c>
      <c r="AG28" s="367">
        <f t="shared" ca="1" si="22"/>
        <v>41.6</v>
      </c>
      <c r="AH28" s="367">
        <f t="shared" ca="1" si="23"/>
        <v>23.2</v>
      </c>
      <c r="AI28" s="367">
        <f t="shared" ca="1" si="24"/>
        <v>100</v>
      </c>
      <c r="AJ28" s="367">
        <f t="shared" ca="1" si="25"/>
        <v>27.2</v>
      </c>
      <c r="AK28" s="367">
        <f t="shared" ca="1" si="26"/>
        <v>14.3</v>
      </c>
      <c r="AL28" s="367">
        <f t="shared" ca="1" si="27"/>
        <v>38.1</v>
      </c>
      <c r="AM28" s="367">
        <f t="shared" ca="1" si="28"/>
        <v>41.8</v>
      </c>
      <c r="AN28" s="367">
        <f t="shared" ca="1" si="29"/>
        <v>55.3</v>
      </c>
      <c r="AO28" s="367">
        <f t="shared" ca="1" si="30"/>
        <v>33.299999999999997</v>
      </c>
      <c r="AP28" s="367">
        <f t="shared" ca="1" si="31"/>
        <v>24.7</v>
      </c>
      <c r="AQ28" s="367">
        <f t="shared" ca="1" si="32"/>
        <v>34.200000000000003</v>
      </c>
    </row>
    <row r="29" spans="1:43">
      <c r="A29" s="367">
        <f t="shared" si="33"/>
        <v>8</v>
      </c>
      <c r="B29" s="367">
        <f>tblIndiSets!B19</f>
        <v>8</v>
      </c>
      <c r="C29" s="367">
        <f>IF(tblIndiSets!D19&lt;=$B$3,tblIndiSets!D19,"")</f>
        <v>2</v>
      </c>
      <c r="D29" s="367">
        <f t="shared" si="34"/>
        <v>2</v>
      </c>
      <c r="E29" s="367" t="str">
        <f>tblIndiSets!E19</f>
        <v xml:space="preserve">  1.2) Quality</v>
      </c>
      <c r="F29" s="367">
        <f t="shared" si="35"/>
        <v>92</v>
      </c>
      <c r="G29" s="21">
        <f t="shared" ca="1" si="11"/>
        <v>43.5</v>
      </c>
      <c r="H29" s="21">
        <f t="shared" ca="1" si="12"/>
        <v>43.5</v>
      </c>
      <c r="I29" s="21">
        <f t="shared" ca="1" si="13"/>
        <v>48.8</v>
      </c>
      <c r="J29" s="21">
        <f t="shared" ca="1" si="13"/>
        <v>40.4</v>
      </c>
      <c r="K29" s="21">
        <f t="shared" ca="1" si="13"/>
        <v>26</v>
      </c>
      <c r="L29" s="21">
        <f t="shared" ca="1" si="13"/>
        <v>99.1</v>
      </c>
      <c r="M29" s="21">
        <f t="shared" ca="1" si="13"/>
        <v>34.4</v>
      </c>
      <c r="N29" s="21">
        <f t="shared" ca="1" si="13"/>
        <v>29.3</v>
      </c>
      <c r="O29" s="21">
        <f t="shared" ca="1" si="13"/>
        <v>39.5</v>
      </c>
      <c r="P29" s="21">
        <f t="shared" ca="1" si="13"/>
        <v>46.6</v>
      </c>
      <c r="Q29" s="21">
        <f t="shared" ca="1" si="13"/>
        <v>59</v>
      </c>
      <c r="R29" s="21">
        <f t="shared" ca="1" si="13"/>
        <v>39.799999999999997</v>
      </c>
      <c r="S29" s="21">
        <f t="shared" ca="1" si="13"/>
        <v>34.4</v>
      </c>
      <c r="T29" s="21">
        <f t="shared" ca="1" si="13"/>
        <v>37.4</v>
      </c>
      <c r="U29" s="21">
        <f t="shared" si="36"/>
        <v>92</v>
      </c>
      <c r="V29" s="367">
        <f t="shared" si="37"/>
        <v>2</v>
      </c>
      <c r="W29" s="3">
        <f>IF(OR($C29="",$C29=0,$C29=1),"",RANK(U29,U$22:U$91,0)+COUNTIF(U$22:U29,U29)-1)</f>
        <v>6</v>
      </c>
      <c r="X29" s="3">
        <f t="shared" si="16"/>
        <v>10</v>
      </c>
      <c r="Z29" s="367">
        <f t="shared" si="17"/>
        <v>3</v>
      </c>
      <c r="AA29" s="367">
        <f t="shared" si="38"/>
        <v>10</v>
      </c>
      <c r="AB29" s="367">
        <f t="shared" si="39"/>
        <v>0</v>
      </c>
      <c r="AC29" s="367" t="str">
        <f t="shared" si="18"/>
        <v xml:space="preserve">   1.2.2) Internet download speed</v>
      </c>
      <c r="AD29" s="367">
        <f t="shared" ca="1" si="19"/>
        <v>42.5</v>
      </c>
      <c r="AE29" s="367">
        <f t="shared" ca="1" si="20"/>
        <v>42.5</v>
      </c>
      <c r="AF29" s="367">
        <f t="shared" ca="1" si="21"/>
        <v>38</v>
      </c>
      <c r="AG29" s="367">
        <f t="shared" ca="1" si="22"/>
        <v>48.4</v>
      </c>
      <c r="AH29" s="367">
        <f t="shared" ca="1" si="23"/>
        <v>10.5</v>
      </c>
      <c r="AI29" s="367">
        <f t="shared" ca="1" si="24"/>
        <v>100</v>
      </c>
      <c r="AJ29" s="367">
        <f t="shared" ca="1" si="25"/>
        <v>50.9</v>
      </c>
      <c r="AK29" s="367">
        <f t="shared" ca="1" si="26"/>
        <v>2.9</v>
      </c>
      <c r="AL29" s="367">
        <f t="shared" ca="1" si="27"/>
        <v>23.2</v>
      </c>
      <c r="AM29" s="367">
        <f t="shared" ca="1" si="28"/>
        <v>53.7</v>
      </c>
      <c r="AN29" s="367">
        <f t="shared" ca="1" si="29"/>
        <v>65</v>
      </c>
      <c r="AO29" s="367">
        <f t="shared" ca="1" si="30"/>
        <v>40.1</v>
      </c>
      <c r="AP29" s="367">
        <f t="shared" ca="1" si="31"/>
        <v>26.9</v>
      </c>
      <c r="AQ29" s="367">
        <f t="shared" ca="1" si="32"/>
        <v>31.8</v>
      </c>
    </row>
    <row r="30" spans="1:43">
      <c r="A30" s="367">
        <f t="shared" si="33"/>
        <v>9</v>
      </c>
      <c r="B30" s="367">
        <f>tblIndiSets!B20</f>
        <v>9</v>
      </c>
      <c r="C30" s="367">
        <f>IF(tblIndiSets!D20&lt;=$B$3,tblIndiSets!D20,"")</f>
        <v>3</v>
      </c>
      <c r="D30" s="367">
        <f t="shared" si="34"/>
        <v>3</v>
      </c>
      <c r="E30" s="367" t="str">
        <f>tblIndiSets!E20</f>
        <v xml:space="preserve">   1.2.1) Internet upload speed</v>
      </c>
      <c r="F30" s="367">
        <f t="shared" si="35"/>
        <v>91</v>
      </c>
      <c r="G30" s="21">
        <f t="shared" ca="1" si="11"/>
        <v>38.299999999999997</v>
      </c>
      <c r="H30" s="21">
        <f t="shared" ca="1" si="12"/>
        <v>38.299999999999997</v>
      </c>
      <c r="I30" s="21">
        <f t="shared" ca="1" si="13"/>
        <v>37.9</v>
      </c>
      <c r="J30" s="21">
        <f t="shared" ca="1" si="13"/>
        <v>41.6</v>
      </c>
      <c r="K30" s="21">
        <f t="shared" ca="1" si="13"/>
        <v>23.2</v>
      </c>
      <c r="L30" s="21">
        <f t="shared" ca="1" si="13"/>
        <v>100</v>
      </c>
      <c r="M30" s="21">
        <f t="shared" ca="1" si="13"/>
        <v>27.2</v>
      </c>
      <c r="N30" s="21">
        <f t="shared" ca="1" si="13"/>
        <v>14.3</v>
      </c>
      <c r="O30" s="21">
        <f t="shared" ca="1" si="13"/>
        <v>38.1</v>
      </c>
      <c r="P30" s="21">
        <f t="shared" ca="1" si="13"/>
        <v>41.8</v>
      </c>
      <c r="Q30" s="21">
        <f t="shared" ca="1" si="13"/>
        <v>55.3</v>
      </c>
      <c r="R30" s="21">
        <f t="shared" ca="1" si="13"/>
        <v>33.299999999999997</v>
      </c>
      <c r="S30" s="21">
        <f t="shared" ca="1" si="13"/>
        <v>24.7</v>
      </c>
      <c r="T30" s="21">
        <f t="shared" ca="1" si="13"/>
        <v>34.200000000000003</v>
      </c>
      <c r="U30" s="21">
        <f t="shared" si="36"/>
        <v>91</v>
      </c>
      <c r="V30" s="367">
        <f t="shared" si="37"/>
        <v>3</v>
      </c>
      <c r="W30" s="3">
        <f>IF(OR($C30="",$C30=0,$C30=1),"",RANK(U30,U$22:U$91,0)+COUNTIF(U$22:U30,U30)-1)</f>
        <v>7</v>
      </c>
      <c r="X30" s="3">
        <f t="shared" si="16"/>
        <v>11</v>
      </c>
      <c r="Z30" s="367">
        <f t="shared" si="17"/>
        <v>3</v>
      </c>
      <c r="AA30" s="367">
        <f t="shared" si="38"/>
        <v>11</v>
      </c>
      <c r="AB30" s="367">
        <f t="shared" si="39"/>
        <v>0</v>
      </c>
      <c r="AC30" s="367" t="str">
        <f t="shared" si="18"/>
        <v xml:space="preserve">   1.2.3) Mobile broadband latency</v>
      </c>
      <c r="AD30" s="367">
        <f t="shared" ca="1" si="19"/>
        <v>47.8</v>
      </c>
      <c r="AE30" s="367">
        <f t="shared" ca="1" si="20"/>
        <v>47.8</v>
      </c>
      <c r="AF30" s="367">
        <f t="shared" ca="1" si="21"/>
        <v>55.8</v>
      </c>
      <c r="AG30" s="367">
        <f t="shared" ca="1" si="22"/>
        <v>41</v>
      </c>
      <c r="AH30" s="367">
        <f t="shared" ca="1" si="23"/>
        <v>35</v>
      </c>
      <c r="AI30" s="367">
        <f t="shared" ca="1" si="24"/>
        <v>95</v>
      </c>
      <c r="AJ30" s="367">
        <f t="shared" ca="1" si="25"/>
        <v>38.799999999999997</v>
      </c>
      <c r="AK30" s="367">
        <f t="shared" ca="1" si="26"/>
        <v>45</v>
      </c>
      <c r="AL30" s="367">
        <f t="shared" ca="1" si="27"/>
        <v>49.2</v>
      </c>
      <c r="AM30" s="367">
        <f t="shared" ca="1" si="28"/>
        <v>47.9</v>
      </c>
      <c r="AN30" s="367">
        <f t="shared" ca="1" si="29"/>
        <v>61.9</v>
      </c>
      <c r="AO30" s="367">
        <f t="shared" ca="1" si="30"/>
        <v>48.9</v>
      </c>
      <c r="AP30" s="367">
        <f t="shared" ca="1" si="31"/>
        <v>45</v>
      </c>
      <c r="AQ30" s="367">
        <f t="shared" ca="1" si="32"/>
        <v>35.6</v>
      </c>
    </row>
    <row r="31" spans="1:43">
      <c r="A31" s="367">
        <f t="shared" si="33"/>
        <v>10</v>
      </c>
      <c r="B31" s="367">
        <f>tblIndiSets!B21</f>
        <v>10</v>
      </c>
      <c r="C31" s="367">
        <f>IF(tblIndiSets!D21&lt;=$B$3,tblIndiSets!D21,"")</f>
        <v>3</v>
      </c>
      <c r="D31" s="367">
        <f t="shared" ref="D31:D43" si="40">C31</f>
        <v>3</v>
      </c>
      <c r="E31" s="367" t="str">
        <f>tblIndiSets!E21</f>
        <v xml:space="preserve">   1.2.2) Internet download speed</v>
      </c>
      <c r="F31" s="367">
        <f t="shared" si="35"/>
        <v>90</v>
      </c>
      <c r="G31" s="21">
        <f t="shared" ca="1" si="11"/>
        <v>42.5</v>
      </c>
      <c r="H31" s="21">
        <f t="shared" ca="1" si="12"/>
        <v>42.5</v>
      </c>
      <c r="I31" s="21">
        <f t="shared" ca="1" si="13"/>
        <v>38</v>
      </c>
      <c r="J31" s="21">
        <f t="shared" ca="1" si="13"/>
        <v>48.4</v>
      </c>
      <c r="K31" s="21">
        <f t="shared" ca="1" si="13"/>
        <v>10.5</v>
      </c>
      <c r="L31" s="21">
        <f t="shared" ca="1" si="13"/>
        <v>100</v>
      </c>
      <c r="M31" s="21">
        <f t="shared" ca="1" si="13"/>
        <v>50.9</v>
      </c>
      <c r="N31" s="21">
        <f t="shared" ca="1" si="13"/>
        <v>2.9</v>
      </c>
      <c r="O31" s="21">
        <f t="shared" ca="1" si="13"/>
        <v>23.2</v>
      </c>
      <c r="P31" s="21">
        <f t="shared" ca="1" si="13"/>
        <v>53.7</v>
      </c>
      <c r="Q31" s="21">
        <f t="shared" ca="1" si="13"/>
        <v>65</v>
      </c>
      <c r="R31" s="21">
        <f t="shared" ca="1" si="13"/>
        <v>40.1</v>
      </c>
      <c r="S31" s="21">
        <f t="shared" ca="1" si="13"/>
        <v>26.9</v>
      </c>
      <c r="T31" s="21">
        <f t="shared" ca="1" si="13"/>
        <v>31.8</v>
      </c>
      <c r="U31" s="21">
        <f t="shared" ref="U31:U43" si="41">IF(OR($C31="",$C31=0,$C31=1),"",INDEX(F31:T31,$F$1))</f>
        <v>90</v>
      </c>
      <c r="V31" s="367">
        <f t="shared" ref="V31:V43" si="42">D31</f>
        <v>3</v>
      </c>
      <c r="W31" s="3">
        <f>IF(OR($C31="",$C31=0,$C31=1),"",RANK(U31,U$22:U$91,0)+COUNTIF(U$22:U31,U31)-1)</f>
        <v>8</v>
      </c>
      <c r="X31" s="3">
        <f t="shared" si="16"/>
        <v>12</v>
      </c>
      <c r="Z31" s="367">
        <f t="shared" si="17"/>
        <v>3</v>
      </c>
      <c r="AA31" s="367">
        <f t="shared" ref="AA31:AA43" si="43">X31</f>
        <v>12</v>
      </c>
      <c r="AB31" s="367">
        <f t="shared" ref="AB31:AB43" si="44">IF($D$2=AA31,1,CHOOSE($B$3,0,0,IF(Z31=2,2,0),Z31,Z31))</f>
        <v>0</v>
      </c>
      <c r="AC31" s="367" t="str">
        <f t="shared" si="18"/>
        <v xml:space="preserve">   1.2.4) Fixed broadband latency</v>
      </c>
      <c r="AD31" s="367">
        <f t="shared" ca="1" si="19"/>
        <v>48.2</v>
      </c>
      <c r="AE31" s="367">
        <f t="shared" ca="1" si="20"/>
        <v>48.2</v>
      </c>
      <c r="AF31" s="367">
        <f t="shared" ca="1" si="21"/>
        <v>73.5</v>
      </c>
      <c r="AG31" s="367">
        <f t="shared" ca="1" si="22"/>
        <v>26.4</v>
      </c>
      <c r="AH31" s="367">
        <f t="shared" ca="1" si="23"/>
        <v>45.5</v>
      </c>
      <c r="AI31" s="367">
        <f t="shared" ca="1" si="24"/>
        <v>100</v>
      </c>
      <c r="AJ31" s="367">
        <f t="shared" ca="1" si="25"/>
        <v>15.9</v>
      </c>
      <c r="AK31" s="367">
        <f t="shared" ca="1" si="26"/>
        <v>75.7</v>
      </c>
      <c r="AL31" s="367">
        <f t="shared" ca="1" si="27"/>
        <v>57.6</v>
      </c>
      <c r="AM31" s="367">
        <f t="shared" ca="1" si="28"/>
        <v>41.6</v>
      </c>
      <c r="AN31" s="367">
        <f t="shared" ca="1" si="29"/>
        <v>52.3</v>
      </c>
      <c r="AO31" s="367">
        <f t="shared" ca="1" si="30"/>
        <v>40.4</v>
      </c>
      <c r="AP31" s="367">
        <f t="shared" ca="1" si="31"/>
        <v>50</v>
      </c>
      <c r="AQ31" s="367">
        <f t="shared" ca="1" si="32"/>
        <v>51.5</v>
      </c>
    </row>
    <row r="32" spans="1:43">
      <c r="A32" s="367">
        <f t="shared" si="33"/>
        <v>11</v>
      </c>
      <c r="B32" s="367">
        <f>tblIndiSets!B22</f>
        <v>11</v>
      </c>
      <c r="C32" s="367">
        <f>IF(tblIndiSets!D22&lt;=$B$3,tblIndiSets!D22,"")</f>
        <v>3</v>
      </c>
      <c r="D32" s="367">
        <f t="shared" si="40"/>
        <v>3</v>
      </c>
      <c r="E32" s="367" t="str">
        <f>tblIndiSets!E22</f>
        <v xml:space="preserve">   1.2.3) Mobile broadband latency</v>
      </c>
      <c r="F32" s="367">
        <f t="shared" si="35"/>
        <v>89</v>
      </c>
      <c r="G32" s="21">
        <f t="shared" ca="1" si="11"/>
        <v>47.8</v>
      </c>
      <c r="H32" s="21">
        <f t="shared" ca="1" si="12"/>
        <v>47.8</v>
      </c>
      <c r="I32" s="21">
        <f t="shared" ca="1" si="13"/>
        <v>55.8</v>
      </c>
      <c r="J32" s="21">
        <f t="shared" ca="1" si="13"/>
        <v>41</v>
      </c>
      <c r="K32" s="21">
        <f t="shared" ca="1" si="13"/>
        <v>35</v>
      </c>
      <c r="L32" s="21">
        <f t="shared" ca="1" si="13"/>
        <v>95</v>
      </c>
      <c r="M32" s="21">
        <f t="shared" ca="1" si="13"/>
        <v>38.799999999999997</v>
      </c>
      <c r="N32" s="21">
        <f t="shared" ca="1" si="13"/>
        <v>45</v>
      </c>
      <c r="O32" s="21">
        <f t="shared" ca="1" si="13"/>
        <v>49.2</v>
      </c>
      <c r="P32" s="21">
        <f t="shared" ca="1" si="13"/>
        <v>47.9</v>
      </c>
      <c r="Q32" s="21">
        <f t="shared" ca="1" si="13"/>
        <v>61.9</v>
      </c>
      <c r="R32" s="21">
        <f t="shared" ca="1" si="13"/>
        <v>48.9</v>
      </c>
      <c r="S32" s="21">
        <f t="shared" ca="1" si="13"/>
        <v>45</v>
      </c>
      <c r="T32" s="21">
        <f t="shared" ca="1" si="13"/>
        <v>35.6</v>
      </c>
      <c r="U32" s="21">
        <f t="shared" si="41"/>
        <v>89</v>
      </c>
      <c r="V32" s="367">
        <f t="shared" si="42"/>
        <v>3</v>
      </c>
      <c r="W32" s="3">
        <f>IF(OR($C32="",$C32=0,$C32=1),"",RANK(U32,U$22:U$91,0)+COUNTIF(U$22:U32,U32)-1)</f>
        <v>9</v>
      </c>
      <c r="X32" s="3">
        <f t="shared" si="16"/>
        <v>13</v>
      </c>
      <c r="Z32" s="367">
        <f t="shared" si="17"/>
        <v>2</v>
      </c>
      <c r="AA32" s="367">
        <f t="shared" si="43"/>
        <v>13</v>
      </c>
      <c r="AB32" s="367">
        <f t="shared" si="44"/>
        <v>2</v>
      </c>
      <c r="AC32" s="367" t="str">
        <f t="shared" si="18"/>
        <v xml:space="preserve">  1.3) Affordability</v>
      </c>
      <c r="AD32" s="367">
        <f t="shared" ca="1" si="19"/>
        <v>69.3</v>
      </c>
      <c r="AE32" s="367">
        <f t="shared" ca="1" si="20"/>
        <v>69.3</v>
      </c>
      <c r="AF32" s="367">
        <f t="shared" ca="1" si="21"/>
        <v>63.9</v>
      </c>
      <c r="AG32" s="367">
        <f t="shared" ca="1" si="22"/>
        <v>82.9</v>
      </c>
      <c r="AH32" s="367">
        <f t="shared" ca="1" si="23"/>
        <v>49.3</v>
      </c>
      <c r="AI32" s="367">
        <f t="shared" ca="1" si="24"/>
        <v>0.4</v>
      </c>
      <c r="AJ32" s="367">
        <f t="shared" ca="1" si="25"/>
        <v>84.1</v>
      </c>
      <c r="AK32" s="367">
        <f t="shared" ca="1" si="26"/>
        <v>36.5</v>
      </c>
      <c r="AL32" s="367">
        <f t="shared" ca="1" si="27"/>
        <v>60.1</v>
      </c>
      <c r="AM32" s="367">
        <f t="shared" ca="1" si="28"/>
        <v>76.7</v>
      </c>
      <c r="AN32" s="367">
        <f t="shared" ca="1" si="29"/>
        <v>70.3</v>
      </c>
      <c r="AO32" s="367">
        <f t="shared" ca="1" si="30"/>
        <v>77.5</v>
      </c>
      <c r="AP32" s="367">
        <f t="shared" ca="1" si="31"/>
        <v>68</v>
      </c>
      <c r="AQ32" s="367">
        <f t="shared" ca="1" si="32"/>
        <v>60.9</v>
      </c>
    </row>
    <row r="33" spans="1:43">
      <c r="A33" s="367">
        <f t="shared" si="33"/>
        <v>12</v>
      </c>
      <c r="B33" s="367">
        <f>tblIndiSets!B23</f>
        <v>12</v>
      </c>
      <c r="C33" s="367">
        <f>IF(tblIndiSets!D23&lt;=$B$3,tblIndiSets!D23,"")</f>
        <v>3</v>
      </c>
      <c r="D33" s="367">
        <f t="shared" si="40"/>
        <v>3</v>
      </c>
      <c r="E33" s="367" t="str">
        <f>tblIndiSets!E23</f>
        <v xml:space="preserve">   1.2.4) Fixed broadband latency</v>
      </c>
      <c r="F33" s="367">
        <f t="shared" si="35"/>
        <v>88</v>
      </c>
      <c r="G33" s="21">
        <f t="shared" ca="1" si="11"/>
        <v>48.2</v>
      </c>
      <c r="H33" s="21">
        <f t="shared" ca="1" si="12"/>
        <v>48.2</v>
      </c>
      <c r="I33" s="21">
        <f t="shared" ca="1" si="13"/>
        <v>73.5</v>
      </c>
      <c r="J33" s="21">
        <f t="shared" ca="1" si="13"/>
        <v>26.4</v>
      </c>
      <c r="K33" s="21">
        <f t="shared" ca="1" si="13"/>
        <v>45.5</v>
      </c>
      <c r="L33" s="21">
        <f t="shared" ca="1" si="13"/>
        <v>100</v>
      </c>
      <c r="M33" s="21">
        <f t="shared" ca="1" si="13"/>
        <v>15.9</v>
      </c>
      <c r="N33" s="21">
        <f t="shared" ca="1" si="13"/>
        <v>75.7</v>
      </c>
      <c r="O33" s="21">
        <f t="shared" ca="1" si="13"/>
        <v>57.6</v>
      </c>
      <c r="P33" s="21">
        <f t="shared" ca="1" si="13"/>
        <v>41.6</v>
      </c>
      <c r="Q33" s="21">
        <f t="shared" ca="1" si="13"/>
        <v>52.3</v>
      </c>
      <c r="R33" s="21">
        <f t="shared" ca="1" si="13"/>
        <v>40.4</v>
      </c>
      <c r="S33" s="21">
        <f t="shared" ca="1" si="13"/>
        <v>50</v>
      </c>
      <c r="T33" s="21">
        <f t="shared" ca="1" si="13"/>
        <v>51.5</v>
      </c>
      <c r="U33" s="21">
        <f t="shared" si="41"/>
        <v>88</v>
      </c>
      <c r="V33" s="367">
        <f t="shared" si="42"/>
        <v>3</v>
      </c>
      <c r="W33" s="3">
        <f>IF(OR($C33="",$C33=0,$C33=1),"",RANK(U33,U$22:U$91,0)+COUNTIF(U$22:U33,U33)-1)</f>
        <v>10</v>
      </c>
      <c r="X33" s="3">
        <f t="shared" si="16"/>
        <v>14</v>
      </c>
      <c r="Z33" s="367">
        <f t="shared" si="17"/>
        <v>3</v>
      </c>
      <c r="AA33" s="367">
        <f t="shared" si="43"/>
        <v>14</v>
      </c>
      <c r="AB33" s="367">
        <f t="shared" si="44"/>
        <v>0</v>
      </c>
      <c r="AC33" s="367" t="str">
        <f t="shared" si="18"/>
        <v xml:space="preserve">   1.3.1) Mobile data affordability</v>
      </c>
      <c r="AD33" s="367">
        <f t="shared" ca="1" si="19"/>
        <v>74.599999999999994</v>
      </c>
      <c r="AE33" s="367">
        <f t="shared" ca="1" si="20"/>
        <v>74.599999999999994</v>
      </c>
      <c r="AF33" s="367">
        <f t="shared" ca="1" si="21"/>
        <v>71.5</v>
      </c>
      <c r="AG33" s="367">
        <f t="shared" ca="1" si="22"/>
        <v>88.6</v>
      </c>
      <c r="AH33" s="367">
        <f t="shared" ca="1" si="23"/>
        <v>56</v>
      </c>
      <c r="AI33" s="367">
        <f t="shared" ca="1" si="24"/>
        <v>0</v>
      </c>
      <c r="AJ33" s="367">
        <f t="shared" ca="1" si="25"/>
        <v>81.599999999999994</v>
      </c>
      <c r="AK33" s="367">
        <f t="shared" ca="1" si="26"/>
        <v>60.6</v>
      </c>
      <c r="AL33" s="367">
        <f t="shared" ca="1" si="27"/>
        <v>69.099999999999994</v>
      </c>
      <c r="AM33" s="367">
        <f t="shared" ca="1" si="28"/>
        <v>78.2</v>
      </c>
      <c r="AN33" s="367">
        <f t="shared" ca="1" si="29"/>
        <v>71.599999999999994</v>
      </c>
      <c r="AO33" s="367">
        <f t="shared" ca="1" si="30"/>
        <v>83.4</v>
      </c>
      <c r="AP33" s="367">
        <f t="shared" ca="1" si="31"/>
        <v>77.5</v>
      </c>
      <c r="AQ33" s="367">
        <f t="shared" ca="1" si="32"/>
        <v>67.2</v>
      </c>
    </row>
    <row r="34" spans="1:43">
      <c r="A34" s="367">
        <f t="shared" si="33"/>
        <v>13</v>
      </c>
      <c r="B34" s="367">
        <f>tblIndiSets!B24</f>
        <v>13</v>
      </c>
      <c r="C34" s="367">
        <f>IF(tblIndiSets!D24&lt;=$B$3,tblIndiSets!D24,"")</f>
        <v>2</v>
      </c>
      <c r="D34" s="367">
        <f t="shared" si="40"/>
        <v>2</v>
      </c>
      <c r="E34" s="367" t="str">
        <f>tblIndiSets!E24</f>
        <v xml:space="preserve">  1.3) Affordability</v>
      </c>
      <c r="F34" s="367">
        <f t="shared" si="35"/>
        <v>87</v>
      </c>
      <c r="G34" s="21">
        <f t="shared" ca="1" si="11"/>
        <v>69.3</v>
      </c>
      <c r="H34" s="21">
        <f t="shared" ca="1" si="12"/>
        <v>69.3</v>
      </c>
      <c r="I34" s="21">
        <f t="shared" ca="1" si="13"/>
        <v>63.9</v>
      </c>
      <c r="J34" s="21">
        <f t="shared" ca="1" si="13"/>
        <v>82.9</v>
      </c>
      <c r="K34" s="21">
        <f t="shared" ca="1" si="13"/>
        <v>49.3</v>
      </c>
      <c r="L34" s="21">
        <f t="shared" ca="1" si="13"/>
        <v>0.4</v>
      </c>
      <c r="M34" s="21">
        <f t="shared" ca="1" si="13"/>
        <v>84.1</v>
      </c>
      <c r="N34" s="21">
        <f t="shared" ca="1" si="13"/>
        <v>36.5</v>
      </c>
      <c r="O34" s="21">
        <f t="shared" ca="1" si="13"/>
        <v>60.1</v>
      </c>
      <c r="P34" s="21">
        <f t="shared" ca="1" si="13"/>
        <v>76.7</v>
      </c>
      <c r="Q34" s="21">
        <f t="shared" ca="1" si="13"/>
        <v>70.3</v>
      </c>
      <c r="R34" s="21">
        <f t="shared" ca="1" si="13"/>
        <v>77.5</v>
      </c>
      <c r="S34" s="21">
        <f t="shared" ca="1" si="13"/>
        <v>68</v>
      </c>
      <c r="T34" s="21">
        <f t="shared" ca="1" si="13"/>
        <v>60.9</v>
      </c>
      <c r="U34" s="21">
        <f t="shared" si="41"/>
        <v>87</v>
      </c>
      <c r="V34" s="367">
        <f t="shared" si="42"/>
        <v>2</v>
      </c>
      <c r="W34" s="3">
        <f>IF(OR($C34="",$C34=0,$C34=1),"",RANK(U34,U$22:U$91,0)+COUNTIF(U$22:U34,U34)-1)</f>
        <v>11</v>
      </c>
      <c r="X34" s="3">
        <f t="shared" si="16"/>
        <v>15</v>
      </c>
      <c r="Z34" s="367">
        <f t="shared" si="17"/>
        <v>3</v>
      </c>
      <c r="AA34" s="367">
        <f t="shared" si="43"/>
        <v>15</v>
      </c>
      <c r="AB34" s="367">
        <f t="shared" si="44"/>
        <v>0</v>
      </c>
      <c r="AC34" s="367" t="str">
        <f t="shared" si="18"/>
        <v xml:space="preserve">   1.3.2) Fixed broadband affordability</v>
      </c>
      <c r="AD34" s="367">
        <f t="shared" ca="1" si="19"/>
        <v>63.6</v>
      </c>
      <c r="AE34" s="367">
        <f t="shared" ca="1" si="20"/>
        <v>63.6</v>
      </c>
      <c r="AF34" s="367">
        <f t="shared" ca="1" si="21"/>
        <v>55.6</v>
      </c>
      <c r="AG34" s="367">
        <f t="shared" ca="1" si="22"/>
        <v>76.7</v>
      </c>
      <c r="AH34" s="367">
        <f t="shared" ca="1" si="23"/>
        <v>42</v>
      </c>
      <c r="AI34" s="367">
        <f t="shared" ca="1" si="24"/>
        <v>0.8</v>
      </c>
      <c r="AJ34" s="367">
        <f t="shared" ca="1" si="25"/>
        <v>86.9</v>
      </c>
      <c r="AK34" s="367">
        <f t="shared" ca="1" si="26"/>
        <v>10.1</v>
      </c>
      <c r="AL34" s="367">
        <f t="shared" ca="1" si="27"/>
        <v>50.4</v>
      </c>
      <c r="AM34" s="367">
        <f t="shared" ca="1" si="28"/>
        <v>75</v>
      </c>
      <c r="AN34" s="367">
        <f t="shared" ca="1" si="29"/>
        <v>68.900000000000006</v>
      </c>
      <c r="AO34" s="367">
        <f t="shared" ca="1" si="30"/>
        <v>71.099999999999994</v>
      </c>
      <c r="AP34" s="367">
        <f t="shared" ca="1" si="31"/>
        <v>57.7</v>
      </c>
      <c r="AQ34" s="367">
        <f t="shared" ca="1" si="32"/>
        <v>54.1</v>
      </c>
    </row>
    <row r="35" spans="1:43">
      <c r="A35" s="367">
        <f t="shared" si="33"/>
        <v>14</v>
      </c>
      <c r="B35" s="367">
        <f>tblIndiSets!B25</f>
        <v>14</v>
      </c>
      <c r="C35" s="367">
        <f>IF(tblIndiSets!D25&lt;=$B$3,tblIndiSets!D25,"")</f>
        <v>3</v>
      </c>
      <c r="D35" s="367">
        <f t="shared" si="40"/>
        <v>3</v>
      </c>
      <c r="E35" s="367" t="str">
        <f>tblIndiSets!E25</f>
        <v xml:space="preserve">   1.3.1) Mobile data affordability</v>
      </c>
      <c r="F35" s="367">
        <f t="shared" si="35"/>
        <v>86</v>
      </c>
      <c r="G35" s="21">
        <f t="shared" ca="1" si="11"/>
        <v>74.599999999999994</v>
      </c>
      <c r="H35" s="21">
        <f t="shared" ca="1" si="12"/>
        <v>74.599999999999994</v>
      </c>
      <c r="I35" s="21">
        <f t="shared" ca="1" si="13"/>
        <v>71.5</v>
      </c>
      <c r="J35" s="21">
        <f t="shared" ca="1" si="13"/>
        <v>88.6</v>
      </c>
      <c r="K35" s="21">
        <f t="shared" ca="1" si="13"/>
        <v>56</v>
      </c>
      <c r="L35" s="21">
        <f t="shared" ca="1" si="13"/>
        <v>0</v>
      </c>
      <c r="M35" s="21">
        <f t="shared" ca="1" si="13"/>
        <v>81.599999999999994</v>
      </c>
      <c r="N35" s="21">
        <f t="shared" ca="1" si="13"/>
        <v>60.6</v>
      </c>
      <c r="O35" s="21">
        <f t="shared" ca="1" si="13"/>
        <v>69.099999999999994</v>
      </c>
      <c r="P35" s="21">
        <f t="shared" ca="1" si="13"/>
        <v>78.2</v>
      </c>
      <c r="Q35" s="21">
        <f t="shared" ca="1" si="13"/>
        <v>71.599999999999994</v>
      </c>
      <c r="R35" s="21">
        <f t="shared" ca="1" si="13"/>
        <v>83.4</v>
      </c>
      <c r="S35" s="21">
        <f t="shared" ca="1" si="13"/>
        <v>77.5</v>
      </c>
      <c r="T35" s="21">
        <f t="shared" ca="1" si="13"/>
        <v>67.2</v>
      </c>
      <c r="U35" s="21">
        <f t="shared" si="41"/>
        <v>86</v>
      </c>
      <c r="V35" s="367">
        <f t="shared" si="42"/>
        <v>3</v>
      </c>
      <c r="W35" s="3">
        <f>IF(OR($C35="",$C35=0,$C35=1),"",RANK(U35,U$22:U$91,0)+COUNTIF(U$22:U35,U35)-1)</f>
        <v>12</v>
      </c>
      <c r="X35" s="3">
        <f t="shared" si="16"/>
        <v>17</v>
      </c>
      <c r="Z35" s="367">
        <f t="shared" si="17"/>
        <v>2</v>
      </c>
      <c r="AA35" s="367">
        <f t="shared" si="43"/>
        <v>17</v>
      </c>
      <c r="AB35" s="367">
        <f t="shared" si="44"/>
        <v>2</v>
      </c>
      <c r="AC35" s="367" t="str">
        <f t="shared" si="18"/>
        <v xml:space="preserve">  2.1) E-gov services for residents &amp; businesses</v>
      </c>
      <c r="AD35" s="367">
        <f t="shared" ca="1" si="19"/>
        <v>68.2</v>
      </c>
      <c r="AE35" s="367">
        <f t="shared" ca="1" si="20"/>
        <v>68.2</v>
      </c>
      <c r="AF35" s="367">
        <f t="shared" ca="1" si="21"/>
        <v>67.400000000000006</v>
      </c>
      <c r="AG35" s="367">
        <f t="shared" ca="1" si="22"/>
        <v>67.8</v>
      </c>
      <c r="AH35" s="367">
        <f t="shared" ca="1" si="23"/>
        <v>67.7</v>
      </c>
      <c r="AI35" s="367">
        <f t="shared" ca="1" si="24"/>
        <v>64.3</v>
      </c>
      <c r="AJ35" s="367">
        <f t="shared" ca="1" si="25"/>
        <v>73.2</v>
      </c>
      <c r="AK35" s="367">
        <f t="shared" ca="1" si="26"/>
        <v>69.7</v>
      </c>
      <c r="AL35" s="367">
        <f t="shared" ca="1" si="27"/>
        <v>65.099999999999994</v>
      </c>
      <c r="AM35" s="367">
        <f t="shared" ca="1" si="28"/>
        <v>68.900000000000006</v>
      </c>
      <c r="AN35" s="367">
        <f t="shared" ca="1" si="29"/>
        <v>65.7</v>
      </c>
      <c r="AO35" s="367">
        <f t="shared" ca="1" si="30"/>
        <v>74.599999999999994</v>
      </c>
      <c r="AP35" s="367">
        <f t="shared" ca="1" si="31"/>
        <v>62.2</v>
      </c>
      <c r="AQ35" s="367">
        <f t="shared" ca="1" si="32"/>
        <v>66.8</v>
      </c>
    </row>
    <row r="36" spans="1:43">
      <c r="A36" s="367">
        <f t="shared" si="33"/>
        <v>15</v>
      </c>
      <c r="B36" s="367">
        <f>tblIndiSets!B26</f>
        <v>15</v>
      </c>
      <c r="C36" s="367">
        <f>IF(tblIndiSets!D26&lt;=$B$3,tblIndiSets!D26,"")</f>
        <v>3</v>
      </c>
      <c r="D36" s="367">
        <f t="shared" si="40"/>
        <v>3</v>
      </c>
      <c r="E36" s="367" t="str">
        <f>tblIndiSets!E26</f>
        <v xml:space="preserve">   1.3.2) Fixed broadband affordability</v>
      </c>
      <c r="F36" s="367">
        <f t="shared" si="35"/>
        <v>85</v>
      </c>
      <c r="G36" s="21">
        <f t="shared" ca="1" si="11"/>
        <v>63.6</v>
      </c>
      <c r="H36" s="21">
        <f t="shared" ca="1" si="12"/>
        <v>63.6</v>
      </c>
      <c r="I36" s="21">
        <f t="shared" ca="1" si="13"/>
        <v>55.6</v>
      </c>
      <c r="J36" s="21">
        <f t="shared" ca="1" si="13"/>
        <v>76.7</v>
      </c>
      <c r="K36" s="21">
        <f t="shared" ca="1" si="13"/>
        <v>42</v>
      </c>
      <c r="L36" s="21">
        <f t="shared" ca="1" si="13"/>
        <v>0.8</v>
      </c>
      <c r="M36" s="21">
        <f t="shared" ca="1" si="13"/>
        <v>86.9</v>
      </c>
      <c r="N36" s="21">
        <f t="shared" ca="1" si="13"/>
        <v>10.1</v>
      </c>
      <c r="O36" s="21">
        <f t="shared" ca="1" si="13"/>
        <v>50.4</v>
      </c>
      <c r="P36" s="21">
        <f t="shared" ca="1" si="13"/>
        <v>75</v>
      </c>
      <c r="Q36" s="21">
        <f t="shared" ca="1" si="13"/>
        <v>68.900000000000006</v>
      </c>
      <c r="R36" s="21">
        <f t="shared" ca="1" si="13"/>
        <v>71.099999999999994</v>
      </c>
      <c r="S36" s="21">
        <f t="shared" ca="1" si="13"/>
        <v>57.7</v>
      </c>
      <c r="T36" s="21">
        <f t="shared" ca="1" si="13"/>
        <v>54.1</v>
      </c>
      <c r="U36" s="21">
        <f t="shared" si="41"/>
        <v>85</v>
      </c>
      <c r="V36" s="367">
        <f t="shared" si="42"/>
        <v>3</v>
      </c>
      <c r="W36" s="3">
        <f>IF(OR($C36="",$C36=0,$C36=1),"",RANK(U36,U$22:U$91,0)+COUNTIF(U$22:U36,U36)-1)</f>
        <v>13</v>
      </c>
      <c r="X36" s="3">
        <f t="shared" si="16"/>
        <v>18</v>
      </c>
      <c r="Z36" s="367">
        <f t="shared" si="17"/>
        <v>3</v>
      </c>
      <c r="AA36" s="367">
        <f t="shared" si="43"/>
        <v>18</v>
      </c>
      <c r="AB36" s="367">
        <f t="shared" si="44"/>
        <v>0</v>
      </c>
      <c r="AC36" s="367" t="str">
        <f t="shared" si="18"/>
        <v xml:space="preserve">   2.1.1) Mobile digital national ID</v>
      </c>
      <c r="AD36" s="367">
        <f t="shared" ca="1" si="19"/>
        <v>20</v>
      </c>
      <c r="AE36" s="367">
        <f t="shared" ca="1" si="20"/>
        <v>20</v>
      </c>
      <c r="AF36" s="367">
        <f t="shared" ca="1" si="21"/>
        <v>16.7</v>
      </c>
      <c r="AG36" s="367">
        <f t="shared" ca="1" si="22"/>
        <v>20</v>
      </c>
      <c r="AH36" s="367">
        <f t="shared" ca="1" si="23"/>
        <v>33.299999999999997</v>
      </c>
      <c r="AI36" s="367">
        <f t="shared" ca="1" si="24"/>
        <v>0</v>
      </c>
      <c r="AJ36" s="367">
        <f t="shared" ca="1" si="25"/>
        <v>25</v>
      </c>
      <c r="AK36" s="367">
        <f t="shared" ca="1" si="26"/>
        <v>33.299999999999997</v>
      </c>
      <c r="AL36" s="367">
        <f t="shared" ca="1" si="27"/>
        <v>16.7</v>
      </c>
      <c r="AM36" s="367">
        <f t="shared" ca="1" si="28"/>
        <v>19</v>
      </c>
      <c r="AN36" s="367">
        <f t="shared" ca="1" si="29"/>
        <v>12.5</v>
      </c>
      <c r="AO36" s="367">
        <f t="shared" ca="1" si="30"/>
        <v>33.299999999999997</v>
      </c>
      <c r="AP36" s="367">
        <f t="shared" ca="1" si="31"/>
        <v>0</v>
      </c>
      <c r="AQ36" s="367">
        <f t="shared" ca="1" si="32"/>
        <v>22.2</v>
      </c>
    </row>
    <row r="37" spans="1:43">
      <c r="A37" s="367">
        <f t="shared" si="33"/>
        <v>16</v>
      </c>
      <c r="B37" s="367">
        <f>tblIndiSets!B27</f>
        <v>16</v>
      </c>
      <c r="C37" s="367">
        <f>IF(tblIndiSets!D27&lt;=$B$3,tblIndiSets!D27,"")</f>
        <v>1</v>
      </c>
      <c r="D37" s="367">
        <f t="shared" si="40"/>
        <v>1</v>
      </c>
      <c r="E37" s="367" t="str">
        <f>tblIndiSets!E27</f>
        <v xml:space="preserve"> 2) SERVICES</v>
      </c>
      <c r="F37" s="367">
        <f t="shared" si="35"/>
        <v>84</v>
      </c>
      <c r="G37" s="21">
        <f t="shared" ca="1" si="11"/>
        <v>61.4</v>
      </c>
      <c r="H37" s="21">
        <f t="shared" ca="1" si="12"/>
        <v>61.4</v>
      </c>
      <c r="I37" s="21">
        <f t="shared" ca="1" si="13"/>
        <v>57.1</v>
      </c>
      <c r="J37" s="21">
        <f t="shared" ca="1" si="13"/>
        <v>70.7</v>
      </c>
      <c r="K37" s="21">
        <f t="shared" ca="1" si="13"/>
        <v>39.299999999999997</v>
      </c>
      <c r="L37" s="21">
        <f t="shared" ca="1" si="13"/>
        <v>69.8</v>
      </c>
      <c r="M37" s="21">
        <f t="shared" ca="1" si="13"/>
        <v>65.900000000000006</v>
      </c>
      <c r="N37" s="21">
        <f t="shared" ca="1" si="13"/>
        <v>44.4</v>
      </c>
      <c r="O37" s="21">
        <f t="shared" ca="1" si="13"/>
        <v>48.6</v>
      </c>
      <c r="P37" s="21">
        <f t="shared" ca="1" si="13"/>
        <v>67.599999999999994</v>
      </c>
      <c r="Q37" s="21">
        <f t="shared" ca="1" si="13"/>
        <v>67.900000000000006</v>
      </c>
      <c r="R37" s="21">
        <f t="shared" ca="1" si="13"/>
        <v>66.599999999999994</v>
      </c>
      <c r="S37" s="21">
        <f t="shared" ca="1" si="13"/>
        <v>58.8</v>
      </c>
      <c r="T37" s="21">
        <f t="shared" ca="1" si="13"/>
        <v>51.7</v>
      </c>
      <c r="U37" s="21" t="str">
        <f t="shared" si="41"/>
        <v/>
      </c>
      <c r="V37" s="367">
        <f t="shared" si="42"/>
        <v>1</v>
      </c>
      <c r="W37" s="3" t="str">
        <f>IF(OR($C37="",$C37=0,$C37=1),"",RANK(U37,U$22:U$91,0)+COUNTIF(U$22:U37,U37)-1)</f>
        <v/>
      </c>
      <c r="X37" s="3">
        <f t="shared" si="16"/>
        <v>19</v>
      </c>
      <c r="Z37" s="367">
        <f t="shared" si="17"/>
        <v>3</v>
      </c>
      <c r="AA37" s="367">
        <f t="shared" si="43"/>
        <v>19</v>
      </c>
      <c r="AB37" s="367">
        <f t="shared" si="44"/>
        <v>0</v>
      </c>
      <c r="AC37" s="367" t="str">
        <f t="shared" si="18"/>
        <v xml:space="preserve">   2.1.2) E-gov service portal for residents</v>
      </c>
      <c r="AD37" s="367">
        <f t="shared" ca="1" si="19"/>
        <v>87.6</v>
      </c>
      <c r="AE37" s="367">
        <f t="shared" ca="1" si="20"/>
        <v>87.6</v>
      </c>
      <c r="AF37" s="367">
        <f t="shared" ca="1" si="21"/>
        <v>87.5</v>
      </c>
      <c r="AG37" s="367">
        <f t="shared" ca="1" si="22"/>
        <v>86.4</v>
      </c>
      <c r="AH37" s="367">
        <f t="shared" ca="1" si="23"/>
        <v>84.7</v>
      </c>
      <c r="AI37" s="367">
        <f t="shared" ca="1" si="24"/>
        <v>90</v>
      </c>
      <c r="AJ37" s="367">
        <f t="shared" ca="1" si="25"/>
        <v>92.3</v>
      </c>
      <c r="AK37" s="367">
        <f t="shared" ca="1" si="26"/>
        <v>75.3</v>
      </c>
      <c r="AL37" s="367">
        <f t="shared" ca="1" si="27"/>
        <v>84.8</v>
      </c>
      <c r="AM37" s="367">
        <f t="shared" ca="1" si="28"/>
        <v>90.1</v>
      </c>
      <c r="AN37" s="367">
        <f t="shared" ca="1" si="29"/>
        <v>88.3</v>
      </c>
      <c r="AO37" s="367">
        <f t="shared" ca="1" si="30"/>
        <v>89</v>
      </c>
      <c r="AP37" s="367">
        <f t="shared" ca="1" si="31"/>
        <v>84</v>
      </c>
      <c r="AQ37" s="367">
        <f t="shared" ca="1" si="32"/>
        <v>87.1</v>
      </c>
    </row>
    <row r="38" spans="1:43">
      <c r="A38" s="367">
        <f t="shared" si="33"/>
        <v>17</v>
      </c>
      <c r="B38" s="367">
        <f>tblIndiSets!B28</f>
        <v>17</v>
      </c>
      <c r="C38" s="367">
        <f>IF(tblIndiSets!D28&lt;=$B$3,tblIndiSets!D28,"")</f>
        <v>2</v>
      </c>
      <c r="D38" s="367">
        <f t="shared" si="40"/>
        <v>2</v>
      </c>
      <c r="E38" s="367" t="str">
        <f>tblIndiSets!E28</f>
        <v xml:space="preserve">  2.1) E-gov services for residents &amp; businesses</v>
      </c>
      <c r="F38" s="367">
        <f t="shared" si="35"/>
        <v>83</v>
      </c>
      <c r="G38" s="21">
        <f t="shared" ca="1" si="11"/>
        <v>68.2</v>
      </c>
      <c r="H38" s="21">
        <f t="shared" ca="1" si="12"/>
        <v>68.2</v>
      </c>
      <c r="I38" s="21">
        <f t="shared" ca="1" si="12"/>
        <v>67.400000000000006</v>
      </c>
      <c r="J38" s="21">
        <f t="shared" ca="1" si="12"/>
        <v>67.8</v>
      </c>
      <c r="K38" s="21">
        <f t="shared" ca="1" si="12"/>
        <v>67.7</v>
      </c>
      <c r="L38" s="21">
        <f t="shared" ca="1" si="12"/>
        <v>64.3</v>
      </c>
      <c r="M38" s="21">
        <f t="shared" ca="1" si="12"/>
        <v>73.2</v>
      </c>
      <c r="N38" s="21">
        <f t="shared" ca="1" si="12"/>
        <v>69.7</v>
      </c>
      <c r="O38" s="21">
        <f t="shared" ca="1" si="12"/>
        <v>65.099999999999994</v>
      </c>
      <c r="P38" s="21">
        <f t="shared" ca="1" si="12"/>
        <v>68.900000000000006</v>
      </c>
      <c r="Q38" s="21">
        <f t="shared" ca="1" si="12"/>
        <v>65.7</v>
      </c>
      <c r="R38" s="21">
        <f t="shared" ca="1" si="12"/>
        <v>74.599999999999994</v>
      </c>
      <c r="S38" s="21">
        <f t="shared" ca="1" si="12"/>
        <v>62.2</v>
      </c>
      <c r="T38" s="21">
        <f t="shared" ca="1" si="12"/>
        <v>66.8</v>
      </c>
      <c r="U38" s="21">
        <f t="shared" si="41"/>
        <v>83</v>
      </c>
      <c r="V38" s="367">
        <f t="shared" si="42"/>
        <v>2</v>
      </c>
      <c r="W38" s="3">
        <f>IF(OR($C38="",$C38=0,$C38=1),"",RANK(U38,U$22:U$91,0)+COUNTIF(U$22:U38,U38)-1)</f>
        <v>14</v>
      </c>
      <c r="X38" s="3">
        <f t="shared" si="16"/>
        <v>20</v>
      </c>
      <c r="Z38" s="367">
        <f t="shared" si="17"/>
        <v>3</v>
      </c>
      <c r="AA38" s="367">
        <f t="shared" si="43"/>
        <v>20</v>
      </c>
      <c r="AB38" s="367">
        <f t="shared" si="44"/>
        <v>0</v>
      </c>
      <c r="AC38" s="367" t="str">
        <f t="shared" si="18"/>
        <v xml:space="preserve">   2.1.3) E-gov service portal for businesses</v>
      </c>
      <c r="AD38" s="367">
        <f t="shared" ca="1" si="19"/>
        <v>95</v>
      </c>
      <c r="AE38" s="367">
        <f t="shared" ca="1" si="20"/>
        <v>95</v>
      </c>
      <c r="AF38" s="367">
        <f t="shared" ca="1" si="21"/>
        <v>95.8</v>
      </c>
      <c r="AG38" s="367">
        <f t="shared" ca="1" si="22"/>
        <v>95</v>
      </c>
      <c r="AH38" s="367">
        <f t="shared" ca="1" si="23"/>
        <v>83.3</v>
      </c>
      <c r="AI38" s="367">
        <f t="shared" ca="1" si="24"/>
        <v>100</v>
      </c>
      <c r="AJ38" s="367">
        <f t="shared" ca="1" si="25"/>
        <v>100</v>
      </c>
      <c r="AK38" s="367">
        <f t="shared" ca="1" si="26"/>
        <v>100</v>
      </c>
      <c r="AL38" s="367">
        <f t="shared" ca="1" si="27"/>
        <v>91.7</v>
      </c>
      <c r="AM38" s="367">
        <f t="shared" ca="1" si="28"/>
        <v>95.2</v>
      </c>
      <c r="AN38" s="367">
        <f t="shared" ca="1" si="29"/>
        <v>93.8</v>
      </c>
      <c r="AO38" s="367">
        <f t="shared" ca="1" si="30"/>
        <v>100</v>
      </c>
      <c r="AP38" s="367">
        <f t="shared" ca="1" si="31"/>
        <v>100</v>
      </c>
      <c r="AQ38" s="367">
        <f t="shared" ca="1" si="32"/>
        <v>88.9</v>
      </c>
    </row>
    <row r="39" spans="1:43">
      <c r="A39" s="367">
        <f t="shared" si="33"/>
        <v>18</v>
      </c>
      <c r="B39" s="367">
        <f>tblIndiSets!B29</f>
        <v>18</v>
      </c>
      <c r="C39" s="367">
        <f>IF(tblIndiSets!D29&lt;=$B$3,tblIndiSets!D29,"")</f>
        <v>3</v>
      </c>
      <c r="D39" s="367">
        <f t="shared" si="40"/>
        <v>3</v>
      </c>
      <c r="E39" s="367" t="str">
        <f>tblIndiSets!E29</f>
        <v xml:space="preserve">   2.1.1) Mobile digital national ID</v>
      </c>
      <c r="F39" s="367">
        <f t="shared" si="35"/>
        <v>82</v>
      </c>
      <c r="G39" s="21">
        <f t="shared" ca="1" si="11"/>
        <v>20</v>
      </c>
      <c r="H39" s="21">
        <f t="shared" ca="1" si="12"/>
        <v>20</v>
      </c>
      <c r="I39" s="21">
        <f t="shared" ca="1" si="12"/>
        <v>16.7</v>
      </c>
      <c r="J39" s="21">
        <f t="shared" ca="1" si="12"/>
        <v>20</v>
      </c>
      <c r="K39" s="21">
        <f t="shared" ca="1" si="12"/>
        <v>33.299999999999997</v>
      </c>
      <c r="L39" s="21">
        <f t="shared" ca="1" si="12"/>
        <v>0</v>
      </c>
      <c r="M39" s="21">
        <f t="shared" ca="1" si="12"/>
        <v>25</v>
      </c>
      <c r="N39" s="21">
        <f t="shared" ca="1" si="12"/>
        <v>33.299999999999997</v>
      </c>
      <c r="O39" s="21">
        <f t="shared" ca="1" si="12"/>
        <v>16.7</v>
      </c>
      <c r="P39" s="21">
        <f t="shared" ca="1" si="12"/>
        <v>19</v>
      </c>
      <c r="Q39" s="21">
        <f t="shared" ca="1" si="12"/>
        <v>12.5</v>
      </c>
      <c r="R39" s="21">
        <f t="shared" ca="1" si="12"/>
        <v>33.299999999999997</v>
      </c>
      <c r="S39" s="21">
        <f t="shared" ca="1" si="12"/>
        <v>0</v>
      </c>
      <c r="T39" s="21">
        <f t="shared" ca="1" si="12"/>
        <v>22.2</v>
      </c>
      <c r="U39" s="21">
        <f t="shared" si="41"/>
        <v>82</v>
      </c>
      <c r="V39" s="367">
        <f t="shared" si="42"/>
        <v>3</v>
      </c>
      <c r="W39" s="3">
        <f>IF(OR($C39="",$C39=0,$C39=1),"",RANK(U39,U$22:U$91,0)+COUNTIF(U$22:U39,U39)-1)</f>
        <v>15</v>
      </c>
      <c r="X39" s="3">
        <f t="shared" si="16"/>
        <v>21</v>
      </c>
      <c r="Z39" s="367">
        <f t="shared" si="17"/>
        <v>2</v>
      </c>
      <c r="AA39" s="367">
        <f t="shared" si="43"/>
        <v>21</v>
      </c>
      <c r="AB39" s="367">
        <f t="shared" si="44"/>
        <v>2</v>
      </c>
      <c r="AC39" s="367" t="str">
        <f t="shared" si="18"/>
        <v xml:space="preserve">  2.2) Digital finance</v>
      </c>
      <c r="AD39" s="367">
        <f t="shared" ca="1" si="19"/>
        <v>50.8</v>
      </c>
      <c r="AE39" s="367">
        <f t="shared" ca="1" si="20"/>
        <v>50.8</v>
      </c>
      <c r="AF39" s="367">
        <f t="shared" ca="1" si="21"/>
        <v>53.4</v>
      </c>
      <c r="AG39" s="367">
        <f t="shared" ca="1" si="22"/>
        <v>47.1</v>
      </c>
      <c r="AH39" s="367">
        <f t="shared" ca="1" si="23"/>
        <v>39.200000000000003</v>
      </c>
      <c r="AI39" s="367">
        <f t="shared" ca="1" si="24"/>
        <v>60.5</v>
      </c>
      <c r="AJ39" s="367">
        <f t="shared" ca="1" si="25"/>
        <v>58.5</v>
      </c>
      <c r="AK39" s="367">
        <f t="shared" ca="1" si="26"/>
        <v>47.7</v>
      </c>
      <c r="AL39" s="367">
        <f t="shared" ca="1" si="27"/>
        <v>46.9</v>
      </c>
      <c r="AM39" s="367">
        <f t="shared" ca="1" si="28"/>
        <v>52.3</v>
      </c>
      <c r="AN39" s="367">
        <f t="shared" ca="1" si="29"/>
        <v>54.2</v>
      </c>
      <c r="AO39" s="367">
        <f t="shared" ca="1" si="30"/>
        <v>48.2</v>
      </c>
      <c r="AP39" s="367">
        <f t="shared" ca="1" si="31"/>
        <v>46.6</v>
      </c>
      <c r="AQ39" s="367">
        <f t="shared" ca="1" si="32"/>
        <v>52.2</v>
      </c>
    </row>
    <row r="40" spans="1:43">
      <c r="A40" s="367">
        <f t="shared" si="33"/>
        <v>19</v>
      </c>
      <c r="B40" s="367">
        <f>tblIndiSets!B30</f>
        <v>19</v>
      </c>
      <c r="C40" s="367">
        <f>IF(tblIndiSets!D30&lt;=$B$3,tblIndiSets!D30,"")</f>
        <v>3</v>
      </c>
      <c r="D40" s="367">
        <f t="shared" si="40"/>
        <v>3</v>
      </c>
      <c r="E40" s="367" t="str">
        <f>tblIndiSets!E30</f>
        <v xml:space="preserve">   2.1.2) E-gov service portal for residents</v>
      </c>
      <c r="F40" s="367">
        <f t="shared" si="35"/>
        <v>81</v>
      </c>
      <c r="G40" s="21">
        <f t="shared" ca="1" si="11"/>
        <v>87.6</v>
      </c>
      <c r="H40" s="21">
        <f t="shared" ca="1" si="12"/>
        <v>87.6</v>
      </c>
      <c r="I40" s="21">
        <f t="shared" ca="1" si="12"/>
        <v>87.5</v>
      </c>
      <c r="J40" s="21">
        <f t="shared" ca="1" si="12"/>
        <v>86.4</v>
      </c>
      <c r="K40" s="21">
        <f t="shared" ca="1" si="12"/>
        <v>84.7</v>
      </c>
      <c r="L40" s="21">
        <f t="shared" ca="1" si="12"/>
        <v>90</v>
      </c>
      <c r="M40" s="21">
        <f t="shared" ca="1" si="12"/>
        <v>92.3</v>
      </c>
      <c r="N40" s="21">
        <f t="shared" ca="1" si="12"/>
        <v>75.3</v>
      </c>
      <c r="O40" s="21">
        <f t="shared" ca="1" si="12"/>
        <v>84.8</v>
      </c>
      <c r="P40" s="21">
        <f t="shared" ca="1" si="12"/>
        <v>90.1</v>
      </c>
      <c r="Q40" s="21">
        <f t="shared" ca="1" si="12"/>
        <v>88.3</v>
      </c>
      <c r="R40" s="21">
        <f t="shared" ca="1" si="12"/>
        <v>89</v>
      </c>
      <c r="S40" s="21">
        <f t="shared" ca="1" si="12"/>
        <v>84</v>
      </c>
      <c r="T40" s="21">
        <f t="shared" ca="1" si="12"/>
        <v>87.1</v>
      </c>
      <c r="U40" s="21">
        <f t="shared" si="41"/>
        <v>81</v>
      </c>
      <c r="V40" s="367">
        <f t="shared" si="42"/>
        <v>3</v>
      </c>
      <c r="W40" s="3">
        <f>IF(OR($C40="",$C40=0,$C40=1),"",RANK(U40,U$22:U$91,0)+COUNTIF(U$22:U40,U40)-1)</f>
        <v>16</v>
      </c>
      <c r="X40" s="3">
        <f t="shared" si="16"/>
        <v>22</v>
      </c>
      <c r="Z40" s="367">
        <f t="shared" si="17"/>
        <v>3</v>
      </c>
      <c r="AA40" s="367">
        <f t="shared" si="43"/>
        <v>22</v>
      </c>
      <c r="AB40" s="367">
        <f t="shared" si="44"/>
        <v>0</v>
      </c>
      <c r="AC40" s="367" t="str">
        <f t="shared" si="18"/>
        <v xml:space="preserve">   2.2.1) Digital platforms for banking and personal finance</v>
      </c>
      <c r="AD40" s="367">
        <f t="shared" ca="1" si="19"/>
        <v>55.9</v>
      </c>
      <c r="AE40" s="367">
        <f t="shared" ca="1" si="20"/>
        <v>55.9</v>
      </c>
      <c r="AF40" s="367">
        <f t="shared" ca="1" si="21"/>
        <v>61.6</v>
      </c>
      <c r="AG40" s="367">
        <f t="shared" ca="1" si="22"/>
        <v>54.6</v>
      </c>
      <c r="AH40" s="367">
        <f t="shared" ca="1" si="23"/>
        <v>52.2</v>
      </c>
      <c r="AI40" s="367">
        <f t="shared" ca="1" si="24"/>
        <v>89.1</v>
      </c>
      <c r="AJ40" s="367">
        <f t="shared" ca="1" si="25"/>
        <v>37</v>
      </c>
      <c r="AK40" s="367">
        <f t="shared" ca="1" si="26"/>
        <v>76.8</v>
      </c>
      <c r="AL40" s="367">
        <f t="shared" ca="1" si="27"/>
        <v>60.9</v>
      </c>
      <c r="AM40" s="367">
        <f t="shared" ca="1" si="28"/>
        <v>51.6</v>
      </c>
      <c r="AN40" s="367">
        <f t="shared" ca="1" si="29"/>
        <v>59.5</v>
      </c>
      <c r="AO40" s="367">
        <f t="shared" ca="1" si="30"/>
        <v>44.7</v>
      </c>
      <c r="AP40" s="367">
        <f t="shared" ca="1" si="31"/>
        <v>58.1</v>
      </c>
      <c r="AQ40" s="367">
        <f t="shared" ca="1" si="32"/>
        <v>63</v>
      </c>
    </row>
    <row r="41" spans="1:43">
      <c r="A41" s="367">
        <f t="shared" si="33"/>
        <v>20</v>
      </c>
      <c r="B41" s="367">
        <f>tblIndiSets!B31</f>
        <v>20</v>
      </c>
      <c r="C41" s="367">
        <f>IF(tblIndiSets!D31&lt;=$B$3,tblIndiSets!D31,"")</f>
        <v>3</v>
      </c>
      <c r="D41" s="367">
        <f t="shared" si="40"/>
        <v>3</v>
      </c>
      <c r="E41" s="367" t="str">
        <f>tblIndiSets!E31</f>
        <v xml:space="preserve">   2.1.3) E-gov service portal for businesses</v>
      </c>
      <c r="F41" s="367">
        <f t="shared" si="35"/>
        <v>80</v>
      </c>
      <c r="G41" s="21">
        <f t="shared" ca="1" si="11"/>
        <v>95</v>
      </c>
      <c r="H41" s="21">
        <f t="shared" ca="1" si="12"/>
        <v>95</v>
      </c>
      <c r="I41" s="21">
        <f t="shared" ca="1" si="12"/>
        <v>95.8</v>
      </c>
      <c r="J41" s="21">
        <f t="shared" ca="1" si="12"/>
        <v>95</v>
      </c>
      <c r="K41" s="21">
        <f t="shared" ca="1" si="12"/>
        <v>83.3</v>
      </c>
      <c r="L41" s="21">
        <f t="shared" ca="1" si="12"/>
        <v>100</v>
      </c>
      <c r="M41" s="21">
        <f t="shared" ca="1" si="12"/>
        <v>100</v>
      </c>
      <c r="N41" s="21">
        <f t="shared" ca="1" si="12"/>
        <v>100</v>
      </c>
      <c r="O41" s="21">
        <f t="shared" ca="1" si="12"/>
        <v>91.7</v>
      </c>
      <c r="P41" s="21">
        <f t="shared" ca="1" si="12"/>
        <v>95.2</v>
      </c>
      <c r="Q41" s="21">
        <f t="shared" ca="1" si="12"/>
        <v>93.8</v>
      </c>
      <c r="R41" s="21">
        <f t="shared" ca="1" si="12"/>
        <v>100</v>
      </c>
      <c r="S41" s="21">
        <f t="shared" ca="1" si="12"/>
        <v>100</v>
      </c>
      <c r="T41" s="21">
        <f t="shared" ca="1" si="12"/>
        <v>88.9</v>
      </c>
      <c r="U41" s="21">
        <f t="shared" si="41"/>
        <v>80</v>
      </c>
      <c r="V41" s="367">
        <f t="shared" si="42"/>
        <v>3</v>
      </c>
      <c r="W41" s="3">
        <f>IF(OR($C41="",$C41=0,$C41=1),"",RANK(U41,U$22:U$91,0)+COUNTIF(U$22:U41,U41)-1)</f>
        <v>17</v>
      </c>
      <c r="X41" s="3">
        <f t="shared" si="16"/>
        <v>23</v>
      </c>
      <c r="Z41" s="367">
        <f t="shared" si="17"/>
        <v>3</v>
      </c>
      <c r="AA41" s="367">
        <f t="shared" si="43"/>
        <v>23</v>
      </c>
      <c r="AB41" s="367">
        <f t="shared" si="44"/>
        <v>0</v>
      </c>
      <c r="AC41" s="367" t="str">
        <f t="shared" si="18"/>
        <v xml:space="preserve">   2.2.2) Digital investment management tools</v>
      </c>
      <c r="AD41" s="367">
        <f t="shared" ca="1" si="19"/>
        <v>36.799999999999997</v>
      </c>
      <c r="AE41" s="367">
        <f t="shared" ca="1" si="20"/>
        <v>36.799999999999997</v>
      </c>
      <c r="AF41" s="367">
        <f t="shared" ca="1" si="21"/>
        <v>54.2</v>
      </c>
      <c r="AG41" s="367">
        <f t="shared" ca="1" si="22"/>
        <v>14.8</v>
      </c>
      <c r="AH41" s="367">
        <f t="shared" ca="1" si="23"/>
        <v>39.4</v>
      </c>
      <c r="AI41" s="367">
        <f t="shared" ca="1" si="24"/>
        <v>80.3</v>
      </c>
      <c r="AJ41" s="367">
        <f t="shared" ca="1" si="25"/>
        <v>26.8</v>
      </c>
      <c r="AK41" s="367">
        <f t="shared" ca="1" si="26"/>
        <v>78.900000000000006</v>
      </c>
      <c r="AL41" s="367">
        <f t="shared" ca="1" si="27"/>
        <v>54.5</v>
      </c>
      <c r="AM41" s="367">
        <f t="shared" ca="1" si="28"/>
        <v>25.8</v>
      </c>
      <c r="AN41" s="367">
        <f t="shared" ca="1" si="29"/>
        <v>22.2</v>
      </c>
      <c r="AO41" s="367">
        <f t="shared" ca="1" si="30"/>
        <v>30.1</v>
      </c>
      <c r="AP41" s="367">
        <f t="shared" ca="1" si="31"/>
        <v>38.700000000000003</v>
      </c>
      <c r="AQ41" s="367">
        <f t="shared" ca="1" si="32"/>
        <v>55.7</v>
      </c>
    </row>
    <row r="42" spans="1:43">
      <c r="A42" s="367">
        <f t="shared" si="33"/>
        <v>21</v>
      </c>
      <c r="B42" s="367">
        <f>tblIndiSets!B32</f>
        <v>21</v>
      </c>
      <c r="C42" s="367">
        <f>IF(tblIndiSets!D32&lt;=$B$3,tblIndiSets!D32,"")</f>
        <v>2</v>
      </c>
      <c r="D42" s="367">
        <f t="shared" si="40"/>
        <v>2</v>
      </c>
      <c r="E42" s="367" t="str">
        <f>tblIndiSets!E32</f>
        <v xml:space="preserve">  2.2) Digital finance</v>
      </c>
      <c r="F42" s="367">
        <f t="shared" si="35"/>
        <v>79</v>
      </c>
      <c r="G42" s="21">
        <f t="shared" ca="1" si="11"/>
        <v>50.8</v>
      </c>
      <c r="H42" s="21">
        <f t="shared" ca="1" si="12"/>
        <v>50.8</v>
      </c>
      <c r="I42" s="21">
        <f t="shared" ca="1" si="12"/>
        <v>53.4</v>
      </c>
      <c r="J42" s="21">
        <f t="shared" ca="1" si="12"/>
        <v>47.1</v>
      </c>
      <c r="K42" s="21">
        <f t="shared" ca="1" si="12"/>
        <v>39.200000000000003</v>
      </c>
      <c r="L42" s="21">
        <f t="shared" ca="1" si="12"/>
        <v>60.5</v>
      </c>
      <c r="M42" s="21">
        <f t="shared" ca="1" si="12"/>
        <v>58.5</v>
      </c>
      <c r="N42" s="21">
        <f t="shared" ca="1" si="12"/>
        <v>47.7</v>
      </c>
      <c r="O42" s="21">
        <f t="shared" ca="1" si="12"/>
        <v>46.9</v>
      </c>
      <c r="P42" s="21">
        <f t="shared" ca="1" si="12"/>
        <v>52.3</v>
      </c>
      <c r="Q42" s="21">
        <f t="shared" ca="1" si="12"/>
        <v>54.2</v>
      </c>
      <c r="R42" s="21">
        <f t="shared" ca="1" si="12"/>
        <v>48.2</v>
      </c>
      <c r="S42" s="21">
        <f t="shared" ca="1" si="12"/>
        <v>46.6</v>
      </c>
      <c r="T42" s="21">
        <f t="shared" ca="1" si="12"/>
        <v>52.2</v>
      </c>
      <c r="U42" s="21">
        <f t="shared" si="41"/>
        <v>79</v>
      </c>
      <c r="V42" s="367">
        <f t="shared" si="42"/>
        <v>2</v>
      </c>
      <c r="W42" s="3">
        <f>IF(OR($C42="",$C42=0,$C42=1),"",RANK(U42,U$22:U$91,0)+COUNTIF(U$22:U42,U42)-1)</f>
        <v>18</v>
      </c>
      <c r="X42" s="3">
        <f t="shared" si="16"/>
        <v>24</v>
      </c>
      <c r="Z42" s="367">
        <f t="shared" si="17"/>
        <v>3</v>
      </c>
      <c r="AA42" s="367">
        <f t="shared" si="43"/>
        <v>24</v>
      </c>
      <c r="AB42" s="367">
        <f t="shared" si="44"/>
        <v>0</v>
      </c>
      <c r="AC42" s="367" t="str">
        <f t="shared" si="18"/>
        <v xml:space="preserve">   2.2.3) E-payments</v>
      </c>
      <c r="AD42" s="367">
        <f t="shared" ca="1" si="19"/>
        <v>54.1</v>
      </c>
      <c r="AE42" s="367">
        <f t="shared" ca="1" si="20"/>
        <v>54.1</v>
      </c>
      <c r="AF42" s="367">
        <f t="shared" ca="1" si="21"/>
        <v>46.3</v>
      </c>
      <c r="AG42" s="367">
        <f t="shared" ca="1" si="22"/>
        <v>58.4</v>
      </c>
      <c r="AH42" s="367">
        <f t="shared" ca="1" si="23"/>
        <v>28.7</v>
      </c>
      <c r="AI42" s="367">
        <f t="shared" ca="1" si="24"/>
        <v>27.2</v>
      </c>
      <c r="AJ42" s="367">
        <f t="shared" ca="1" si="25"/>
        <v>92.6</v>
      </c>
      <c r="AK42" s="367">
        <f t="shared" ca="1" si="26"/>
        <v>7.8</v>
      </c>
      <c r="AL42" s="367">
        <f t="shared" ca="1" si="27"/>
        <v>31.6</v>
      </c>
      <c r="AM42" s="367">
        <f t="shared" ca="1" si="28"/>
        <v>67.2</v>
      </c>
      <c r="AN42" s="367">
        <f t="shared" ca="1" si="29"/>
        <v>67</v>
      </c>
      <c r="AO42" s="367">
        <f t="shared" ca="1" si="30"/>
        <v>60.8</v>
      </c>
      <c r="AP42" s="367">
        <f t="shared" ca="1" si="31"/>
        <v>41.6</v>
      </c>
      <c r="AQ42" s="367">
        <f t="shared" ca="1" si="32"/>
        <v>41.5</v>
      </c>
    </row>
    <row r="43" spans="1:43">
      <c r="A43" s="367">
        <f t="shared" si="33"/>
        <v>22</v>
      </c>
      <c r="B43" s="367">
        <f>tblIndiSets!B33</f>
        <v>22</v>
      </c>
      <c r="C43" s="367">
        <f>IF(tblIndiSets!D33&lt;=$B$3,tblIndiSets!D33,"")</f>
        <v>3</v>
      </c>
      <c r="D43" s="367">
        <f t="shared" si="40"/>
        <v>3</v>
      </c>
      <c r="E43" s="367" t="str">
        <f>tblIndiSets!E33</f>
        <v xml:space="preserve">   2.2.1) Digital platforms for banking and personal finance</v>
      </c>
      <c r="F43" s="367">
        <f t="shared" si="35"/>
        <v>78</v>
      </c>
      <c r="G43" s="21">
        <f t="shared" ca="1" si="11"/>
        <v>55.9</v>
      </c>
      <c r="H43" s="21">
        <f t="shared" ca="1" si="12"/>
        <v>55.9</v>
      </c>
      <c r="I43" s="21">
        <f t="shared" ca="1" si="12"/>
        <v>61.6</v>
      </c>
      <c r="J43" s="21">
        <f t="shared" ca="1" si="12"/>
        <v>54.6</v>
      </c>
      <c r="K43" s="21">
        <f t="shared" ca="1" si="12"/>
        <v>52.2</v>
      </c>
      <c r="L43" s="21">
        <f t="shared" ca="1" si="12"/>
        <v>89.1</v>
      </c>
      <c r="M43" s="21">
        <f t="shared" ca="1" si="12"/>
        <v>37</v>
      </c>
      <c r="N43" s="21">
        <f t="shared" ca="1" si="12"/>
        <v>76.8</v>
      </c>
      <c r="O43" s="21">
        <f t="shared" ca="1" si="12"/>
        <v>60.9</v>
      </c>
      <c r="P43" s="21">
        <f t="shared" ca="1" si="12"/>
        <v>51.6</v>
      </c>
      <c r="Q43" s="21">
        <f t="shared" ca="1" si="12"/>
        <v>59.5</v>
      </c>
      <c r="R43" s="21">
        <f t="shared" ca="1" si="12"/>
        <v>44.7</v>
      </c>
      <c r="S43" s="21">
        <f t="shared" ca="1" si="12"/>
        <v>58.1</v>
      </c>
      <c r="T43" s="21">
        <f t="shared" ca="1" si="12"/>
        <v>63</v>
      </c>
      <c r="U43" s="21">
        <f t="shared" si="41"/>
        <v>78</v>
      </c>
      <c r="V43" s="367">
        <f t="shared" si="42"/>
        <v>3</v>
      </c>
      <c r="W43" s="3">
        <f>IF(OR($C43="",$C43=0,$C43=1),"",RANK(U43,U$22:U$91,0)+COUNTIF(U$22:U43,U43)-1)</f>
        <v>19</v>
      </c>
      <c r="X43" s="3">
        <f t="shared" si="16"/>
        <v>25</v>
      </c>
      <c r="Z43" s="367">
        <f t="shared" si="17"/>
        <v>2</v>
      </c>
      <c r="AA43" s="367">
        <f t="shared" si="43"/>
        <v>25</v>
      </c>
      <c r="AB43" s="367">
        <f t="shared" si="44"/>
        <v>2</v>
      </c>
      <c r="AC43" s="367" t="str">
        <f t="shared" si="18"/>
        <v xml:space="preserve">  2.3) Transportation</v>
      </c>
      <c r="AD43" s="367">
        <f t="shared" ca="1" si="19"/>
        <v>67.599999999999994</v>
      </c>
      <c r="AE43" s="367">
        <f t="shared" ca="1" si="20"/>
        <v>67.599999999999994</v>
      </c>
      <c r="AF43" s="367">
        <f t="shared" ca="1" si="21"/>
        <v>63.1</v>
      </c>
      <c r="AG43" s="367">
        <f t="shared" ca="1" si="22"/>
        <v>85.9</v>
      </c>
      <c r="AH43" s="367">
        <f t="shared" ca="1" si="23"/>
        <v>27.4</v>
      </c>
      <c r="AI43" s="367">
        <f t="shared" ca="1" si="24"/>
        <v>100</v>
      </c>
      <c r="AJ43" s="367">
        <f t="shared" ca="1" si="25"/>
        <v>57.7</v>
      </c>
      <c r="AK43" s="367">
        <f t="shared" ca="1" si="26"/>
        <v>39.299999999999997</v>
      </c>
      <c r="AL43" s="367">
        <f t="shared" ca="1" si="27"/>
        <v>44.9</v>
      </c>
      <c r="AM43" s="367">
        <f t="shared" ca="1" si="28"/>
        <v>78.2</v>
      </c>
      <c r="AN43" s="367">
        <f t="shared" ca="1" si="29"/>
        <v>84.6</v>
      </c>
      <c r="AO43" s="367">
        <f t="shared" ca="1" si="30"/>
        <v>73.2</v>
      </c>
      <c r="AP43" s="367">
        <f t="shared" ca="1" si="31"/>
        <v>57.1</v>
      </c>
      <c r="AQ43" s="367">
        <f t="shared" ca="1" si="32"/>
        <v>51.6</v>
      </c>
    </row>
    <row r="44" spans="1:43">
      <c r="A44" s="367">
        <f t="shared" si="33"/>
        <v>23</v>
      </c>
      <c r="B44" s="367">
        <f>tblIndiSets!B34</f>
        <v>23</v>
      </c>
      <c r="C44" s="367">
        <f>IF(tblIndiSets!D34&lt;=$B$3,tblIndiSets!D34,"")</f>
        <v>3</v>
      </c>
      <c r="D44" s="367">
        <f t="shared" ref="D44:D91" si="45">C44</f>
        <v>3</v>
      </c>
      <c r="E44" s="367" t="str">
        <f>tblIndiSets!E34</f>
        <v xml:space="preserve">   2.2.2) Digital investment management tools</v>
      </c>
      <c r="F44" s="367">
        <f t="shared" si="35"/>
        <v>77</v>
      </c>
      <c r="G44" s="21">
        <f t="shared" ca="1" si="11"/>
        <v>36.799999999999997</v>
      </c>
      <c r="H44" s="21">
        <f t="shared" ca="1" si="12"/>
        <v>36.799999999999997</v>
      </c>
      <c r="I44" s="21">
        <f t="shared" ca="1" si="12"/>
        <v>54.2</v>
      </c>
      <c r="J44" s="21">
        <f t="shared" ca="1" si="12"/>
        <v>14.8</v>
      </c>
      <c r="K44" s="21">
        <f t="shared" ca="1" si="12"/>
        <v>39.4</v>
      </c>
      <c r="L44" s="21">
        <f t="shared" ca="1" si="12"/>
        <v>80.3</v>
      </c>
      <c r="M44" s="21">
        <f t="shared" ca="1" si="12"/>
        <v>26.8</v>
      </c>
      <c r="N44" s="21">
        <f t="shared" ca="1" si="12"/>
        <v>78.900000000000006</v>
      </c>
      <c r="O44" s="21">
        <f t="shared" ca="1" si="12"/>
        <v>54.5</v>
      </c>
      <c r="P44" s="21">
        <f t="shared" ca="1" si="12"/>
        <v>25.8</v>
      </c>
      <c r="Q44" s="21">
        <f t="shared" ca="1" si="12"/>
        <v>22.2</v>
      </c>
      <c r="R44" s="21">
        <f t="shared" ca="1" si="12"/>
        <v>30.1</v>
      </c>
      <c r="S44" s="21">
        <f t="shared" ca="1" si="12"/>
        <v>38.700000000000003</v>
      </c>
      <c r="T44" s="21">
        <f t="shared" ca="1" si="12"/>
        <v>55.7</v>
      </c>
      <c r="U44" s="21">
        <f t="shared" ref="U44:U91" si="46">IF(OR($C44="",$C44=0,$C44=1),"",INDEX(F44:T44,$F$1))</f>
        <v>77</v>
      </c>
      <c r="V44" s="367">
        <f t="shared" ref="V44:V91" si="47">D44</f>
        <v>3</v>
      </c>
      <c r="W44" s="3">
        <f>IF(OR($C44="",$C44=0,$C44=1),"",RANK(U44,U$22:U$91,0)+COUNTIF(U$22:U44,U44)-1)</f>
        <v>20</v>
      </c>
      <c r="X44" s="3">
        <f t="shared" ref="X44:X91" si="48">IF(ISERROR(MATCH($A44,W$22:W$91,0)),"",MATCH($A44,W$22:W$91,0))</f>
        <v>26</v>
      </c>
      <c r="Z44" s="367">
        <f t="shared" ref="Z44:Z91" si="49">IF(ISNUMBER(AA44),INDEX($C$22:$C$91,AA44),"")</f>
        <v>3</v>
      </c>
      <c r="AA44" s="367">
        <f t="shared" ref="AA44:AA91" si="50">X44</f>
        <v>26</v>
      </c>
      <c r="AB44" s="367">
        <f t="shared" ref="AB44:AB91" si="51">IF($D$2=AA44,1,CHOOSE($B$3,0,0,IF(Z44=2,2,0),Z44,Z44))</f>
        <v>0</v>
      </c>
      <c r="AC44" s="367" t="str">
        <f t="shared" ref="AC44:AC91" si="52">IF(ISNUMBER(AA44),INDEX($E$22:$E$91,AA44),"")</f>
        <v xml:space="preserve">   2.3.1) Integrated public transport apps</v>
      </c>
      <c r="AD44" s="367">
        <f t="shared" ref="AD44:AD91" ca="1" si="53">IF(ISNUMBER($AA44),INDEX(G$22:G$91,$AA44),"")</f>
        <v>65.599999999999994</v>
      </c>
      <c r="AE44" s="367">
        <f t="shared" ref="AE44:AE91" ca="1" si="54">IF(ISNUMBER($AA44),INDEX(H$22:H$91,$AA44),"")</f>
        <v>65.599999999999994</v>
      </c>
      <c r="AF44" s="367">
        <f t="shared" ref="AF44:AF91" ca="1" si="55">IF(ISNUMBER($AA44),INDEX(I$22:I$91,$AA44),"")</f>
        <v>52.8</v>
      </c>
      <c r="AG44" s="367">
        <f t="shared" ref="AG44:AG91" ca="1" si="56">IF(ISNUMBER($AA44),INDEX(J$22:J$91,$AA44),"")</f>
        <v>86.7</v>
      </c>
      <c r="AH44" s="367">
        <f t="shared" ref="AH44:AH91" ca="1" si="57">IF(ISNUMBER($AA44),INDEX(K$22:K$91,$AA44),"")</f>
        <v>22.2</v>
      </c>
      <c r="AI44" s="367">
        <f t="shared" ref="AI44:AI91" ca="1" si="58">IF(ISNUMBER($AA44),INDEX(L$22:L$91,$AA44),"")</f>
        <v>100</v>
      </c>
      <c r="AJ44" s="367">
        <f t="shared" ref="AJ44:AJ91" ca="1" si="59">IF(ISNUMBER($AA44),INDEX(M$22:M$91,$AA44),"")</f>
        <v>75</v>
      </c>
      <c r="AK44" s="367">
        <f t="shared" ref="AK44:AK91" ca="1" si="60">IF(ISNUMBER($AA44),INDEX(N$22:N$91,$AA44),"")</f>
        <v>44.4</v>
      </c>
      <c r="AL44" s="367">
        <f t="shared" ref="AL44:AL91" ca="1" si="61">IF(ISNUMBER($AA44),INDEX(O$22:O$91,$AA44),"")</f>
        <v>33.4</v>
      </c>
      <c r="AM44" s="367">
        <f t="shared" ref="AM44:AM91" ca="1" si="62">IF(ISNUMBER($AA44),INDEX(P$22:P$91,$AA44),"")</f>
        <v>77.8</v>
      </c>
      <c r="AN44" s="367">
        <f t="shared" ref="AN44:AN91" ca="1" si="63">IF(ISNUMBER($AA44),INDEX(Q$22:Q$91,$AA44),"")</f>
        <v>87.5</v>
      </c>
      <c r="AO44" s="367">
        <f t="shared" ref="AO44:AO91" ca="1" si="64">IF(ISNUMBER($AA44),INDEX(R$22:R$91,$AA44),"")</f>
        <v>74.099999999999994</v>
      </c>
      <c r="AP44" s="367">
        <f t="shared" ref="AP44:AP91" ca="1" si="65">IF(ISNUMBER($AA44),INDEX(S$22:S$91,$AA44),"")</f>
        <v>41.7</v>
      </c>
      <c r="AQ44" s="367">
        <f t="shared" ref="AQ44:AQ91" ca="1" si="66">IF(ISNUMBER($AA44),INDEX(T$22:T$91,$AA44),"")</f>
        <v>48.2</v>
      </c>
    </row>
    <row r="45" spans="1:43">
      <c r="A45" s="367">
        <f t="shared" si="33"/>
        <v>24</v>
      </c>
      <c r="B45" s="367">
        <f>tblIndiSets!B35</f>
        <v>24</v>
      </c>
      <c r="C45" s="367">
        <f>IF(tblIndiSets!D35&lt;=$B$3,tblIndiSets!D35,"")</f>
        <v>3</v>
      </c>
      <c r="D45" s="367">
        <f t="shared" si="45"/>
        <v>3</v>
      </c>
      <c r="E45" s="367" t="str">
        <f>tblIndiSets!E35</f>
        <v xml:space="preserve">   2.2.3) E-payments</v>
      </c>
      <c r="F45" s="367">
        <f t="shared" si="35"/>
        <v>76</v>
      </c>
      <c r="G45" s="21">
        <f t="shared" ca="1" si="11"/>
        <v>54.1</v>
      </c>
      <c r="H45" s="21">
        <f t="shared" ca="1" si="12"/>
        <v>54.1</v>
      </c>
      <c r="I45" s="21">
        <f t="shared" ca="1" si="12"/>
        <v>46.3</v>
      </c>
      <c r="J45" s="21">
        <f t="shared" ca="1" si="12"/>
        <v>58.4</v>
      </c>
      <c r="K45" s="21">
        <f t="shared" ca="1" si="12"/>
        <v>28.7</v>
      </c>
      <c r="L45" s="21">
        <f t="shared" ca="1" si="12"/>
        <v>27.2</v>
      </c>
      <c r="M45" s="21">
        <f t="shared" ca="1" si="12"/>
        <v>92.6</v>
      </c>
      <c r="N45" s="21">
        <f t="shared" ca="1" si="12"/>
        <v>7.8</v>
      </c>
      <c r="O45" s="21">
        <f t="shared" ca="1" si="12"/>
        <v>31.6</v>
      </c>
      <c r="P45" s="21">
        <f t="shared" ca="1" si="12"/>
        <v>67.2</v>
      </c>
      <c r="Q45" s="21">
        <f t="shared" ca="1" si="12"/>
        <v>67</v>
      </c>
      <c r="R45" s="21">
        <f t="shared" ca="1" si="12"/>
        <v>60.8</v>
      </c>
      <c r="S45" s="21">
        <f t="shared" ca="1" si="12"/>
        <v>41.6</v>
      </c>
      <c r="T45" s="21">
        <f t="shared" ca="1" si="12"/>
        <v>41.5</v>
      </c>
      <c r="U45" s="21">
        <f t="shared" si="46"/>
        <v>76</v>
      </c>
      <c r="V45" s="367">
        <f t="shared" si="47"/>
        <v>3</v>
      </c>
      <c r="W45" s="3">
        <f>IF(OR($C45="",$C45=0,$C45=1),"",RANK(U45,U$22:U$91,0)+COUNTIF(U$22:U45,U45)-1)</f>
        <v>21</v>
      </c>
      <c r="X45" s="3">
        <f t="shared" si="48"/>
        <v>27</v>
      </c>
      <c r="Z45" s="367">
        <f t="shared" si="49"/>
        <v>3</v>
      </c>
      <c r="AA45" s="367">
        <f t="shared" si="50"/>
        <v>27</v>
      </c>
      <c r="AB45" s="367">
        <f t="shared" si="51"/>
        <v>0</v>
      </c>
      <c r="AC45" s="367" t="str">
        <f t="shared" si="52"/>
        <v xml:space="preserve">   2.3.2) Digital identification at airports</v>
      </c>
      <c r="AD45" s="367">
        <f t="shared" ca="1" si="53"/>
        <v>70</v>
      </c>
      <c r="AE45" s="367">
        <f t="shared" ca="1" si="54"/>
        <v>70</v>
      </c>
      <c r="AF45" s="367">
        <f t="shared" ca="1" si="55"/>
        <v>75</v>
      </c>
      <c r="AG45" s="367">
        <f t="shared" ca="1" si="56"/>
        <v>85</v>
      </c>
      <c r="AH45" s="367">
        <f t="shared" ca="1" si="57"/>
        <v>33.299999999999997</v>
      </c>
      <c r="AI45" s="367">
        <f t="shared" ca="1" si="58"/>
        <v>100</v>
      </c>
      <c r="AJ45" s="367">
        <f t="shared" ca="1" si="59"/>
        <v>37.5</v>
      </c>
      <c r="AK45" s="367">
        <f t="shared" ca="1" si="60"/>
        <v>33.299999999999997</v>
      </c>
      <c r="AL45" s="367">
        <f t="shared" ca="1" si="61"/>
        <v>58.3</v>
      </c>
      <c r="AM45" s="367">
        <f t="shared" ca="1" si="62"/>
        <v>78.599999999999994</v>
      </c>
      <c r="AN45" s="367">
        <f t="shared" ca="1" si="63"/>
        <v>81.3</v>
      </c>
      <c r="AO45" s="367">
        <f t="shared" ca="1" si="64"/>
        <v>72.2</v>
      </c>
      <c r="AP45" s="367">
        <f t="shared" ca="1" si="65"/>
        <v>75</v>
      </c>
      <c r="AQ45" s="367">
        <f t="shared" ca="1" si="66"/>
        <v>55.6</v>
      </c>
    </row>
    <row r="46" spans="1:43">
      <c r="A46" s="367">
        <f t="shared" si="33"/>
        <v>25</v>
      </c>
      <c r="B46" s="367">
        <f>tblIndiSets!B36</f>
        <v>25</v>
      </c>
      <c r="C46" s="367">
        <f>IF(tblIndiSets!D36&lt;=$B$3,tblIndiSets!D36,"")</f>
        <v>2</v>
      </c>
      <c r="D46" s="367">
        <f t="shared" si="45"/>
        <v>2</v>
      </c>
      <c r="E46" s="367" t="str">
        <f>tblIndiSets!E36</f>
        <v xml:space="preserve">  2.3) Transportation</v>
      </c>
      <c r="F46" s="367">
        <f t="shared" si="35"/>
        <v>75</v>
      </c>
      <c r="G46" s="21">
        <f t="shared" ca="1" si="11"/>
        <v>67.599999999999994</v>
      </c>
      <c r="H46" s="21">
        <f t="shared" ca="1" si="12"/>
        <v>67.599999999999994</v>
      </c>
      <c r="I46" s="21">
        <f t="shared" ca="1" si="12"/>
        <v>63.1</v>
      </c>
      <c r="J46" s="21">
        <f t="shared" ca="1" si="12"/>
        <v>85.9</v>
      </c>
      <c r="K46" s="21">
        <f t="shared" ca="1" si="12"/>
        <v>27.4</v>
      </c>
      <c r="L46" s="21">
        <f t="shared" ca="1" si="12"/>
        <v>100</v>
      </c>
      <c r="M46" s="21">
        <f t="shared" ca="1" si="12"/>
        <v>57.7</v>
      </c>
      <c r="N46" s="21">
        <f t="shared" ca="1" si="12"/>
        <v>39.299999999999997</v>
      </c>
      <c r="O46" s="21">
        <f t="shared" ca="1" si="12"/>
        <v>44.9</v>
      </c>
      <c r="P46" s="21">
        <f t="shared" ca="1" si="12"/>
        <v>78.2</v>
      </c>
      <c r="Q46" s="21">
        <f t="shared" ca="1" si="12"/>
        <v>84.6</v>
      </c>
      <c r="R46" s="21">
        <f t="shared" ca="1" si="12"/>
        <v>73.2</v>
      </c>
      <c r="S46" s="21">
        <f t="shared" ca="1" si="12"/>
        <v>57.1</v>
      </c>
      <c r="T46" s="21">
        <f t="shared" ca="1" si="12"/>
        <v>51.6</v>
      </c>
      <c r="U46" s="21">
        <f t="shared" si="46"/>
        <v>75</v>
      </c>
      <c r="V46" s="367">
        <f t="shared" si="47"/>
        <v>2</v>
      </c>
      <c r="W46" s="3">
        <f>IF(OR($C46="",$C46=0,$C46=1),"",RANK(U46,U$22:U$91,0)+COUNTIF(U$22:U46,U46)-1)</f>
        <v>22</v>
      </c>
      <c r="X46" s="3">
        <f t="shared" si="48"/>
        <v>28</v>
      </c>
      <c r="Z46" s="367">
        <f t="shared" si="49"/>
        <v>2</v>
      </c>
      <c r="AA46" s="367">
        <f t="shared" si="50"/>
        <v>28</v>
      </c>
      <c r="AB46" s="367">
        <f t="shared" si="51"/>
        <v>2</v>
      </c>
      <c r="AC46" s="367" t="str">
        <f t="shared" si="52"/>
        <v xml:space="preserve">  2.4) Healthcare</v>
      </c>
      <c r="AD46" s="367">
        <f t="shared" ca="1" si="53"/>
        <v>71.599999999999994</v>
      </c>
      <c r="AE46" s="367">
        <f t="shared" ca="1" si="54"/>
        <v>71.599999999999994</v>
      </c>
      <c r="AF46" s="367">
        <f t="shared" ca="1" si="55"/>
        <v>67.900000000000006</v>
      </c>
      <c r="AG46" s="367">
        <f t="shared" ca="1" si="56"/>
        <v>78.8</v>
      </c>
      <c r="AH46" s="367">
        <f t="shared" ca="1" si="57"/>
        <v>50.5</v>
      </c>
      <c r="AI46" s="367">
        <f t="shared" ca="1" si="58"/>
        <v>81.599999999999994</v>
      </c>
      <c r="AJ46" s="367">
        <f t="shared" ca="1" si="59"/>
        <v>78.400000000000006</v>
      </c>
      <c r="AK46" s="367">
        <f t="shared" ca="1" si="60"/>
        <v>61.2</v>
      </c>
      <c r="AL46" s="367">
        <f t="shared" ca="1" si="61"/>
        <v>64.7</v>
      </c>
      <c r="AM46" s="367">
        <f t="shared" ca="1" si="62"/>
        <v>75.099999999999994</v>
      </c>
      <c r="AN46" s="367">
        <f t="shared" ca="1" si="63"/>
        <v>75.900000000000006</v>
      </c>
      <c r="AO46" s="367">
        <f t="shared" ca="1" si="64"/>
        <v>77</v>
      </c>
      <c r="AP46" s="367">
        <f t="shared" ca="1" si="65"/>
        <v>71.7</v>
      </c>
      <c r="AQ46" s="367">
        <f t="shared" ca="1" si="66"/>
        <v>62.5</v>
      </c>
    </row>
    <row r="47" spans="1:43">
      <c r="A47" s="367">
        <f t="shared" si="33"/>
        <v>26</v>
      </c>
      <c r="B47" s="367">
        <f>tblIndiSets!B37</f>
        <v>26</v>
      </c>
      <c r="C47" s="367">
        <f>IF(tblIndiSets!D37&lt;=$B$3,tblIndiSets!D37,"")</f>
        <v>3</v>
      </c>
      <c r="D47" s="367">
        <f t="shared" si="45"/>
        <v>3</v>
      </c>
      <c r="E47" s="367" t="str">
        <f>tblIndiSets!E37</f>
        <v xml:space="preserve">   2.3.1) Integrated public transport apps</v>
      </c>
      <c r="F47" s="367">
        <f t="shared" si="35"/>
        <v>74</v>
      </c>
      <c r="G47" s="21">
        <f t="shared" ca="1" si="11"/>
        <v>65.599999999999994</v>
      </c>
      <c r="H47" s="21">
        <f t="shared" ca="1" si="12"/>
        <v>65.599999999999994</v>
      </c>
      <c r="I47" s="21">
        <f t="shared" ca="1" si="12"/>
        <v>52.8</v>
      </c>
      <c r="J47" s="21">
        <f t="shared" ca="1" si="12"/>
        <v>86.7</v>
      </c>
      <c r="K47" s="21">
        <f t="shared" ca="1" si="12"/>
        <v>22.2</v>
      </c>
      <c r="L47" s="21">
        <f t="shared" ca="1" si="12"/>
        <v>100</v>
      </c>
      <c r="M47" s="21">
        <f t="shared" ca="1" si="12"/>
        <v>75</v>
      </c>
      <c r="N47" s="21">
        <f t="shared" ca="1" si="12"/>
        <v>44.4</v>
      </c>
      <c r="O47" s="21">
        <f t="shared" ca="1" si="12"/>
        <v>33.4</v>
      </c>
      <c r="P47" s="21">
        <f t="shared" ca="1" si="12"/>
        <v>77.8</v>
      </c>
      <c r="Q47" s="21">
        <f t="shared" ca="1" si="12"/>
        <v>87.5</v>
      </c>
      <c r="R47" s="21">
        <f t="shared" ca="1" si="12"/>
        <v>74.099999999999994</v>
      </c>
      <c r="S47" s="21">
        <f t="shared" ca="1" si="12"/>
        <v>41.7</v>
      </c>
      <c r="T47" s="21">
        <f t="shared" ca="1" si="12"/>
        <v>48.2</v>
      </c>
      <c r="U47" s="21">
        <f t="shared" si="46"/>
        <v>74</v>
      </c>
      <c r="V47" s="367">
        <f t="shared" si="47"/>
        <v>3</v>
      </c>
      <c r="W47" s="3">
        <f>IF(OR($C47="",$C47=0,$C47=1),"",RANK(U47,U$22:U$91,0)+COUNTIF(U$22:U47,U47)-1)</f>
        <v>23</v>
      </c>
      <c r="X47" s="3">
        <f t="shared" si="48"/>
        <v>29</v>
      </c>
      <c r="Z47" s="367">
        <f t="shared" si="49"/>
        <v>3</v>
      </c>
      <c r="AA47" s="367">
        <f t="shared" si="50"/>
        <v>29</v>
      </c>
      <c r="AB47" s="367">
        <f t="shared" si="51"/>
        <v>0</v>
      </c>
      <c r="AC47" s="367" t="str">
        <f t="shared" si="52"/>
        <v xml:space="preserve">   2.4.1) Telehealth &amp; telemedicine</v>
      </c>
      <c r="AD47" s="367">
        <f t="shared" ca="1" si="53"/>
        <v>52.9</v>
      </c>
      <c r="AE47" s="367">
        <f t="shared" ca="1" si="54"/>
        <v>52.9</v>
      </c>
      <c r="AF47" s="367">
        <f t="shared" ca="1" si="55"/>
        <v>60</v>
      </c>
      <c r="AG47" s="367">
        <f t="shared" ca="1" si="56"/>
        <v>50.4</v>
      </c>
      <c r="AH47" s="367">
        <f t="shared" ca="1" si="57"/>
        <v>46.1</v>
      </c>
      <c r="AI47" s="367">
        <f t="shared" ca="1" si="58"/>
        <v>100</v>
      </c>
      <c r="AJ47" s="367">
        <f t="shared" ca="1" si="59"/>
        <v>31.7</v>
      </c>
      <c r="AK47" s="367">
        <f t="shared" ca="1" si="60"/>
        <v>54.8</v>
      </c>
      <c r="AL47" s="367">
        <f t="shared" ca="1" si="61"/>
        <v>59</v>
      </c>
      <c r="AM47" s="367">
        <f t="shared" ca="1" si="62"/>
        <v>51</v>
      </c>
      <c r="AN47" s="367">
        <f t="shared" ca="1" si="63"/>
        <v>52.8</v>
      </c>
      <c r="AO47" s="367">
        <f t="shared" ca="1" si="64"/>
        <v>53.1</v>
      </c>
      <c r="AP47" s="367">
        <f t="shared" ca="1" si="65"/>
        <v>54</v>
      </c>
      <c r="AQ47" s="367">
        <f t="shared" ca="1" si="66"/>
        <v>52.5</v>
      </c>
    </row>
    <row r="48" spans="1:43">
      <c r="A48" s="367">
        <f t="shared" si="33"/>
        <v>27</v>
      </c>
      <c r="B48" s="367">
        <f>tblIndiSets!B38</f>
        <v>27</v>
      </c>
      <c r="C48" s="367">
        <f>IF(tblIndiSets!D38&lt;=$B$3,tblIndiSets!D38,"")</f>
        <v>3</v>
      </c>
      <c r="D48" s="367">
        <f t="shared" si="45"/>
        <v>3</v>
      </c>
      <c r="E48" s="367" t="str">
        <f>tblIndiSets!E38</f>
        <v xml:space="preserve">   2.3.2) Digital identification at airports</v>
      </c>
      <c r="F48" s="367">
        <f t="shared" si="35"/>
        <v>73</v>
      </c>
      <c r="G48" s="21">
        <f t="shared" ca="1" si="11"/>
        <v>70</v>
      </c>
      <c r="H48" s="21">
        <f t="shared" ca="1" si="12"/>
        <v>70</v>
      </c>
      <c r="I48" s="21">
        <f t="shared" ca="1" si="12"/>
        <v>75</v>
      </c>
      <c r="J48" s="21">
        <f t="shared" ca="1" si="12"/>
        <v>85</v>
      </c>
      <c r="K48" s="21">
        <f t="shared" ca="1" si="12"/>
        <v>33.299999999999997</v>
      </c>
      <c r="L48" s="21">
        <f t="shared" ca="1" si="12"/>
        <v>100</v>
      </c>
      <c r="M48" s="21">
        <f t="shared" ca="1" si="12"/>
        <v>37.5</v>
      </c>
      <c r="N48" s="21">
        <f t="shared" ca="1" si="12"/>
        <v>33.299999999999997</v>
      </c>
      <c r="O48" s="21">
        <f t="shared" ca="1" si="12"/>
        <v>58.3</v>
      </c>
      <c r="P48" s="21">
        <f t="shared" ca="1" si="12"/>
        <v>78.599999999999994</v>
      </c>
      <c r="Q48" s="21">
        <f t="shared" ca="1" si="12"/>
        <v>81.3</v>
      </c>
      <c r="R48" s="21">
        <f t="shared" ca="1" si="12"/>
        <v>72.2</v>
      </c>
      <c r="S48" s="21">
        <f t="shared" ca="1" si="12"/>
        <v>75</v>
      </c>
      <c r="T48" s="21">
        <f t="shared" ca="1" si="12"/>
        <v>55.6</v>
      </c>
      <c r="U48" s="21">
        <f t="shared" si="46"/>
        <v>73</v>
      </c>
      <c r="V48" s="367">
        <f t="shared" si="47"/>
        <v>3</v>
      </c>
      <c r="W48" s="3">
        <f>IF(OR($C48="",$C48=0,$C48=1),"",RANK(U48,U$22:U$91,0)+COUNTIF(U$22:U48,U48)-1)</f>
        <v>24</v>
      </c>
      <c r="X48" s="3">
        <f t="shared" si="48"/>
        <v>30</v>
      </c>
      <c r="Z48" s="367">
        <f t="shared" si="49"/>
        <v>3</v>
      </c>
      <c r="AA48" s="367">
        <f t="shared" si="50"/>
        <v>30</v>
      </c>
      <c r="AB48" s="367">
        <f t="shared" si="51"/>
        <v>0</v>
      </c>
      <c r="AC48" s="367" t="str">
        <f t="shared" si="52"/>
        <v xml:space="preserve">   2.4.2) Electronic health records</v>
      </c>
      <c r="AD48" s="367">
        <f t="shared" ca="1" si="53"/>
        <v>73.3</v>
      </c>
      <c r="AE48" s="367">
        <f t="shared" ca="1" si="54"/>
        <v>73.3</v>
      </c>
      <c r="AF48" s="367">
        <f t="shared" ca="1" si="55"/>
        <v>54.2</v>
      </c>
      <c r="AG48" s="367">
        <f t="shared" ca="1" si="56"/>
        <v>85</v>
      </c>
      <c r="AH48" s="367">
        <f t="shared" ca="1" si="57"/>
        <v>83.3</v>
      </c>
      <c r="AI48" s="367">
        <f t="shared" ca="1" si="58"/>
        <v>50</v>
      </c>
      <c r="AJ48" s="367">
        <f t="shared" ca="1" si="59"/>
        <v>100</v>
      </c>
      <c r="AK48" s="367">
        <f t="shared" ca="1" si="60"/>
        <v>33.299999999999997</v>
      </c>
      <c r="AL48" s="367">
        <f t="shared" ca="1" si="61"/>
        <v>75</v>
      </c>
      <c r="AM48" s="367">
        <f t="shared" ca="1" si="62"/>
        <v>78.599999999999994</v>
      </c>
      <c r="AN48" s="367">
        <f t="shared" ca="1" si="63"/>
        <v>75</v>
      </c>
      <c r="AO48" s="367">
        <f t="shared" ca="1" si="64"/>
        <v>77.8</v>
      </c>
      <c r="AP48" s="367">
        <f t="shared" ca="1" si="65"/>
        <v>62.5</v>
      </c>
      <c r="AQ48" s="367">
        <f t="shared" ca="1" si="66"/>
        <v>72.2</v>
      </c>
    </row>
    <row r="49" spans="1:43">
      <c r="A49" s="367">
        <f t="shared" si="33"/>
        <v>28</v>
      </c>
      <c r="B49" s="367">
        <f>tblIndiSets!B39</f>
        <v>28</v>
      </c>
      <c r="C49" s="367">
        <f>IF(tblIndiSets!D39&lt;=$B$3,tblIndiSets!D39,"")</f>
        <v>2</v>
      </c>
      <c r="D49" s="367">
        <f t="shared" si="45"/>
        <v>2</v>
      </c>
      <c r="E49" s="367" t="str">
        <f>tblIndiSets!E39</f>
        <v xml:space="preserve">  2.4) Healthcare</v>
      </c>
      <c r="F49" s="367">
        <f t="shared" si="35"/>
        <v>72</v>
      </c>
      <c r="G49" s="21">
        <f t="shared" ca="1" si="11"/>
        <v>71.599999999999994</v>
      </c>
      <c r="H49" s="21">
        <f t="shared" ca="1" si="12"/>
        <v>71.599999999999994</v>
      </c>
      <c r="I49" s="21">
        <f t="shared" ca="1" si="12"/>
        <v>67.900000000000006</v>
      </c>
      <c r="J49" s="21">
        <f t="shared" ca="1" si="12"/>
        <v>78.8</v>
      </c>
      <c r="K49" s="21">
        <f t="shared" ca="1" si="12"/>
        <v>50.5</v>
      </c>
      <c r="L49" s="21">
        <f t="shared" ca="1" si="12"/>
        <v>81.599999999999994</v>
      </c>
      <c r="M49" s="21">
        <f t="shared" ca="1" si="12"/>
        <v>78.400000000000006</v>
      </c>
      <c r="N49" s="21">
        <f t="shared" ca="1" si="12"/>
        <v>61.2</v>
      </c>
      <c r="O49" s="21">
        <f t="shared" ca="1" si="12"/>
        <v>64.7</v>
      </c>
      <c r="P49" s="21">
        <f t="shared" ca="1" si="12"/>
        <v>75.099999999999994</v>
      </c>
      <c r="Q49" s="21">
        <f t="shared" ca="1" si="12"/>
        <v>75.900000000000006</v>
      </c>
      <c r="R49" s="21">
        <f t="shared" ca="1" si="12"/>
        <v>77</v>
      </c>
      <c r="S49" s="21">
        <f t="shared" ca="1" si="12"/>
        <v>71.7</v>
      </c>
      <c r="T49" s="21">
        <f t="shared" ca="1" si="12"/>
        <v>62.5</v>
      </c>
      <c r="U49" s="21">
        <f t="shared" si="46"/>
        <v>72</v>
      </c>
      <c r="V49" s="367">
        <f t="shared" si="47"/>
        <v>2</v>
      </c>
      <c r="W49" s="3">
        <f>IF(OR($C49="",$C49=0,$C49=1),"",RANK(U49,U$22:U$91,0)+COUNTIF(U$22:U49,U49)-1)</f>
        <v>25</v>
      </c>
      <c r="X49" s="3">
        <f t="shared" si="48"/>
        <v>31</v>
      </c>
      <c r="Z49" s="367">
        <f t="shared" si="49"/>
        <v>3</v>
      </c>
      <c r="AA49" s="367">
        <f t="shared" si="50"/>
        <v>31</v>
      </c>
      <c r="AB49" s="367">
        <f t="shared" si="51"/>
        <v>0</v>
      </c>
      <c r="AC49" s="367" t="str">
        <f t="shared" si="52"/>
        <v xml:space="preserve">   2.4.3) Pandemic-related applications</v>
      </c>
      <c r="AD49" s="367">
        <f t="shared" ca="1" si="53"/>
        <v>88.3</v>
      </c>
      <c r="AE49" s="367">
        <f t="shared" ca="1" si="54"/>
        <v>88.3</v>
      </c>
      <c r="AF49" s="367">
        <f t="shared" ca="1" si="55"/>
        <v>91.7</v>
      </c>
      <c r="AG49" s="367">
        <f t="shared" ca="1" si="56"/>
        <v>100</v>
      </c>
      <c r="AH49" s="367">
        <f t="shared" ca="1" si="57"/>
        <v>16.7</v>
      </c>
      <c r="AI49" s="367">
        <f t="shared" ca="1" si="58"/>
        <v>100</v>
      </c>
      <c r="AJ49" s="367">
        <f t="shared" ca="1" si="59"/>
        <v>100</v>
      </c>
      <c r="AK49" s="367">
        <f t="shared" ca="1" si="60"/>
        <v>100</v>
      </c>
      <c r="AL49" s="367">
        <f t="shared" ca="1" si="61"/>
        <v>58.3</v>
      </c>
      <c r="AM49" s="367">
        <f t="shared" ca="1" si="62"/>
        <v>95.2</v>
      </c>
      <c r="AN49" s="367">
        <f t="shared" ca="1" si="63"/>
        <v>100</v>
      </c>
      <c r="AO49" s="367">
        <f t="shared" ca="1" si="64"/>
        <v>100</v>
      </c>
      <c r="AP49" s="367">
        <f t="shared" ca="1" si="65"/>
        <v>100</v>
      </c>
      <c r="AQ49" s="367">
        <f t="shared" ca="1" si="66"/>
        <v>61.1</v>
      </c>
    </row>
    <row r="50" spans="1:43">
      <c r="A50" s="367">
        <f t="shared" si="33"/>
        <v>29</v>
      </c>
      <c r="B50" s="367">
        <f>tblIndiSets!B40</f>
        <v>29</v>
      </c>
      <c r="C50" s="367">
        <f>IF(tblIndiSets!D40&lt;=$B$3,tblIndiSets!D40,"")</f>
        <v>3</v>
      </c>
      <c r="D50" s="367">
        <f t="shared" si="45"/>
        <v>3</v>
      </c>
      <c r="E50" s="367" t="str">
        <f>tblIndiSets!E40</f>
        <v xml:space="preserve">   2.4.1) Telehealth &amp; telemedicine</v>
      </c>
      <c r="F50" s="367">
        <f t="shared" si="35"/>
        <v>71</v>
      </c>
      <c r="G50" s="21">
        <f t="shared" ca="1" si="11"/>
        <v>52.9</v>
      </c>
      <c r="H50" s="21">
        <f t="shared" ca="1" si="12"/>
        <v>52.9</v>
      </c>
      <c r="I50" s="21">
        <f t="shared" ca="1" si="12"/>
        <v>60</v>
      </c>
      <c r="J50" s="21">
        <f t="shared" ca="1" si="12"/>
        <v>50.4</v>
      </c>
      <c r="K50" s="21">
        <f t="shared" ca="1" si="12"/>
        <v>46.1</v>
      </c>
      <c r="L50" s="21">
        <f t="shared" ca="1" si="12"/>
        <v>100</v>
      </c>
      <c r="M50" s="21">
        <f t="shared" ca="1" si="12"/>
        <v>31.7</v>
      </c>
      <c r="N50" s="21">
        <f t="shared" ca="1" si="12"/>
        <v>54.8</v>
      </c>
      <c r="O50" s="21">
        <f t="shared" ca="1" si="12"/>
        <v>59</v>
      </c>
      <c r="P50" s="21">
        <f t="shared" ca="1" si="12"/>
        <v>51</v>
      </c>
      <c r="Q50" s="21">
        <f t="shared" ca="1" si="12"/>
        <v>52.8</v>
      </c>
      <c r="R50" s="21">
        <f t="shared" ca="1" si="12"/>
        <v>53.1</v>
      </c>
      <c r="S50" s="21">
        <f t="shared" ca="1" si="12"/>
        <v>54</v>
      </c>
      <c r="T50" s="21">
        <f t="shared" ca="1" si="12"/>
        <v>52.5</v>
      </c>
      <c r="U50" s="21">
        <f t="shared" si="46"/>
        <v>71</v>
      </c>
      <c r="V50" s="367">
        <f t="shared" si="47"/>
        <v>3</v>
      </c>
      <c r="W50" s="3">
        <f>IF(OR($C50="",$C50=0,$C50=1),"",RANK(U50,U$22:U$91,0)+COUNTIF(U$22:U50,U50)-1)</f>
        <v>26</v>
      </c>
      <c r="X50" s="3">
        <f t="shared" si="48"/>
        <v>32</v>
      </c>
      <c r="Z50" s="367">
        <f t="shared" si="49"/>
        <v>2</v>
      </c>
      <c r="AA50" s="367">
        <f t="shared" si="50"/>
        <v>32</v>
      </c>
      <c r="AB50" s="367">
        <f t="shared" si="51"/>
        <v>2</v>
      </c>
      <c r="AC50" s="367" t="str">
        <f t="shared" si="52"/>
        <v xml:space="preserve">  2.5) Education</v>
      </c>
      <c r="AD50" s="367">
        <f t="shared" ca="1" si="53"/>
        <v>73.3</v>
      </c>
      <c r="AE50" s="367">
        <f t="shared" ca="1" si="54"/>
        <v>73.3</v>
      </c>
      <c r="AF50" s="367">
        <f t="shared" ca="1" si="55"/>
        <v>62.5</v>
      </c>
      <c r="AG50" s="367">
        <f t="shared" ca="1" si="56"/>
        <v>90</v>
      </c>
      <c r="AH50" s="367">
        <f t="shared" ca="1" si="57"/>
        <v>33.299999999999997</v>
      </c>
      <c r="AI50" s="367">
        <f t="shared" ca="1" si="58"/>
        <v>50</v>
      </c>
      <c r="AJ50" s="367">
        <f t="shared" ca="1" si="59"/>
        <v>100</v>
      </c>
      <c r="AK50" s="367">
        <f t="shared" ca="1" si="60"/>
        <v>33.299999999999997</v>
      </c>
      <c r="AL50" s="367">
        <f t="shared" ca="1" si="61"/>
        <v>41.7</v>
      </c>
      <c r="AM50" s="367">
        <f t="shared" ca="1" si="62"/>
        <v>88.1</v>
      </c>
      <c r="AN50" s="367">
        <f t="shared" ca="1" si="63"/>
        <v>81.3</v>
      </c>
      <c r="AO50" s="367">
        <f t="shared" ca="1" si="64"/>
        <v>94.4</v>
      </c>
      <c r="AP50" s="367">
        <f t="shared" ca="1" si="65"/>
        <v>62.5</v>
      </c>
      <c r="AQ50" s="367">
        <f t="shared" ca="1" si="66"/>
        <v>50</v>
      </c>
    </row>
    <row r="51" spans="1:43">
      <c r="A51" s="367">
        <f t="shared" si="33"/>
        <v>30</v>
      </c>
      <c r="B51" s="367">
        <f>tblIndiSets!B41</f>
        <v>30</v>
      </c>
      <c r="C51" s="367">
        <f>IF(tblIndiSets!D41&lt;=$B$3,tblIndiSets!D41,"")</f>
        <v>3</v>
      </c>
      <c r="D51" s="367">
        <f t="shared" si="45"/>
        <v>3</v>
      </c>
      <c r="E51" s="367" t="str">
        <f>tblIndiSets!E41</f>
        <v xml:space="preserve">   2.4.2) Electronic health records</v>
      </c>
      <c r="F51" s="367">
        <f t="shared" si="35"/>
        <v>70</v>
      </c>
      <c r="G51" s="21">
        <f t="shared" ca="1" si="11"/>
        <v>73.3</v>
      </c>
      <c r="H51" s="21">
        <f t="shared" ca="1" si="11"/>
        <v>73.3</v>
      </c>
      <c r="I51" s="21">
        <f t="shared" ca="1" si="11"/>
        <v>54.2</v>
      </c>
      <c r="J51" s="21">
        <f t="shared" ca="1" si="11"/>
        <v>85</v>
      </c>
      <c r="K51" s="21">
        <f t="shared" ca="1" si="11"/>
        <v>83.3</v>
      </c>
      <c r="L51" s="21">
        <f t="shared" ca="1" si="11"/>
        <v>50</v>
      </c>
      <c r="M51" s="21">
        <f t="shared" ca="1" si="11"/>
        <v>100</v>
      </c>
      <c r="N51" s="21">
        <f t="shared" ca="1" si="11"/>
        <v>33.299999999999997</v>
      </c>
      <c r="O51" s="21">
        <f t="shared" ca="1" si="11"/>
        <v>75</v>
      </c>
      <c r="P51" s="21">
        <f t="shared" ca="1" si="11"/>
        <v>78.599999999999994</v>
      </c>
      <c r="Q51" s="21">
        <f t="shared" ca="1" si="11"/>
        <v>75</v>
      </c>
      <c r="R51" s="21">
        <f t="shared" ca="1" si="11"/>
        <v>77.8</v>
      </c>
      <c r="S51" s="21">
        <f t="shared" ca="1" si="11"/>
        <v>62.5</v>
      </c>
      <c r="T51" s="21">
        <f t="shared" ca="1" si="11"/>
        <v>72.2</v>
      </c>
      <c r="U51" s="21">
        <f t="shared" si="46"/>
        <v>70</v>
      </c>
      <c r="V51" s="367">
        <f t="shared" si="47"/>
        <v>3</v>
      </c>
      <c r="W51" s="3">
        <f>IF(OR($C51="",$C51=0,$C51=1),"",RANK(U51,U$22:U$91,0)+COUNTIF(U$22:U51,U51)-1)</f>
        <v>27</v>
      </c>
      <c r="X51" s="3">
        <f t="shared" si="48"/>
        <v>33</v>
      </c>
      <c r="Z51" s="367">
        <f t="shared" si="49"/>
        <v>3</v>
      </c>
      <c r="AA51" s="367">
        <f t="shared" si="50"/>
        <v>33</v>
      </c>
      <c r="AB51" s="367">
        <f t="shared" si="51"/>
        <v>0</v>
      </c>
      <c r="AC51" s="367" t="str">
        <f t="shared" si="52"/>
        <v xml:space="preserve">   2.5.1) Digital education</v>
      </c>
      <c r="AD51" s="367">
        <f t="shared" ca="1" si="53"/>
        <v>73.3</v>
      </c>
      <c r="AE51" s="367">
        <f t="shared" ca="1" si="54"/>
        <v>73.3</v>
      </c>
      <c r="AF51" s="367">
        <f t="shared" ca="1" si="55"/>
        <v>62.5</v>
      </c>
      <c r="AG51" s="367">
        <f t="shared" ca="1" si="56"/>
        <v>90</v>
      </c>
      <c r="AH51" s="367">
        <f t="shared" ca="1" si="57"/>
        <v>33.299999999999997</v>
      </c>
      <c r="AI51" s="367">
        <f t="shared" ca="1" si="58"/>
        <v>50</v>
      </c>
      <c r="AJ51" s="367">
        <f t="shared" ca="1" si="59"/>
        <v>100</v>
      </c>
      <c r="AK51" s="367">
        <f t="shared" ca="1" si="60"/>
        <v>33.299999999999997</v>
      </c>
      <c r="AL51" s="367">
        <f t="shared" ca="1" si="61"/>
        <v>41.7</v>
      </c>
      <c r="AM51" s="367">
        <f t="shared" ca="1" si="62"/>
        <v>88.1</v>
      </c>
      <c r="AN51" s="367">
        <f t="shared" ca="1" si="63"/>
        <v>81.3</v>
      </c>
      <c r="AO51" s="367">
        <f t="shared" ca="1" si="64"/>
        <v>94.4</v>
      </c>
      <c r="AP51" s="367">
        <f t="shared" ca="1" si="65"/>
        <v>62.5</v>
      </c>
      <c r="AQ51" s="367">
        <f t="shared" ca="1" si="66"/>
        <v>50</v>
      </c>
    </row>
    <row r="52" spans="1:43">
      <c r="A52" s="367">
        <f t="shared" si="33"/>
        <v>31</v>
      </c>
      <c r="B52" s="367">
        <f>tblIndiSets!B42</f>
        <v>31</v>
      </c>
      <c r="C52" s="367">
        <f>IF(tblIndiSets!D42&lt;=$B$3,tblIndiSets!D42,"")</f>
        <v>3</v>
      </c>
      <c r="D52" s="367">
        <f t="shared" si="45"/>
        <v>3</v>
      </c>
      <c r="E52" s="367" t="str">
        <f>tblIndiSets!E42</f>
        <v xml:space="preserve">   2.4.3) Pandemic-related applications</v>
      </c>
      <c r="F52" s="367">
        <f t="shared" si="35"/>
        <v>69</v>
      </c>
      <c r="G52" s="21">
        <f t="shared" ca="1" si="11"/>
        <v>88.3</v>
      </c>
      <c r="H52" s="21">
        <f t="shared" ca="1" si="11"/>
        <v>88.3</v>
      </c>
      <c r="I52" s="21">
        <f t="shared" ca="1" si="11"/>
        <v>91.7</v>
      </c>
      <c r="J52" s="21">
        <f t="shared" ca="1" si="11"/>
        <v>100</v>
      </c>
      <c r="K52" s="21">
        <f t="shared" ca="1" si="11"/>
        <v>16.7</v>
      </c>
      <c r="L52" s="21">
        <f t="shared" ca="1" si="11"/>
        <v>100</v>
      </c>
      <c r="M52" s="21">
        <f t="shared" ca="1" si="11"/>
        <v>100</v>
      </c>
      <c r="N52" s="21">
        <f t="shared" ca="1" si="11"/>
        <v>100</v>
      </c>
      <c r="O52" s="21">
        <f t="shared" ca="1" si="11"/>
        <v>58.3</v>
      </c>
      <c r="P52" s="21">
        <f t="shared" ca="1" si="11"/>
        <v>95.2</v>
      </c>
      <c r="Q52" s="21">
        <f t="shared" ca="1" si="11"/>
        <v>100</v>
      </c>
      <c r="R52" s="21">
        <f t="shared" ca="1" si="11"/>
        <v>100</v>
      </c>
      <c r="S52" s="21">
        <f t="shared" ca="1" si="11"/>
        <v>100</v>
      </c>
      <c r="T52" s="21">
        <f t="shared" ca="1" si="11"/>
        <v>61.1</v>
      </c>
      <c r="U52" s="21">
        <f t="shared" si="46"/>
        <v>69</v>
      </c>
      <c r="V52" s="367">
        <f t="shared" si="47"/>
        <v>3</v>
      </c>
      <c r="W52" s="3">
        <f>IF(OR($C52="",$C52=0,$C52=1),"",RANK(U52,U$22:U$91,0)+COUNTIF(U$22:U52,U52)-1)</f>
        <v>28</v>
      </c>
      <c r="X52" s="3">
        <f t="shared" si="48"/>
        <v>34</v>
      </c>
      <c r="Z52" s="367">
        <f t="shared" si="49"/>
        <v>2</v>
      </c>
      <c r="AA52" s="367">
        <f t="shared" si="50"/>
        <v>34</v>
      </c>
      <c r="AB52" s="367">
        <f t="shared" si="51"/>
        <v>2</v>
      </c>
      <c r="AC52" s="367" t="str">
        <f t="shared" si="52"/>
        <v xml:space="preserve">  2.6) Retail and hospitality</v>
      </c>
      <c r="AD52" s="367">
        <f t="shared" ca="1" si="53"/>
        <v>33.9</v>
      </c>
      <c r="AE52" s="367">
        <f t="shared" ca="1" si="54"/>
        <v>33.9</v>
      </c>
      <c r="AF52" s="367">
        <f t="shared" ca="1" si="55"/>
        <v>24.5</v>
      </c>
      <c r="AG52" s="367">
        <f t="shared" ca="1" si="56"/>
        <v>51.4</v>
      </c>
      <c r="AH52" s="367">
        <f t="shared" ca="1" si="57"/>
        <v>13.4</v>
      </c>
      <c r="AI52" s="367">
        <f t="shared" ca="1" si="58"/>
        <v>56.4</v>
      </c>
      <c r="AJ52" s="367">
        <f t="shared" ca="1" si="59"/>
        <v>27.9</v>
      </c>
      <c r="AK52" s="367">
        <f t="shared" ca="1" si="60"/>
        <v>10.3</v>
      </c>
      <c r="AL52" s="367">
        <f t="shared" ca="1" si="61"/>
        <v>24.9</v>
      </c>
      <c r="AM52" s="367">
        <f t="shared" ca="1" si="62"/>
        <v>39.799999999999997</v>
      </c>
      <c r="AN52" s="367">
        <f t="shared" ca="1" si="63"/>
        <v>42.5</v>
      </c>
      <c r="AO52" s="367">
        <f t="shared" ca="1" si="64"/>
        <v>28.3</v>
      </c>
      <c r="AP52" s="367">
        <f t="shared" ca="1" si="65"/>
        <v>52.2</v>
      </c>
      <c r="AQ52" s="367">
        <f t="shared" ca="1" si="66"/>
        <v>23.6</v>
      </c>
    </row>
    <row r="53" spans="1:43">
      <c r="A53" s="367">
        <f t="shared" si="33"/>
        <v>32</v>
      </c>
      <c r="B53" s="367">
        <f>tblIndiSets!B43</f>
        <v>32</v>
      </c>
      <c r="C53" s="367">
        <f>IF(tblIndiSets!D43&lt;=$B$3,tblIndiSets!D43,"")</f>
        <v>2</v>
      </c>
      <c r="D53" s="367">
        <f t="shared" si="45"/>
        <v>2</v>
      </c>
      <c r="E53" s="367" t="str">
        <f>tblIndiSets!E43</f>
        <v xml:space="preserve">  2.5) Education</v>
      </c>
      <c r="F53" s="367">
        <f t="shared" si="35"/>
        <v>68</v>
      </c>
      <c r="G53" s="21">
        <f t="shared" ca="1" si="11"/>
        <v>73.3</v>
      </c>
      <c r="H53" s="21">
        <f t="shared" ca="1" si="11"/>
        <v>73.3</v>
      </c>
      <c r="I53" s="21">
        <f t="shared" ca="1" si="11"/>
        <v>62.5</v>
      </c>
      <c r="J53" s="21">
        <f t="shared" ca="1" si="11"/>
        <v>90</v>
      </c>
      <c r="K53" s="21">
        <f t="shared" ca="1" si="11"/>
        <v>33.299999999999997</v>
      </c>
      <c r="L53" s="21">
        <f t="shared" ca="1" si="11"/>
        <v>50</v>
      </c>
      <c r="M53" s="21">
        <f t="shared" ca="1" si="11"/>
        <v>100</v>
      </c>
      <c r="N53" s="21">
        <f t="shared" ca="1" si="11"/>
        <v>33.299999999999997</v>
      </c>
      <c r="O53" s="21">
        <f t="shared" ca="1" si="11"/>
        <v>41.7</v>
      </c>
      <c r="P53" s="21">
        <f t="shared" ca="1" si="11"/>
        <v>88.1</v>
      </c>
      <c r="Q53" s="21">
        <f t="shared" ca="1" si="11"/>
        <v>81.3</v>
      </c>
      <c r="R53" s="21">
        <f t="shared" ca="1" si="11"/>
        <v>94.4</v>
      </c>
      <c r="S53" s="21">
        <f t="shared" ca="1" si="11"/>
        <v>62.5</v>
      </c>
      <c r="T53" s="21">
        <f t="shared" ca="1" si="11"/>
        <v>50</v>
      </c>
      <c r="U53" s="21">
        <f t="shared" si="46"/>
        <v>68</v>
      </c>
      <c r="V53" s="367">
        <f t="shared" si="47"/>
        <v>2</v>
      </c>
      <c r="W53" s="3">
        <f>IF(OR($C53="",$C53=0,$C53=1),"",RANK(U53,U$22:U$91,0)+COUNTIF(U$22:U53,U53)-1)</f>
        <v>29</v>
      </c>
      <c r="X53" s="3">
        <f t="shared" si="48"/>
        <v>35</v>
      </c>
      <c r="Z53" s="367">
        <f t="shared" si="49"/>
        <v>3</v>
      </c>
      <c r="AA53" s="367">
        <f t="shared" si="50"/>
        <v>35</v>
      </c>
      <c r="AB53" s="367">
        <f t="shared" si="51"/>
        <v>0</v>
      </c>
      <c r="AC53" s="367" t="str">
        <f t="shared" si="52"/>
        <v xml:space="preserve">   2.6.1) E-commerce penetration</v>
      </c>
      <c r="AD53" s="367">
        <f t="shared" ca="1" si="53"/>
        <v>42</v>
      </c>
      <c r="AE53" s="367">
        <f t="shared" ca="1" si="54"/>
        <v>42</v>
      </c>
      <c r="AF53" s="367">
        <f t="shared" ca="1" si="55"/>
        <v>30.5</v>
      </c>
      <c r="AG53" s="367">
        <f t="shared" ca="1" si="56"/>
        <v>60.2</v>
      </c>
      <c r="AH53" s="367">
        <f t="shared" ca="1" si="57"/>
        <v>23.7</v>
      </c>
      <c r="AI53" s="367">
        <f t="shared" ca="1" si="58"/>
        <v>22.9</v>
      </c>
      <c r="AJ53" s="367">
        <f t="shared" ca="1" si="59"/>
        <v>49.3</v>
      </c>
      <c r="AK53" s="367">
        <f t="shared" ca="1" si="60"/>
        <v>18.3</v>
      </c>
      <c r="AL53" s="367">
        <f t="shared" ca="1" si="61"/>
        <v>31.3</v>
      </c>
      <c r="AM53" s="367">
        <f t="shared" ca="1" si="62"/>
        <v>48.4</v>
      </c>
      <c r="AN53" s="367">
        <f t="shared" ca="1" si="63"/>
        <v>46.3</v>
      </c>
      <c r="AO53" s="367">
        <f t="shared" ca="1" si="64"/>
        <v>41.6</v>
      </c>
      <c r="AP53" s="367">
        <f t="shared" ca="1" si="65"/>
        <v>53.9</v>
      </c>
      <c r="AQ53" s="367">
        <f t="shared" ca="1" si="66"/>
        <v>33.200000000000003</v>
      </c>
    </row>
    <row r="54" spans="1:43">
      <c r="A54" s="367">
        <f t="shared" si="33"/>
        <v>33</v>
      </c>
      <c r="B54" s="367">
        <f>tblIndiSets!B44</f>
        <v>33</v>
      </c>
      <c r="C54" s="367">
        <f>IF(tblIndiSets!D44&lt;=$B$3,tblIndiSets!D44,"")</f>
        <v>3</v>
      </c>
      <c r="D54" s="367">
        <f t="shared" si="45"/>
        <v>3</v>
      </c>
      <c r="E54" s="367" t="str">
        <f>tblIndiSets!E44</f>
        <v xml:space="preserve">   2.5.1) Digital education</v>
      </c>
      <c r="F54" s="367">
        <f t="shared" si="35"/>
        <v>67</v>
      </c>
      <c r="G54" s="21">
        <f t="shared" ca="1" si="11"/>
        <v>73.3</v>
      </c>
      <c r="H54" s="21">
        <f t="shared" ca="1" si="11"/>
        <v>73.3</v>
      </c>
      <c r="I54" s="21">
        <f t="shared" ca="1" si="11"/>
        <v>62.5</v>
      </c>
      <c r="J54" s="21">
        <f t="shared" ca="1" si="11"/>
        <v>90</v>
      </c>
      <c r="K54" s="21">
        <f t="shared" ca="1" si="11"/>
        <v>33.299999999999997</v>
      </c>
      <c r="L54" s="21">
        <f t="shared" ca="1" si="11"/>
        <v>50</v>
      </c>
      <c r="M54" s="21">
        <f t="shared" ca="1" si="11"/>
        <v>100</v>
      </c>
      <c r="N54" s="21">
        <f t="shared" ca="1" si="11"/>
        <v>33.299999999999997</v>
      </c>
      <c r="O54" s="21">
        <f t="shared" ca="1" si="11"/>
        <v>41.7</v>
      </c>
      <c r="P54" s="21">
        <f t="shared" ca="1" si="11"/>
        <v>88.1</v>
      </c>
      <c r="Q54" s="21">
        <f t="shared" ca="1" si="11"/>
        <v>81.3</v>
      </c>
      <c r="R54" s="21">
        <f t="shared" ca="1" si="11"/>
        <v>94.4</v>
      </c>
      <c r="S54" s="21">
        <f t="shared" ca="1" si="11"/>
        <v>62.5</v>
      </c>
      <c r="T54" s="21">
        <f t="shared" ca="1" si="11"/>
        <v>50</v>
      </c>
      <c r="U54" s="21">
        <f t="shared" si="46"/>
        <v>67</v>
      </c>
      <c r="V54" s="367">
        <f t="shared" si="47"/>
        <v>3</v>
      </c>
      <c r="W54" s="3">
        <f>IF(OR($C54="",$C54=0,$C54=1),"",RANK(U54,U$22:U$91,0)+COUNTIF(U$22:U54,U54)-1)</f>
        <v>30</v>
      </c>
      <c r="X54" s="3">
        <f t="shared" si="48"/>
        <v>36</v>
      </c>
      <c r="Z54" s="367">
        <f t="shared" si="49"/>
        <v>3</v>
      </c>
      <c r="AA54" s="367">
        <f t="shared" si="50"/>
        <v>36</v>
      </c>
      <c r="AB54" s="367">
        <f t="shared" si="51"/>
        <v>0</v>
      </c>
      <c r="AC54" s="367" t="str">
        <f t="shared" si="52"/>
        <v xml:space="preserve">   2.6.2) Digital tourist passes</v>
      </c>
      <c r="AD54" s="367">
        <f t="shared" ca="1" si="53"/>
        <v>23.3</v>
      </c>
      <c r="AE54" s="367">
        <f t="shared" ca="1" si="54"/>
        <v>23.3</v>
      </c>
      <c r="AF54" s="367">
        <f t="shared" ca="1" si="55"/>
        <v>16.7</v>
      </c>
      <c r="AG54" s="367">
        <f t="shared" ca="1" si="56"/>
        <v>40</v>
      </c>
      <c r="AH54" s="367">
        <f t="shared" ca="1" si="57"/>
        <v>0</v>
      </c>
      <c r="AI54" s="367">
        <f t="shared" ca="1" si="58"/>
        <v>100</v>
      </c>
      <c r="AJ54" s="367">
        <f t="shared" ca="1" si="59"/>
        <v>0</v>
      </c>
      <c r="AK54" s="367">
        <f t="shared" ca="1" si="60"/>
        <v>0</v>
      </c>
      <c r="AL54" s="367">
        <f t="shared" ca="1" si="61"/>
        <v>16.7</v>
      </c>
      <c r="AM54" s="367">
        <f t="shared" ca="1" si="62"/>
        <v>28.6</v>
      </c>
      <c r="AN54" s="367">
        <f t="shared" ca="1" si="63"/>
        <v>37.5</v>
      </c>
      <c r="AO54" s="367">
        <f t="shared" ca="1" si="64"/>
        <v>11.1</v>
      </c>
      <c r="AP54" s="367">
        <f t="shared" ca="1" si="65"/>
        <v>50</v>
      </c>
      <c r="AQ54" s="367">
        <f t="shared" ca="1" si="66"/>
        <v>11.1</v>
      </c>
    </row>
    <row r="55" spans="1:43">
      <c r="A55" s="367">
        <f t="shared" si="33"/>
        <v>34</v>
      </c>
      <c r="B55" s="367">
        <f>tblIndiSets!B45</f>
        <v>34</v>
      </c>
      <c r="C55" s="367">
        <f>IF(tblIndiSets!D45&lt;=$B$3,tblIndiSets!D45,"")</f>
        <v>2</v>
      </c>
      <c r="D55" s="367">
        <f t="shared" si="45"/>
        <v>2</v>
      </c>
      <c r="E55" s="367" t="str">
        <f>tblIndiSets!E45</f>
        <v xml:space="preserve">  2.6) Retail and hospitality</v>
      </c>
      <c r="F55" s="367">
        <f t="shared" si="35"/>
        <v>66</v>
      </c>
      <c r="G55" s="21">
        <f t="shared" ref="G55:T73" ca="1" si="67">IF($B55="","",IF(ISERROR(INDEX(aAverages,$B55,G$20)),"-",INDEX(aAverages,$B55,G$20)))</f>
        <v>33.9</v>
      </c>
      <c r="H55" s="21">
        <f t="shared" ca="1" si="67"/>
        <v>33.9</v>
      </c>
      <c r="I55" s="21">
        <f t="shared" ca="1" si="67"/>
        <v>24.5</v>
      </c>
      <c r="J55" s="21">
        <f t="shared" ca="1" si="67"/>
        <v>51.4</v>
      </c>
      <c r="K55" s="21">
        <f t="shared" ca="1" si="67"/>
        <v>13.4</v>
      </c>
      <c r="L55" s="21">
        <f t="shared" ca="1" si="67"/>
        <v>56.4</v>
      </c>
      <c r="M55" s="21">
        <f t="shared" ca="1" si="67"/>
        <v>27.9</v>
      </c>
      <c r="N55" s="21">
        <f t="shared" ca="1" si="67"/>
        <v>10.3</v>
      </c>
      <c r="O55" s="21">
        <f t="shared" ca="1" si="67"/>
        <v>24.9</v>
      </c>
      <c r="P55" s="21">
        <f t="shared" ca="1" si="67"/>
        <v>39.799999999999997</v>
      </c>
      <c r="Q55" s="21">
        <f t="shared" ca="1" si="67"/>
        <v>42.5</v>
      </c>
      <c r="R55" s="21">
        <f t="shared" ca="1" si="67"/>
        <v>28.3</v>
      </c>
      <c r="S55" s="21">
        <f t="shared" ca="1" si="67"/>
        <v>52.2</v>
      </c>
      <c r="T55" s="21">
        <f t="shared" ca="1" si="67"/>
        <v>23.6</v>
      </c>
      <c r="U55" s="21">
        <f t="shared" si="46"/>
        <v>66</v>
      </c>
      <c r="V55" s="367">
        <f t="shared" si="47"/>
        <v>2</v>
      </c>
      <c r="W55" s="3">
        <f>IF(OR($C55="",$C55=0,$C55=1),"",RANK(U55,U$22:U$91,0)+COUNTIF(U$22:U55,U55)-1)</f>
        <v>31</v>
      </c>
      <c r="X55" s="3">
        <f t="shared" si="48"/>
        <v>38</v>
      </c>
      <c r="Z55" s="367">
        <f t="shared" si="49"/>
        <v>2</v>
      </c>
      <c r="AA55" s="367">
        <f t="shared" si="50"/>
        <v>38</v>
      </c>
      <c r="AB55" s="367">
        <f t="shared" si="51"/>
        <v>2</v>
      </c>
      <c r="AC55" s="367" t="str">
        <f t="shared" si="52"/>
        <v xml:space="preserve">  3.1) Digital inclusion</v>
      </c>
      <c r="AD55" s="367">
        <f t="shared" ca="1" si="53"/>
        <v>69.5</v>
      </c>
      <c r="AE55" s="367">
        <f t="shared" ca="1" si="54"/>
        <v>69.5</v>
      </c>
      <c r="AF55" s="367">
        <f t="shared" ca="1" si="55"/>
        <v>66.900000000000006</v>
      </c>
      <c r="AG55" s="367">
        <f t="shared" ca="1" si="56"/>
        <v>67.5</v>
      </c>
      <c r="AH55" s="367">
        <f t="shared" ca="1" si="57"/>
        <v>72</v>
      </c>
      <c r="AI55" s="367">
        <f t="shared" ca="1" si="58"/>
        <v>94.3</v>
      </c>
      <c r="AJ55" s="367">
        <f t="shared" ca="1" si="59"/>
        <v>74.599999999999994</v>
      </c>
      <c r="AK55" s="367">
        <f t="shared" ca="1" si="60"/>
        <v>60.4</v>
      </c>
      <c r="AL55" s="367">
        <f t="shared" ca="1" si="61"/>
        <v>73</v>
      </c>
      <c r="AM55" s="367">
        <f t="shared" ca="1" si="62"/>
        <v>69.900000000000006</v>
      </c>
      <c r="AN55" s="367">
        <f t="shared" ca="1" si="63"/>
        <v>69.7</v>
      </c>
      <c r="AO55" s="367">
        <f t="shared" ca="1" si="64"/>
        <v>70.900000000000006</v>
      </c>
      <c r="AP55" s="367">
        <f t="shared" ca="1" si="65"/>
        <v>69.900000000000006</v>
      </c>
      <c r="AQ55" s="367">
        <f t="shared" ca="1" si="66"/>
        <v>67.8</v>
      </c>
    </row>
    <row r="56" spans="1:43">
      <c r="A56" s="367">
        <f t="shared" si="33"/>
        <v>35</v>
      </c>
      <c r="B56" s="367">
        <f>tblIndiSets!B46</f>
        <v>35</v>
      </c>
      <c r="C56" s="367">
        <f>IF(tblIndiSets!D46&lt;=$B$3,tblIndiSets!D46,"")</f>
        <v>3</v>
      </c>
      <c r="D56" s="367">
        <f t="shared" si="45"/>
        <v>3</v>
      </c>
      <c r="E56" s="367" t="str">
        <f>tblIndiSets!E46</f>
        <v xml:space="preserve">   2.6.1) E-commerce penetration</v>
      </c>
      <c r="F56" s="367">
        <f t="shared" si="35"/>
        <v>65</v>
      </c>
      <c r="G56" s="21">
        <f t="shared" ca="1" si="67"/>
        <v>42</v>
      </c>
      <c r="H56" s="21">
        <f t="shared" ca="1" si="67"/>
        <v>42</v>
      </c>
      <c r="I56" s="21">
        <f t="shared" ca="1" si="67"/>
        <v>30.5</v>
      </c>
      <c r="J56" s="21">
        <f t="shared" ca="1" si="67"/>
        <v>60.2</v>
      </c>
      <c r="K56" s="21">
        <f t="shared" ca="1" si="67"/>
        <v>23.7</v>
      </c>
      <c r="L56" s="21">
        <f t="shared" ca="1" si="67"/>
        <v>22.9</v>
      </c>
      <c r="M56" s="21">
        <f t="shared" ca="1" si="67"/>
        <v>49.3</v>
      </c>
      <c r="N56" s="21">
        <f t="shared" ca="1" si="67"/>
        <v>18.3</v>
      </c>
      <c r="O56" s="21">
        <f t="shared" ca="1" si="67"/>
        <v>31.3</v>
      </c>
      <c r="P56" s="21">
        <f t="shared" ca="1" si="67"/>
        <v>48.4</v>
      </c>
      <c r="Q56" s="21">
        <f t="shared" ca="1" si="67"/>
        <v>46.3</v>
      </c>
      <c r="R56" s="21">
        <f t="shared" ca="1" si="67"/>
        <v>41.6</v>
      </c>
      <c r="S56" s="21">
        <f t="shared" ca="1" si="67"/>
        <v>53.9</v>
      </c>
      <c r="T56" s="21">
        <f t="shared" ca="1" si="67"/>
        <v>33.200000000000003</v>
      </c>
      <c r="U56" s="21">
        <f t="shared" si="46"/>
        <v>65</v>
      </c>
      <c r="V56" s="367">
        <f t="shared" si="47"/>
        <v>3</v>
      </c>
      <c r="W56" s="3">
        <f>IF(OR($C56="",$C56=0,$C56=1),"",RANK(U56,U$22:U$91,0)+COUNTIF(U$22:U56,U56)-1)</f>
        <v>32</v>
      </c>
      <c r="X56" s="3">
        <f t="shared" si="48"/>
        <v>39</v>
      </c>
      <c r="Z56" s="367">
        <f t="shared" si="49"/>
        <v>3</v>
      </c>
      <c r="AA56" s="367">
        <f t="shared" si="50"/>
        <v>39</v>
      </c>
      <c r="AB56" s="367">
        <f t="shared" si="51"/>
        <v>0</v>
      </c>
      <c r="AC56" s="367" t="str">
        <f t="shared" si="52"/>
        <v xml:space="preserve">   3.1.1) Internet usage</v>
      </c>
      <c r="AD56" s="367">
        <f t="shared" ca="1" si="53"/>
        <v>76.2</v>
      </c>
      <c r="AE56" s="367">
        <f t="shared" ca="1" si="54"/>
        <v>76.2</v>
      </c>
      <c r="AF56" s="367">
        <f t="shared" ca="1" si="55"/>
        <v>68.8</v>
      </c>
      <c r="AG56" s="367">
        <f t="shared" ca="1" si="56"/>
        <v>81.7</v>
      </c>
      <c r="AH56" s="367">
        <f t="shared" ca="1" si="57"/>
        <v>63.9</v>
      </c>
      <c r="AI56" s="367">
        <f t="shared" ca="1" si="58"/>
        <v>100</v>
      </c>
      <c r="AJ56" s="367">
        <f t="shared" ca="1" si="59"/>
        <v>88.3</v>
      </c>
      <c r="AK56" s="367">
        <f t="shared" ca="1" si="60"/>
        <v>43.2</v>
      </c>
      <c r="AL56" s="367">
        <f t="shared" ca="1" si="61"/>
        <v>66.8</v>
      </c>
      <c r="AM56" s="367">
        <f t="shared" ca="1" si="62"/>
        <v>83.7</v>
      </c>
      <c r="AN56" s="367">
        <f t="shared" ca="1" si="63"/>
        <v>83.6</v>
      </c>
      <c r="AO56" s="367">
        <f t="shared" ca="1" si="64"/>
        <v>81.5</v>
      </c>
      <c r="AP56" s="367">
        <f t="shared" ca="1" si="65"/>
        <v>74.8</v>
      </c>
      <c r="AQ56" s="367">
        <f t="shared" ca="1" si="66"/>
        <v>65</v>
      </c>
    </row>
    <row r="57" spans="1:43">
      <c r="A57" s="367">
        <f t="shared" si="33"/>
        <v>36</v>
      </c>
      <c r="B57" s="367">
        <f>tblIndiSets!B47</f>
        <v>36</v>
      </c>
      <c r="C57" s="367">
        <f>IF(tblIndiSets!D47&lt;=$B$3,tblIndiSets!D47,"")</f>
        <v>3</v>
      </c>
      <c r="D57" s="367">
        <f t="shared" si="45"/>
        <v>3</v>
      </c>
      <c r="E57" s="367" t="str">
        <f>tblIndiSets!E47</f>
        <v xml:space="preserve">   2.6.2) Digital tourist passes</v>
      </c>
      <c r="F57" s="367">
        <f t="shared" si="35"/>
        <v>64</v>
      </c>
      <c r="G57" s="21">
        <f t="shared" ca="1" si="67"/>
        <v>23.3</v>
      </c>
      <c r="H57" s="21">
        <f t="shared" ca="1" si="67"/>
        <v>23.3</v>
      </c>
      <c r="I57" s="21">
        <f t="shared" ca="1" si="67"/>
        <v>16.7</v>
      </c>
      <c r="J57" s="21">
        <f t="shared" ca="1" si="67"/>
        <v>40</v>
      </c>
      <c r="K57" s="21">
        <f t="shared" ca="1" si="67"/>
        <v>0</v>
      </c>
      <c r="L57" s="21">
        <f t="shared" ca="1" si="67"/>
        <v>100</v>
      </c>
      <c r="M57" s="21">
        <f t="shared" ca="1" si="67"/>
        <v>0</v>
      </c>
      <c r="N57" s="21">
        <f t="shared" ca="1" si="67"/>
        <v>0</v>
      </c>
      <c r="O57" s="21">
        <f t="shared" ca="1" si="67"/>
        <v>16.7</v>
      </c>
      <c r="P57" s="21">
        <f t="shared" ca="1" si="67"/>
        <v>28.6</v>
      </c>
      <c r="Q57" s="21">
        <f t="shared" ca="1" si="67"/>
        <v>37.5</v>
      </c>
      <c r="R57" s="21">
        <f t="shared" ca="1" si="67"/>
        <v>11.1</v>
      </c>
      <c r="S57" s="21">
        <f t="shared" ca="1" si="67"/>
        <v>50</v>
      </c>
      <c r="T57" s="21">
        <f t="shared" ca="1" si="67"/>
        <v>11.1</v>
      </c>
      <c r="U57" s="21">
        <f t="shared" si="46"/>
        <v>64</v>
      </c>
      <c r="V57" s="367">
        <f t="shared" si="47"/>
        <v>3</v>
      </c>
      <c r="W57" s="3">
        <f>IF(OR($C57="",$C57=0,$C57=1),"",RANK(U57,U$22:U$91,0)+COUNTIF(U$22:U57,U57)-1)</f>
        <v>33</v>
      </c>
      <c r="X57" s="3">
        <f t="shared" si="48"/>
        <v>40</v>
      </c>
      <c r="Z57" s="367">
        <f t="shared" si="49"/>
        <v>3</v>
      </c>
      <c r="AA57" s="367">
        <f t="shared" si="50"/>
        <v>40</v>
      </c>
      <c r="AB57" s="367">
        <f t="shared" si="51"/>
        <v>0</v>
      </c>
      <c r="AC57" s="367" t="str">
        <f t="shared" si="52"/>
        <v xml:space="preserve">   3.1.2) Gap between female and male access to the internet</v>
      </c>
      <c r="AD57" s="367">
        <f t="shared" ca="1" si="53"/>
        <v>93.2</v>
      </c>
      <c r="AE57" s="367">
        <f t="shared" ca="1" si="54"/>
        <v>93.2</v>
      </c>
      <c r="AF57" s="367">
        <f t="shared" ca="1" si="55"/>
        <v>87.7</v>
      </c>
      <c r="AG57" s="367">
        <f t="shared" ca="1" si="56"/>
        <v>95.1</v>
      </c>
      <c r="AH57" s="367">
        <f t="shared" ca="1" si="57"/>
        <v>97.3</v>
      </c>
      <c r="AI57" s="367">
        <f t="shared" ca="1" si="58"/>
        <v>100</v>
      </c>
      <c r="AJ57" s="367">
        <f t="shared" ca="1" si="59"/>
        <v>100</v>
      </c>
      <c r="AK57" s="367">
        <f t="shared" ca="1" si="60"/>
        <v>59.7</v>
      </c>
      <c r="AL57" s="367">
        <f t="shared" ca="1" si="61"/>
        <v>96.9</v>
      </c>
      <c r="AM57" s="367">
        <f t="shared" ca="1" si="62"/>
        <v>96.9</v>
      </c>
      <c r="AN57" s="367">
        <f t="shared" ca="1" si="63"/>
        <v>95.1</v>
      </c>
      <c r="AO57" s="367">
        <f t="shared" ca="1" si="64"/>
        <v>98</v>
      </c>
      <c r="AP57" s="367">
        <f t="shared" ca="1" si="65"/>
        <v>96.6</v>
      </c>
      <c r="AQ57" s="367">
        <f t="shared" ca="1" si="66"/>
        <v>85.2</v>
      </c>
    </row>
    <row r="58" spans="1:43">
      <c r="A58" s="367">
        <f t="shared" si="33"/>
        <v>37</v>
      </c>
      <c r="B58" s="367">
        <f>tblIndiSets!B48</f>
        <v>37</v>
      </c>
      <c r="C58" s="367">
        <f>IF(tblIndiSets!D48&lt;=$B$3,tblIndiSets!D48,"")</f>
        <v>1</v>
      </c>
      <c r="D58" s="367">
        <f t="shared" si="45"/>
        <v>1</v>
      </c>
      <c r="E58" s="367" t="str">
        <f>tblIndiSets!E48</f>
        <v xml:space="preserve"> 3) CULTURE</v>
      </c>
      <c r="F58" s="367">
        <f t="shared" si="35"/>
        <v>63</v>
      </c>
      <c r="G58" s="21">
        <f t="shared" ca="1" si="67"/>
        <v>59.2</v>
      </c>
      <c r="H58" s="21">
        <f t="shared" ca="1" si="67"/>
        <v>59.2</v>
      </c>
      <c r="I58" s="21">
        <f t="shared" ca="1" si="67"/>
        <v>55.1</v>
      </c>
      <c r="J58" s="21">
        <f t="shared" ca="1" si="67"/>
        <v>61.6</v>
      </c>
      <c r="K58" s="21">
        <f t="shared" ca="1" si="67"/>
        <v>51.3</v>
      </c>
      <c r="L58" s="21">
        <f t="shared" ca="1" si="67"/>
        <v>65.2</v>
      </c>
      <c r="M58" s="21">
        <f t="shared" ca="1" si="67"/>
        <v>69.7</v>
      </c>
      <c r="N58" s="21">
        <f t="shared" ca="1" si="67"/>
        <v>46.7</v>
      </c>
      <c r="O58" s="21">
        <f t="shared" ca="1" si="67"/>
        <v>52</v>
      </c>
      <c r="P58" s="21">
        <f t="shared" ca="1" si="67"/>
        <v>63</v>
      </c>
      <c r="Q58" s="21">
        <f t="shared" ca="1" si="67"/>
        <v>62.5</v>
      </c>
      <c r="R58" s="21">
        <f t="shared" ca="1" si="67"/>
        <v>61.6</v>
      </c>
      <c r="S58" s="21">
        <f t="shared" ca="1" si="67"/>
        <v>54.9</v>
      </c>
      <c r="T58" s="21">
        <f t="shared" ca="1" si="67"/>
        <v>55.8</v>
      </c>
      <c r="U58" s="21" t="str">
        <f t="shared" si="46"/>
        <v/>
      </c>
      <c r="V58" s="367">
        <f t="shared" si="47"/>
        <v>1</v>
      </c>
      <c r="W58" s="3" t="str">
        <f>IF(OR($C58="",$C58=0,$C58=1),"",RANK(U58,U$22:U$91,0)+COUNTIF(U$22:U58,U58)-1)</f>
        <v/>
      </c>
      <c r="X58" s="3">
        <f t="shared" si="48"/>
        <v>41</v>
      </c>
      <c r="Z58" s="367">
        <f t="shared" si="49"/>
        <v>3</v>
      </c>
      <c r="AA58" s="367">
        <f t="shared" si="50"/>
        <v>41</v>
      </c>
      <c r="AB58" s="367">
        <f t="shared" si="51"/>
        <v>0</v>
      </c>
      <c r="AC58" s="367" t="str">
        <f t="shared" si="52"/>
        <v xml:space="preserve">   3.1.3) Digital skills</v>
      </c>
      <c r="AD58" s="367">
        <f t="shared" ca="1" si="53"/>
        <v>38.1</v>
      </c>
      <c r="AE58" s="367">
        <f t="shared" ca="1" si="54"/>
        <v>38.1</v>
      </c>
      <c r="AF58" s="367">
        <f t="shared" ca="1" si="55"/>
        <v>43.8</v>
      </c>
      <c r="AG58" s="367">
        <f t="shared" ca="1" si="56"/>
        <v>23.5</v>
      </c>
      <c r="AH58" s="367">
        <f t="shared" ca="1" si="57"/>
        <v>56.2</v>
      </c>
      <c r="AI58" s="367">
        <f t="shared" ca="1" si="58"/>
        <v>81.8</v>
      </c>
      <c r="AJ58" s="367">
        <f t="shared" ca="1" si="59"/>
        <v>33.1</v>
      </c>
      <c r="AK58" s="367">
        <f t="shared" ca="1" si="60"/>
        <v>81</v>
      </c>
      <c r="AL58" s="367">
        <f t="shared" ca="1" si="61"/>
        <v>56.3</v>
      </c>
      <c r="AM58" s="367">
        <f t="shared" ca="1" si="62"/>
        <v>26.8</v>
      </c>
      <c r="AN58" s="367">
        <f t="shared" ca="1" si="63"/>
        <v>28</v>
      </c>
      <c r="AO58" s="367">
        <f t="shared" ca="1" si="64"/>
        <v>31.7</v>
      </c>
      <c r="AP58" s="367">
        <f t="shared" ca="1" si="65"/>
        <v>37.4</v>
      </c>
      <c r="AQ58" s="367">
        <f t="shared" ca="1" si="66"/>
        <v>53.8</v>
      </c>
    </row>
    <row r="59" spans="1:43">
      <c r="A59" s="367">
        <f t="shared" si="33"/>
        <v>38</v>
      </c>
      <c r="B59" s="367">
        <f>tblIndiSets!B49</f>
        <v>38</v>
      </c>
      <c r="C59" s="367">
        <f>IF(tblIndiSets!D49&lt;=$B$3,tblIndiSets!D49,"")</f>
        <v>2</v>
      </c>
      <c r="D59" s="367">
        <f t="shared" si="45"/>
        <v>2</v>
      </c>
      <c r="E59" s="367" t="str">
        <f>tblIndiSets!E49</f>
        <v xml:space="preserve">  3.1) Digital inclusion</v>
      </c>
      <c r="F59" s="367">
        <f t="shared" si="35"/>
        <v>62</v>
      </c>
      <c r="G59" s="21">
        <f t="shared" ca="1" si="67"/>
        <v>69.5</v>
      </c>
      <c r="H59" s="21">
        <f t="shared" ca="1" si="67"/>
        <v>69.5</v>
      </c>
      <c r="I59" s="21">
        <f t="shared" ca="1" si="67"/>
        <v>66.900000000000006</v>
      </c>
      <c r="J59" s="21">
        <f t="shared" ca="1" si="67"/>
        <v>67.5</v>
      </c>
      <c r="K59" s="21">
        <f t="shared" ca="1" si="67"/>
        <v>72</v>
      </c>
      <c r="L59" s="21">
        <f t="shared" ca="1" si="67"/>
        <v>94.3</v>
      </c>
      <c r="M59" s="21">
        <f t="shared" ca="1" si="67"/>
        <v>74.599999999999994</v>
      </c>
      <c r="N59" s="21">
        <f t="shared" ca="1" si="67"/>
        <v>60.4</v>
      </c>
      <c r="O59" s="21">
        <f t="shared" ca="1" si="67"/>
        <v>73</v>
      </c>
      <c r="P59" s="21">
        <f t="shared" ca="1" si="67"/>
        <v>69.900000000000006</v>
      </c>
      <c r="Q59" s="21">
        <f t="shared" ca="1" si="67"/>
        <v>69.7</v>
      </c>
      <c r="R59" s="21">
        <f t="shared" ca="1" si="67"/>
        <v>70.900000000000006</v>
      </c>
      <c r="S59" s="21">
        <f t="shared" ca="1" si="67"/>
        <v>69.900000000000006</v>
      </c>
      <c r="T59" s="21">
        <f t="shared" ca="1" si="67"/>
        <v>67.8</v>
      </c>
      <c r="U59" s="21">
        <f t="shared" si="46"/>
        <v>62</v>
      </c>
      <c r="V59" s="367">
        <f t="shared" si="47"/>
        <v>2</v>
      </c>
      <c r="W59" s="3">
        <f>IF(OR($C59="",$C59=0,$C59=1),"",RANK(U59,U$22:U$91,0)+COUNTIF(U$22:U59,U59)-1)</f>
        <v>34</v>
      </c>
      <c r="X59" s="3">
        <f t="shared" si="48"/>
        <v>42</v>
      </c>
      <c r="Z59" s="367">
        <f t="shared" si="49"/>
        <v>2</v>
      </c>
      <c r="AA59" s="367">
        <f t="shared" si="50"/>
        <v>42</v>
      </c>
      <c r="AB59" s="367">
        <f t="shared" si="51"/>
        <v>2</v>
      </c>
      <c r="AC59" s="367" t="str">
        <f t="shared" si="52"/>
        <v xml:space="preserve">  3.2) Government support</v>
      </c>
      <c r="AD59" s="367">
        <f t="shared" ca="1" si="53"/>
        <v>71.7</v>
      </c>
      <c r="AE59" s="367">
        <f t="shared" ca="1" si="54"/>
        <v>71.7</v>
      </c>
      <c r="AF59" s="367">
        <f t="shared" ca="1" si="55"/>
        <v>64.8</v>
      </c>
      <c r="AG59" s="367">
        <f t="shared" ca="1" si="56"/>
        <v>79</v>
      </c>
      <c r="AH59" s="367">
        <f t="shared" ca="1" si="57"/>
        <v>68.099999999999994</v>
      </c>
      <c r="AI59" s="367">
        <f t="shared" ca="1" si="58"/>
        <v>40.799999999999997</v>
      </c>
      <c r="AJ59" s="367">
        <f t="shared" ca="1" si="59"/>
        <v>84.4</v>
      </c>
      <c r="AK59" s="367">
        <f t="shared" ca="1" si="60"/>
        <v>54.1</v>
      </c>
      <c r="AL59" s="367">
        <f t="shared" ca="1" si="61"/>
        <v>60.3</v>
      </c>
      <c r="AM59" s="367">
        <f t="shared" ca="1" si="62"/>
        <v>77.400000000000006</v>
      </c>
      <c r="AN59" s="367">
        <f t="shared" ca="1" si="63"/>
        <v>74.3</v>
      </c>
      <c r="AO59" s="367">
        <f t="shared" ca="1" si="64"/>
        <v>77</v>
      </c>
      <c r="AP59" s="367">
        <f t="shared" ca="1" si="65"/>
        <v>69.2</v>
      </c>
      <c r="AQ59" s="367">
        <f t="shared" ca="1" si="66"/>
        <v>65.099999999999994</v>
      </c>
    </row>
    <row r="60" spans="1:43">
      <c r="A60" s="367">
        <f t="shared" si="33"/>
        <v>39</v>
      </c>
      <c r="B60" s="367">
        <f>tblIndiSets!B50</f>
        <v>39</v>
      </c>
      <c r="C60" s="367">
        <f>IF(tblIndiSets!D50&lt;=$B$3,tblIndiSets!D50,"")</f>
        <v>3</v>
      </c>
      <c r="D60" s="367">
        <f t="shared" si="45"/>
        <v>3</v>
      </c>
      <c r="E60" s="367" t="str">
        <f>tblIndiSets!E50</f>
        <v xml:space="preserve">   3.1.1) Internet usage</v>
      </c>
      <c r="F60" s="367">
        <f t="shared" si="35"/>
        <v>61</v>
      </c>
      <c r="G60" s="21">
        <f t="shared" ca="1" si="67"/>
        <v>76.2</v>
      </c>
      <c r="H60" s="21">
        <f t="shared" ca="1" si="67"/>
        <v>76.2</v>
      </c>
      <c r="I60" s="21">
        <f t="shared" ca="1" si="67"/>
        <v>68.8</v>
      </c>
      <c r="J60" s="21">
        <f t="shared" ca="1" si="67"/>
        <v>81.7</v>
      </c>
      <c r="K60" s="21">
        <f t="shared" ca="1" si="67"/>
        <v>63.9</v>
      </c>
      <c r="L60" s="21">
        <f t="shared" ca="1" si="67"/>
        <v>100</v>
      </c>
      <c r="M60" s="21">
        <f t="shared" ca="1" si="67"/>
        <v>88.3</v>
      </c>
      <c r="N60" s="21">
        <f t="shared" ca="1" si="67"/>
        <v>43.2</v>
      </c>
      <c r="O60" s="21">
        <f t="shared" ca="1" si="67"/>
        <v>66.8</v>
      </c>
      <c r="P60" s="21">
        <f t="shared" ca="1" si="67"/>
        <v>83.7</v>
      </c>
      <c r="Q60" s="21">
        <f t="shared" ca="1" si="67"/>
        <v>83.6</v>
      </c>
      <c r="R60" s="21">
        <f t="shared" ca="1" si="67"/>
        <v>81.5</v>
      </c>
      <c r="S60" s="21">
        <f t="shared" ca="1" si="67"/>
        <v>74.8</v>
      </c>
      <c r="T60" s="21">
        <f t="shared" ca="1" si="67"/>
        <v>65</v>
      </c>
      <c r="U60" s="21">
        <f t="shared" si="46"/>
        <v>61</v>
      </c>
      <c r="V60" s="367">
        <f t="shared" si="47"/>
        <v>3</v>
      </c>
      <c r="W60" s="3">
        <f>IF(OR($C60="",$C60=0,$C60=1),"",RANK(U60,U$22:U$91,0)+COUNTIF(U$22:U60,U60)-1)</f>
        <v>35</v>
      </c>
      <c r="X60" s="3">
        <f t="shared" si="48"/>
        <v>43</v>
      </c>
      <c r="Z60" s="367">
        <f t="shared" si="49"/>
        <v>3</v>
      </c>
      <c r="AA60" s="367">
        <f t="shared" si="50"/>
        <v>43</v>
      </c>
      <c r="AB60" s="367">
        <f t="shared" si="51"/>
        <v>0</v>
      </c>
      <c r="AC60" s="367" t="str">
        <f t="shared" si="52"/>
        <v xml:space="preserve">   3.2.1) Data protection law</v>
      </c>
      <c r="AD60" s="367">
        <f t="shared" ca="1" si="53"/>
        <v>90</v>
      </c>
      <c r="AE60" s="367">
        <f t="shared" ca="1" si="54"/>
        <v>90</v>
      </c>
      <c r="AF60" s="367">
        <f t="shared" ca="1" si="55"/>
        <v>87.5</v>
      </c>
      <c r="AG60" s="367">
        <f t="shared" ca="1" si="56"/>
        <v>100</v>
      </c>
      <c r="AH60" s="367">
        <f t="shared" ca="1" si="57"/>
        <v>100</v>
      </c>
      <c r="AI60" s="367">
        <f t="shared" ca="1" si="58"/>
        <v>50</v>
      </c>
      <c r="AJ60" s="367">
        <f t="shared" ca="1" si="59"/>
        <v>75</v>
      </c>
      <c r="AK60" s="367">
        <f t="shared" ca="1" si="60"/>
        <v>66.7</v>
      </c>
      <c r="AL60" s="367">
        <f t="shared" ca="1" si="61"/>
        <v>91.7</v>
      </c>
      <c r="AM60" s="367">
        <f t="shared" ca="1" si="62"/>
        <v>92.9</v>
      </c>
      <c r="AN60" s="367">
        <f t="shared" ca="1" si="63"/>
        <v>93.8</v>
      </c>
      <c r="AO60" s="367">
        <f t="shared" ca="1" si="64"/>
        <v>94.4</v>
      </c>
      <c r="AP60" s="367">
        <f t="shared" ca="1" si="65"/>
        <v>87.5</v>
      </c>
      <c r="AQ60" s="367">
        <f t="shared" ca="1" si="66"/>
        <v>83.3</v>
      </c>
    </row>
    <row r="61" spans="1:43">
      <c r="A61" s="367">
        <f t="shared" si="33"/>
        <v>40</v>
      </c>
      <c r="B61" s="367">
        <f>tblIndiSets!B51</f>
        <v>40</v>
      </c>
      <c r="C61" s="367">
        <f>IF(tblIndiSets!D51&lt;=$B$3,tblIndiSets!D51,"")</f>
        <v>3</v>
      </c>
      <c r="D61" s="367">
        <f t="shared" si="45"/>
        <v>3</v>
      </c>
      <c r="E61" s="367" t="str">
        <f>tblIndiSets!E51</f>
        <v xml:space="preserve">   3.1.2) Gap between female and male access to the internet</v>
      </c>
      <c r="F61" s="367">
        <f t="shared" si="35"/>
        <v>60</v>
      </c>
      <c r="G61" s="21">
        <f t="shared" ca="1" si="67"/>
        <v>93.2</v>
      </c>
      <c r="H61" s="21">
        <f t="shared" ca="1" si="67"/>
        <v>93.2</v>
      </c>
      <c r="I61" s="21">
        <f t="shared" ca="1" si="67"/>
        <v>87.7</v>
      </c>
      <c r="J61" s="21">
        <f t="shared" ca="1" si="67"/>
        <v>95.1</v>
      </c>
      <c r="K61" s="21">
        <f t="shared" ca="1" si="67"/>
        <v>97.3</v>
      </c>
      <c r="L61" s="21">
        <f t="shared" ca="1" si="67"/>
        <v>100</v>
      </c>
      <c r="M61" s="21">
        <f t="shared" ca="1" si="67"/>
        <v>100</v>
      </c>
      <c r="N61" s="21">
        <f t="shared" ca="1" si="67"/>
        <v>59.7</v>
      </c>
      <c r="O61" s="21">
        <f t="shared" ca="1" si="67"/>
        <v>96.9</v>
      </c>
      <c r="P61" s="21">
        <f t="shared" ca="1" si="67"/>
        <v>96.9</v>
      </c>
      <c r="Q61" s="21">
        <f t="shared" ca="1" si="67"/>
        <v>95.1</v>
      </c>
      <c r="R61" s="21">
        <f t="shared" ca="1" si="67"/>
        <v>98</v>
      </c>
      <c r="S61" s="21">
        <f t="shared" ca="1" si="67"/>
        <v>96.6</v>
      </c>
      <c r="T61" s="21">
        <f t="shared" ca="1" si="67"/>
        <v>85.2</v>
      </c>
      <c r="U61" s="21">
        <f t="shared" si="46"/>
        <v>60</v>
      </c>
      <c r="V61" s="367">
        <f t="shared" si="47"/>
        <v>3</v>
      </c>
      <c r="W61" s="3">
        <f>IF(OR($C61="",$C61=0,$C61=1),"",RANK(U61,U$22:U$91,0)+COUNTIF(U$22:U61,U61)-1)</f>
        <v>36</v>
      </c>
      <c r="X61" s="3">
        <f t="shared" si="48"/>
        <v>44</v>
      </c>
      <c r="Z61" s="367">
        <f t="shared" si="49"/>
        <v>3</v>
      </c>
      <c r="AA61" s="367">
        <f t="shared" si="50"/>
        <v>44</v>
      </c>
      <c r="AB61" s="367">
        <f t="shared" si="51"/>
        <v>0</v>
      </c>
      <c r="AC61" s="367" t="str">
        <f t="shared" si="52"/>
        <v xml:space="preserve">   3.2.2) Cyber security preparedness</v>
      </c>
      <c r="AD61" s="367">
        <f t="shared" ca="1" si="53"/>
        <v>77.5</v>
      </c>
      <c r="AE61" s="367">
        <f t="shared" ca="1" si="54"/>
        <v>77.5</v>
      </c>
      <c r="AF61" s="367">
        <f t="shared" ca="1" si="55"/>
        <v>72.900000000000006</v>
      </c>
      <c r="AG61" s="367">
        <f t="shared" ca="1" si="56"/>
        <v>77.5</v>
      </c>
      <c r="AH61" s="367">
        <f t="shared" ca="1" si="57"/>
        <v>66.7</v>
      </c>
      <c r="AI61" s="367">
        <f t="shared" ca="1" si="58"/>
        <v>75</v>
      </c>
      <c r="AJ61" s="367">
        <f t="shared" ca="1" si="59"/>
        <v>100</v>
      </c>
      <c r="AK61" s="367">
        <f t="shared" ca="1" si="60"/>
        <v>58.3</v>
      </c>
      <c r="AL61" s="367">
        <f t="shared" ca="1" si="61"/>
        <v>70.8</v>
      </c>
      <c r="AM61" s="367">
        <f t="shared" ca="1" si="62"/>
        <v>82.1</v>
      </c>
      <c r="AN61" s="367">
        <f t="shared" ca="1" si="63"/>
        <v>81.3</v>
      </c>
      <c r="AO61" s="367">
        <f t="shared" ca="1" si="64"/>
        <v>83.3</v>
      </c>
      <c r="AP61" s="367">
        <f t="shared" ca="1" si="65"/>
        <v>62.5</v>
      </c>
      <c r="AQ61" s="367">
        <f t="shared" ca="1" si="66"/>
        <v>75</v>
      </c>
    </row>
    <row r="62" spans="1:43">
      <c r="A62" s="367">
        <f t="shared" si="33"/>
        <v>41</v>
      </c>
      <c r="B62" s="367">
        <f>tblIndiSets!B52</f>
        <v>41</v>
      </c>
      <c r="C62" s="367">
        <f>IF(tblIndiSets!D52&lt;=$B$3,tblIndiSets!D52,"")</f>
        <v>3</v>
      </c>
      <c r="D62" s="367">
        <f t="shared" si="45"/>
        <v>3</v>
      </c>
      <c r="E62" s="367" t="str">
        <f>tblIndiSets!E52</f>
        <v xml:space="preserve">   3.1.3) Digital skills</v>
      </c>
      <c r="F62" s="367">
        <f t="shared" si="35"/>
        <v>59</v>
      </c>
      <c r="G62" s="21">
        <f t="shared" ca="1" si="67"/>
        <v>38.1</v>
      </c>
      <c r="H62" s="21">
        <f t="shared" ca="1" si="67"/>
        <v>38.1</v>
      </c>
      <c r="I62" s="21">
        <f t="shared" ca="1" si="67"/>
        <v>43.8</v>
      </c>
      <c r="J62" s="21">
        <f t="shared" ca="1" si="67"/>
        <v>23.5</v>
      </c>
      <c r="K62" s="21">
        <f t="shared" ca="1" si="67"/>
        <v>56.2</v>
      </c>
      <c r="L62" s="21">
        <f t="shared" ca="1" si="67"/>
        <v>81.8</v>
      </c>
      <c r="M62" s="21">
        <f t="shared" ca="1" si="67"/>
        <v>33.1</v>
      </c>
      <c r="N62" s="21">
        <f t="shared" ca="1" si="67"/>
        <v>81</v>
      </c>
      <c r="O62" s="21">
        <f t="shared" ca="1" si="67"/>
        <v>56.3</v>
      </c>
      <c r="P62" s="21">
        <f t="shared" ca="1" si="67"/>
        <v>26.8</v>
      </c>
      <c r="Q62" s="21">
        <f t="shared" ca="1" si="67"/>
        <v>28</v>
      </c>
      <c r="R62" s="21">
        <f t="shared" ca="1" si="67"/>
        <v>31.7</v>
      </c>
      <c r="S62" s="21">
        <f t="shared" ca="1" si="67"/>
        <v>37.4</v>
      </c>
      <c r="T62" s="21">
        <f t="shared" ca="1" si="67"/>
        <v>53.8</v>
      </c>
      <c r="U62" s="21">
        <f t="shared" si="46"/>
        <v>59</v>
      </c>
      <c r="V62" s="367">
        <f t="shared" si="47"/>
        <v>3</v>
      </c>
      <c r="W62" s="3">
        <f>IF(OR($C62="",$C62=0,$C62=1),"",RANK(U62,U$22:U$91,0)+COUNTIF(U$22:U62,U62)-1)</f>
        <v>37</v>
      </c>
      <c r="X62" s="3">
        <f t="shared" si="48"/>
        <v>45</v>
      </c>
      <c r="Z62" s="367">
        <f t="shared" si="49"/>
        <v>3</v>
      </c>
      <c r="AA62" s="367">
        <f t="shared" si="50"/>
        <v>45</v>
      </c>
      <c r="AB62" s="367">
        <f t="shared" si="51"/>
        <v>0</v>
      </c>
      <c r="AC62" s="367" t="str">
        <f t="shared" si="52"/>
        <v xml:space="preserve">   3.2.3) Cyber security risk awareness</v>
      </c>
      <c r="AD62" s="367">
        <f t="shared" ca="1" si="53"/>
        <v>65.8</v>
      </c>
      <c r="AE62" s="367">
        <f t="shared" ca="1" si="54"/>
        <v>65.8</v>
      </c>
      <c r="AF62" s="367">
        <f t="shared" ca="1" si="55"/>
        <v>64.599999999999994</v>
      </c>
      <c r="AG62" s="367">
        <f t="shared" ca="1" si="56"/>
        <v>65</v>
      </c>
      <c r="AH62" s="367">
        <f t="shared" ca="1" si="57"/>
        <v>58.3</v>
      </c>
      <c r="AI62" s="367">
        <f t="shared" ca="1" si="58"/>
        <v>50</v>
      </c>
      <c r="AJ62" s="367">
        <f t="shared" ca="1" si="59"/>
        <v>81.3</v>
      </c>
      <c r="AK62" s="367">
        <f t="shared" ca="1" si="60"/>
        <v>58.3</v>
      </c>
      <c r="AL62" s="367">
        <f t="shared" ca="1" si="61"/>
        <v>62.5</v>
      </c>
      <c r="AM62" s="367">
        <f t="shared" ca="1" si="62"/>
        <v>67.900000000000006</v>
      </c>
      <c r="AN62" s="367">
        <f t="shared" ca="1" si="63"/>
        <v>62.5</v>
      </c>
      <c r="AO62" s="367">
        <f t="shared" ca="1" si="64"/>
        <v>72.2</v>
      </c>
      <c r="AP62" s="367">
        <f t="shared" ca="1" si="65"/>
        <v>68.8</v>
      </c>
      <c r="AQ62" s="367">
        <f t="shared" ca="1" si="66"/>
        <v>61.1</v>
      </c>
    </row>
    <row r="63" spans="1:43">
      <c r="A63" s="367">
        <f t="shared" si="33"/>
        <v>42</v>
      </c>
      <c r="B63" s="367">
        <f>tblIndiSets!B53</f>
        <v>42</v>
      </c>
      <c r="C63" s="367">
        <f>IF(tblIndiSets!D53&lt;=$B$3,tblIndiSets!D53,"")</f>
        <v>2</v>
      </c>
      <c r="D63" s="367">
        <f t="shared" si="45"/>
        <v>2</v>
      </c>
      <c r="E63" s="367" t="str">
        <f>tblIndiSets!E53</f>
        <v xml:space="preserve">  3.2) Government support</v>
      </c>
      <c r="F63" s="367">
        <f t="shared" si="35"/>
        <v>58</v>
      </c>
      <c r="G63" s="21">
        <f t="shared" ca="1" si="67"/>
        <v>71.7</v>
      </c>
      <c r="H63" s="21">
        <f t="shared" ca="1" si="67"/>
        <v>71.7</v>
      </c>
      <c r="I63" s="21">
        <f t="shared" ca="1" si="67"/>
        <v>64.8</v>
      </c>
      <c r="J63" s="21">
        <f t="shared" ca="1" si="67"/>
        <v>79</v>
      </c>
      <c r="K63" s="21">
        <f t="shared" ca="1" si="67"/>
        <v>68.099999999999994</v>
      </c>
      <c r="L63" s="21">
        <f t="shared" ca="1" si="67"/>
        <v>40.799999999999997</v>
      </c>
      <c r="M63" s="21">
        <f t="shared" ca="1" si="67"/>
        <v>84.4</v>
      </c>
      <c r="N63" s="21">
        <f t="shared" ca="1" si="67"/>
        <v>54.1</v>
      </c>
      <c r="O63" s="21">
        <f t="shared" ca="1" si="67"/>
        <v>60.3</v>
      </c>
      <c r="P63" s="21">
        <f t="shared" ca="1" si="67"/>
        <v>77.400000000000006</v>
      </c>
      <c r="Q63" s="21">
        <f t="shared" ca="1" si="67"/>
        <v>74.3</v>
      </c>
      <c r="R63" s="21">
        <f t="shared" ca="1" si="67"/>
        <v>77</v>
      </c>
      <c r="S63" s="21">
        <f t="shared" ca="1" si="67"/>
        <v>69.2</v>
      </c>
      <c r="T63" s="21">
        <f t="shared" ca="1" si="67"/>
        <v>65.099999999999994</v>
      </c>
      <c r="U63" s="21">
        <f t="shared" si="46"/>
        <v>58</v>
      </c>
      <c r="V63" s="367">
        <f t="shared" si="47"/>
        <v>2</v>
      </c>
      <c r="W63" s="3">
        <f>IF(OR($C63="",$C63=0,$C63=1),"",RANK(U63,U$22:U$91,0)+COUNTIF(U$22:U63,U63)-1)</f>
        <v>38</v>
      </c>
      <c r="X63" s="3">
        <f t="shared" si="48"/>
        <v>46</v>
      </c>
      <c r="Z63" s="367">
        <f t="shared" si="49"/>
        <v>3</v>
      </c>
      <c r="AA63" s="367">
        <f t="shared" si="50"/>
        <v>46</v>
      </c>
      <c r="AB63" s="367">
        <f t="shared" si="51"/>
        <v>0</v>
      </c>
      <c r="AC63" s="367" t="str">
        <f t="shared" si="52"/>
        <v xml:space="preserve">   3.2.4) Open data access and use</v>
      </c>
      <c r="AD63" s="367">
        <f t="shared" ca="1" si="53"/>
        <v>54.3</v>
      </c>
      <c r="AE63" s="367">
        <f t="shared" ca="1" si="54"/>
        <v>54.3</v>
      </c>
      <c r="AF63" s="367">
        <f t="shared" ca="1" si="55"/>
        <v>41.7</v>
      </c>
      <c r="AG63" s="367">
        <f t="shared" ca="1" si="56"/>
        <v>66.400000000000006</v>
      </c>
      <c r="AH63" s="367">
        <f t="shared" ca="1" si="57"/>
        <v>45.9</v>
      </c>
      <c r="AI63" s="367">
        <f t="shared" ca="1" si="58"/>
        <v>7.5</v>
      </c>
      <c r="AJ63" s="367">
        <f t="shared" ca="1" si="59"/>
        <v>80</v>
      </c>
      <c r="AK63" s="367">
        <f t="shared" ca="1" si="60"/>
        <v>31.7</v>
      </c>
      <c r="AL63" s="367">
        <f t="shared" ca="1" si="61"/>
        <v>26.3</v>
      </c>
      <c r="AM63" s="367">
        <f t="shared" ca="1" si="62"/>
        <v>65.599999999999994</v>
      </c>
      <c r="AN63" s="367">
        <f t="shared" ca="1" si="63"/>
        <v>55.7</v>
      </c>
      <c r="AO63" s="367">
        <f t="shared" ca="1" si="64"/>
        <v>59.7</v>
      </c>
      <c r="AP63" s="367">
        <f t="shared" ca="1" si="65"/>
        <v>58.8</v>
      </c>
      <c r="AQ63" s="367">
        <f t="shared" ca="1" si="66"/>
        <v>45.7</v>
      </c>
    </row>
    <row r="64" spans="1:43">
      <c r="A64" s="367">
        <f t="shared" si="33"/>
        <v>43</v>
      </c>
      <c r="B64" s="367">
        <f>tblIndiSets!B54</f>
        <v>43</v>
      </c>
      <c r="C64" s="367">
        <f>IF(tblIndiSets!D54&lt;=$B$3,tblIndiSets!D54,"")</f>
        <v>3</v>
      </c>
      <c r="D64" s="367">
        <f t="shared" si="45"/>
        <v>3</v>
      </c>
      <c r="E64" s="367" t="str">
        <f>tblIndiSets!E54</f>
        <v xml:space="preserve">   3.2.1) Data protection law</v>
      </c>
      <c r="F64" s="367">
        <f t="shared" si="35"/>
        <v>57</v>
      </c>
      <c r="G64" s="21">
        <f t="shared" ca="1" si="67"/>
        <v>90</v>
      </c>
      <c r="H64" s="21">
        <f t="shared" ca="1" si="67"/>
        <v>90</v>
      </c>
      <c r="I64" s="21">
        <f t="shared" ca="1" si="67"/>
        <v>87.5</v>
      </c>
      <c r="J64" s="21">
        <f t="shared" ca="1" si="67"/>
        <v>100</v>
      </c>
      <c r="K64" s="21">
        <f t="shared" ca="1" si="67"/>
        <v>100</v>
      </c>
      <c r="L64" s="21">
        <f t="shared" ca="1" si="67"/>
        <v>50</v>
      </c>
      <c r="M64" s="21">
        <f t="shared" ca="1" si="67"/>
        <v>75</v>
      </c>
      <c r="N64" s="21">
        <f t="shared" ca="1" si="67"/>
        <v>66.7</v>
      </c>
      <c r="O64" s="21">
        <f t="shared" ca="1" si="67"/>
        <v>91.7</v>
      </c>
      <c r="P64" s="21">
        <f t="shared" ca="1" si="67"/>
        <v>92.9</v>
      </c>
      <c r="Q64" s="21">
        <f t="shared" ca="1" si="67"/>
        <v>93.8</v>
      </c>
      <c r="R64" s="21">
        <f t="shared" ca="1" si="67"/>
        <v>94.4</v>
      </c>
      <c r="S64" s="21">
        <f t="shared" ca="1" si="67"/>
        <v>87.5</v>
      </c>
      <c r="T64" s="21">
        <f t="shared" ca="1" si="67"/>
        <v>83.3</v>
      </c>
      <c r="U64" s="21">
        <f t="shared" si="46"/>
        <v>57</v>
      </c>
      <c r="V64" s="367">
        <f t="shared" si="47"/>
        <v>3</v>
      </c>
      <c r="W64" s="3">
        <f>IF(OR($C64="",$C64=0,$C64=1),"",RANK(U64,U$22:U$91,0)+COUNTIF(U$22:U64,U64)-1)</f>
        <v>39</v>
      </c>
      <c r="X64" s="3">
        <f t="shared" si="48"/>
        <v>47</v>
      </c>
      <c r="Z64" s="367">
        <f t="shared" si="49"/>
        <v>3</v>
      </c>
      <c r="AA64" s="367">
        <f t="shared" si="50"/>
        <v>47</v>
      </c>
      <c r="AB64" s="367">
        <f t="shared" si="51"/>
        <v>0</v>
      </c>
      <c r="AC64" s="367" t="str">
        <f t="shared" si="52"/>
        <v xml:space="preserve">   3.2.5) Internet freedom</v>
      </c>
      <c r="AD64" s="367">
        <f t="shared" ca="1" si="53"/>
        <v>70.7</v>
      </c>
      <c r="AE64" s="367">
        <f t="shared" ca="1" si="54"/>
        <v>70.7</v>
      </c>
      <c r="AF64" s="367">
        <f t="shared" ca="1" si="55"/>
        <v>57.2</v>
      </c>
      <c r="AG64" s="367">
        <f t="shared" ca="1" si="56"/>
        <v>86.2</v>
      </c>
      <c r="AH64" s="367">
        <f t="shared" ca="1" si="57"/>
        <v>69.400000000000006</v>
      </c>
      <c r="AI64" s="367">
        <f t="shared" ca="1" si="58"/>
        <v>21.4</v>
      </c>
      <c r="AJ64" s="367">
        <f t="shared" ca="1" si="59"/>
        <v>85.8</v>
      </c>
      <c r="AK64" s="367">
        <f t="shared" ca="1" si="60"/>
        <v>55.5</v>
      </c>
      <c r="AL64" s="367">
        <f t="shared" ca="1" si="61"/>
        <v>50.2</v>
      </c>
      <c r="AM64" s="367">
        <f t="shared" ca="1" si="62"/>
        <v>78.7</v>
      </c>
      <c r="AN64" s="367">
        <f t="shared" ca="1" si="63"/>
        <v>78.599999999999994</v>
      </c>
      <c r="AO64" s="367">
        <f t="shared" ca="1" si="64"/>
        <v>75.099999999999994</v>
      </c>
      <c r="AP64" s="367">
        <f t="shared" ca="1" si="65"/>
        <v>68.5</v>
      </c>
      <c r="AQ64" s="367">
        <f t="shared" ca="1" si="66"/>
        <v>60.3</v>
      </c>
    </row>
    <row r="65" spans="1:43">
      <c r="A65" s="367">
        <f t="shared" si="33"/>
        <v>44</v>
      </c>
      <c r="B65" s="367">
        <f>tblIndiSets!B55</f>
        <v>44</v>
      </c>
      <c r="C65" s="367">
        <f>IF(tblIndiSets!D55&lt;=$B$3,tblIndiSets!D55,"")</f>
        <v>3</v>
      </c>
      <c r="D65" s="367">
        <f t="shared" si="45"/>
        <v>3</v>
      </c>
      <c r="E65" s="367" t="str">
        <f>tblIndiSets!E55</f>
        <v xml:space="preserve">   3.2.2) Cyber security preparedness</v>
      </c>
      <c r="F65" s="367">
        <f t="shared" si="35"/>
        <v>56</v>
      </c>
      <c r="G65" s="21">
        <f t="shared" ca="1" si="67"/>
        <v>77.5</v>
      </c>
      <c r="H65" s="21">
        <f t="shared" ca="1" si="67"/>
        <v>77.5</v>
      </c>
      <c r="I65" s="21">
        <f t="shared" ca="1" si="67"/>
        <v>72.900000000000006</v>
      </c>
      <c r="J65" s="21">
        <f t="shared" ca="1" si="67"/>
        <v>77.5</v>
      </c>
      <c r="K65" s="21">
        <f t="shared" ca="1" si="67"/>
        <v>66.7</v>
      </c>
      <c r="L65" s="21">
        <f t="shared" ca="1" si="67"/>
        <v>75</v>
      </c>
      <c r="M65" s="21">
        <f t="shared" ca="1" si="67"/>
        <v>100</v>
      </c>
      <c r="N65" s="21">
        <f t="shared" ca="1" si="67"/>
        <v>58.3</v>
      </c>
      <c r="O65" s="21">
        <f t="shared" ca="1" si="67"/>
        <v>70.8</v>
      </c>
      <c r="P65" s="21">
        <f t="shared" ca="1" si="67"/>
        <v>82.1</v>
      </c>
      <c r="Q65" s="21">
        <f t="shared" ca="1" si="67"/>
        <v>81.3</v>
      </c>
      <c r="R65" s="21">
        <f t="shared" ca="1" si="67"/>
        <v>83.3</v>
      </c>
      <c r="S65" s="21">
        <f t="shared" ca="1" si="67"/>
        <v>62.5</v>
      </c>
      <c r="T65" s="21">
        <f t="shared" ca="1" si="67"/>
        <v>75</v>
      </c>
      <c r="U65" s="21">
        <f t="shared" si="46"/>
        <v>56</v>
      </c>
      <c r="V65" s="367">
        <f t="shared" si="47"/>
        <v>3</v>
      </c>
      <c r="W65" s="3">
        <f>IF(OR($C65="",$C65=0,$C65=1),"",RANK(U65,U$22:U$91,0)+COUNTIF(U$22:U65,U65)-1)</f>
        <v>40</v>
      </c>
      <c r="X65" s="3">
        <f t="shared" si="48"/>
        <v>48</v>
      </c>
      <c r="Z65" s="367">
        <f t="shared" si="49"/>
        <v>2</v>
      </c>
      <c r="AA65" s="367">
        <f t="shared" si="50"/>
        <v>48</v>
      </c>
      <c r="AB65" s="367">
        <f t="shared" si="51"/>
        <v>2</v>
      </c>
      <c r="AC65" s="367" t="str">
        <f t="shared" si="52"/>
        <v xml:space="preserve">  3.3) Innovation ecosystem</v>
      </c>
      <c r="AD65" s="367">
        <f t="shared" ca="1" si="53"/>
        <v>49.1</v>
      </c>
      <c r="AE65" s="367">
        <f t="shared" ca="1" si="54"/>
        <v>49.1</v>
      </c>
      <c r="AF65" s="367">
        <f t="shared" ca="1" si="55"/>
        <v>41.2</v>
      </c>
      <c r="AG65" s="367">
        <f t="shared" ca="1" si="56"/>
        <v>57.1</v>
      </c>
      <c r="AH65" s="367">
        <f t="shared" ca="1" si="57"/>
        <v>23.6</v>
      </c>
      <c r="AI65" s="367">
        <f t="shared" ca="1" si="58"/>
        <v>57.4</v>
      </c>
      <c r="AJ65" s="367">
        <f t="shared" ca="1" si="59"/>
        <v>70</v>
      </c>
      <c r="AK65" s="367">
        <f t="shared" ca="1" si="60"/>
        <v>18.5</v>
      </c>
      <c r="AL65" s="367">
        <f t="shared" ca="1" si="61"/>
        <v>28.6</v>
      </c>
      <c r="AM65" s="367">
        <f t="shared" ca="1" si="62"/>
        <v>59.4</v>
      </c>
      <c r="AN65" s="367">
        <f t="shared" ca="1" si="63"/>
        <v>56.8</v>
      </c>
      <c r="AO65" s="367">
        <f t="shared" ca="1" si="64"/>
        <v>56.2</v>
      </c>
      <c r="AP65" s="367">
        <f t="shared" ca="1" si="65"/>
        <v>39.4</v>
      </c>
      <c r="AQ65" s="367">
        <f t="shared" ca="1" si="66"/>
        <v>39.6</v>
      </c>
    </row>
    <row r="66" spans="1:43">
      <c r="A66" s="367">
        <f t="shared" si="33"/>
        <v>45</v>
      </c>
      <c r="B66" s="367">
        <f>tblIndiSets!B56</f>
        <v>45</v>
      </c>
      <c r="C66" s="367">
        <f>IF(tblIndiSets!D56&lt;=$B$3,tblIndiSets!D56,"")</f>
        <v>3</v>
      </c>
      <c r="D66" s="367">
        <f t="shared" si="45"/>
        <v>3</v>
      </c>
      <c r="E66" s="367" t="str">
        <f>tblIndiSets!E56</f>
        <v xml:space="preserve">   3.2.3) Cyber security risk awareness</v>
      </c>
      <c r="F66" s="367">
        <f t="shared" si="35"/>
        <v>55</v>
      </c>
      <c r="G66" s="21">
        <f t="shared" ca="1" si="67"/>
        <v>65.8</v>
      </c>
      <c r="H66" s="21">
        <f t="shared" ca="1" si="67"/>
        <v>65.8</v>
      </c>
      <c r="I66" s="21">
        <f t="shared" ca="1" si="67"/>
        <v>64.599999999999994</v>
      </c>
      <c r="J66" s="21">
        <f t="shared" ca="1" si="67"/>
        <v>65</v>
      </c>
      <c r="K66" s="21">
        <f t="shared" ca="1" si="67"/>
        <v>58.3</v>
      </c>
      <c r="L66" s="21">
        <f t="shared" ca="1" si="67"/>
        <v>50</v>
      </c>
      <c r="M66" s="21">
        <f t="shared" ca="1" si="67"/>
        <v>81.3</v>
      </c>
      <c r="N66" s="21">
        <f t="shared" ca="1" si="67"/>
        <v>58.3</v>
      </c>
      <c r="O66" s="21">
        <f t="shared" ca="1" si="67"/>
        <v>62.5</v>
      </c>
      <c r="P66" s="21">
        <f t="shared" ca="1" si="67"/>
        <v>67.900000000000006</v>
      </c>
      <c r="Q66" s="21">
        <f t="shared" ca="1" si="67"/>
        <v>62.5</v>
      </c>
      <c r="R66" s="21">
        <f t="shared" ca="1" si="67"/>
        <v>72.2</v>
      </c>
      <c r="S66" s="21">
        <f t="shared" ca="1" si="67"/>
        <v>68.8</v>
      </c>
      <c r="T66" s="21">
        <f t="shared" ca="1" si="67"/>
        <v>61.1</v>
      </c>
      <c r="U66" s="21">
        <f t="shared" si="46"/>
        <v>55</v>
      </c>
      <c r="V66" s="367">
        <f t="shared" si="47"/>
        <v>3</v>
      </c>
      <c r="W66" s="3">
        <f>IF(OR($C66="",$C66=0,$C66=1),"",RANK(U66,U$22:U$91,0)+COUNTIF(U$22:U66,U66)-1)</f>
        <v>41</v>
      </c>
      <c r="X66" s="3">
        <f t="shared" si="48"/>
        <v>49</v>
      </c>
      <c r="Z66" s="367">
        <f t="shared" si="49"/>
        <v>3</v>
      </c>
      <c r="AA66" s="367">
        <f t="shared" si="50"/>
        <v>49</v>
      </c>
      <c r="AB66" s="367">
        <f t="shared" si="51"/>
        <v>0</v>
      </c>
      <c r="AC66" s="367" t="str">
        <f t="shared" si="52"/>
        <v xml:space="preserve">   3.3.1) AI readiness of government</v>
      </c>
      <c r="AD66" s="367">
        <f t="shared" ca="1" si="53"/>
        <v>59.8</v>
      </c>
      <c r="AE66" s="367">
        <f t="shared" ca="1" si="54"/>
        <v>59.8</v>
      </c>
      <c r="AF66" s="367">
        <f t="shared" ca="1" si="55"/>
        <v>49.5</v>
      </c>
      <c r="AG66" s="367">
        <f t="shared" ca="1" si="56"/>
        <v>71.7</v>
      </c>
      <c r="AH66" s="367">
        <f t="shared" ca="1" si="57"/>
        <v>14.9</v>
      </c>
      <c r="AI66" s="367">
        <f t="shared" ca="1" si="58"/>
        <v>69.2</v>
      </c>
      <c r="AJ66" s="367">
        <f t="shared" ca="1" si="59"/>
        <v>92.8</v>
      </c>
      <c r="AK66" s="367">
        <f t="shared" ca="1" si="60"/>
        <v>13.9</v>
      </c>
      <c r="AL66" s="367">
        <f t="shared" ca="1" si="61"/>
        <v>27.9</v>
      </c>
      <c r="AM66" s="367">
        <f t="shared" ca="1" si="62"/>
        <v>75.5</v>
      </c>
      <c r="AN66" s="367">
        <f t="shared" ca="1" si="63"/>
        <v>69.099999999999994</v>
      </c>
      <c r="AO66" s="367">
        <f t="shared" ca="1" si="64"/>
        <v>74.099999999999994</v>
      </c>
      <c r="AP66" s="367">
        <f t="shared" ca="1" si="65"/>
        <v>43.7</v>
      </c>
      <c r="AQ66" s="367">
        <f t="shared" ca="1" si="66"/>
        <v>44.5</v>
      </c>
    </row>
    <row r="67" spans="1:43">
      <c r="A67" s="367">
        <f t="shared" si="33"/>
        <v>46</v>
      </c>
      <c r="B67" s="367">
        <f>tblIndiSets!B57</f>
        <v>46</v>
      </c>
      <c r="C67" s="367">
        <f>IF(tblIndiSets!D57&lt;=$B$3,tblIndiSets!D57,"")</f>
        <v>3</v>
      </c>
      <c r="D67" s="367">
        <f t="shared" si="45"/>
        <v>3</v>
      </c>
      <c r="E67" s="367" t="str">
        <f>tblIndiSets!E57</f>
        <v xml:space="preserve">   3.2.4) Open data access and use</v>
      </c>
      <c r="F67" s="367">
        <f t="shared" si="35"/>
        <v>54</v>
      </c>
      <c r="G67" s="21">
        <f t="shared" ca="1" si="67"/>
        <v>54.3</v>
      </c>
      <c r="H67" s="21">
        <f t="shared" ca="1" si="67"/>
        <v>54.3</v>
      </c>
      <c r="I67" s="21">
        <f t="shared" ca="1" si="67"/>
        <v>41.7</v>
      </c>
      <c r="J67" s="21">
        <f t="shared" ca="1" si="67"/>
        <v>66.400000000000006</v>
      </c>
      <c r="K67" s="21">
        <f t="shared" ca="1" si="67"/>
        <v>45.9</v>
      </c>
      <c r="L67" s="21">
        <f t="shared" ca="1" si="67"/>
        <v>7.5</v>
      </c>
      <c r="M67" s="21">
        <f t="shared" ca="1" si="67"/>
        <v>80</v>
      </c>
      <c r="N67" s="21">
        <f t="shared" ca="1" si="67"/>
        <v>31.7</v>
      </c>
      <c r="O67" s="21">
        <f t="shared" ca="1" si="67"/>
        <v>26.3</v>
      </c>
      <c r="P67" s="21">
        <f t="shared" ca="1" si="67"/>
        <v>65.599999999999994</v>
      </c>
      <c r="Q67" s="21">
        <f t="shared" ca="1" si="67"/>
        <v>55.7</v>
      </c>
      <c r="R67" s="21">
        <f t="shared" ca="1" si="67"/>
        <v>59.7</v>
      </c>
      <c r="S67" s="21">
        <f t="shared" ca="1" si="67"/>
        <v>58.8</v>
      </c>
      <c r="T67" s="21">
        <f t="shared" ca="1" si="67"/>
        <v>45.7</v>
      </c>
      <c r="U67" s="21">
        <f t="shared" si="46"/>
        <v>54</v>
      </c>
      <c r="V67" s="367">
        <f t="shared" si="47"/>
        <v>3</v>
      </c>
      <c r="W67" s="3">
        <f>IF(OR($C67="",$C67=0,$C67=1),"",RANK(U67,U$22:U$91,0)+COUNTIF(U$22:U67,U67)-1)</f>
        <v>42</v>
      </c>
      <c r="X67" s="3">
        <f t="shared" si="48"/>
        <v>50</v>
      </c>
      <c r="Z67" s="367">
        <f t="shared" si="49"/>
        <v>3</v>
      </c>
      <c r="AA67" s="367">
        <f t="shared" si="50"/>
        <v>50</v>
      </c>
      <c r="AB67" s="367">
        <f t="shared" si="51"/>
        <v>0</v>
      </c>
      <c r="AC67" s="367" t="str">
        <f t="shared" si="52"/>
        <v xml:space="preserve">   3.3.2) Blockchain technology strategy</v>
      </c>
      <c r="AD67" s="367">
        <f t="shared" ca="1" si="53"/>
        <v>35.6</v>
      </c>
      <c r="AE67" s="367">
        <f t="shared" ca="1" si="54"/>
        <v>35.6</v>
      </c>
      <c r="AF67" s="367">
        <f t="shared" ca="1" si="55"/>
        <v>41.7</v>
      </c>
      <c r="AG67" s="367">
        <f t="shared" ca="1" si="56"/>
        <v>40</v>
      </c>
      <c r="AH67" s="367">
        <f t="shared" ca="1" si="57"/>
        <v>22.2</v>
      </c>
      <c r="AI67" s="367">
        <f t="shared" ca="1" si="58"/>
        <v>100</v>
      </c>
      <c r="AJ67" s="367">
        <f t="shared" ca="1" si="59"/>
        <v>0</v>
      </c>
      <c r="AK67" s="367">
        <f t="shared" ca="1" si="60"/>
        <v>33.299999999999997</v>
      </c>
      <c r="AL67" s="367">
        <f t="shared" ca="1" si="61"/>
        <v>27.8</v>
      </c>
      <c r="AM67" s="367">
        <f t="shared" ca="1" si="62"/>
        <v>38.1</v>
      </c>
      <c r="AN67" s="367">
        <f t="shared" ca="1" si="63"/>
        <v>54.2</v>
      </c>
      <c r="AO67" s="367">
        <f t="shared" ca="1" si="64"/>
        <v>25.9</v>
      </c>
      <c r="AP67" s="367">
        <f t="shared" ca="1" si="65"/>
        <v>8.3000000000000007</v>
      </c>
      <c r="AQ67" s="367">
        <f t="shared" ca="1" si="66"/>
        <v>40.700000000000003</v>
      </c>
    </row>
    <row r="68" spans="1:43">
      <c r="A68" s="367">
        <f t="shared" si="33"/>
        <v>47</v>
      </c>
      <c r="B68" s="367">
        <f>tblIndiSets!B58</f>
        <v>47</v>
      </c>
      <c r="C68" s="367">
        <f>IF(tblIndiSets!D58&lt;=$B$3,tblIndiSets!D58,"")</f>
        <v>3</v>
      </c>
      <c r="D68" s="367">
        <f t="shared" si="45"/>
        <v>3</v>
      </c>
      <c r="E68" s="367" t="str">
        <f>tblIndiSets!E58</f>
        <v xml:space="preserve">   3.2.5) Internet freedom</v>
      </c>
      <c r="F68" s="367">
        <f t="shared" si="35"/>
        <v>53</v>
      </c>
      <c r="G68" s="21">
        <f t="shared" ca="1" si="67"/>
        <v>70.7</v>
      </c>
      <c r="H68" s="21">
        <f t="shared" ca="1" si="67"/>
        <v>70.7</v>
      </c>
      <c r="I68" s="21">
        <f t="shared" ca="1" si="67"/>
        <v>57.2</v>
      </c>
      <c r="J68" s="21">
        <f t="shared" ca="1" si="67"/>
        <v>86.2</v>
      </c>
      <c r="K68" s="21">
        <f t="shared" ca="1" si="67"/>
        <v>69.400000000000006</v>
      </c>
      <c r="L68" s="21">
        <f t="shared" ca="1" si="67"/>
        <v>21.4</v>
      </c>
      <c r="M68" s="21">
        <f t="shared" ca="1" si="67"/>
        <v>85.8</v>
      </c>
      <c r="N68" s="21">
        <f t="shared" ca="1" si="67"/>
        <v>55.5</v>
      </c>
      <c r="O68" s="21">
        <f t="shared" ca="1" si="67"/>
        <v>50.2</v>
      </c>
      <c r="P68" s="21">
        <f t="shared" ca="1" si="67"/>
        <v>78.7</v>
      </c>
      <c r="Q68" s="21">
        <f t="shared" ca="1" si="67"/>
        <v>78.599999999999994</v>
      </c>
      <c r="R68" s="21">
        <f t="shared" ca="1" si="67"/>
        <v>75.099999999999994</v>
      </c>
      <c r="S68" s="21">
        <f t="shared" ca="1" si="67"/>
        <v>68.5</v>
      </c>
      <c r="T68" s="21">
        <f t="shared" ca="1" si="67"/>
        <v>60.3</v>
      </c>
      <c r="U68" s="21">
        <f t="shared" si="46"/>
        <v>53</v>
      </c>
      <c r="V68" s="367">
        <f t="shared" si="47"/>
        <v>3</v>
      </c>
      <c r="W68" s="3">
        <f>IF(OR($C68="",$C68=0,$C68=1),"",RANK(U68,U$22:U$91,0)+COUNTIF(U$22:U68,U68)-1)</f>
        <v>43</v>
      </c>
      <c r="X68" s="3">
        <f t="shared" si="48"/>
        <v>51</v>
      </c>
      <c r="Z68" s="367">
        <f t="shared" si="49"/>
        <v>3</v>
      </c>
      <c r="AA68" s="367">
        <f t="shared" si="50"/>
        <v>51</v>
      </c>
      <c r="AB68" s="367">
        <f t="shared" si="51"/>
        <v>0</v>
      </c>
      <c r="AC68" s="367" t="str">
        <f t="shared" si="52"/>
        <v xml:space="preserve">   3.3.3) Tech startup ecosytem</v>
      </c>
      <c r="AD68" s="367">
        <f t="shared" ca="1" si="53"/>
        <v>13.9</v>
      </c>
      <c r="AE68" s="367">
        <f t="shared" ca="1" si="54"/>
        <v>13.9</v>
      </c>
      <c r="AF68" s="367">
        <f t="shared" ca="1" si="55"/>
        <v>12.4</v>
      </c>
      <c r="AG68" s="367">
        <f t="shared" ca="1" si="56"/>
        <v>11.3</v>
      </c>
      <c r="AH68" s="367">
        <f t="shared" ca="1" si="57"/>
        <v>7.2</v>
      </c>
      <c r="AI68" s="367">
        <f t="shared" ca="1" si="58"/>
        <v>2.7</v>
      </c>
      <c r="AJ68" s="367">
        <f t="shared" ca="1" si="59"/>
        <v>33.200000000000003</v>
      </c>
      <c r="AK68" s="367">
        <f t="shared" ca="1" si="60"/>
        <v>9.9</v>
      </c>
      <c r="AL68" s="367">
        <f t="shared" ca="1" si="61"/>
        <v>14.2</v>
      </c>
      <c r="AM68" s="367">
        <f t="shared" ca="1" si="62"/>
        <v>14.4</v>
      </c>
      <c r="AN68" s="367">
        <f t="shared" ca="1" si="63"/>
        <v>3</v>
      </c>
      <c r="AO68" s="367">
        <f t="shared" ca="1" si="64"/>
        <v>9.4</v>
      </c>
      <c r="AP68" s="367">
        <f t="shared" ca="1" si="65"/>
        <v>18.5</v>
      </c>
      <c r="AQ68" s="367">
        <f t="shared" ca="1" si="66"/>
        <v>26.2</v>
      </c>
    </row>
    <row r="69" spans="1:43">
      <c r="A69" s="367">
        <f t="shared" si="33"/>
        <v>48</v>
      </c>
      <c r="B69" s="367">
        <f>tblIndiSets!B59</f>
        <v>48</v>
      </c>
      <c r="C69" s="367">
        <f>IF(tblIndiSets!D59&lt;=$B$3,tblIndiSets!D59,"")</f>
        <v>2</v>
      </c>
      <c r="D69" s="367">
        <f t="shared" si="45"/>
        <v>2</v>
      </c>
      <c r="E69" s="367" t="str">
        <f>tblIndiSets!E59</f>
        <v xml:space="preserve">  3.3) Innovation ecosystem</v>
      </c>
      <c r="F69" s="367">
        <f t="shared" si="35"/>
        <v>52</v>
      </c>
      <c r="G69" s="21">
        <f t="shared" ca="1" si="67"/>
        <v>49.1</v>
      </c>
      <c r="H69" s="21">
        <f t="shared" ca="1" si="67"/>
        <v>49.1</v>
      </c>
      <c r="I69" s="21">
        <f t="shared" ca="1" si="67"/>
        <v>41.2</v>
      </c>
      <c r="J69" s="21">
        <f t="shared" ca="1" si="67"/>
        <v>57.1</v>
      </c>
      <c r="K69" s="21">
        <f t="shared" ca="1" si="67"/>
        <v>23.6</v>
      </c>
      <c r="L69" s="21">
        <f t="shared" ca="1" si="67"/>
        <v>57.4</v>
      </c>
      <c r="M69" s="21">
        <f t="shared" ca="1" si="67"/>
        <v>70</v>
      </c>
      <c r="N69" s="21">
        <f t="shared" ca="1" si="67"/>
        <v>18.5</v>
      </c>
      <c r="O69" s="21">
        <f t="shared" ca="1" si="67"/>
        <v>28.6</v>
      </c>
      <c r="P69" s="21">
        <f t="shared" ca="1" si="67"/>
        <v>59.4</v>
      </c>
      <c r="Q69" s="21">
        <f t="shared" ca="1" si="67"/>
        <v>56.8</v>
      </c>
      <c r="R69" s="21">
        <f t="shared" ca="1" si="67"/>
        <v>56.2</v>
      </c>
      <c r="S69" s="21">
        <f t="shared" ca="1" si="67"/>
        <v>39.4</v>
      </c>
      <c r="T69" s="21">
        <f t="shared" ca="1" si="67"/>
        <v>39.6</v>
      </c>
      <c r="U69" s="21">
        <f t="shared" si="46"/>
        <v>52</v>
      </c>
      <c r="V69" s="367">
        <f t="shared" si="47"/>
        <v>2</v>
      </c>
      <c r="W69" s="3">
        <f>IF(OR($C69="",$C69=0,$C69=1),"",RANK(U69,U$22:U$91,0)+COUNTIF(U$22:U69,U69)-1)</f>
        <v>44</v>
      </c>
      <c r="X69" s="3">
        <f t="shared" si="48"/>
        <v>52</v>
      </c>
      <c r="Z69" s="367">
        <f t="shared" si="49"/>
        <v>3</v>
      </c>
      <c r="AA69" s="367">
        <f t="shared" si="50"/>
        <v>52</v>
      </c>
      <c r="AB69" s="367">
        <f t="shared" si="51"/>
        <v>0</v>
      </c>
      <c r="AC69" s="367" t="str">
        <f t="shared" si="52"/>
        <v xml:space="preserve">   3.3.4) Intellectual Property Rights</v>
      </c>
      <c r="AD69" s="367">
        <f t="shared" ca="1" si="53"/>
        <v>72.5</v>
      </c>
      <c r="AE69" s="367">
        <f t="shared" ca="1" si="54"/>
        <v>72.5</v>
      </c>
      <c r="AF69" s="367">
        <f t="shared" ca="1" si="55"/>
        <v>52.1</v>
      </c>
      <c r="AG69" s="367">
        <f t="shared" ca="1" si="56"/>
        <v>92.5</v>
      </c>
      <c r="AH69" s="367">
        <f t="shared" ca="1" si="57"/>
        <v>50</v>
      </c>
      <c r="AI69" s="367">
        <f t="shared" ca="1" si="58"/>
        <v>75</v>
      </c>
      <c r="AJ69" s="367">
        <f t="shared" ca="1" si="59"/>
        <v>100</v>
      </c>
      <c r="AK69" s="367">
        <f t="shared" ca="1" si="60"/>
        <v>16.7</v>
      </c>
      <c r="AL69" s="367">
        <f t="shared" ca="1" si="61"/>
        <v>41.7</v>
      </c>
      <c r="AM69" s="367">
        <f t="shared" ca="1" si="62"/>
        <v>89.3</v>
      </c>
      <c r="AN69" s="367">
        <f t="shared" ca="1" si="63"/>
        <v>90.6</v>
      </c>
      <c r="AO69" s="367">
        <f t="shared" ca="1" si="64"/>
        <v>86.1</v>
      </c>
      <c r="AP69" s="367">
        <f t="shared" ca="1" si="65"/>
        <v>62.5</v>
      </c>
      <c r="AQ69" s="367">
        <f t="shared" ca="1" si="66"/>
        <v>47.2</v>
      </c>
    </row>
    <row r="70" spans="1:43">
      <c r="A70" s="367">
        <f t="shared" si="33"/>
        <v>49</v>
      </c>
      <c r="B70" s="367">
        <f>tblIndiSets!B60</f>
        <v>49</v>
      </c>
      <c r="C70" s="367">
        <f>IF(tblIndiSets!D60&lt;=$B$3,tblIndiSets!D60,"")</f>
        <v>3</v>
      </c>
      <c r="D70" s="367">
        <f t="shared" si="45"/>
        <v>3</v>
      </c>
      <c r="E70" s="367" t="str">
        <f>tblIndiSets!E60</f>
        <v xml:space="preserve">   3.3.1) AI readiness of government</v>
      </c>
      <c r="F70" s="367">
        <f t="shared" si="35"/>
        <v>51</v>
      </c>
      <c r="G70" s="21">
        <f t="shared" ca="1" si="67"/>
        <v>59.8</v>
      </c>
      <c r="H70" s="21">
        <f t="shared" ca="1" si="67"/>
        <v>59.8</v>
      </c>
      <c r="I70" s="21">
        <f t="shared" ca="1" si="67"/>
        <v>49.5</v>
      </c>
      <c r="J70" s="21">
        <f t="shared" ca="1" si="67"/>
        <v>71.7</v>
      </c>
      <c r="K70" s="21">
        <f t="shared" ca="1" si="67"/>
        <v>14.9</v>
      </c>
      <c r="L70" s="21">
        <f t="shared" ca="1" si="67"/>
        <v>69.2</v>
      </c>
      <c r="M70" s="21">
        <f t="shared" ca="1" si="67"/>
        <v>92.8</v>
      </c>
      <c r="N70" s="21">
        <f t="shared" ca="1" si="67"/>
        <v>13.9</v>
      </c>
      <c r="O70" s="21">
        <f t="shared" ca="1" si="67"/>
        <v>27.9</v>
      </c>
      <c r="P70" s="21">
        <f t="shared" ca="1" si="67"/>
        <v>75.5</v>
      </c>
      <c r="Q70" s="21">
        <f t="shared" ca="1" si="67"/>
        <v>69.099999999999994</v>
      </c>
      <c r="R70" s="21">
        <f t="shared" ca="1" si="67"/>
        <v>74.099999999999994</v>
      </c>
      <c r="S70" s="21">
        <f t="shared" ca="1" si="67"/>
        <v>43.7</v>
      </c>
      <c r="T70" s="21">
        <f t="shared" ca="1" si="67"/>
        <v>44.5</v>
      </c>
      <c r="U70" s="21">
        <f t="shared" si="46"/>
        <v>51</v>
      </c>
      <c r="V70" s="367">
        <f t="shared" si="47"/>
        <v>3</v>
      </c>
      <c r="W70" s="3">
        <f>IF(OR($C70="",$C70=0,$C70=1),"",RANK(U70,U$22:U$91,0)+COUNTIF(U$22:U70,U70)-1)</f>
        <v>45</v>
      </c>
      <c r="X70" s="3">
        <f t="shared" si="48"/>
        <v>53</v>
      </c>
      <c r="Z70" s="367">
        <f t="shared" si="49"/>
        <v>3</v>
      </c>
      <c r="AA70" s="367">
        <f t="shared" si="50"/>
        <v>53</v>
      </c>
      <c r="AB70" s="367">
        <f t="shared" si="51"/>
        <v>0</v>
      </c>
      <c r="AC70" s="367" t="str">
        <f t="shared" si="52"/>
        <v xml:space="preserve">   3.3.5) Business environment</v>
      </c>
      <c r="AD70" s="367">
        <f t="shared" ca="1" si="53"/>
        <v>63.8</v>
      </c>
      <c r="AE70" s="367">
        <f t="shared" ca="1" si="54"/>
        <v>63.8</v>
      </c>
      <c r="AF70" s="367">
        <f t="shared" ca="1" si="55"/>
        <v>54.6</v>
      </c>
      <c r="AG70" s="367">
        <f t="shared" ca="1" si="56"/>
        <v>71.099999999999994</v>
      </c>
      <c r="AH70" s="367">
        <f t="shared" ca="1" si="57"/>
        <v>28.4</v>
      </c>
      <c r="AI70" s="367">
        <f t="shared" ca="1" si="58"/>
        <v>66.7</v>
      </c>
      <c r="AJ70" s="367">
        <f t="shared" ca="1" si="59"/>
        <v>99.1</v>
      </c>
      <c r="AK70" s="367">
        <f t="shared" ca="1" si="60"/>
        <v>25.9</v>
      </c>
      <c r="AL70" s="367">
        <f t="shared" ca="1" si="61"/>
        <v>34</v>
      </c>
      <c r="AM70" s="367">
        <f t="shared" ca="1" si="62"/>
        <v>77.7</v>
      </c>
      <c r="AN70" s="367">
        <f t="shared" ca="1" si="63"/>
        <v>75.5</v>
      </c>
      <c r="AO70" s="367">
        <f t="shared" ca="1" si="64"/>
        <v>79.400000000000006</v>
      </c>
      <c r="AP70" s="367">
        <f t="shared" ca="1" si="65"/>
        <v>54.6</v>
      </c>
      <c r="AQ70" s="367">
        <f t="shared" ca="1" si="66"/>
        <v>42</v>
      </c>
    </row>
    <row r="71" spans="1:43">
      <c r="A71" s="367">
        <f t="shared" si="33"/>
        <v>50</v>
      </c>
      <c r="B71" s="367">
        <f>tblIndiSets!B61</f>
        <v>50</v>
      </c>
      <c r="C71" s="367">
        <f>IF(tblIndiSets!D61&lt;=$B$3,tblIndiSets!D61,"")</f>
        <v>3</v>
      </c>
      <c r="D71" s="367">
        <f t="shared" si="45"/>
        <v>3</v>
      </c>
      <c r="E71" s="367" t="str">
        <f>tblIndiSets!E61</f>
        <v xml:space="preserve">   3.3.2) Blockchain technology strategy</v>
      </c>
      <c r="F71" s="367">
        <f t="shared" si="35"/>
        <v>50</v>
      </c>
      <c r="G71" s="21">
        <f t="shared" ca="1" si="67"/>
        <v>35.6</v>
      </c>
      <c r="H71" s="21">
        <f t="shared" ca="1" si="67"/>
        <v>35.6</v>
      </c>
      <c r="I71" s="21">
        <f t="shared" ca="1" si="67"/>
        <v>41.7</v>
      </c>
      <c r="J71" s="21">
        <f t="shared" ca="1" si="67"/>
        <v>40</v>
      </c>
      <c r="K71" s="21">
        <f t="shared" ca="1" si="67"/>
        <v>22.2</v>
      </c>
      <c r="L71" s="21">
        <f t="shared" ca="1" si="67"/>
        <v>100</v>
      </c>
      <c r="M71" s="21">
        <f t="shared" ca="1" si="67"/>
        <v>0</v>
      </c>
      <c r="N71" s="21">
        <f t="shared" ca="1" si="67"/>
        <v>33.299999999999997</v>
      </c>
      <c r="O71" s="21">
        <f t="shared" ca="1" si="67"/>
        <v>27.8</v>
      </c>
      <c r="P71" s="21">
        <f t="shared" ca="1" si="67"/>
        <v>38.1</v>
      </c>
      <c r="Q71" s="21">
        <f t="shared" ca="1" si="67"/>
        <v>54.2</v>
      </c>
      <c r="R71" s="21">
        <f t="shared" ca="1" si="67"/>
        <v>25.9</v>
      </c>
      <c r="S71" s="21">
        <f t="shared" ca="1" si="67"/>
        <v>8.3000000000000007</v>
      </c>
      <c r="T71" s="21">
        <f t="shared" ca="1" si="67"/>
        <v>40.700000000000003</v>
      </c>
      <c r="U71" s="21">
        <f t="shared" si="46"/>
        <v>50</v>
      </c>
      <c r="V71" s="367">
        <f t="shared" si="47"/>
        <v>3</v>
      </c>
      <c r="W71" s="3">
        <f>IF(OR($C71="",$C71=0,$C71=1),"",RANK(U71,U$22:U$91,0)+COUNTIF(U$22:U71,U71)-1)</f>
        <v>46</v>
      </c>
      <c r="X71" s="3">
        <f t="shared" si="48"/>
        <v>54</v>
      </c>
      <c r="Z71" s="367">
        <f t="shared" si="49"/>
        <v>2</v>
      </c>
      <c r="AA71" s="367">
        <f t="shared" si="50"/>
        <v>54</v>
      </c>
      <c r="AB71" s="367">
        <f t="shared" si="51"/>
        <v>2</v>
      </c>
      <c r="AC71" s="367" t="str">
        <f t="shared" si="52"/>
        <v xml:space="preserve">  3.4) Public attitude and engagement</v>
      </c>
      <c r="AD71" s="367">
        <f t="shared" ca="1" si="53"/>
        <v>44.9</v>
      </c>
      <c r="AE71" s="367">
        <f t="shared" ca="1" si="54"/>
        <v>44.9</v>
      </c>
      <c r="AF71" s="367">
        <f t="shared" ca="1" si="55"/>
        <v>50.6</v>
      </c>
      <c r="AG71" s="367">
        <f t="shared" ca="1" si="56"/>
        <v>34.5</v>
      </c>
      <c r="AH71" s="367">
        <f t="shared" ca="1" si="57"/>
        <v>49</v>
      </c>
      <c r="AI71" s="367">
        <f t="shared" ca="1" si="58"/>
        <v>89.7</v>
      </c>
      <c r="AJ71" s="367">
        <f t="shared" ca="1" si="59"/>
        <v>39.9</v>
      </c>
      <c r="AK71" s="367">
        <f t="shared" ca="1" si="60"/>
        <v>67.8</v>
      </c>
      <c r="AL71" s="367">
        <f t="shared" ca="1" si="61"/>
        <v>56.5</v>
      </c>
      <c r="AM71" s="367">
        <f t="shared" ca="1" si="62"/>
        <v>38.4</v>
      </c>
      <c r="AN71" s="367">
        <f t="shared" ca="1" si="63"/>
        <v>45.3</v>
      </c>
      <c r="AO71" s="367">
        <f t="shared" ca="1" si="64"/>
        <v>35.6</v>
      </c>
      <c r="AP71" s="367">
        <f t="shared" ca="1" si="65"/>
        <v>42.3</v>
      </c>
      <c r="AQ71" s="367">
        <f t="shared" ca="1" si="66"/>
        <v>55.1</v>
      </c>
    </row>
    <row r="72" spans="1:43">
      <c r="A72" s="367">
        <f t="shared" si="33"/>
        <v>51</v>
      </c>
      <c r="B72" s="367">
        <f>tblIndiSets!B62</f>
        <v>51</v>
      </c>
      <c r="C72" s="367">
        <f>IF(tblIndiSets!D62&lt;=$B$3,tblIndiSets!D62,"")</f>
        <v>3</v>
      </c>
      <c r="D72" s="367">
        <f t="shared" si="45"/>
        <v>3</v>
      </c>
      <c r="E72" s="367" t="str">
        <f>tblIndiSets!E62</f>
        <v xml:space="preserve">   3.3.3) Tech startup ecosytem</v>
      </c>
      <c r="F72" s="367">
        <f t="shared" si="35"/>
        <v>49</v>
      </c>
      <c r="G72" s="21">
        <f t="shared" ca="1" si="67"/>
        <v>13.9</v>
      </c>
      <c r="H72" s="21">
        <f t="shared" ca="1" si="67"/>
        <v>13.9</v>
      </c>
      <c r="I72" s="21">
        <f t="shared" ca="1" si="67"/>
        <v>12.4</v>
      </c>
      <c r="J72" s="21">
        <f t="shared" ca="1" si="67"/>
        <v>11.3</v>
      </c>
      <c r="K72" s="21">
        <f t="shared" ca="1" si="67"/>
        <v>7.2</v>
      </c>
      <c r="L72" s="21">
        <f t="shared" ca="1" si="67"/>
        <v>2.7</v>
      </c>
      <c r="M72" s="21">
        <f t="shared" ca="1" si="67"/>
        <v>33.200000000000003</v>
      </c>
      <c r="N72" s="21">
        <f t="shared" ca="1" si="67"/>
        <v>9.9</v>
      </c>
      <c r="O72" s="21">
        <f t="shared" ca="1" si="67"/>
        <v>14.2</v>
      </c>
      <c r="P72" s="21">
        <f t="shared" ca="1" si="67"/>
        <v>14.4</v>
      </c>
      <c r="Q72" s="21">
        <f t="shared" ca="1" si="67"/>
        <v>3</v>
      </c>
      <c r="R72" s="21">
        <f t="shared" ca="1" si="67"/>
        <v>9.4</v>
      </c>
      <c r="S72" s="21">
        <f t="shared" ca="1" si="67"/>
        <v>18.5</v>
      </c>
      <c r="T72" s="21">
        <f t="shared" ca="1" si="67"/>
        <v>26.2</v>
      </c>
      <c r="U72" s="21">
        <f t="shared" si="46"/>
        <v>49</v>
      </c>
      <c r="V72" s="367">
        <f t="shared" si="47"/>
        <v>3</v>
      </c>
      <c r="W72" s="3">
        <f>IF(OR($C72="",$C72=0,$C72=1),"",RANK(U72,U$22:U$91,0)+COUNTIF(U$22:U72,U72)-1)</f>
        <v>47</v>
      </c>
      <c r="X72" s="3">
        <f t="shared" si="48"/>
        <v>55</v>
      </c>
      <c r="Z72" s="367">
        <f t="shared" si="49"/>
        <v>3</v>
      </c>
      <c r="AA72" s="367">
        <f t="shared" si="50"/>
        <v>55</v>
      </c>
      <c r="AB72" s="367">
        <f t="shared" si="51"/>
        <v>0</v>
      </c>
      <c r="AC72" s="367" t="str">
        <f t="shared" si="52"/>
        <v xml:space="preserve">   3.4.1) Online public comfort</v>
      </c>
      <c r="AD72" s="367">
        <f t="shared" ca="1" si="53"/>
        <v>47.6</v>
      </c>
      <c r="AE72" s="367">
        <f t="shared" ca="1" si="54"/>
        <v>47.6</v>
      </c>
      <c r="AF72" s="367">
        <f t="shared" ca="1" si="55"/>
        <v>51.5</v>
      </c>
      <c r="AG72" s="367">
        <f t="shared" ca="1" si="56"/>
        <v>38.5</v>
      </c>
      <c r="AH72" s="367">
        <f t="shared" ca="1" si="57"/>
        <v>59.8</v>
      </c>
      <c r="AI72" s="367">
        <f t="shared" ca="1" si="58"/>
        <v>79.400000000000006</v>
      </c>
      <c r="AJ72" s="367">
        <f t="shared" ca="1" si="59"/>
        <v>41.2</v>
      </c>
      <c r="AK72" s="367">
        <f t="shared" ca="1" si="60"/>
        <v>59.8</v>
      </c>
      <c r="AL72" s="367">
        <f t="shared" ca="1" si="61"/>
        <v>62.7</v>
      </c>
      <c r="AM72" s="367">
        <f t="shared" ca="1" si="62"/>
        <v>41.5</v>
      </c>
      <c r="AN72" s="367">
        <f t="shared" ca="1" si="63"/>
        <v>50.4</v>
      </c>
      <c r="AO72" s="367">
        <f t="shared" ca="1" si="64"/>
        <v>36.299999999999997</v>
      </c>
      <c r="AP72" s="367">
        <f t="shared" ca="1" si="65"/>
        <v>44.9</v>
      </c>
      <c r="AQ72" s="367">
        <f t="shared" ca="1" si="66"/>
        <v>57.5</v>
      </c>
    </row>
    <row r="73" spans="1:43">
      <c r="A73" s="367">
        <f t="shared" si="33"/>
        <v>52</v>
      </c>
      <c r="B73" s="367">
        <f>tblIndiSets!B63</f>
        <v>52</v>
      </c>
      <c r="C73" s="367">
        <f>IF(tblIndiSets!D63&lt;=$B$3,tblIndiSets!D63,"")</f>
        <v>3</v>
      </c>
      <c r="D73" s="367">
        <f t="shared" si="45"/>
        <v>3</v>
      </c>
      <c r="E73" s="367" t="str">
        <f>tblIndiSets!E63</f>
        <v xml:space="preserve">   3.3.4) Intellectual Property Rights</v>
      </c>
      <c r="F73" s="367">
        <f t="shared" si="35"/>
        <v>48</v>
      </c>
      <c r="G73" s="21">
        <f t="shared" ca="1" si="67"/>
        <v>72.5</v>
      </c>
      <c r="H73" s="21">
        <f t="shared" ca="1" si="67"/>
        <v>72.5</v>
      </c>
      <c r="I73" s="21">
        <f t="shared" ca="1" si="67"/>
        <v>52.1</v>
      </c>
      <c r="J73" s="21">
        <f t="shared" ref="H73:T91" ca="1" si="68">IF($B73="","",IF(ISERROR(INDEX(aAverages,$B73,J$20)),"-",INDEX(aAverages,$B73,J$20)))</f>
        <v>92.5</v>
      </c>
      <c r="K73" s="21">
        <f t="shared" ca="1" si="68"/>
        <v>50</v>
      </c>
      <c r="L73" s="21">
        <f t="shared" ca="1" si="68"/>
        <v>75</v>
      </c>
      <c r="M73" s="21">
        <f t="shared" ca="1" si="68"/>
        <v>100</v>
      </c>
      <c r="N73" s="21">
        <f t="shared" ca="1" si="68"/>
        <v>16.7</v>
      </c>
      <c r="O73" s="21">
        <f t="shared" ca="1" si="68"/>
        <v>41.7</v>
      </c>
      <c r="P73" s="21">
        <f t="shared" ca="1" si="68"/>
        <v>89.3</v>
      </c>
      <c r="Q73" s="21">
        <f t="shared" ca="1" si="68"/>
        <v>90.6</v>
      </c>
      <c r="R73" s="21">
        <f t="shared" ca="1" si="68"/>
        <v>86.1</v>
      </c>
      <c r="S73" s="21">
        <f t="shared" ca="1" si="68"/>
        <v>62.5</v>
      </c>
      <c r="T73" s="21">
        <f t="shared" ca="1" si="68"/>
        <v>47.2</v>
      </c>
      <c r="U73" s="21">
        <f t="shared" si="46"/>
        <v>48</v>
      </c>
      <c r="V73" s="367">
        <f t="shared" si="47"/>
        <v>3</v>
      </c>
      <c r="W73" s="3">
        <f>IF(OR($C73="",$C73=0,$C73=1),"",RANK(U73,U$22:U$91,0)+COUNTIF(U$22:U73,U73)-1)</f>
        <v>48</v>
      </c>
      <c r="X73" s="3">
        <f t="shared" si="48"/>
        <v>56</v>
      </c>
      <c r="Z73" s="367">
        <f t="shared" si="49"/>
        <v>3</v>
      </c>
      <c r="AA73" s="367">
        <f t="shared" si="50"/>
        <v>56</v>
      </c>
      <c r="AB73" s="367">
        <f t="shared" si="51"/>
        <v>0</v>
      </c>
      <c r="AC73" s="367" t="str">
        <f t="shared" si="52"/>
        <v xml:space="preserve">   3.4.2) E-participation on government portals</v>
      </c>
      <c r="AD73" s="367">
        <f t="shared" ca="1" si="53"/>
        <v>42.3</v>
      </c>
      <c r="AE73" s="367">
        <f t="shared" ca="1" si="54"/>
        <v>42.3</v>
      </c>
      <c r="AF73" s="367">
        <f t="shared" ca="1" si="55"/>
        <v>49.7</v>
      </c>
      <c r="AG73" s="367">
        <f t="shared" ca="1" si="56"/>
        <v>30.4</v>
      </c>
      <c r="AH73" s="367">
        <f t="shared" ca="1" si="57"/>
        <v>38.200000000000003</v>
      </c>
      <c r="AI73" s="367">
        <f t="shared" ca="1" si="58"/>
        <v>100</v>
      </c>
      <c r="AJ73" s="367">
        <f t="shared" ca="1" si="59"/>
        <v>38.5</v>
      </c>
      <c r="AK73" s="367">
        <f t="shared" ca="1" si="60"/>
        <v>75.599999999999994</v>
      </c>
      <c r="AL73" s="367">
        <f t="shared" ca="1" si="61"/>
        <v>50.2</v>
      </c>
      <c r="AM73" s="367">
        <f t="shared" ca="1" si="62"/>
        <v>35.299999999999997</v>
      </c>
      <c r="AN73" s="367">
        <f t="shared" ca="1" si="63"/>
        <v>40.200000000000003</v>
      </c>
      <c r="AO73" s="367">
        <f t="shared" ca="1" si="64"/>
        <v>35</v>
      </c>
      <c r="AP73" s="367">
        <f t="shared" ca="1" si="65"/>
        <v>39.700000000000003</v>
      </c>
      <c r="AQ73" s="367">
        <f t="shared" ca="1" si="66"/>
        <v>52.7</v>
      </c>
    </row>
    <row r="74" spans="1:43">
      <c r="A74" s="367">
        <f t="shared" si="33"/>
        <v>53</v>
      </c>
      <c r="B74" s="367">
        <f>tblIndiSets!B64</f>
        <v>53</v>
      </c>
      <c r="C74" s="367">
        <f>IF(tblIndiSets!D64&lt;=$B$3,tblIndiSets!D64,"")</f>
        <v>3</v>
      </c>
      <c r="D74" s="367">
        <f t="shared" si="45"/>
        <v>3</v>
      </c>
      <c r="E74" s="367" t="str">
        <f>tblIndiSets!E64</f>
        <v xml:space="preserve">   3.3.5) Business environment</v>
      </c>
      <c r="F74" s="367">
        <f t="shared" si="35"/>
        <v>47</v>
      </c>
      <c r="G74" s="21">
        <f t="shared" ref="G74:G91" ca="1" si="69">IF($B74="","",IF(ISERROR(INDEX(aAverages,$B74,G$20)),"-",INDEX(aAverages,$B74,G$20)))</f>
        <v>63.8</v>
      </c>
      <c r="H74" s="21">
        <f t="shared" ca="1" si="68"/>
        <v>63.8</v>
      </c>
      <c r="I74" s="21">
        <f t="shared" ca="1" si="68"/>
        <v>54.6</v>
      </c>
      <c r="J74" s="21">
        <f t="shared" ca="1" si="68"/>
        <v>71.099999999999994</v>
      </c>
      <c r="K74" s="21">
        <f t="shared" ca="1" si="68"/>
        <v>28.4</v>
      </c>
      <c r="L74" s="21">
        <f t="shared" ca="1" si="68"/>
        <v>66.7</v>
      </c>
      <c r="M74" s="21">
        <f t="shared" ca="1" si="68"/>
        <v>99.1</v>
      </c>
      <c r="N74" s="21">
        <f t="shared" ca="1" si="68"/>
        <v>25.9</v>
      </c>
      <c r="O74" s="21">
        <f t="shared" ca="1" si="68"/>
        <v>34</v>
      </c>
      <c r="P74" s="21">
        <f t="shared" ca="1" si="68"/>
        <v>77.7</v>
      </c>
      <c r="Q74" s="21">
        <f t="shared" ca="1" si="68"/>
        <v>75.5</v>
      </c>
      <c r="R74" s="21">
        <f t="shared" ca="1" si="68"/>
        <v>79.400000000000006</v>
      </c>
      <c r="S74" s="21">
        <f t="shared" ca="1" si="68"/>
        <v>54.6</v>
      </c>
      <c r="T74" s="21">
        <f t="shared" ca="1" si="68"/>
        <v>42</v>
      </c>
      <c r="U74" s="21">
        <f t="shared" si="46"/>
        <v>47</v>
      </c>
      <c r="V74" s="367">
        <f t="shared" si="47"/>
        <v>3</v>
      </c>
      <c r="W74" s="3">
        <f>IF(OR($C74="",$C74=0,$C74=1),"",RANK(U74,U$22:U$91,0)+COUNTIF(U$22:U74,U74)-1)</f>
        <v>49</v>
      </c>
      <c r="X74" s="3">
        <f t="shared" si="48"/>
        <v>58</v>
      </c>
      <c r="Z74" s="367">
        <f t="shared" si="49"/>
        <v>2</v>
      </c>
      <c r="AA74" s="367">
        <f t="shared" si="50"/>
        <v>58</v>
      </c>
      <c r="AB74" s="367">
        <f t="shared" si="51"/>
        <v>2</v>
      </c>
      <c r="AC74" s="367" t="str">
        <f t="shared" si="52"/>
        <v xml:space="preserve">  4.1) Efficient resource management</v>
      </c>
      <c r="AD74" s="367">
        <f t="shared" ca="1" si="53"/>
        <v>76</v>
      </c>
      <c r="AE74" s="367">
        <f t="shared" ca="1" si="54"/>
        <v>76</v>
      </c>
      <c r="AF74" s="367">
        <f t="shared" ca="1" si="55"/>
        <v>72.2</v>
      </c>
      <c r="AG74" s="367">
        <f t="shared" ca="1" si="56"/>
        <v>83.8</v>
      </c>
      <c r="AH74" s="367">
        <f t="shared" ca="1" si="57"/>
        <v>40.299999999999997</v>
      </c>
      <c r="AI74" s="367">
        <f t="shared" ca="1" si="58"/>
        <v>100</v>
      </c>
      <c r="AJ74" s="367">
        <f t="shared" ca="1" si="59"/>
        <v>88.5</v>
      </c>
      <c r="AK74" s="367">
        <f t="shared" ca="1" si="60"/>
        <v>41.7</v>
      </c>
      <c r="AL74" s="367">
        <f t="shared" ca="1" si="61"/>
        <v>54.2</v>
      </c>
      <c r="AM74" s="367">
        <f t="shared" ca="1" si="62"/>
        <v>87.1</v>
      </c>
      <c r="AN74" s="367">
        <f t="shared" ca="1" si="63"/>
        <v>82.3</v>
      </c>
      <c r="AO74" s="367">
        <f t="shared" ca="1" si="64"/>
        <v>80.5</v>
      </c>
      <c r="AP74" s="367">
        <f t="shared" ca="1" si="65"/>
        <v>77.2</v>
      </c>
      <c r="AQ74" s="367">
        <f t="shared" ca="1" si="66"/>
        <v>65.3</v>
      </c>
    </row>
    <row r="75" spans="1:43">
      <c r="A75" s="367">
        <f t="shared" si="33"/>
        <v>54</v>
      </c>
      <c r="B75" s="367">
        <f>tblIndiSets!B65</f>
        <v>54</v>
      </c>
      <c r="C75" s="367">
        <f>IF(tblIndiSets!D65&lt;=$B$3,tblIndiSets!D65,"")</f>
        <v>2</v>
      </c>
      <c r="D75" s="367">
        <f t="shared" si="45"/>
        <v>2</v>
      </c>
      <c r="E75" s="367" t="str">
        <f>tblIndiSets!E65</f>
        <v xml:space="preserve">  3.4) Public attitude and engagement</v>
      </c>
      <c r="F75" s="367">
        <f t="shared" si="35"/>
        <v>46</v>
      </c>
      <c r="G75" s="21">
        <f t="shared" ca="1" si="69"/>
        <v>44.9</v>
      </c>
      <c r="H75" s="21">
        <f t="shared" ca="1" si="68"/>
        <v>44.9</v>
      </c>
      <c r="I75" s="21">
        <f t="shared" ca="1" si="68"/>
        <v>50.6</v>
      </c>
      <c r="J75" s="21">
        <f t="shared" ca="1" si="68"/>
        <v>34.5</v>
      </c>
      <c r="K75" s="21">
        <f t="shared" ca="1" si="68"/>
        <v>49</v>
      </c>
      <c r="L75" s="21">
        <f t="shared" ca="1" si="68"/>
        <v>89.7</v>
      </c>
      <c r="M75" s="21">
        <f t="shared" ca="1" si="68"/>
        <v>39.9</v>
      </c>
      <c r="N75" s="21">
        <f t="shared" ca="1" si="68"/>
        <v>67.8</v>
      </c>
      <c r="O75" s="21">
        <f t="shared" ca="1" si="68"/>
        <v>56.5</v>
      </c>
      <c r="P75" s="21">
        <f t="shared" ca="1" si="68"/>
        <v>38.4</v>
      </c>
      <c r="Q75" s="21">
        <f t="shared" ca="1" si="68"/>
        <v>45.3</v>
      </c>
      <c r="R75" s="21">
        <f t="shared" ca="1" si="68"/>
        <v>35.6</v>
      </c>
      <c r="S75" s="21">
        <f t="shared" ca="1" si="68"/>
        <v>42.3</v>
      </c>
      <c r="T75" s="21">
        <f t="shared" ca="1" si="68"/>
        <v>55.1</v>
      </c>
      <c r="U75" s="21">
        <f t="shared" si="46"/>
        <v>46</v>
      </c>
      <c r="V75" s="367">
        <f t="shared" si="47"/>
        <v>2</v>
      </c>
      <c r="W75" s="3">
        <f>IF(OR($C75="",$C75=0,$C75=1),"",RANK(U75,U$22:U$91,0)+COUNTIF(U$22:U75,U75)-1)</f>
        <v>50</v>
      </c>
      <c r="X75" s="3">
        <f t="shared" si="48"/>
        <v>59</v>
      </c>
      <c r="Z75" s="367">
        <f t="shared" si="49"/>
        <v>3</v>
      </c>
      <c r="AA75" s="367">
        <f t="shared" si="50"/>
        <v>59</v>
      </c>
      <c r="AB75" s="367">
        <f t="shared" si="51"/>
        <v>0</v>
      </c>
      <c r="AC75" s="367" t="str">
        <f t="shared" si="52"/>
        <v xml:space="preserve">   4.1.1) Smart utility management</v>
      </c>
      <c r="AD75" s="367">
        <f t="shared" ca="1" si="53"/>
        <v>73.3</v>
      </c>
      <c r="AE75" s="367">
        <f t="shared" ca="1" si="54"/>
        <v>73.3</v>
      </c>
      <c r="AF75" s="367">
        <f t="shared" ca="1" si="55"/>
        <v>64.599999999999994</v>
      </c>
      <c r="AG75" s="367">
        <f t="shared" ca="1" si="56"/>
        <v>77.5</v>
      </c>
      <c r="AH75" s="367">
        <f t="shared" ca="1" si="57"/>
        <v>66.7</v>
      </c>
      <c r="AI75" s="367">
        <f t="shared" ca="1" si="58"/>
        <v>100</v>
      </c>
      <c r="AJ75" s="367">
        <f t="shared" ca="1" si="59"/>
        <v>87.5</v>
      </c>
      <c r="AK75" s="367">
        <f t="shared" ca="1" si="60"/>
        <v>50</v>
      </c>
      <c r="AL75" s="367">
        <f t="shared" ca="1" si="61"/>
        <v>58.3</v>
      </c>
      <c r="AM75" s="367">
        <f t="shared" ca="1" si="62"/>
        <v>81</v>
      </c>
      <c r="AN75" s="367">
        <f t="shared" ca="1" si="63"/>
        <v>71.900000000000006</v>
      </c>
      <c r="AO75" s="367">
        <f t="shared" ca="1" si="64"/>
        <v>75</v>
      </c>
      <c r="AP75" s="367">
        <f t="shared" ca="1" si="65"/>
        <v>68.8</v>
      </c>
      <c r="AQ75" s="367">
        <f t="shared" ca="1" si="66"/>
        <v>75</v>
      </c>
    </row>
    <row r="76" spans="1:43">
      <c r="A76" s="367">
        <f t="shared" si="33"/>
        <v>55</v>
      </c>
      <c r="B76" s="367">
        <f>tblIndiSets!B66</f>
        <v>55</v>
      </c>
      <c r="C76" s="367">
        <f>IF(tblIndiSets!D66&lt;=$B$3,tblIndiSets!D66,"")</f>
        <v>3</v>
      </c>
      <c r="D76" s="367">
        <f t="shared" si="45"/>
        <v>3</v>
      </c>
      <c r="E76" s="367" t="str">
        <f>tblIndiSets!E66</f>
        <v xml:space="preserve">   3.4.1) Online public comfort</v>
      </c>
      <c r="F76" s="367">
        <f t="shared" si="35"/>
        <v>45</v>
      </c>
      <c r="G76" s="21">
        <f t="shared" ca="1" si="69"/>
        <v>47.6</v>
      </c>
      <c r="H76" s="21">
        <f t="shared" ca="1" si="68"/>
        <v>47.6</v>
      </c>
      <c r="I76" s="21">
        <f t="shared" ca="1" si="68"/>
        <v>51.5</v>
      </c>
      <c r="J76" s="21">
        <f t="shared" ca="1" si="68"/>
        <v>38.5</v>
      </c>
      <c r="K76" s="21">
        <f t="shared" ca="1" si="68"/>
        <v>59.8</v>
      </c>
      <c r="L76" s="21">
        <f t="shared" ca="1" si="68"/>
        <v>79.400000000000006</v>
      </c>
      <c r="M76" s="21">
        <f t="shared" ca="1" si="68"/>
        <v>41.2</v>
      </c>
      <c r="N76" s="21">
        <f t="shared" ca="1" si="68"/>
        <v>59.8</v>
      </c>
      <c r="O76" s="21">
        <f t="shared" ca="1" si="68"/>
        <v>62.7</v>
      </c>
      <c r="P76" s="21">
        <f t="shared" ca="1" si="68"/>
        <v>41.5</v>
      </c>
      <c r="Q76" s="21">
        <f t="shared" ca="1" si="68"/>
        <v>50.4</v>
      </c>
      <c r="R76" s="21">
        <f t="shared" ca="1" si="68"/>
        <v>36.299999999999997</v>
      </c>
      <c r="S76" s="21">
        <f t="shared" ca="1" si="68"/>
        <v>44.9</v>
      </c>
      <c r="T76" s="21">
        <f t="shared" ca="1" si="68"/>
        <v>57.5</v>
      </c>
      <c r="U76" s="21">
        <f t="shared" si="46"/>
        <v>45</v>
      </c>
      <c r="V76" s="367">
        <f t="shared" si="47"/>
        <v>3</v>
      </c>
      <c r="W76" s="3">
        <f>IF(OR($C76="",$C76=0,$C76=1),"",RANK(U76,U$22:U$91,0)+COUNTIF(U$22:U76,U76)-1)</f>
        <v>51</v>
      </c>
      <c r="X76" s="3">
        <f t="shared" si="48"/>
        <v>60</v>
      </c>
      <c r="Z76" s="367">
        <f t="shared" si="49"/>
        <v>3</v>
      </c>
      <c r="AA76" s="367">
        <f t="shared" si="50"/>
        <v>60</v>
      </c>
      <c r="AB76" s="367">
        <f t="shared" si="51"/>
        <v>0</v>
      </c>
      <c r="AC76" s="367" t="str">
        <f t="shared" si="52"/>
        <v xml:space="preserve">   4.1.2) Smart urban agriculture</v>
      </c>
      <c r="AD76" s="367">
        <f t="shared" ca="1" si="53"/>
        <v>76.7</v>
      </c>
      <c r="AE76" s="367">
        <f t="shared" ca="1" si="54"/>
        <v>76.7</v>
      </c>
      <c r="AF76" s="367">
        <f t="shared" ca="1" si="55"/>
        <v>75</v>
      </c>
      <c r="AG76" s="367">
        <f t="shared" ca="1" si="56"/>
        <v>90</v>
      </c>
      <c r="AH76" s="367">
        <f t="shared" ca="1" si="57"/>
        <v>33.299999999999997</v>
      </c>
      <c r="AI76" s="367">
        <f t="shared" ca="1" si="58"/>
        <v>100</v>
      </c>
      <c r="AJ76" s="367">
        <f t="shared" ca="1" si="59"/>
        <v>75</v>
      </c>
      <c r="AK76" s="367">
        <f t="shared" ca="1" si="60"/>
        <v>33.299999999999997</v>
      </c>
      <c r="AL76" s="367">
        <f t="shared" ca="1" si="61"/>
        <v>50</v>
      </c>
      <c r="AM76" s="367">
        <f t="shared" ca="1" si="62"/>
        <v>90.5</v>
      </c>
      <c r="AN76" s="367">
        <f t="shared" ca="1" si="63"/>
        <v>100</v>
      </c>
      <c r="AO76" s="367">
        <f t="shared" ca="1" si="64"/>
        <v>66.7</v>
      </c>
      <c r="AP76" s="367">
        <f t="shared" ca="1" si="65"/>
        <v>100</v>
      </c>
      <c r="AQ76" s="367">
        <f t="shared" ca="1" si="66"/>
        <v>55.6</v>
      </c>
    </row>
    <row r="77" spans="1:43">
      <c r="A77" s="367">
        <f t="shared" si="33"/>
        <v>56</v>
      </c>
      <c r="B77" s="367">
        <f>tblIndiSets!B67</f>
        <v>56</v>
      </c>
      <c r="C77" s="367">
        <f>IF(tblIndiSets!D67&lt;=$B$3,tblIndiSets!D67,"")</f>
        <v>3</v>
      </c>
      <c r="D77" s="367">
        <f t="shared" si="45"/>
        <v>3</v>
      </c>
      <c r="E77" s="367" t="str">
        <f>tblIndiSets!E67</f>
        <v xml:space="preserve">   3.4.2) E-participation on government portals</v>
      </c>
      <c r="F77" s="367">
        <f t="shared" si="35"/>
        <v>44</v>
      </c>
      <c r="G77" s="21">
        <f t="shared" ca="1" si="69"/>
        <v>42.3</v>
      </c>
      <c r="H77" s="21">
        <f t="shared" ca="1" si="68"/>
        <v>42.3</v>
      </c>
      <c r="I77" s="21">
        <f t="shared" ca="1" si="68"/>
        <v>49.7</v>
      </c>
      <c r="J77" s="21">
        <f t="shared" ca="1" si="68"/>
        <v>30.4</v>
      </c>
      <c r="K77" s="21">
        <f t="shared" ca="1" si="68"/>
        <v>38.200000000000003</v>
      </c>
      <c r="L77" s="21">
        <f t="shared" ca="1" si="68"/>
        <v>100</v>
      </c>
      <c r="M77" s="21">
        <f t="shared" ca="1" si="68"/>
        <v>38.5</v>
      </c>
      <c r="N77" s="21">
        <f t="shared" ca="1" si="68"/>
        <v>75.599999999999994</v>
      </c>
      <c r="O77" s="21">
        <f t="shared" ca="1" si="68"/>
        <v>50.2</v>
      </c>
      <c r="P77" s="21">
        <f t="shared" ca="1" si="68"/>
        <v>35.299999999999997</v>
      </c>
      <c r="Q77" s="21">
        <f t="shared" ca="1" si="68"/>
        <v>40.200000000000003</v>
      </c>
      <c r="R77" s="21">
        <f t="shared" ca="1" si="68"/>
        <v>35</v>
      </c>
      <c r="S77" s="21">
        <f t="shared" ca="1" si="68"/>
        <v>39.700000000000003</v>
      </c>
      <c r="T77" s="21">
        <f t="shared" ca="1" si="68"/>
        <v>52.7</v>
      </c>
      <c r="U77" s="21">
        <f t="shared" si="46"/>
        <v>44</v>
      </c>
      <c r="V77" s="367">
        <f t="shared" si="47"/>
        <v>3</v>
      </c>
      <c r="W77" s="3">
        <f>IF(OR($C77="",$C77=0,$C77=1),"",RANK(U77,U$22:U$91,0)+COUNTIF(U$22:U77,U77)-1)</f>
        <v>52</v>
      </c>
      <c r="X77" s="3">
        <f t="shared" si="48"/>
        <v>61</v>
      </c>
      <c r="Z77" s="367">
        <f t="shared" si="49"/>
        <v>3</v>
      </c>
      <c r="AA77" s="367">
        <f t="shared" si="50"/>
        <v>61</v>
      </c>
      <c r="AB77" s="367">
        <f t="shared" si="51"/>
        <v>0</v>
      </c>
      <c r="AC77" s="367" t="str">
        <f t="shared" si="52"/>
        <v xml:space="preserve">   4.1.3) Smart construction</v>
      </c>
      <c r="AD77" s="367">
        <f t="shared" ca="1" si="53"/>
        <v>80</v>
      </c>
      <c r="AE77" s="367">
        <f t="shared" ca="1" si="54"/>
        <v>80</v>
      </c>
      <c r="AF77" s="367">
        <f t="shared" ca="1" si="55"/>
        <v>83.3</v>
      </c>
      <c r="AG77" s="367">
        <f t="shared" ca="1" si="56"/>
        <v>90</v>
      </c>
      <c r="AH77" s="367">
        <f t="shared" ca="1" si="57"/>
        <v>0</v>
      </c>
      <c r="AI77" s="367">
        <f t="shared" ca="1" si="58"/>
        <v>100</v>
      </c>
      <c r="AJ77" s="367">
        <f t="shared" ca="1" si="59"/>
        <v>100</v>
      </c>
      <c r="AK77" s="367">
        <f t="shared" ca="1" si="60"/>
        <v>33.299999999999997</v>
      </c>
      <c r="AL77" s="367">
        <f t="shared" ca="1" si="61"/>
        <v>50</v>
      </c>
      <c r="AM77" s="367">
        <f t="shared" ca="1" si="62"/>
        <v>95.2</v>
      </c>
      <c r="AN77" s="367">
        <f t="shared" ca="1" si="63"/>
        <v>87.5</v>
      </c>
      <c r="AO77" s="367">
        <f t="shared" ca="1" si="64"/>
        <v>100</v>
      </c>
      <c r="AP77" s="367">
        <f t="shared" ca="1" si="65"/>
        <v>75</v>
      </c>
      <c r="AQ77" s="367">
        <f t="shared" ca="1" si="66"/>
        <v>55.6</v>
      </c>
    </row>
    <row r="78" spans="1:43">
      <c r="A78" s="367">
        <f t="shared" si="33"/>
        <v>57</v>
      </c>
      <c r="B78" s="367">
        <f>tblIndiSets!B68</f>
        <v>57</v>
      </c>
      <c r="C78" s="367">
        <f>IF(tblIndiSets!D68&lt;=$B$3,tblIndiSets!D68,"")</f>
        <v>1</v>
      </c>
      <c r="D78" s="367">
        <f t="shared" si="45"/>
        <v>1</v>
      </c>
      <c r="E78" s="367" t="str">
        <f>tblIndiSets!E68</f>
        <v xml:space="preserve"> 4) SUSTAINABILITY</v>
      </c>
      <c r="F78" s="367">
        <f t="shared" si="35"/>
        <v>43</v>
      </c>
      <c r="G78" s="21">
        <f t="shared" ca="1" si="69"/>
        <v>66.3</v>
      </c>
      <c r="H78" s="21">
        <f t="shared" ca="1" si="68"/>
        <v>66.3</v>
      </c>
      <c r="I78" s="21">
        <f t="shared" ca="1" si="68"/>
        <v>61.2</v>
      </c>
      <c r="J78" s="21">
        <f t="shared" ca="1" si="68"/>
        <v>76</v>
      </c>
      <c r="K78" s="21">
        <f t="shared" ca="1" si="68"/>
        <v>44.4</v>
      </c>
      <c r="L78" s="21">
        <f t="shared" ca="1" si="68"/>
        <v>54.8</v>
      </c>
      <c r="M78" s="21">
        <f t="shared" ca="1" si="68"/>
        <v>76.599999999999994</v>
      </c>
      <c r="N78" s="21">
        <f t="shared" ca="1" si="68"/>
        <v>31.9</v>
      </c>
      <c r="O78" s="21">
        <f t="shared" ca="1" si="68"/>
        <v>54.5</v>
      </c>
      <c r="P78" s="21">
        <f t="shared" ca="1" si="68"/>
        <v>74.599999999999994</v>
      </c>
      <c r="Q78" s="21">
        <f t="shared" ca="1" si="68"/>
        <v>72.400000000000006</v>
      </c>
      <c r="R78" s="21">
        <f t="shared" ca="1" si="68"/>
        <v>72.8</v>
      </c>
      <c r="S78" s="21">
        <f t="shared" ca="1" si="68"/>
        <v>56.4</v>
      </c>
      <c r="T78" s="21">
        <f t="shared" ca="1" si="68"/>
        <v>58.7</v>
      </c>
      <c r="U78" s="21" t="str">
        <f t="shared" si="46"/>
        <v/>
      </c>
      <c r="V78" s="367">
        <f t="shared" si="47"/>
        <v>1</v>
      </c>
      <c r="W78" s="3" t="str">
        <f>IF(OR($C78="",$C78=0,$C78=1),"",RANK(U78,U$22:U$91,0)+COUNTIF(U$22:U78,U78)-1)</f>
        <v/>
      </c>
      <c r="X78" s="3">
        <f t="shared" si="48"/>
        <v>62</v>
      </c>
      <c r="Z78" s="367">
        <f t="shared" si="49"/>
        <v>2</v>
      </c>
      <c r="AA78" s="367">
        <f t="shared" si="50"/>
        <v>62</v>
      </c>
      <c r="AB78" s="367">
        <f t="shared" si="51"/>
        <v>2</v>
      </c>
      <c r="AC78" s="367" t="str">
        <f t="shared" si="52"/>
        <v xml:space="preserve">  4.2) Emissions reduction</v>
      </c>
      <c r="AD78" s="367">
        <f t="shared" ca="1" si="53"/>
        <v>78</v>
      </c>
      <c r="AE78" s="367">
        <f t="shared" ca="1" si="54"/>
        <v>78</v>
      </c>
      <c r="AF78" s="367">
        <f t="shared" ca="1" si="55"/>
        <v>66.099999999999994</v>
      </c>
      <c r="AG78" s="367">
        <f t="shared" ca="1" si="56"/>
        <v>93.9</v>
      </c>
      <c r="AH78" s="367">
        <f t="shared" ca="1" si="57"/>
        <v>48.9</v>
      </c>
      <c r="AI78" s="367">
        <f t="shared" ca="1" si="58"/>
        <v>83.8</v>
      </c>
      <c r="AJ78" s="367">
        <f t="shared" ca="1" si="59"/>
        <v>94.3</v>
      </c>
      <c r="AK78" s="367">
        <f t="shared" ca="1" si="60"/>
        <v>36.200000000000003</v>
      </c>
      <c r="AL78" s="367">
        <f t="shared" ca="1" si="61"/>
        <v>60.3</v>
      </c>
      <c r="AM78" s="367">
        <f t="shared" ca="1" si="62"/>
        <v>89.1</v>
      </c>
      <c r="AN78" s="367">
        <f t="shared" ca="1" si="63"/>
        <v>92.3</v>
      </c>
      <c r="AO78" s="367">
        <f t="shared" ca="1" si="64"/>
        <v>87</v>
      </c>
      <c r="AP78" s="367">
        <f t="shared" ca="1" si="65"/>
        <v>57.7</v>
      </c>
      <c r="AQ78" s="367">
        <f t="shared" ca="1" si="66"/>
        <v>65.3</v>
      </c>
    </row>
    <row r="79" spans="1:43">
      <c r="A79" s="367">
        <f t="shared" si="33"/>
        <v>58</v>
      </c>
      <c r="B79" s="367">
        <f>tblIndiSets!B69</f>
        <v>58</v>
      </c>
      <c r="C79" s="367">
        <f>IF(tblIndiSets!D69&lt;=$B$3,tblIndiSets!D69,"")</f>
        <v>2</v>
      </c>
      <c r="D79" s="367">
        <f t="shared" si="45"/>
        <v>2</v>
      </c>
      <c r="E79" s="367" t="str">
        <f>tblIndiSets!E69</f>
        <v xml:space="preserve">  4.1) Efficient resource management</v>
      </c>
      <c r="F79" s="367">
        <f t="shared" si="35"/>
        <v>42</v>
      </c>
      <c r="G79" s="21">
        <f t="shared" ca="1" si="69"/>
        <v>76</v>
      </c>
      <c r="H79" s="21">
        <f t="shared" ca="1" si="68"/>
        <v>76</v>
      </c>
      <c r="I79" s="21">
        <f t="shared" ca="1" si="68"/>
        <v>72.2</v>
      </c>
      <c r="J79" s="21">
        <f t="shared" ca="1" si="68"/>
        <v>83.8</v>
      </c>
      <c r="K79" s="21">
        <f t="shared" ca="1" si="68"/>
        <v>40.299999999999997</v>
      </c>
      <c r="L79" s="21">
        <f t="shared" ca="1" si="68"/>
        <v>100</v>
      </c>
      <c r="M79" s="21">
        <f t="shared" ca="1" si="68"/>
        <v>88.5</v>
      </c>
      <c r="N79" s="21">
        <f t="shared" ca="1" si="68"/>
        <v>41.7</v>
      </c>
      <c r="O79" s="21">
        <f t="shared" ca="1" si="68"/>
        <v>54.2</v>
      </c>
      <c r="P79" s="21">
        <f t="shared" ca="1" si="68"/>
        <v>87.1</v>
      </c>
      <c r="Q79" s="21">
        <f t="shared" ca="1" si="68"/>
        <v>82.3</v>
      </c>
      <c r="R79" s="21">
        <f t="shared" ca="1" si="68"/>
        <v>80.5</v>
      </c>
      <c r="S79" s="21">
        <f t="shared" ca="1" si="68"/>
        <v>77.2</v>
      </c>
      <c r="T79" s="21">
        <f t="shared" ca="1" si="68"/>
        <v>65.3</v>
      </c>
      <c r="U79" s="21">
        <f t="shared" si="46"/>
        <v>42</v>
      </c>
      <c r="V79" s="367">
        <f t="shared" si="47"/>
        <v>2</v>
      </c>
      <c r="W79" s="3">
        <f>IF(OR($C79="",$C79=0,$C79=1),"",RANK(U79,U$22:U$91,0)+COUNTIF(U$22:U79,U79)-1)</f>
        <v>53</v>
      </c>
      <c r="X79" s="3">
        <f t="shared" si="48"/>
        <v>63</v>
      </c>
      <c r="Z79" s="367">
        <f t="shared" si="49"/>
        <v>3</v>
      </c>
      <c r="AA79" s="367">
        <f t="shared" si="50"/>
        <v>63</v>
      </c>
      <c r="AB79" s="367">
        <f t="shared" si="51"/>
        <v>0</v>
      </c>
      <c r="AC79" s="367" t="str">
        <f t="shared" si="52"/>
        <v xml:space="preserve">   4.2.1) Net-zero emission</v>
      </c>
      <c r="AD79" s="367">
        <f t="shared" ca="1" si="53"/>
        <v>81.7</v>
      </c>
      <c r="AE79" s="367">
        <f t="shared" ca="1" si="54"/>
        <v>81.7</v>
      </c>
      <c r="AF79" s="367">
        <f t="shared" ca="1" si="55"/>
        <v>70.8</v>
      </c>
      <c r="AG79" s="367">
        <f t="shared" ca="1" si="56"/>
        <v>100</v>
      </c>
      <c r="AH79" s="367">
        <f t="shared" ca="1" si="57"/>
        <v>50</v>
      </c>
      <c r="AI79" s="367">
        <f t="shared" ca="1" si="58"/>
        <v>50</v>
      </c>
      <c r="AJ79" s="367">
        <f t="shared" ca="1" si="59"/>
        <v>100</v>
      </c>
      <c r="AK79" s="367">
        <f t="shared" ca="1" si="60"/>
        <v>50</v>
      </c>
      <c r="AL79" s="367">
        <f t="shared" ca="1" si="61"/>
        <v>58.3</v>
      </c>
      <c r="AM79" s="367">
        <f t="shared" ca="1" si="62"/>
        <v>92.9</v>
      </c>
      <c r="AN79" s="367">
        <f t="shared" ca="1" si="63"/>
        <v>93.8</v>
      </c>
      <c r="AO79" s="367">
        <f t="shared" ca="1" si="64"/>
        <v>83.3</v>
      </c>
      <c r="AP79" s="367">
        <f t="shared" ca="1" si="65"/>
        <v>62.5</v>
      </c>
      <c r="AQ79" s="367">
        <f t="shared" ca="1" si="66"/>
        <v>77.8</v>
      </c>
    </row>
    <row r="80" spans="1:43">
      <c r="A80" s="367">
        <f t="shared" si="33"/>
        <v>59</v>
      </c>
      <c r="B80" s="367">
        <f>tblIndiSets!B70</f>
        <v>59</v>
      </c>
      <c r="C80" s="367">
        <f>IF(tblIndiSets!D70&lt;=$B$3,tblIndiSets!D70,"")</f>
        <v>3</v>
      </c>
      <c r="D80" s="367">
        <f t="shared" si="45"/>
        <v>3</v>
      </c>
      <c r="E80" s="367" t="str">
        <f>tblIndiSets!E70</f>
        <v xml:space="preserve">   4.1.1) Smart utility management</v>
      </c>
      <c r="F80" s="367">
        <f t="shared" si="35"/>
        <v>41</v>
      </c>
      <c r="G80" s="21">
        <f t="shared" ca="1" si="69"/>
        <v>73.3</v>
      </c>
      <c r="H80" s="21">
        <f t="shared" ca="1" si="68"/>
        <v>73.3</v>
      </c>
      <c r="I80" s="21">
        <f t="shared" ca="1" si="68"/>
        <v>64.599999999999994</v>
      </c>
      <c r="J80" s="21">
        <f t="shared" ca="1" si="68"/>
        <v>77.5</v>
      </c>
      <c r="K80" s="21">
        <f t="shared" ca="1" si="68"/>
        <v>66.7</v>
      </c>
      <c r="L80" s="21">
        <f t="shared" ca="1" si="68"/>
        <v>100</v>
      </c>
      <c r="M80" s="21">
        <f t="shared" ca="1" si="68"/>
        <v>87.5</v>
      </c>
      <c r="N80" s="21">
        <f t="shared" ca="1" si="68"/>
        <v>50</v>
      </c>
      <c r="O80" s="21">
        <f t="shared" ca="1" si="68"/>
        <v>58.3</v>
      </c>
      <c r="P80" s="21">
        <f t="shared" ca="1" si="68"/>
        <v>81</v>
      </c>
      <c r="Q80" s="21">
        <f t="shared" ca="1" si="68"/>
        <v>71.900000000000006</v>
      </c>
      <c r="R80" s="21">
        <f t="shared" ca="1" si="68"/>
        <v>75</v>
      </c>
      <c r="S80" s="21">
        <f t="shared" ca="1" si="68"/>
        <v>68.8</v>
      </c>
      <c r="T80" s="21">
        <f t="shared" ca="1" si="68"/>
        <v>75</v>
      </c>
      <c r="U80" s="21">
        <f t="shared" si="46"/>
        <v>41</v>
      </c>
      <c r="V80" s="367">
        <f t="shared" si="47"/>
        <v>3</v>
      </c>
      <c r="W80" s="3">
        <f>IF(OR($C80="",$C80=0,$C80=1),"",RANK(U80,U$22:U$91,0)+COUNTIF(U$22:U80,U80)-1)</f>
        <v>54</v>
      </c>
      <c r="X80" s="3">
        <f t="shared" si="48"/>
        <v>64</v>
      </c>
      <c r="Z80" s="367">
        <f t="shared" si="49"/>
        <v>3</v>
      </c>
      <c r="AA80" s="367">
        <f t="shared" si="50"/>
        <v>64</v>
      </c>
      <c r="AB80" s="367">
        <f t="shared" si="51"/>
        <v>0</v>
      </c>
      <c r="AC80" s="367" t="str">
        <f t="shared" si="52"/>
        <v xml:space="preserve">   4.2.2) Traffic management </v>
      </c>
      <c r="AD80" s="367">
        <f t="shared" ca="1" si="53"/>
        <v>73.3</v>
      </c>
      <c r="AE80" s="367">
        <f t="shared" ca="1" si="54"/>
        <v>73.3</v>
      </c>
      <c r="AF80" s="367">
        <f t="shared" ca="1" si="55"/>
        <v>58.3</v>
      </c>
      <c r="AG80" s="367">
        <f t="shared" ca="1" si="56"/>
        <v>84</v>
      </c>
      <c r="AH80" s="367">
        <f t="shared" ca="1" si="57"/>
        <v>73.3</v>
      </c>
      <c r="AI80" s="367">
        <f t="shared" ca="1" si="58"/>
        <v>100</v>
      </c>
      <c r="AJ80" s="367">
        <f t="shared" ca="1" si="59"/>
        <v>85</v>
      </c>
      <c r="AK80" s="367">
        <f t="shared" ca="1" si="60"/>
        <v>26.7</v>
      </c>
      <c r="AL80" s="367">
        <f t="shared" ca="1" si="61"/>
        <v>70</v>
      </c>
      <c r="AM80" s="367">
        <f t="shared" ca="1" si="62"/>
        <v>81</v>
      </c>
      <c r="AN80" s="367">
        <f t="shared" ca="1" si="63"/>
        <v>90</v>
      </c>
      <c r="AO80" s="367">
        <f t="shared" ca="1" si="64"/>
        <v>84.4</v>
      </c>
      <c r="AP80" s="367">
        <f t="shared" ca="1" si="65"/>
        <v>40</v>
      </c>
      <c r="AQ80" s="367">
        <f t="shared" ca="1" si="66"/>
        <v>62.2</v>
      </c>
    </row>
    <row r="81" spans="1:43">
      <c r="A81" s="367">
        <f t="shared" si="33"/>
        <v>60</v>
      </c>
      <c r="B81" s="367">
        <f>tblIndiSets!B71</f>
        <v>60</v>
      </c>
      <c r="C81" s="367">
        <f>IF(tblIndiSets!D71&lt;=$B$3,tblIndiSets!D71,"")</f>
        <v>3</v>
      </c>
      <c r="D81" s="367">
        <f t="shared" si="45"/>
        <v>3</v>
      </c>
      <c r="E81" s="367" t="str">
        <f>tblIndiSets!E71</f>
        <v xml:space="preserve">   4.1.2) Smart urban agriculture</v>
      </c>
      <c r="F81" s="367">
        <f t="shared" si="35"/>
        <v>40</v>
      </c>
      <c r="G81" s="21">
        <f t="shared" ca="1" si="69"/>
        <v>76.7</v>
      </c>
      <c r="H81" s="21">
        <f t="shared" ca="1" si="68"/>
        <v>76.7</v>
      </c>
      <c r="I81" s="21">
        <f t="shared" ca="1" si="68"/>
        <v>75</v>
      </c>
      <c r="J81" s="21">
        <f t="shared" ca="1" si="68"/>
        <v>90</v>
      </c>
      <c r="K81" s="21">
        <f t="shared" ca="1" si="68"/>
        <v>33.299999999999997</v>
      </c>
      <c r="L81" s="21">
        <f t="shared" ca="1" si="68"/>
        <v>100</v>
      </c>
      <c r="M81" s="21">
        <f t="shared" ca="1" si="68"/>
        <v>75</v>
      </c>
      <c r="N81" s="21">
        <f t="shared" ca="1" si="68"/>
        <v>33.299999999999997</v>
      </c>
      <c r="O81" s="21">
        <f t="shared" ca="1" si="68"/>
        <v>50</v>
      </c>
      <c r="P81" s="21">
        <f t="shared" ca="1" si="68"/>
        <v>90.5</v>
      </c>
      <c r="Q81" s="21">
        <f t="shared" ca="1" si="68"/>
        <v>100</v>
      </c>
      <c r="R81" s="21">
        <f t="shared" ca="1" si="68"/>
        <v>66.7</v>
      </c>
      <c r="S81" s="21">
        <f t="shared" ca="1" si="68"/>
        <v>100</v>
      </c>
      <c r="T81" s="21">
        <f t="shared" ca="1" si="68"/>
        <v>55.6</v>
      </c>
      <c r="U81" s="21">
        <f t="shared" si="46"/>
        <v>40</v>
      </c>
      <c r="V81" s="367">
        <f t="shared" si="47"/>
        <v>3</v>
      </c>
      <c r="W81" s="3">
        <f>IF(OR($C81="",$C81=0,$C81=1),"",RANK(U81,U$22:U$91,0)+COUNTIF(U$22:U81,U81)-1)</f>
        <v>55</v>
      </c>
      <c r="X81" s="3">
        <f t="shared" si="48"/>
        <v>65</v>
      </c>
      <c r="Z81" s="367">
        <f t="shared" si="49"/>
        <v>3</v>
      </c>
      <c r="AA81" s="367">
        <f t="shared" si="50"/>
        <v>65</v>
      </c>
      <c r="AB81" s="367">
        <f t="shared" si="51"/>
        <v>0</v>
      </c>
      <c r="AC81" s="367" t="str">
        <f t="shared" si="52"/>
        <v xml:space="preserve">   4.2.3) Support for autonomous vehicles</v>
      </c>
      <c r="AD81" s="367">
        <f t="shared" ca="1" si="53"/>
        <v>80</v>
      </c>
      <c r="AE81" s="367">
        <f t="shared" ca="1" si="54"/>
        <v>80</v>
      </c>
      <c r="AF81" s="367">
        <f t="shared" ca="1" si="55"/>
        <v>70.8</v>
      </c>
      <c r="AG81" s="367">
        <f t="shared" ca="1" si="56"/>
        <v>100</v>
      </c>
      <c r="AH81" s="367">
        <f t="shared" ca="1" si="57"/>
        <v>16.7</v>
      </c>
      <c r="AI81" s="367">
        <f t="shared" ca="1" si="58"/>
        <v>100</v>
      </c>
      <c r="AJ81" s="367">
        <f t="shared" ca="1" si="59"/>
        <v>100</v>
      </c>
      <c r="AK81" s="367">
        <f t="shared" ca="1" si="60"/>
        <v>33.299999999999997</v>
      </c>
      <c r="AL81" s="367">
        <f t="shared" ca="1" si="61"/>
        <v>50</v>
      </c>
      <c r="AM81" s="367">
        <f t="shared" ca="1" si="62"/>
        <v>95.2</v>
      </c>
      <c r="AN81" s="367">
        <f t="shared" ca="1" si="63"/>
        <v>93.8</v>
      </c>
      <c r="AO81" s="367">
        <f t="shared" ca="1" si="64"/>
        <v>94.4</v>
      </c>
      <c r="AP81" s="367">
        <f t="shared" ca="1" si="65"/>
        <v>75</v>
      </c>
      <c r="AQ81" s="367">
        <f t="shared" ca="1" si="66"/>
        <v>55.6</v>
      </c>
    </row>
    <row r="82" spans="1:43">
      <c r="A82" s="367">
        <f t="shared" si="33"/>
        <v>61</v>
      </c>
      <c r="B82" s="367">
        <f>tblIndiSets!B72</f>
        <v>61</v>
      </c>
      <c r="C82" s="367">
        <f>IF(tblIndiSets!D72&lt;=$B$3,tblIndiSets!D72,"")</f>
        <v>3</v>
      </c>
      <c r="D82" s="367">
        <f t="shared" si="45"/>
        <v>3</v>
      </c>
      <c r="E82" s="367" t="str">
        <f>tblIndiSets!E72</f>
        <v xml:space="preserve">   4.1.3) Smart construction</v>
      </c>
      <c r="F82" s="367">
        <f t="shared" si="35"/>
        <v>39</v>
      </c>
      <c r="G82" s="21">
        <f t="shared" ca="1" si="69"/>
        <v>80</v>
      </c>
      <c r="H82" s="21">
        <f t="shared" ca="1" si="68"/>
        <v>80</v>
      </c>
      <c r="I82" s="21">
        <f t="shared" ca="1" si="68"/>
        <v>83.3</v>
      </c>
      <c r="J82" s="21">
        <f t="shared" ca="1" si="68"/>
        <v>90</v>
      </c>
      <c r="K82" s="21">
        <f t="shared" ca="1" si="68"/>
        <v>0</v>
      </c>
      <c r="L82" s="21">
        <f t="shared" ca="1" si="68"/>
        <v>100</v>
      </c>
      <c r="M82" s="21">
        <f t="shared" ca="1" si="68"/>
        <v>100</v>
      </c>
      <c r="N82" s="21">
        <f t="shared" ca="1" si="68"/>
        <v>33.299999999999997</v>
      </c>
      <c r="O82" s="21">
        <f t="shared" ca="1" si="68"/>
        <v>50</v>
      </c>
      <c r="P82" s="21">
        <f t="shared" ca="1" si="68"/>
        <v>95.2</v>
      </c>
      <c r="Q82" s="21">
        <f t="shared" ca="1" si="68"/>
        <v>87.5</v>
      </c>
      <c r="R82" s="21">
        <f t="shared" ca="1" si="68"/>
        <v>100</v>
      </c>
      <c r="S82" s="21">
        <f t="shared" ca="1" si="68"/>
        <v>75</v>
      </c>
      <c r="T82" s="21">
        <f t="shared" ca="1" si="68"/>
        <v>55.6</v>
      </c>
      <c r="U82" s="21">
        <f t="shared" si="46"/>
        <v>39</v>
      </c>
      <c r="V82" s="367">
        <f t="shared" si="47"/>
        <v>3</v>
      </c>
      <c r="W82" s="3">
        <f>IF(OR($C82="",$C82=0,$C82=1),"",RANK(U82,U$22:U$91,0)+COUNTIF(U$22:U82,U82)-1)</f>
        <v>56</v>
      </c>
      <c r="X82" s="3">
        <f t="shared" si="48"/>
        <v>66</v>
      </c>
      <c r="Z82" s="367">
        <f t="shared" si="49"/>
        <v>2</v>
      </c>
      <c r="AA82" s="367">
        <f t="shared" si="50"/>
        <v>66</v>
      </c>
      <c r="AB82" s="367">
        <f t="shared" si="51"/>
        <v>2</v>
      </c>
      <c r="AC82" s="367" t="str">
        <f t="shared" si="52"/>
        <v xml:space="preserve">  4.3) Pollution</v>
      </c>
      <c r="AD82" s="367">
        <f t="shared" ca="1" si="53"/>
        <v>57.8</v>
      </c>
      <c r="AE82" s="367">
        <f t="shared" ca="1" si="54"/>
        <v>57.8</v>
      </c>
      <c r="AF82" s="367">
        <f t="shared" ca="1" si="55"/>
        <v>57</v>
      </c>
      <c r="AG82" s="367">
        <f t="shared" ca="1" si="56"/>
        <v>63.3</v>
      </c>
      <c r="AH82" s="367">
        <f t="shared" ca="1" si="57"/>
        <v>50</v>
      </c>
      <c r="AI82" s="367">
        <f t="shared" ca="1" si="58"/>
        <v>16.7</v>
      </c>
      <c r="AJ82" s="367">
        <f t="shared" ca="1" si="59"/>
        <v>62.5</v>
      </c>
      <c r="AK82" s="367">
        <f t="shared" ca="1" si="60"/>
        <v>33.299999999999997</v>
      </c>
      <c r="AL82" s="367">
        <f t="shared" ca="1" si="61"/>
        <v>50</v>
      </c>
      <c r="AM82" s="367">
        <f t="shared" ca="1" si="62"/>
        <v>63.5</v>
      </c>
      <c r="AN82" s="367">
        <f t="shared" ca="1" si="63"/>
        <v>60.4</v>
      </c>
      <c r="AO82" s="367">
        <f t="shared" ca="1" si="64"/>
        <v>63</v>
      </c>
      <c r="AP82" s="367">
        <f t="shared" ca="1" si="65"/>
        <v>58.3</v>
      </c>
      <c r="AQ82" s="367">
        <f t="shared" ca="1" si="66"/>
        <v>50</v>
      </c>
    </row>
    <row r="83" spans="1:43">
      <c r="A83" s="367">
        <f t="shared" si="33"/>
        <v>62</v>
      </c>
      <c r="B83" s="367">
        <f>tblIndiSets!B73</f>
        <v>62</v>
      </c>
      <c r="C83" s="367">
        <f>IF(tblIndiSets!D73&lt;=$B$3,tblIndiSets!D73,"")</f>
        <v>2</v>
      </c>
      <c r="D83" s="367">
        <f t="shared" si="45"/>
        <v>2</v>
      </c>
      <c r="E83" s="367" t="str">
        <f>tblIndiSets!E73</f>
        <v xml:space="preserve">  4.2) Emissions reduction</v>
      </c>
      <c r="F83" s="367">
        <f t="shared" si="35"/>
        <v>38</v>
      </c>
      <c r="G83" s="21">
        <f t="shared" ca="1" si="69"/>
        <v>78</v>
      </c>
      <c r="H83" s="21">
        <f t="shared" ca="1" si="68"/>
        <v>78</v>
      </c>
      <c r="I83" s="21">
        <f t="shared" ca="1" si="68"/>
        <v>66.099999999999994</v>
      </c>
      <c r="J83" s="21">
        <f t="shared" ca="1" si="68"/>
        <v>93.9</v>
      </c>
      <c r="K83" s="21">
        <f t="shared" ca="1" si="68"/>
        <v>48.9</v>
      </c>
      <c r="L83" s="21">
        <f t="shared" ca="1" si="68"/>
        <v>83.8</v>
      </c>
      <c r="M83" s="21">
        <f t="shared" ca="1" si="68"/>
        <v>94.3</v>
      </c>
      <c r="N83" s="21">
        <f t="shared" ca="1" si="68"/>
        <v>36.200000000000003</v>
      </c>
      <c r="O83" s="21">
        <f t="shared" ca="1" si="68"/>
        <v>60.3</v>
      </c>
      <c r="P83" s="21">
        <f t="shared" ca="1" si="68"/>
        <v>89.1</v>
      </c>
      <c r="Q83" s="21">
        <f t="shared" ca="1" si="68"/>
        <v>92.3</v>
      </c>
      <c r="R83" s="21">
        <f t="shared" ca="1" si="68"/>
        <v>87</v>
      </c>
      <c r="S83" s="21">
        <f t="shared" ca="1" si="68"/>
        <v>57.7</v>
      </c>
      <c r="T83" s="21">
        <f t="shared" ca="1" si="68"/>
        <v>65.3</v>
      </c>
      <c r="U83" s="21">
        <f t="shared" si="46"/>
        <v>38</v>
      </c>
      <c r="V83" s="367">
        <f t="shared" si="47"/>
        <v>2</v>
      </c>
      <c r="W83" s="3">
        <f>IF(OR($C83="",$C83=0,$C83=1),"",RANK(U83,U$22:U$91,0)+COUNTIF(U$22:U83,U83)-1)</f>
        <v>57</v>
      </c>
      <c r="X83" s="3">
        <f t="shared" si="48"/>
        <v>67</v>
      </c>
      <c r="Z83" s="367">
        <f t="shared" si="49"/>
        <v>3</v>
      </c>
      <c r="AA83" s="367">
        <f t="shared" si="50"/>
        <v>67</v>
      </c>
      <c r="AB83" s="367">
        <f t="shared" si="51"/>
        <v>0</v>
      </c>
      <c r="AC83" s="367" t="str">
        <f t="shared" si="52"/>
        <v xml:space="preserve">   4.3.1) Air pollution</v>
      </c>
      <c r="AD83" s="367">
        <f t="shared" ca="1" si="53"/>
        <v>57.8</v>
      </c>
      <c r="AE83" s="367">
        <f t="shared" ca="1" si="54"/>
        <v>57.8</v>
      </c>
      <c r="AF83" s="367">
        <f t="shared" ca="1" si="55"/>
        <v>57</v>
      </c>
      <c r="AG83" s="367">
        <f t="shared" ca="1" si="56"/>
        <v>63.3</v>
      </c>
      <c r="AH83" s="367">
        <f t="shared" ca="1" si="57"/>
        <v>50</v>
      </c>
      <c r="AI83" s="367">
        <f t="shared" ca="1" si="58"/>
        <v>16.7</v>
      </c>
      <c r="AJ83" s="367">
        <f t="shared" ca="1" si="59"/>
        <v>62.5</v>
      </c>
      <c r="AK83" s="367">
        <f t="shared" ca="1" si="60"/>
        <v>33.299999999999997</v>
      </c>
      <c r="AL83" s="367">
        <f t="shared" ca="1" si="61"/>
        <v>50</v>
      </c>
      <c r="AM83" s="367">
        <f t="shared" ca="1" si="62"/>
        <v>63.5</v>
      </c>
      <c r="AN83" s="367">
        <f t="shared" ca="1" si="63"/>
        <v>60.4</v>
      </c>
      <c r="AO83" s="367">
        <f t="shared" ca="1" si="64"/>
        <v>63</v>
      </c>
      <c r="AP83" s="367">
        <f t="shared" ca="1" si="65"/>
        <v>58.3</v>
      </c>
      <c r="AQ83" s="367">
        <f t="shared" ca="1" si="66"/>
        <v>50</v>
      </c>
    </row>
    <row r="84" spans="1:43">
      <c r="A84" s="367">
        <f t="shared" si="33"/>
        <v>63</v>
      </c>
      <c r="B84" s="367">
        <f>tblIndiSets!B74</f>
        <v>63</v>
      </c>
      <c r="C84" s="367">
        <f>IF(tblIndiSets!D74&lt;=$B$3,tblIndiSets!D74,"")</f>
        <v>3</v>
      </c>
      <c r="D84" s="367">
        <f t="shared" si="45"/>
        <v>3</v>
      </c>
      <c r="E84" s="367" t="str">
        <f>tblIndiSets!E74</f>
        <v xml:space="preserve">   4.2.1) Net-zero emission</v>
      </c>
      <c r="F84" s="367">
        <f t="shared" si="35"/>
        <v>37</v>
      </c>
      <c r="G84" s="21">
        <f t="shared" ca="1" si="69"/>
        <v>81.7</v>
      </c>
      <c r="H84" s="21">
        <f t="shared" ca="1" si="68"/>
        <v>81.7</v>
      </c>
      <c r="I84" s="21">
        <f t="shared" ca="1" si="68"/>
        <v>70.8</v>
      </c>
      <c r="J84" s="21">
        <f t="shared" ca="1" si="68"/>
        <v>100</v>
      </c>
      <c r="K84" s="21">
        <f t="shared" ca="1" si="68"/>
        <v>50</v>
      </c>
      <c r="L84" s="21">
        <f t="shared" ca="1" si="68"/>
        <v>50</v>
      </c>
      <c r="M84" s="21">
        <f t="shared" ca="1" si="68"/>
        <v>100</v>
      </c>
      <c r="N84" s="21">
        <f t="shared" ca="1" si="68"/>
        <v>50</v>
      </c>
      <c r="O84" s="21">
        <f t="shared" ca="1" si="68"/>
        <v>58.3</v>
      </c>
      <c r="P84" s="21">
        <f t="shared" ca="1" si="68"/>
        <v>92.9</v>
      </c>
      <c r="Q84" s="21">
        <f t="shared" ca="1" si="68"/>
        <v>93.8</v>
      </c>
      <c r="R84" s="21">
        <f t="shared" ca="1" si="68"/>
        <v>83.3</v>
      </c>
      <c r="S84" s="21">
        <f t="shared" ca="1" si="68"/>
        <v>62.5</v>
      </c>
      <c r="T84" s="21">
        <f t="shared" ca="1" si="68"/>
        <v>77.8</v>
      </c>
      <c r="U84" s="21">
        <f t="shared" si="46"/>
        <v>37</v>
      </c>
      <c r="V84" s="367">
        <f t="shared" si="47"/>
        <v>3</v>
      </c>
      <c r="W84" s="3">
        <f>IF(OR($C84="",$C84=0,$C84=1),"",RANK(U84,U$22:U$91,0)+COUNTIF(U$22:U84,U84)-1)</f>
        <v>58</v>
      </c>
      <c r="X84" s="3">
        <f t="shared" si="48"/>
        <v>68</v>
      </c>
      <c r="Z84" s="367">
        <f t="shared" si="49"/>
        <v>2</v>
      </c>
      <c r="AA84" s="367">
        <f t="shared" si="50"/>
        <v>68</v>
      </c>
      <c r="AB84" s="367">
        <f t="shared" si="51"/>
        <v>2</v>
      </c>
      <c r="AC84" s="367" t="str">
        <f t="shared" si="52"/>
        <v xml:space="preserve">  4.4) Circular economy</v>
      </c>
      <c r="AD84" s="367">
        <f t="shared" ca="1" si="53"/>
        <v>48</v>
      </c>
      <c r="AE84" s="367">
        <f t="shared" ca="1" si="54"/>
        <v>48</v>
      </c>
      <c r="AF84" s="367">
        <f t="shared" ca="1" si="55"/>
        <v>45.4</v>
      </c>
      <c r="AG84" s="367">
        <f t="shared" ca="1" si="56"/>
        <v>56.7</v>
      </c>
      <c r="AH84" s="367">
        <f t="shared" ca="1" si="57"/>
        <v>38.1</v>
      </c>
      <c r="AI84" s="367">
        <f t="shared" ca="1" si="58"/>
        <v>0</v>
      </c>
      <c r="AJ84" s="367">
        <f t="shared" ca="1" si="59"/>
        <v>53.6</v>
      </c>
      <c r="AK84" s="367">
        <f t="shared" ca="1" si="60"/>
        <v>12.7</v>
      </c>
      <c r="AL84" s="367">
        <f t="shared" ca="1" si="61"/>
        <v>52.4</v>
      </c>
      <c r="AM84" s="367">
        <f t="shared" ca="1" si="62"/>
        <v>51.8</v>
      </c>
      <c r="AN84" s="367">
        <f t="shared" ca="1" si="63"/>
        <v>47</v>
      </c>
      <c r="AO84" s="367">
        <f t="shared" ca="1" si="64"/>
        <v>55.3</v>
      </c>
      <c r="AP84" s="367">
        <f t="shared" ca="1" si="65"/>
        <v>26.8</v>
      </c>
      <c r="AQ84" s="367">
        <f t="shared" ca="1" si="66"/>
        <v>51.1</v>
      </c>
    </row>
    <row r="85" spans="1:43">
      <c r="A85" s="367">
        <f t="shared" si="33"/>
        <v>64</v>
      </c>
      <c r="B85" s="367">
        <f>tblIndiSets!B75</f>
        <v>64</v>
      </c>
      <c r="C85" s="367">
        <f>IF(tblIndiSets!D75&lt;=$B$3,tblIndiSets!D75,"")</f>
        <v>3</v>
      </c>
      <c r="D85" s="367">
        <f t="shared" si="45"/>
        <v>3</v>
      </c>
      <c r="E85" s="367" t="str">
        <f>tblIndiSets!E75</f>
        <v xml:space="preserve">   4.2.2) Traffic management </v>
      </c>
      <c r="F85" s="367">
        <f t="shared" si="35"/>
        <v>36</v>
      </c>
      <c r="G85" s="21">
        <f t="shared" ca="1" si="69"/>
        <v>73.3</v>
      </c>
      <c r="H85" s="21">
        <f t="shared" ca="1" si="68"/>
        <v>73.3</v>
      </c>
      <c r="I85" s="21">
        <f t="shared" ca="1" si="68"/>
        <v>58.3</v>
      </c>
      <c r="J85" s="21">
        <f t="shared" ca="1" si="68"/>
        <v>84</v>
      </c>
      <c r="K85" s="21">
        <f t="shared" ca="1" si="68"/>
        <v>73.3</v>
      </c>
      <c r="L85" s="21">
        <f t="shared" ca="1" si="68"/>
        <v>100</v>
      </c>
      <c r="M85" s="21">
        <f t="shared" ca="1" si="68"/>
        <v>85</v>
      </c>
      <c r="N85" s="21">
        <f t="shared" ca="1" si="68"/>
        <v>26.7</v>
      </c>
      <c r="O85" s="21">
        <f t="shared" ca="1" si="68"/>
        <v>70</v>
      </c>
      <c r="P85" s="21">
        <f t="shared" ca="1" si="68"/>
        <v>81</v>
      </c>
      <c r="Q85" s="21">
        <f t="shared" ca="1" si="68"/>
        <v>90</v>
      </c>
      <c r="R85" s="21">
        <f t="shared" ca="1" si="68"/>
        <v>84.4</v>
      </c>
      <c r="S85" s="21">
        <f t="shared" ca="1" si="68"/>
        <v>40</v>
      </c>
      <c r="T85" s="21">
        <f t="shared" ca="1" si="68"/>
        <v>62.2</v>
      </c>
      <c r="U85" s="21">
        <f t="shared" si="46"/>
        <v>36</v>
      </c>
      <c r="V85" s="367">
        <f t="shared" si="47"/>
        <v>3</v>
      </c>
      <c r="W85" s="3">
        <f>IF(OR($C85="",$C85=0,$C85=1),"",RANK(U85,U$22:U$91,0)+COUNTIF(U$22:U85,U85)-1)</f>
        <v>59</v>
      </c>
      <c r="X85" s="3">
        <f t="shared" si="48"/>
        <v>69</v>
      </c>
      <c r="Z85" s="367">
        <f t="shared" si="49"/>
        <v>3</v>
      </c>
      <c r="AA85" s="367">
        <f t="shared" si="50"/>
        <v>69</v>
      </c>
      <c r="AB85" s="367">
        <f t="shared" si="51"/>
        <v>0</v>
      </c>
      <c r="AC85" s="367" t="str">
        <f t="shared" si="52"/>
        <v xml:space="preserve">   4.4.1) Development of sharing economy </v>
      </c>
      <c r="AD85" s="367">
        <f t="shared" ca="1" si="53"/>
        <v>28.3</v>
      </c>
      <c r="AE85" s="367">
        <f t="shared" ca="1" si="54"/>
        <v>28.3</v>
      </c>
      <c r="AF85" s="367">
        <f t="shared" ca="1" si="55"/>
        <v>37.5</v>
      </c>
      <c r="AG85" s="367">
        <f t="shared" ca="1" si="56"/>
        <v>30</v>
      </c>
      <c r="AH85" s="367">
        <f t="shared" ca="1" si="57"/>
        <v>0</v>
      </c>
      <c r="AI85" s="367">
        <f t="shared" ca="1" si="58"/>
        <v>0</v>
      </c>
      <c r="AJ85" s="367">
        <f t="shared" ca="1" si="59"/>
        <v>25</v>
      </c>
      <c r="AK85" s="367">
        <f t="shared" ca="1" si="60"/>
        <v>0</v>
      </c>
      <c r="AL85" s="367">
        <f t="shared" ca="1" si="61"/>
        <v>33.299999999999997</v>
      </c>
      <c r="AM85" s="367">
        <f t="shared" ca="1" si="62"/>
        <v>31</v>
      </c>
      <c r="AN85" s="367">
        <f t="shared" ca="1" si="63"/>
        <v>37.5</v>
      </c>
      <c r="AO85" s="367">
        <f t="shared" ca="1" si="64"/>
        <v>27.8</v>
      </c>
      <c r="AP85" s="367">
        <f t="shared" ca="1" si="65"/>
        <v>12.5</v>
      </c>
      <c r="AQ85" s="367">
        <f t="shared" ca="1" si="66"/>
        <v>27.8</v>
      </c>
    </row>
    <row r="86" spans="1:43">
      <c r="A86" s="367">
        <f t="shared" si="33"/>
        <v>65</v>
      </c>
      <c r="B86" s="367">
        <f>tblIndiSets!B76</f>
        <v>65</v>
      </c>
      <c r="C86" s="367">
        <f>IF(tblIndiSets!D76&lt;=$B$3,tblIndiSets!D76,"")</f>
        <v>3</v>
      </c>
      <c r="D86" s="367">
        <f t="shared" si="45"/>
        <v>3</v>
      </c>
      <c r="E86" s="367" t="str">
        <f>tblIndiSets!E76</f>
        <v xml:space="preserve">   4.2.3) Support for autonomous vehicles</v>
      </c>
      <c r="F86" s="367">
        <f t="shared" si="35"/>
        <v>35</v>
      </c>
      <c r="G86" s="21">
        <f t="shared" ca="1" si="69"/>
        <v>80</v>
      </c>
      <c r="H86" s="21">
        <f t="shared" ca="1" si="68"/>
        <v>80</v>
      </c>
      <c r="I86" s="21">
        <f t="shared" ca="1" si="68"/>
        <v>70.8</v>
      </c>
      <c r="J86" s="21">
        <f t="shared" ca="1" si="68"/>
        <v>100</v>
      </c>
      <c r="K86" s="21">
        <f t="shared" ca="1" si="68"/>
        <v>16.7</v>
      </c>
      <c r="L86" s="21">
        <f t="shared" ca="1" si="68"/>
        <v>100</v>
      </c>
      <c r="M86" s="21">
        <f t="shared" ca="1" si="68"/>
        <v>100</v>
      </c>
      <c r="N86" s="21">
        <f t="shared" ca="1" si="68"/>
        <v>33.299999999999997</v>
      </c>
      <c r="O86" s="21">
        <f t="shared" ca="1" si="68"/>
        <v>50</v>
      </c>
      <c r="P86" s="21">
        <f t="shared" ca="1" si="68"/>
        <v>95.2</v>
      </c>
      <c r="Q86" s="21">
        <f t="shared" ca="1" si="68"/>
        <v>93.8</v>
      </c>
      <c r="R86" s="21">
        <f t="shared" ca="1" si="68"/>
        <v>94.4</v>
      </c>
      <c r="S86" s="21">
        <f t="shared" ca="1" si="68"/>
        <v>75</v>
      </c>
      <c r="T86" s="21">
        <f t="shared" ca="1" si="68"/>
        <v>55.6</v>
      </c>
      <c r="U86" s="21">
        <f t="shared" si="46"/>
        <v>35</v>
      </c>
      <c r="V86" s="367">
        <f t="shared" si="47"/>
        <v>3</v>
      </c>
      <c r="W86" s="3">
        <f>IF(OR($C86="",$C86=0,$C86=1),"",RANK(U86,U$22:U$91,0)+COUNTIF(U$22:U86,U86)-1)</f>
        <v>60</v>
      </c>
      <c r="X86" s="3">
        <f t="shared" si="48"/>
        <v>70</v>
      </c>
      <c r="Z86" s="367">
        <f t="shared" si="49"/>
        <v>3</v>
      </c>
      <c r="AA86" s="367">
        <f t="shared" si="50"/>
        <v>70</v>
      </c>
      <c r="AB86" s="367">
        <f t="shared" si="51"/>
        <v>0</v>
      </c>
      <c r="AC86" s="367" t="str">
        <f t="shared" si="52"/>
        <v xml:space="preserve">   4.4.2) E-waste management</v>
      </c>
      <c r="AD86" s="367">
        <f t="shared" ca="1" si="53"/>
        <v>80</v>
      </c>
      <c r="AE86" s="367">
        <f t="shared" ca="1" si="54"/>
        <v>80</v>
      </c>
      <c r="AF86" s="367">
        <f t="shared" ca="1" si="55"/>
        <v>58.3</v>
      </c>
      <c r="AG86" s="367">
        <f t="shared" ca="1" si="56"/>
        <v>100</v>
      </c>
      <c r="AH86" s="367">
        <f t="shared" ca="1" si="57"/>
        <v>100</v>
      </c>
      <c r="AI86" s="367">
        <f t="shared" ca="1" si="58"/>
        <v>0</v>
      </c>
      <c r="AJ86" s="367">
        <f t="shared" ca="1" si="59"/>
        <v>100</v>
      </c>
      <c r="AK86" s="367">
        <f t="shared" ca="1" si="60"/>
        <v>33.299999999999997</v>
      </c>
      <c r="AL86" s="367">
        <f t="shared" ca="1" si="61"/>
        <v>83.3</v>
      </c>
      <c r="AM86" s="367">
        <f t="shared" ca="1" si="62"/>
        <v>85.7</v>
      </c>
      <c r="AN86" s="367">
        <f t="shared" ca="1" si="63"/>
        <v>62.5</v>
      </c>
      <c r="AO86" s="367">
        <f t="shared" ca="1" si="64"/>
        <v>100</v>
      </c>
      <c r="AP86" s="367">
        <f t="shared" ca="1" si="65"/>
        <v>50</v>
      </c>
      <c r="AQ86" s="367">
        <f t="shared" ca="1" si="66"/>
        <v>88.9</v>
      </c>
    </row>
    <row r="87" spans="1:43">
      <c r="A87" s="367">
        <f t="shared" si="33"/>
        <v>66</v>
      </c>
      <c r="B87" s="367">
        <f>tblIndiSets!B77</f>
        <v>66</v>
      </c>
      <c r="C87" s="367">
        <f>IF(tblIndiSets!D77&lt;=$B$3,tblIndiSets!D77,"")</f>
        <v>2</v>
      </c>
      <c r="D87" s="367">
        <f t="shared" si="45"/>
        <v>2</v>
      </c>
      <c r="E87" s="367" t="str">
        <f>tblIndiSets!E77</f>
        <v xml:space="preserve">  4.3) Pollution</v>
      </c>
      <c r="F87" s="367">
        <f t="shared" si="35"/>
        <v>34</v>
      </c>
      <c r="G87" s="21">
        <f t="shared" ca="1" si="69"/>
        <v>57.8</v>
      </c>
      <c r="H87" s="21">
        <f t="shared" ca="1" si="68"/>
        <v>57.8</v>
      </c>
      <c r="I87" s="21">
        <f t="shared" ca="1" si="68"/>
        <v>57</v>
      </c>
      <c r="J87" s="21">
        <f t="shared" ca="1" si="68"/>
        <v>63.3</v>
      </c>
      <c r="K87" s="21">
        <f t="shared" ca="1" si="68"/>
        <v>50</v>
      </c>
      <c r="L87" s="21">
        <f t="shared" ca="1" si="68"/>
        <v>16.7</v>
      </c>
      <c r="M87" s="21">
        <f t="shared" ca="1" si="68"/>
        <v>62.5</v>
      </c>
      <c r="N87" s="21">
        <f t="shared" ca="1" si="68"/>
        <v>33.299999999999997</v>
      </c>
      <c r="O87" s="21">
        <f t="shared" ca="1" si="68"/>
        <v>50</v>
      </c>
      <c r="P87" s="21">
        <f t="shared" ca="1" si="68"/>
        <v>63.5</v>
      </c>
      <c r="Q87" s="21">
        <f t="shared" ca="1" si="68"/>
        <v>60.4</v>
      </c>
      <c r="R87" s="21">
        <f t="shared" ca="1" si="68"/>
        <v>63</v>
      </c>
      <c r="S87" s="21">
        <f t="shared" ca="1" si="68"/>
        <v>58.3</v>
      </c>
      <c r="T87" s="21">
        <f t="shared" ca="1" si="68"/>
        <v>50</v>
      </c>
      <c r="U87" s="21">
        <f t="shared" si="46"/>
        <v>34</v>
      </c>
      <c r="V87" s="367">
        <f t="shared" si="47"/>
        <v>2</v>
      </c>
      <c r="W87" s="3">
        <f>IF(OR($C87="",$C87=0,$C87=1),"",RANK(U87,U$22:U$91,0)+COUNTIF(U$22:U87,U87)-1)</f>
        <v>61</v>
      </c>
      <c r="X87" s="3" t="str">
        <f t="shared" si="48"/>
        <v/>
      </c>
      <c r="Z87" s="367" t="str">
        <f t="shared" si="49"/>
        <v/>
      </c>
      <c r="AA87" s="367" t="str">
        <f t="shared" si="50"/>
        <v/>
      </c>
      <c r="AB87" s="367">
        <f t="shared" si="51"/>
        <v>0</v>
      </c>
      <c r="AC87" s="367" t="str">
        <f t="shared" si="52"/>
        <v/>
      </c>
      <c r="AD87" s="367" t="str">
        <f t="shared" si="53"/>
        <v/>
      </c>
      <c r="AE87" s="367" t="str">
        <f t="shared" si="54"/>
        <v/>
      </c>
      <c r="AF87" s="367" t="str">
        <f t="shared" si="55"/>
        <v/>
      </c>
      <c r="AG87" s="367" t="str">
        <f t="shared" si="56"/>
        <v/>
      </c>
      <c r="AH87" s="367" t="str">
        <f t="shared" si="57"/>
        <v/>
      </c>
      <c r="AI87" s="367" t="str">
        <f t="shared" si="58"/>
        <v/>
      </c>
      <c r="AJ87" s="367" t="str">
        <f t="shared" si="59"/>
        <v/>
      </c>
      <c r="AK87" s="367" t="str">
        <f t="shared" si="60"/>
        <v/>
      </c>
      <c r="AL87" s="367" t="str">
        <f t="shared" si="61"/>
        <v/>
      </c>
      <c r="AM87" s="367" t="str">
        <f t="shared" si="62"/>
        <v/>
      </c>
      <c r="AN87" s="367" t="str">
        <f t="shared" si="63"/>
        <v/>
      </c>
      <c r="AO87" s="367" t="str">
        <f t="shared" si="64"/>
        <v/>
      </c>
      <c r="AP87" s="367" t="str">
        <f t="shared" si="65"/>
        <v/>
      </c>
      <c r="AQ87" s="367" t="str">
        <f t="shared" si="66"/>
        <v/>
      </c>
    </row>
    <row r="88" spans="1:43">
      <c r="A88" s="367">
        <f t="shared" si="33"/>
        <v>67</v>
      </c>
      <c r="B88" s="367">
        <f>tblIndiSets!B78</f>
        <v>67</v>
      </c>
      <c r="C88" s="367">
        <f>IF(tblIndiSets!D78&lt;=$B$3,tblIndiSets!D78,"")</f>
        <v>3</v>
      </c>
      <c r="D88" s="367">
        <f t="shared" si="45"/>
        <v>3</v>
      </c>
      <c r="E88" s="367" t="str">
        <f>tblIndiSets!E78</f>
        <v xml:space="preserve">   4.3.1) Air pollution</v>
      </c>
      <c r="F88" s="367">
        <f t="shared" si="35"/>
        <v>33</v>
      </c>
      <c r="G88" s="21">
        <f t="shared" ca="1" si="69"/>
        <v>57.8</v>
      </c>
      <c r="H88" s="21">
        <f t="shared" ca="1" si="68"/>
        <v>57.8</v>
      </c>
      <c r="I88" s="21">
        <f t="shared" ca="1" si="68"/>
        <v>57</v>
      </c>
      <c r="J88" s="21">
        <f t="shared" ca="1" si="68"/>
        <v>63.3</v>
      </c>
      <c r="K88" s="21">
        <f t="shared" ca="1" si="68"/>
        <v>50</v>
      </c>
      <c r="L88" s="21">
        <f t="shared" ca="1" si="68"/>
        <v>16.7</v>
      </c>
      <c r="M88" s="21">
        <f t="shared" ca="1" si="68"/>
        <v>62.5</v>
      </c>
      <c r="N88" s="21">
        <f t="shared" ca="1" si="68"/>
        <v>33.299999999999997</v>
      </c>
      <c r="O88" s="21">
        <f t="shared" ca="1" si="68"/>
        <v>50</v>
      </c>
      <c r="P88" s="21">
        <f t="shared" ca="1" si="68"/>
        <v>63.5</v>
      </c>
      <c r="Q88" s="21">
        <f t="shared" ca="1" si="68"/>
        <v>60.4</v>
      </c>
      <c r="R88" s="21">
        <f t="shared" ca="1" si="68"/>
        <v>63</v>
      </c>
      <c r="S88" s="21">
        <f t="shared" ca="1" si="68"/>
        <v>58.3</v>
      </c>
      <c r="T88" s="21">
        <f t="shared" ca="1" si="68"/>
        <v>50</v>
      </c>
      <c r="U88" s="21">
        <f t="shared" si="46"/>
        <v>33</v>
      </c>
      <c r="V88" s="367">
        <f t="shared" si="47"/>
        <v>3</v>
      </c>
      <c r="W88" s="3">
        <f>IF(OR($C88="",$C88=0,$C88=1),"",RANK(U88,U$22:U$91,0)+COUNTIF(U$22:U88,U88)-1)</f>
        <v>62</v>
      </c>
      <c r="X88" s="3" t="str">
        <f t="shared" si="48"/>
        <v/>
      </c>
      <c r="Z88" s="367" t="str">
        <f t="shared" si="49"/>
        <v/>
      </c>
      <c r="AA88" s="367" t="str">
        <f t="shared" si="50"/>
        <v/>
      </c>
      <c r="AB88" s="367">
        <f t="shared" si="51"/>
        <v>0</v>
      </c>
      <c r="AC88" s="367" t="str">
        <f t="shared" si="52"/>
        <v/>
      </c>
      <c r="AD88" s="367" t="str">
        <f t="shared" si="53"/>
        <v/>
      </c>
      <c r="AE88" s="367" t="str">
        <f t="shared" si="54"/>
        <v/>
      </c>
      <c r="AF88" s="367" t="str">
        <f t="shared" si="55"/>
        <v/>
      </c>
      <c r="AG88" s="367" t="str">
        <f t="shared" si="56"/>
        <v/>
      </c>
      <c r="AH88" s="367" t="str">
        <f t="shared" si="57"/>
        <v/>
      </c>
      <c r="AI88" s="367" t="str">
        <f t="shared" si="58"/>
        <v/>
      </c>
      <c r="AJ88" s="367" t="str">
        <f t="shared" si="59"/>
        <v/>
      </c>
      <c r="AK88" s="367" t="str">
        <f t="shared" si="60"/>
        <v/>
      </c>
      <c r="AL88" s="367" t="str">
        <f t="shared" si="61"/>
        <v/>
      </c>
      <c r="AM88" s="367" t="str">
        <f t="shared" si="62"/>
        <v/>
      </c>
      <c r="AN88" s="367" t="str">
        <f t="shared" si="63"/>
        <v/>
      </c>
      <c r="AO88" s="367" t="str">
        <f t="shared" si="64"/>
        <v/>
      </c>
      <c r="AP88" s="367" t="str">
        <f t="shared" si="65"/>
        <v/>
      </c>
      <c r="AQ88" s="367" t="str">
        <f t="shared" si="66"/>
        <v/>
      </c>
    </row>
    <row r="89" spans="1:43">
      <c r="A89" s="367">
        <f t="shared" si="33"/>
        <v>68</v>
      </c>
      <c r="B89" s="367">
        <f>tblIndiSets!B79</f>
        <v>68</v>
      </c>
      <c r="C89" s="367">
        <f>IF(tblIndiSets!D79&lt;=$B$3,tblIndiSets!D79,"")</f>
        <v>2</v>
      </c>
      <c r="D89" s="367">
        <f t="shared" si="45"/>
        <v>2</v>
      </c>
      <c r="E89" s="367" t="str">
        <f>tblIndiSets!E79</f>
        <v xml:space="preserve">  4.4) Circular economy</v>
      </c>
      <c r="F89" s="367">
        <f t="shared" si="35"/>
        <v>32</v>
      </c>
      <c r="G89" s="21">
        <f t="shared" ca="1" si="69"/>
        <v>48</v>
      </c>
      <c r="H89" s="21">
        <f t="shared" ca="1" si="68"/>
        <v>48</v>
      </c>
      <c r="I89" s="21">
        <f t="shared" ca="1" si="68"/>
        <v>45.4</v>
      </c>
      <c r="J89" s="21">
        <f t="shared" ca="1" si="68"/>
        <v>56.7</v>
      </c>
      <c r="K89" s="21">
        <f t="shared" ca="1" si="68"/>
        <v>38.1</v>
      </c>
      <c r="L89" s="21">
        <f t="shared" ca="1" si="68"/>
        <v>0</v>
      </c>
      <c r="M89" s="21">
        <f t="shared" ca="1" si="68"/>
        <v>53.6</v>
      </c>
      <c r="N89" s="21">
        <f t="shared" ca="1" si="68"/>
        <v>12.7</v>
      </c>
      <c r="O89" s="21">
        <f t="shared" ca="1" si="68"/>
        <v>52.4</v>
      </c>
      <c r="P89" s="21">
        <f t="shared" ca="1" si="68"/>
        <v>51.8</v>
      </c>
      <c r="Q89" s="21">
        <f t="shared" ca="1" si="68"/>
        <v>47</v>
      </c>
      <c r="R89" s="21">
        <f t="shared" ca="1" si="68"/>
        <v>55.3</v>
      </c>
      <c r="S89" s="21">
        <f t="shared" ca="1" si="68"/>
        <v>26.8</v>
      </c>
      <c r="T89" s="21">
        <f t="shared" ca="1" si="68"/>
        <v>51.1</v>
      </c>
      <c r="U89" s="21">
        <f t="shared" si="46"/>
        <v>32</v>
      </c>
      <c r="V89" s="367">
        <f t="shared" si="47"/>
        <v>2</v>
      </c>
      <c r="W89" s="3">
        <f>IF(OR($C89="",$C89=0,$C89=1),"",RANK(U89,U$22:U$91,0)+COUNTIF(U$22:U89,U89)-1)</f>
        <v>63</v>
      </c>
      <c r="X89" s="3" t="str">
        <f t="shared" si="48"/>
        <v/>
      </c>
      <c r="Z89" s="367" t="str">
        <f t="shared" si="49"/>
        <v/>
      </c>
      <c r="AA89" s="367" t="str">
        <f t="shared" si="50"/>
        <v/>
      </c>
      <c r="AB89" s="367">
        <f t="shared" si="51"/>
        <v>0</v>
      </c>
      <c r="AC89" s="367" t="str">
        <f t="shared" si="52"/>
        <v/>
      </c>
      <c r="AD89" s="367" t="str">
        <f t="shared" si="53"/>
        <v/>
      </c>
      <c r="AE89" s="367" t="str">
        <f t="shared" si="54"/>
        <v/>
      </c>
      <c r="AF89" s="367" t="str">
        <f t="shared" si="55"/>
        <v/>
      </c>
      <c r="AG89" s="367" t="str">
        <f t="shared" si="56"/>
        <v/>
      </c>
      <c r="AH89" s="367" t="str">
        <f t="shared" si="57"/>
        <v/>
      </c>
      <c r="AI89" s="367" t="str">
        <f t="shared" si="58"/>
        <v/>
      </c>
      <c r="AJ89" s="367" t="str">
        <f t="shared" si="59"/>
        <v/>
      </c>
      <c r="AK89" s="367" t="str">
        <f t="shared" si="60"/>
        <v/>
      </c>
      <c r="AL89" s="367" t="str">
        <f t="shared" si="61"/>
        <v/>
      </c>
      <c r="AM89" s="367" t="str">
        <f t="shared" si="62"/>
        <v/>
      </c>
      <c r="AN89" s="367" t="str">
        <f t="shared" si="63"/>
        <v/>
      </c>
      <c r="AO89" s="367" t="str">
        <f t="shared" si="64"/>
        <v/>
      </c>
      <c r="AP89" s="367" t="str">
        <f t="shared" si="65"/>
        <v/>
      </c>
      <c r="AQ89" s="367" t="str">
        <f t="shared" si="66"/>
        <v/>
      </c>
    </row>
    <row r="90" spans="1:43">
      <c r="A90" s="367">
        <f t="shared" ref="A90:A91" si="70">A89+1</f>
        <v>69</v>
      </c>
      <c r="B90" s="367">
        <f>tblIndiSets!B80</f>
        <v>69</v>
      </c>
      <c r="C90" s="367">
        <f>IF(tblIndiSets!D80&lt;=$B$3,tblIndiSets!D80,"")</f>
        <v>3</v>
      </c>
      <c r="D90" s="367">
        <f t="shared" si="45"/>
        <v>3</v>
      </c>
      <c r="E90" s="367" t="str">
        <f>tblIndiSets!E80</f>
        <v xml:space="preserve">   4.4.1) Development of sharing economy </v>
      </c>
      <c r="F90" s="367">
        <f t="shared" ref="F90:F91" si="71">F89-1</f>
        <v>31</v>
      </c>
      <c r="G90" s="21">
        <f t="shared" ca="1" si="69"/>
        <v>28.3</v>
      </c>
      <c r="H90" s="21">
        <f t="shared" ca="1" si="68"/>
        <v>28.3</v>
      </c>
      <c r="I90" s="21">
        <f t="shared" ca="1" si="68"/>
        <v>37.5</v>
      </c>
      <c r="J90" s="21">
        <f t="shared" ca="1" si="68"/>
        <v>30</v>
      </c>
      <c r="K90" s="21">
        <f t="shared" ca="1" si="68"/>
        <v>0</v>
      </c>
      <c r="L90" s="21">
        <f t="shared" ca="1" si="68"/>
        <v>0</v>
      </c>
      <c r="M90" s="21">
        <f t="shared" ca="1" si="68"/>
        <v>25</v>
      </c>
      <c r="N90" s="21">
        <f t="shared" ca="1" si="68"/>
        <v>0</v>
      </c>
      <c r="O90" s="21">
        <f t="shared" ca="1" si="68"/>
        <v>33.299999999999997</v>
      </c>
      <c r="P90" s="21">
        <f t="shared" ca="1" si="68"/>
        <v>31</v>
      </c>
      <c r="Q90" s="21">
        <f t="shared" ca="1" si="68"/>
        <v>37.5</v>
      </c>
      <c r="R90" s="21">
        <f t="shared" ca="1" si="68"/>
        <v>27.8</v>
      </c>
      <c r="S90" s="21">
        <f t="shared" ca="1" si="68"/>
        <v>12.5</v>
      </c>
      <c r="T90" s="21">
        <f t="shared" ca="1" si="68"/>
        <v>27.8</v>
      </c>
      <c r="U90" s="21">
        <f t="shared" si="46"/>
        <v>31</v>
      </c>
      <c r="V90" s="367">
        <f t="shared" si="47"/>
        <v>3</v>
      </c>
      <c r="W90" s="3">
        <f>IF(OR($C90="",$C90=0,$C90=1),"",RANK(U90,U$22:U$91,0)+COUNTIF(U$22:U90,U90)-1)</f>
        <v>64</v>
      </c>
      <c r="X90" s="3" t="str">
        <f t="shared" si="48"/>
        <v/>
      </c>
      <c r="Z90" s="367" t="str">
        <f t="shared" si="49"/>
        <v/>
      </c>
      <c r="AA90" s="367" t="str">
        <f t="shared" si="50"/>
        <v/>
      </c>
      <c r="AB90" s="367">
        <f t="shared" si="51"/>
        <v>0</v>
      </c>
      <c r="AC90" s="367" t="str">
        <f t="shared" si="52"/>
        <v/>
      </c>
      <c r="AD90" s="367" t="str">
        <f t="shared" si="53"/>
        <v/>
      </c>
      <c r="AE90" s="367" t="str">
        <f t="shared" si="54"/>
        <v/>
      </c>
      <c r="AF90" s="367" t="str">
        <f t="shared" si="55"/>
        <v/>
      </c>
      <c r="AG90" s="367" t="str">
        <f t="shared" si="56"/>
        <v/>
      </c>
      <c r="AH90" s="367" t="str">
        <f t="shared" si="57"/>
        <v/>
      </c>
      <c r="AI90" s="367" t="str">
        <f t="shared" si="58"/>
        <v/>
      </c>
      <c r="AJ90" s="367" t="str">
        <f t="shared" si="59"/>
        <v/>
      </c>
      <c r="AK90" s="367" t="str">
        <f t="shared" si="60"/>
        <v/>
      </c>
      <c r="AL90" s="367" t="str">
        <f t="shared" si="61"/>
        <v/>
      </c>
      <c r="AM90" s="367" t="str">
        <f t="shared" si="62"/>
        <v/>
      </c>
      <c r="AN90" s="367" t="str">
        <f t="shared" si="63"/>
        <v/>
      </c>
      <c r="AO90" s="367" t="str">
        <f t="shared" si="64"/>
        <v/>
      </c>
      <c r="AP90" s="367" t="str">
        <f t="shared" si="65"/>
        <v/>
      </c>
      <c r="AQ90" s="367" t="str">
        <f t="shared" si="66"/>
        <v/>
      </c>
    </row>
    <row r="91" spans="1:43">
      <c r="A91" s="367">
        <f t="shared" si="70"/>
        <v>70</v>
      </c>
      <c r="B91" s="367">
        <f>tblIndiSets!B81</f>
        <v>70</v>
      </c>
      <c r="C91" s="367">
        <f>IF(tblIndiSets!D81&lt;=$B$3,tblIndiSets!D81,"")</f>
        <v>3</v>
      </c>
      <c r="D91" s="367">
        <f t="shared" si="45"/>
        <v>3</v>
      </c>
      <c r="E91" s="367" t="str">
        <f>tblIndiSets!E81</f>
        <v xml:space="preserve">   4.4.2) E-waste management</v>
      </c>
      <c r="F91" s="367">
        <f t="shared" si="71"/>
        <v>30</v>
      </c>
      <c r="G91" s="21">
        <f t="shared" ca="1" si="69"/>
        <v>80</v>
      </c>
      <c r="H91" s="21">
        <f t="shared" ca="1" si="68"/>
        <v>80</v>
      </c>
      <c r="I91" s="21">
        <f t="shared" ca="1" si="68"/>
        <v>58.3</v>
      </c>
      <c r="J91" s="21">
        <f t="shared" ca="1" si="68"/>
        <v>100</v>
      </c>
      <c r="K91" s="21">
        <f t="shared" ca="1" si="68"/>
        <v>100</v>
      </c>
      <c r="L91" s="21">
        <f t="shared" ca="1" si="68"/>
        <v>0</v>
      </c>
      <c r="M91" s="21">
        <f t="shared" ca="1" si="68"/>
        <v>100</v>
      </c>
      <c r="N91" s="21">
        <f t="shared" ca="1" si="68"/>
        <v>33.299999999999997</v>
      </c>
      <c r="O91" s="21">
        <f t="shared" ca="1" si="68"/>
        <v>83.3</v>
      </c>
      <c r="P91" s="21">
        <f t="shared" ca="1" si="68"/>
        <v>85.7</v>
      </c>
      <c r="Q91" s="21">
        <f t="shared" ca="1" si="68"/>
        <v>62.5</v>
      </c>
      <c r="R91" s="21">
        <f t="shared" ca="1" si="68"/>
        <v>100</v>
      </c>
      <c r="S91" s="21">
        <f t="shared" ca="1" si="68"/>
        <v>50</v>
      </c>
      <c r="T91" s="21">
        <f t="shared" ca="1" si="68"/>
        <v>88.9</v>
      </c>
      <c r="U91" s="21">
        <f t="shared" si="46"/>
        <v>30</v>
      </c>
      <c r="V91" s="367">
        <f t="shared" si="47"/>
        <v>3</v>
      </c>
      <c r="W91" s="3">
        <f>IF(OR($C91="",$C91=0,$C91=1),"",RANK(U91,U$22:U$91,0)+COUNTIF(U$22:U91,U91)-1)</f>
        <v>65</v>
      </c>
      <c r="X91" s="3" t="str">
        <f t="shared" si="48"/>
        <v/>
      </c>
      <c r="Z91" s="367" t="str">
        <f t="shared" si="49"/>
        <v/>
      </c>
      <c r="AA91" s="367" t="str">
        <f t="shared" si="50"/>
        <v/>
      </c>
      <c r="AB91" s="367">
        <f t="shared" si="51"/>
        <v>0</v>
      </c>
      <c r="AC91" s="367" t="str">
        <f t="shared" si="52"/>
        <v/>
      </c>
      <c r="AD91" s="367" t="str">
        <f t="shared" si="53"/>
        <v/>
      </c>
      <c r="AE91" s="367" t="str">
        <f t="shared" si="54"/>
        <v/>
      </c>
      <c r="AF91" s="367" t="str">
        <f t="shared" si="55"/>
        <v/>
      </c>
      <c r="AG91" s="367" t="str">
        <f t="shared" si="56"/>
        <v/>
      </c>
      <c r="AH91" s="367" t="str">
        <f t="shared" si="57"/>
        <v/>
      </c>
      <c r="AI91" s="367" t="str">
        <f t="shared" si="58"/>
        <v/>
      </c>
      <c r="AJ91" s="367" t="str">
        <f t="shared" si="59"/>
        <v/>
      </c>
      <c r="AK91" s="367" t="str">
        <f t="shared" si="60"/>
        <v/>
      </c>
      <c r="AL91" s="367" t="str">
        <f t="shared" si="61"/>
        <v/>
      </c>
      <c r="AM91" s="367" t="str">
        <f t="shared" si="62"/>
        <v/>
      </c>
      <c r="AN91" s="367" t="str">
        <f t="shared" si="63"/>
        <v/>
      </c>
      <c r="AO91" s="367" t="str">
        <f t="shared" si="64"/>
        <v/>
      </c>
      <c r="AP91" s="367" t="str">
        <f t="shared" si="65"/>
        <v/>
      </c>
      <c r="AQ91" s="367" t="str">
        <f t="shared" si="66"/>
        <v/>
      </c>
    </row>
  </sheetData>
  <pageMargins left="0.55118110236220474" right="0.55118110236220474" top="0.59055118110236227" bottom="0.78740157480314965" header="0.51181102362204722" footer="0.51181102362204722"/>
  <pageSetup paperSize="9" scale="27" orientation="landscape" r:id="rId1"/>
  <headerFooter alignWithMargins="0">
    <oddHeader>&amp;RNEC SAFE CITIES INDEX: 2021</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AV91"/>
  <sheetViews>
    <sheetView showRowColHeaders="0" zoomScaleNormal="100" workbookViewId="0">
      <pane xSplit="3" ySplit="3" topLeftCell="D4" activePane="bottomRight" state="frozen"/>
      <selection activeCell="X1" sqref="X1"/>
      <selection pane="topRight" activeCell="X1" sqref="X1"/>
      <selection pane="bottomLeft" activeCell="X1" sqref="X1"/>
      <selection pane="bottomRight" activeCell="A4" sqref="A4"/>
    </sheetView>
  </sheetViews>
  <sheetFormatPr defaultColWidth="9.1796875" defaultRowHeight="14.5"/>
  <cols>
    <col min="1" max="1" width="17.453125" style="367" bestFit="1" customWidth="1"/>
    <col min="2" max="2" width="4.1796875" style="367" customWidth="1"/>
    <col min="3" max="3" width="15.7265625" style="367" customWidth="1"/>
    <col min="4" max="4" width="5.7265625" style="367" bestFit="1" customWidth="1"/>
    <col min="5" max="13" width="5.453125" style="367" customWidth="1"/>
    <col min="14" max="14" width="5.453125" style="36" customWidth="1"/>
    <col min="15" max="15" width="8.453125" style="367" bestFit="1" customWidth="1"/>
    <col min="16" max="17" width="5.453125" style="367" customWidth="1"/>
    <col min="18" max="18" width="8.453125" style="367" bestFit="1" customWidth="1"/>
    <col min="19" max="27" width="5.453125" style="367" customWidth="1"/>
    <col min="28" max="28" width="9.1796875" style="367"/>
    <col min="29" max="29" width="9.26953125" style="367" bestFit="1" customWidth="1"/>
    <col min="30" max="30" width="7.453125" style="127" customWidth="1"/>
    <col min="31" max="31" width="10.7265625" style="127" customWidth="1"/>
    <col min="32" max="33" width="10.7265625" style="127" hidden="1" customWidth="1"/>
    <col min="34" max="34" width="12.1796875" style="127" customWidth="1"/>
    <col min="35" max="35" width="8.453125" style="127" customWidth="1"/>
    <col min="36" max="45" width="7.453125" style="127" customWidth="1"/>
    <col min="46" max="47" width="9.1796875" style="127"/>
    <col min="48" max="48" width="9.1796875" style="367" hidden="1" customWidth="1"/>
    <col min="49" max="16384" width="9.1796875" style="367"/>
  </cols>
  <sheetData>
    <row r="1" spans="1:48" ht="22.5" customHeight="1">
      <c r="A1" s="11" t="s">
        <v>118</v>
      </c>
      <c r="B1" s="11">
        <f>uxb_works!B1</f>
        <v>30</v>
      </c>
      <c r="C1" s="11">
        <f>uxb_works!C1</f>
        <v>30</v>
      </c>
      <c r="D1" s="11"/>
      <c r="AE1" s="127">
        <f>E3</f>
        <v>2</v>
      </c>
      <c r="AF1" s="127">
        <f>D16</f>
        <v>0</v>
      </c>
      <c r="AG1" s="127">
        <f>E5</f>
        <v>0</v>
      </c>
      <c r="AI1" s="127" t="s">
        <v>462</v>
      </c>
      <c r="AJ1" s="127">
        <f ca="1">INDEX(aAverages,$AB$17,1)</f>
        <v>63.3</v>
      </c>
      <c r="AV1" s="367">
        <f>D16</f>
        <v>0</v>
      </c>
    </row>
    <row r="2" spans="1:48" ht="63" customHeight="1">
      <c r="A2" s="367" t="str">
        <f>uxb_works!A26</f>
        <v>CITY1_ID</v>
      </c>
      <c r="B2" s="367">
        <f>uxb_works!D26</f>
        <v>1</v>
      </c>
      <c r="C2" s="367" t="str">
        <f>uxb_works!C26</f>
        <v>Amsterdam</v>
      </c>
      <c r="D2" s="367">
        <f>B2</f>
        <v>1</v>
      </c>
      <c r="E2" s="11"/>
      <c r="AD2" s="127" t="str">
        <f>C2</f>
        <v>Amsterdam</v>
      </c>
      <c r="AE2" s="127" t="str">
        <f ca="1">C3</f>
        <v>Auckland</v>
      </c>
      <c r="AF2" s="127" t="str">
        <f>C4</f>
        <v>Selected Average</v>
      </c>
      <c r="AG2" s="127">
        <f>C5</f>
        <v>0</v>
      </c>
    </row>
    <row r="3" spans="1:48">
      <c r="A3" s="367" t="str">
        <f>uxb_works!A27</f>
        <v>CITY2_ID</v>
      </c>
      <c r="B3" s="367">
        <f>uxb_works!D27</f>
        <v>2</v>
      </c>
      <c r="C3" s="367" t="str">
        <f ca="1">uxb_works!C27</f>
        <v>Auckland</v>
      </c>
      <c r="D3" s="367">
        <f>B3</f>
        <v>2</v>
      </c>
      <c r="E3" s="367">
        <f>uxb_works!D27</f>
        <v>2</v>
      </c>
      <c r="AB3" s="367">
        <f t="shared" ref="AB3:AD15" ca="1" si="0">AB22</f>
        <v>0</v>
      </c>
      <c r="AC3" s="367" t="str">
        <f t="shared" ca="1" si="0"/>
        <v>OVERALL SCORE</v>
      </c>
      <c r="AD3" s="127">
        <f t="shared" ca="1" si="0"/>
        <v>74.599999999999994</v>
      </c>
      <c r="AE3" s="127">
        <f t="shared" ref="AE3:AE15" ca="1" si="1">AF22</f>
        <v>60.1</v>
      </c>
      <c r="AF3" s="127" t="str">
        <f t="shared" ref="AF3:AF15" ca="1" si="2">AH22</f>
        <v/>
      </c>
      <c r="AG3" s="127" t="str">
        <f t="shared" ref="AG3:AG15" ca="1" si="3">AK22</f>
        <v/>
      </c>
    </row>
    <row r="4" spans="1:48" ht="15" customHeight="1">
      <c r="B4" s="367">
        <v>2</v>
      </c>
      <c r="C4" s="367" t="s">
        <v>710</v>
      </c>
      <c r="AB4" s="367">
        <f t="shared" ca="1" si="0"/>
        <v>1</v>
      </c>
      <c r="AC4" s="367" t="str">
        <f t="shared" ca="1" si="0"/>
        <v>Connectivity</v>
      </c>
      <c r="AD4" s="127">
        <f t="shared" ca="1" si="0"/>
        <v>77</v>
      </c>
      <c r="AE4" s="127">
        <f t="shared" ca="1" si="1"/>
        <v>59.7</v>
      </c>
      <c r="AF4" s="127" t="str">
        <f t="shared" ca="1" si="2"/>
        <v/>
      </c>
      <c r="AG4" s="127" t="str">
        <f t="shared" ca="1" si="3"/>
        <v/>
      </c>
    </row>
    <row r="5" spans="1:48" ht="33.75" customHeight="1">
      <c r="AB5" s="367">
        <f t="shared" ca="1" si="0"/>
        <v>1</v>
      </c>
      <c r="AC5" s="367" t="str">
        <f t="shared" ca="1" si="0"/>
        <v>Services</v>
      </c>
      <c r="AD5" s="127">
        <f t="shared" ca="1" si="0"/>
        <v>73.2</v>
      </c>
      <c r="AE5" s="127">
        <f t="shared" ca="1" si="1"/>
        <v>49.5</v>
      </c>
      <c r="AF5" s="127" t="str">
        <f t="shared" ca="1" si="2"/>
        <v/>
      </c>
      <c r="AG5" s="127" t="str">
        <f t="shared" ca="1" si="3"/>
        <v/>
      </c>
    </row>
    <row r="6" spans="1:48" ht="15" customHeight="1">
      <c r="E6" s="11"/>
      <c r="AB6" s="367">
        <f t="shared" ca="1" si="0"/>
        <v>1</v>
      </c>
      <c r="AC6" s="367" t="str">
        <f t="shared" ca="1" si="0"/>
        <v>Culture</v>
      </c>
      <c r="AD6" s="127">
        <f t="shared" ca="1" si="0"/>
        <v>62.1</v>
      </c>
      <c r="AE6" s="127">
        <f t="shared" ca="1" si="1"/>
        <v>67</v>
      </c>
      <c r="AF6" s="127" t="str">
        <f t="shared" ca="1" si="2"/>
        <v/>
      </c>
      <c r="AG6" s="127" t="str">
        <f t="shared" ca="1" si="3"/>
        <v/>
      </c>
    </row>
    <row r="7" spans="1:48" ht="15" customHeight="1" thickBot="1">
      <c r="AB7" s="367">
        <f t="shared" ca="1" si="0"/>
        <v>1</v>
      </c>
      <c r="AC7" s="367" t="str">
        <f t="shared" ca="1" si="0"/>
        <v>Sustainability</v>
      </c>
      <c r="AD7" s="127">
        <f t="shared" ca="1" si="0"/>
        <v>85.4</v>
      </c>
      <c r="AE7" s="127">
        <f t="shared" ca="1" si="1"/>
        <v>68.099999999999994</v>
      </c>
      <c r="AF7" s="127" t="str">
        <f t="shared" ca="1" si="2"/>
        <v/>
      </c>
      <c r="AG7" s="127" t="str">
        <f t="shared" ca="1" si="3"/>
        <v/>
      </c>
    </row>
    <row r="8" spans="1:48" ht="15" hidden="1" customHeight="1">
      <c r="G8" s="13"/>
      <c r="AA8" s="14"/>
      <c r="AB8" s="367">
        <f t="shared" ca="1" si="0"/>
        <v>0</v>
      </c>
      <c r="AC8" s="367" t="str">
        <f t="shared" ca="1" si="0"/>
        <v/>
      </c>
      <c r="AD8" s="127" t="str">
        <f t="shared" ca="1" si="0"/>
        <v/>
      </c>
      <c r="AE8" s="127" t="str">
        <f t="shared" ca="1" si="1"/>
        <v/>
      </c>
      <c r="AF8" s="127" t="str">
        <f t="shared" ca="1" si="2"/>
        <v/>
      </c>
      <c r="AG8" s="127" t="str">
        <f t="shared" ca="1" si="3"/>
        <v/>
      </c>
    </row>
    <row r="9" spans="1:48" ht="15" hidden="1" customHeight="1" thickBot="1">
      <c r="G9" s="13"/>
      <c r="H9" s="13"/>
      <c r="I9" s="14"/>
      <c r="J9" s="14"/>
      <c r="N9" s="788"/>
      <c r="T9" s="14"/>
      <c r="AA9" s="14"/>
      <c r="AB9" s="367">
        <f t="shared" ca="1" si="0"/>
        <v>0</v>
      </c>
      <c r="AC9" s="367" t="str">
        <f t="shared" ca="1" si="0"/>
        <v/>
      </c>
      <c r="AD9" s="127" t="str">
        <f t="shared" ca="1" si="0"/>
        <v/>
      </c>
      <c r="AE9" s="127" t="str">
        <f t="shared" ca="1" si="1"/>
        <v/>
      </c>
      <c r="AF9" s="127" t="str">
        <f t="shared" ca="1" si="2"/>
        <v/>
      </c>
      <c r="AG9" s="127" t="str">
        <f t="shared" ca="1" si="3"/>
        <v/>
      </c>
    </row>
    <row r="10" spans="1:48" ht="33" hidden="1" customHeight="1">
      <c r="A10" s="367" t="s">
        <v>232</v>
      </c>
      <c r="B10" s="367">
        <f>COUNTIF(D2:D7,"&gt;0")</f>
        <v>2</v>
      </c>
      <c r="G10" s="13"/>
      <c r="H10" s="13"/>
      <c r="I10" s="14"/>
      <c r="J10" s="14"/>
      <c r="N10" s="788"/>
      <c r="T10" s="14"/>
      <c r="AA10" s="14"/>
      <c r="AB10" s="367">
        <f t="shared" ca="1" si="0"/>
        <v>0</v>
      </c>
      <c r="AC10" s="367" t="str">
        <f t="shared" ca="1" si="0"/>
        <v/>
      </c>
      <c r="AD10" s="127" t="str">
        <f t="shared" ca="1" si="0"/>
        <v/>
      </c>
      <c r="AE10" s="127" t="str">
        <f t="shared" ca="1" si="1"/>
        <v/>
      </c>
      <c r="AF10" s="127" t="str">
        <f t="shared" ca="1" si="2"/>
        <v/>
      </c>
      <c r="AG10" s="127" t="str">
        <f t="shared" ca="1" si="3"/>
        <v/>
      </c>
    </row>
    <row r="11" spans="1:48" ht="33" hidden="1" customHeight="1">
      <c r="G11" s="13"/>
      <c r="H11" s="13"/>
      <c r="I11" s="14"/>
      <c r="J11" s="14"/>
      <c r="N11" s="788"/>
      <c r="T11" s="14"/>
      <c r="AA11" s="14"/>
      <c r="AB11" s="367">
        <f t="shared" ca="1" si="0"/>
        <v>0</v>
      </c>
      <c r="AC11" s="367" t="str">
        <f t="shared" ca="1" si="0"/>
        <v/>
      </c>
      <c r="AD11" s="127" t="str">
        <f t="shared" ca="1" si="0"/>
        <v/>
      </c>
      <c r="AE11" s="127" t="str">
        <f t="shared" ca="1" si="1"/>
        <v/>
      </c>
      <c r="AF11" s="127" t="str">
        <f t="shared" ca="1" si="2"/>
        <v/>
      </c>
      <c r="AG11" s="127" t="str">
        <f t="shared" ca="1" si="3"/>
        <v/>
      </c>
    </row>
    <row r="12" spans="1:48" ht="33" hidden="1" customHeight="1">
      <c r="G12" s="13"/>
      <c r="H12" s="13"/>
      <c r="I12" s="14"/>
      <c r="J12" s="14"/>
      <c r="N12" s="788"/>
      <c r="T12" s="14"/>
      <c r="AA12" s="14"/>
      <c r="AB12" s="367">
        <f t="shared" ca="1" si="0"/>
        <v>0</v>
      </c>
      <c r="AC12" s="367" t="str">
        <f t="shared" ca="1" si="0"/>
        <v/>
      </c>
      <c r="AD12" s="127" t="str">
        <f t="shared" ca="1" si="0"/>
        <v/>
      </c>
      <c r="AE12" s="127" t="str">
        <f t="shared" ca="1" si="1"/>
        <v/>
      </c>
      <c r="AF12" s="127" t="str">
        <f t="shared" ca="1" si="2"/>
        <v/>
      </c>
      <c r="AG12" s="127" t="str">
        <f t="shared" ca="1" si="3"/>
        <v/>
      </c>
    </row>
    <row r="13" spans="1:48" ht="33" hidden="1" customHeight="1">
      <c r="G13" s="13"/>
      <c r="H13" s="13"/>
      <c r="I13" s="14"/>
      <c r="J13" s="14"/>
      <c r="N13" s="788"/>
      <c r="T13" s="14"/>
      <c r="AA13" s="14"/>
      <c r="AB13" s="367">
        <f t="shared" ca="1" si="0"/>
        <v>0</v>
      </c>
      <c r="AC13" s="367" t="str">
        <f t="shared" ca="1" si="0"/>
        <v/>
      </c>
      <c r="AD13" s="127" t="str">
        <f t="shared" ca="1" si="0"/>
        <v/>
      </c>
      <c r="AE13" s="127" t="str">
        <f t="shared" ca="1" si="1"/>
        <v/>
      </c>
      <c r="AF13" s="127" t="str">
        <f t="shared" ca="1" si="2"/>
        <v/>
      </c>
      <c r="AG13" s="127" t="str">
        <f t="shared" ca="1" si="3"/>
        <v/>
      </c>
    </row>
    <row r="14" spans="1:48" ht="33" hidden="1" customHeight="1">
      <c r="G14" s="13"/>
      <c r="H14" s="13"/>
      <c r="I14" s="14"/>
      <c r="J14" s="14"/>
      <c r="N14" s="788"/>
      <c r="T14" s="14"/>
      <c r="AA14" s="14"/>
      <c r="AB14" s="367">
        <f t="shared" ca="1" si="0"/>
        <v>0</v>
      </c>
      <c r="AC14" s="367" t="str">
        <f t="shared" ca="1" si="0"/>
        <v/>
      </c>
      <c r="AD14" s="127" t="str">
        <f t="shared" ca="1" si="0"/>
        <v/>
      </c>
      <c r="AE14" s="127" t="str">
        <f t="shared" ca="1" si="1"/>
        <v/>
      </c>
      <c r="AF14" s="127" t="str">
        <f t="shared" ca="1" si="2"/>
        <v/>
      </c>
      <c r="AG14" s="127" t="str">
        <f t="shared" ca="1" si="3"/>
        <v/>
      </c>
    </row>
    <row r="15" spans="1:48" ht="33" hidden="1" customHeight="1" thickBot="1">
      <c r="G15" s="13"/>
      <c r="H15" s="13"/>
      <c r="I15" s="14"/>
      <c r="J15" s="14"/>
      <c r="N15" s="788"/>
      <c r="T15" s="14"/>
      <c r="AA15" s="14"/>
      <c r="AB15" s="367">
        <f t="shared" ca="1" si="0"/>
        <v>0</v>
      </c>
      <c r="AC15" s="367" t="str">
        <f t="shared" ca="1" si="0"/>
        <v/>
      </c>
      <c r="AD15" s="127" t="str">
        <f t="shared" ca="1" si="0"/>
        <v/>
      </c>
      <c r="AE15" s="127" t="str">
        <f t="shared" ca="1" si="1"/>
        <v/>
      </c>
      <c r="AF15" s="127" t="str">
        <f t="shared" ca="1" si="2"/>
        <v/>
      </c>
      <c r="AG15" s="127" t="str">
        <f t="shared" ca="1" si="3"/>
        <v/>
      </c>
    </row>
    <row r="16" spans="1:48" ht="33" customHeight="1" thickBot="1">
      <c r="A16" s="367" t="str">
        <f>iCComp!A12</f>
        <v>GROUP_FILTER_INCOME</v>
      </c>
      <c r="B16" s="367">
        <f>iCComp!B12</f>
        <v>1</v>
      </c>
      <c r="C16" s="367">
        <f>iCComp!C12</f>
        <v>0</v>
      </c>
      <c r="D16" s="367">
        <f>SUM(C16:C19)</f>
        <v>0</v>
      </c>
      <c r="G16" s="13"/>
      <c r="H16" s="13"/>
      <c r="I16" s="14"/>
      <c r="J16" s="14"/>
      <c r="N16" s="788"/>
      <c r="T16" s="14"/>
      <c r="AA16" s="14"/>
      <c r="AB16" s="108"/>
      <c r="AC16" s="109"/>
      <c r="AD16" s="261" t="str">
        <f>AD2</f>
        <v>Amsterdam</v>
      </c>
      <c r="AE16" s="261" t="str">
        <f ca="1">AE2</f>
        <v>Auckland</v>
      </c>
      <c r="AF16" s="261" t="str">
        <f>AF2</f>
        <v>Selected Average</v>
      </c>
      <c r="AG16" s="262">
        <f>AG2</f>
        <v>0</v>
      </c>
      <c r="AH16" s="127">
        <v>1</v>
      </c>
      <c r="AI16" s="127">
        <v>2</v>
      </c>
      <c r="AJ16" s="127">
        <v>3</v>
      </c>
      <c r="AK16" s="127">
        <v>1</v>
      </c>
      <c r="AL16" s="127">
        <v>2</v>
      </c>
      <c r="AM16" s="127">
        <v>3</v>
      </c>
    </row>
    <row r="17" spans="1:48" ht="21" customHeight="1" thickBot="1">
      <c r="A17" s="367" t="str">
        <f>iCComp!A13</f>
        <v>GROUP_FILTER_REGION</v>
      </c>
      <c r="B17" s="367">
        <f>iCComp!B13</f>
        <v>1</v>
      </c>
      <c r="C17" s="367">
        <f>iCComp!C13</f>
        <v>0</v>
      </c>
      <c r="G17" s="13"/>
      <c r="H17" s="13"/>
      <c r="I17" s="14"/>
      <c r="J17" s="14"/>
      <c r="N17" s="788"/>
      <c r="T17" s="14"/>
      <c r="AA17" s="260" t="str">
        <f ca="1">IF(ISERROR(uxb_works!C187),"Select indicator from list below to reset",uxb_works!C187)</f>
        <v>OVERALL SCORE</v>
      </c>
      <c r="AB17" s="260">
        <f ca="1">uxb_works!D187</f>
        <v>1</v>
      </c>
      <c r="AC17" s="395" t="str">
        <f ca="1">IF(ISERROR(INDEX(luIndicators,AB17)),"Select indicator from list below to reset",TRIM(INDEX(luIndicators,AB17)))</f>
        <v>OVERALL SCORE</v>
      </c>
      <c r="AD17" s="484">
        <f ca="1">INDEX(aScoresRounded,$AB$17,$B$2)</f>
        <v>74.599999999999994</v>
      </c>
      <c r="AE17" s="484">
        <f ca="1">INDEX(aScoresRounded,$AB$17,$B$3)</f>
        <v>60.1</v>
      </c>
      <c r="AF17" s="484">
        <f ca="1">IF(B4=0,"",INDEX(aAverages,$AB$17,$B$4))</f>
        <v>63.3</v>
      </c>
      <c r="AG17" s="484" t="str">
        <f>IF(B5=0,"",INDEX(aScoresRounded,$AB$17,$B$5))</f>
        <v/>
      </c>
      <c r="AH17" s="127">
        <f>IF($D$4=0,0,AH16)</f>
        <v>0</v>
      </c>
      <c r="AI17" s="127">
        <f>IF($D$4=0,0,AI16)</f>
        <v>0</v>
      </c>
      <c r="AJ17" s="127">
        <f>IF(AND($D$4=0,$D$5=0),0,AJ16)</f>
        <v>0</v>
      </c>
      <c r="AK17" s="127">
        <f>IF($D$5=0,0,AK16)</f>
        <v>0</v>
      </c>
      <c r="AL17" s="127">
        <f>IF($D$5=0,0,AL16)</f>
        <v>0</v>
      </c>
      <c r="AM17" s="127">
        <f>IF(AND($D$5=0,$D$6=0),0,AM16)</f>
        <v>0</v>
      </c>
    </row>
    <row r="18" spans="1:48">
      <c r="A18" s="367" t="str">
        <f>iCComp!A14</f>
        <v>FILTER_SET_3</v>
      </c>
      <c r="B18" s="367">
        <f>iCComp!B14</f>
        <v>1</v>
      </c>
      <c r="C18" s="367">
        <f>iCComp!C14</f>
        <v>0</v>
      </c>
      <c r="G18" s="13"/>
      <c r="H18" s="13"/>
      <c r="I18" s="14"/>
      <c r="J18" s="14"/>
      <c r="N18" s="788"/>
      <c r="T18" s="14"/>
      <c r="AC18" s="484" t="str">
        <f>AI1</f>
        <v>Global Average</v>
      </c>
      <c r="AD18" s="484">
        <f ca="1">$AJ$1</f>
        <v>63.3</v>
      </c>
      <c r="AE18" s="484">
        <f t="shared" ref="AE18:AG18" ca="1" si="4">$AJ$1</f>
        <v>63.3</v>
      </c>
      <c r="AF18" s="484">
        <f t="shared" ca="1" si="4"/>
        <v>63.3</v>
      </c>
      <c r="AG18" s="484">
        <f t="shared" ca="1" si="4"/>
        <v>63.3</v>
      </c>
    </row>
    <row r="19" spans="1:48">
      <c r="A19" s="367" t="str">
        <f>iCComp!A15</f>
        <v>FILTER_SET_3</v>
      </c>
      <c r="B19" s="367">
        <f>iCComp!B15</f>
        <v>1</v>
      </c>
      <c r="C19" s="367">
        <f>iCComp!C15</f>
        <v>0</v>
      </c>
      <c r="AD19" s="127">
        <v>1</v>
      </c>
      <c r="AE19" s="127">
        <v>2</v>
      </c>
      <c r="AF19" s="127">
        <v>4</v>
      </c>
      <c r="AG19" s="127">
        <v>5</v>
      </c>
      <c r="AH19" s="127">
        <v>7</v>
      </c>
      <c r="AI19" s="127">
        <v>8</v>
      </c>
      <c r="AK19" s="127">
        <v>10</v>
      </c>
      <c r="AL19" s="127">
        <v>11</v>
      </c>
    </row>
    <row r="20" spans="1:48">
      <c r="H20" s="1186" t="s">
        <v>233</v>
      </c>
      <c r="I20" s="1186"/>
      <c r="J20" s="472"/>
      <c r="K20" s="1186" t="s">
        <v>234</v>
      </c>
      <c r="L20" s="1186"/>
      <c r="M20" s="472"/>
      <c r="N20" s="1186" t="s">
        <v>235</v>
      </c>
      <c r="O20" s="1186"/>
      <c r="P20" s="472"/>
      <c r="Q20" s="1186" t="s">
        <v>236</v>
      </c>
      <c r="R20" s="1186"/>
      <c r="S20" s="472"/>
      <c r="T20" s="1186"/>
      <c r="U20" s="1186"/>
      <c r="V20" s="472"/>
      <c r="W20" s="1186"/>
      <c r="X20" s="1186"/>
      <c r="Y20" s="472"/>
      <c r="AA20" s="367">
        <v>1</v>
      </c>
      <c r="AD20" s="127" t="s">
        <v>233</v>
      </c>
      <c r="AF20" s="127" t="s">
        <v>234</v>
      </c>
      <c r="AH20" s="127" t="s">
        <v>235</v>
      </c>
      <c r="AK20" s="127" t="s">
        <v>236</v>
      </c>
      <c r="AT20" s="127">
        <f ca="1">AD17</f>
        <v>74.599999999999994</v>
      </c>
      <c r="AU20" s="127">
        <f ca="1">AE17</f>
        <v>60.1</v>
      </c>
      <c r="AV20" s="127">
        <f ca="1">AF17</f>
        <v>63.3</v>
      </c>
    </row>
    <row r="21" spans="1:48" s="12" customFormat="1">
      <c r="H21" s="12" t="s">
        <v>36</v>
      </c>
      <c r="I21" s="12" t="str">
        <f>CONCATENATE("Rank / ",$C$1)</f>
        <v>Rank / 30</v>
      </c>
      <c r="J21" s="12" t="s">
        <v>239</v>
      </c>
      <c r="N21" s="789"/>
      <c r="AA21" s="12">
        <v>0</v>
      </c>
      <c r="AD21" s="128"/>
      <c r="AE21" s="128"/>
      <c r="AF21" s="128"/>
      <c r="AG21" s="128"/>
      <c r="AH21" s="128"/>
      <c r="AI21" s="128"/>
      <c r="AJ21" s="128"/>
      <c r="AK21" s="128"/>
      <c r="AL21" s="128"/>
      <c r="AM21" s="128"/>
      <c r="AN21" s="128"/>
      <c r="AO21" s="128"/>
      <c r="AP21" s="128"/>
      <c r="AQ21" s="128"/>
      <c r="AR21" s="128"/>
      <c r="AS21" s="128">
        <v>0</v>
      </c>
      <c r="AT21" s="128" t="str">
        <f>AD16</f>
        <v>Amsterdam</v>
      </c>
      <c r="AU21" s="128" t="str">
        <f ca="1">AE16</f>
        <v>Auckland</v>
      </c>
      <c r="AV21" s="128" t="str">
        <f>AF16</f>
        <v>Selected Average</v>
      </c>
    </row>
    <row r="22" spans="1:48">
      <c r="B22" s="367">
        <f>tblIndiSets!B12</f>
        <v>1</v>
      </c>
      <c r="C22" s="367">
        <f>tblIndiSets!D12</f>
        <v>0</v>
      </c>
      <c r="D22" s="367">
        <f>tblCategories!V5</f>
        <v>1</v>
      </c>
      <c r="E22" s="367" t="str">
        <f>tblIndiSets!H12</f>
        <v>OVERALL SCORE</v>
      </c>
      <c r="H22" s="367">
        <f t="shared" ref="H22" si="5">IF(B22="","",INDEX(aScoresRounded,B22,$B$2))</f>
        <v>74.599999999999994</v>
      </c>
      <c r="I22" s="13" t="str">
        <f t="shared" ref="I22" ca="1" si="6">IF($B22="","",IF(J22=1,"","=")&amp;RANK(H22,OFFSET(aScoresRounded,$B22-1,0,1,$C$1)))</f>
        <v>2</v>
      </c>
      <c r="J22" s="13">
        <f t="shared" ref="J22" ca="1" si="7">IF($B22="","",COUNTIF(OFFSET(aScoresRounded,$B22-1,0,1,$C$1),H22))</f>
        <v>1</v>
      </c>
      <c r="K22" s="367">
        <f t="shared" ref="K22:K90" si="8">IF($B$3=0,"",IF($B22="","",INDEX(aScoresRounded,$B22,$B$3)))</f>
        <v>60.1</v>
      </c>
      <c r="L22" s="13" t="str">
        <f t="shared" ref="L22:L23" ca="1" si="9">IF(OR($K22="",$B22=""),"",IF(M22=1,"","=")&amp;RANK(K22,OFFSET(aScoresRounded,$B22-1,0,1,$C$1)))</f>
        <v>22</v>
      </c>
      <c r="M22" s="13">
        <f t="shared" ref="M22" ca="1" si="10">IF($B22="","",COUNTIF(OFFSET(aScoresRounded,$B22-1,0,1,$C$1),K22))</f>
        <v>1</v>
      </c>
      <c r="N22" s="36" t="str">
        <f t="shared" ref="N22:N88" si="11">IF($D$16=0,"",IF($B22="","",INDEX(aAverages,$B22,2)))</f>
        <v/>
      </c>
      <c r="O22" s="13"/>
      <c r="P22" s="13"/>
      <c r="Q22" s="367" t="str">
        <f t="shared" ref="Q22:Q91" si="12">IF($D$5=0,"",IF($B22="","",INDEX(aScoresRounded,$B22,$D$5)))</f>
        <v/>
      </c>
      <c r="R22" s="13" t="str">
        <f t="shared" ref="R22" ca="1" si="13">IF(OR(Q22="",$B22=""),"",IF(S22=1,"","=")&amp;RANK(Q22,OFFSET(aScoresRounded,$B22-1,0,1,$C$1)))</f>
        <v/>
      </c>
      <c r="S22" s="13">
        <f t="shared" ref="S22" ca="1" si="14">IF($B22="","",COUNTIF(OFFSET(aScoresRounded,$B22-1,0,1,$C$1),Q22))</f>
        <v>0</v>
      </c>
      <c r="U22" s="13"/>
      <c r="V22" s="13"/>
      <c r="X22" s="13"/>
      <c r="Y22" s="13"/>
      <c r="AA22" s="367">
        <f t="shared" ref="AA22:AA28" ca="1" si="15">AA21+MATCH(AA$20,OFFSET($D$22:$D$91,AA21,0),0)</f>
        <v>1</v>
      </c>
      <c r="AB22" s="367">
        <f t="shared" ref="AB22:AB28" ca="1" si="16">IF(ISNA(AA22),0,INDEX($C$22:$C$91,AA22))</f>
        <v>0</v>
      </c>
      <c r="AC22" s="367" t="str">
        <f t="shared" ref="AC22:AC28" ca="1" si="17">IF(ISNUMBER($AA22),INDEX(E$22:E$91,$AA22),"")</f>
        <v>OVERALL SCORE</v>
      </c>
      <c r="AD22" s="127">
        <f t="shared" ref="AD22:AI28" ca="1" si="18">IF(ISNUMBER($AA22),INDEX($H$22:$R$91,$AA22,AD$19),"")</f>
        <v>74.599999999999994</v>
      </c>
      <c r="AE22" s="127" t="str">
        <f t="shared" ca="1" si="18"/>
        <v>2</v>
      </c>
      <c r="AF22" s="127">
        <f t="shared" ca="1" si="18"/>
        <v>60.1</v>
      </c>
      <c r="AG22" s="127" t="str">
        <f t="shared" ca="1" si="18"/>
        <v>22</v>
      </c>
      <c r="AH22" s="127" t="str">
        <f t="shared" ca="1" si="18"/>
        <v/>
      </c>
      <c r="AI22" s="127">
        <f t="shared" ca="1" si="18"/>
        <v>0</v>
      </c>
      <c r="AK22" s="127" t="str">
        <f t="shared" ref="AK22:AL28" ca="1" si="19">IF(ISNUMBER($AA22),INDEX($H$22:$X$91,$AA22,AK$19),"")</f>
        <v/>
      </c>
      <c r="AL22" s="127" t="str">
        <f t="shared" ca="1" si="19"/>
        <v/>
      </c>
      <c r="AS22" s="127">
        <f>AS21+2.5</f>
        <v>2.5</v>
      </c>
      <c r="AT22" s="127">
        <f ca="1">IF($AS22&lt;=AT$20,2.5,0)</f>
        <v>2.5</v>
      </c>
      <c r="AU22" s="127">
        <f ca="1">IF($AS22&lt;=AU$20,2.5,0)</f>
        <v>2.5</v>
      </c>
      <c r="AV22" s="127">
        <f ca="1">IF($AS22&lt;=AV$20,2.5,0)</f>
        <v>2.5</v>
      </c>
    </row>
    <row r="23" spans="1:48">
      <c r="B23" s="367">
        <f>tblIndiSets!B13</f>
        <v>2</v>
      </c>
      <c r="C23" s="367">
        <f>tblIndiSets!D13</f>
        <v>1</v>
      </c>
      <c r="D23" s="367">
        <f>tblCategories!V6</f>
        <v>1</v>
      </c>
      <c r="E23" s="367" t="str">
        <f>tblIndiSets!H13</f>
        <v>Connectivity</v>
      </c>
      <c r="H23" s="367">
        <f t="shared" ref="H23" si="20">IF(B23="","",INDEX(aScoresRounded,B23,$B$2))</f>
        <v>77</v>
      </c>
      <c r="I23" s="13" t="str">
        <f t="shared" ref="I23" ca="1" si="21">IF($B23="","",IF(J23=1,"","=")&amp;RANK(H23,OFFSET(aScoresRounded,$B23-1,0,1,$C$1)))</f>
        <v>6</v>
      </c>
      <c r="J23" s="13">
        <f t="shared" ref="J23" ca="1" si="22">IF($B23="","",COUNTIF(OFFSET(aScoresRounded,$B23-1,0,1,$C$1),H23))</f>
        <v>1</v>
      </c>
      <c r="K23" s="367">
        <f t="shared" si="8"/>
        <v>59.7</v>
      </c>
      <c r="L23" s="13" t="str">
        <f t="shared" ca="1" si="9"/>
        <v>22</v>
      </c>
      <c r="M23" s="13">
        <f t="shared" ref="M23" ca="1" si="23">IF($B23="","",COUNTIF(OFFSET(aScoresRounded,$B23-1,0,1,$C$1),K23))</f>
        <v>1</v>
      </c>
      <c r="N23" s="36" t="str">
        <f t="shared" si="11"/>
        <v/>
      </c>
      <c r="O23" s="13"/>
      <c r="P23" s="13"/>
      <c r="Q23" s="367" t="str">
        <f t="shared" si="12"/>
        <v/>
      </c>
      <c r="R23" s="13" t="str">
        <f t="shared" ref="R23" ca="1" si="24">IF(OR(Q23="",$B23=""),"",IF(S23=1,"","=")&amp;RANK(Q23,OFFSET(aScoresRounded,$B23-1,0,1,$C$1)))</f>
        <v/>
      </c>
      <c r="S23" s="13">
        <f t="shared" ref="S23" ca="1" si="25">IF($B23="","",COUNTIF(OFFSET(aScoresRounded,$B23-1,0,1,$C$1),Q23))</f>
        <v>0</v>
      </c>
      <c r="U23" s="13"/>
      <c r="V23" s="13"/>
      <c r="X23" s="13"/>
      <c r="Y23" s="13"/>
      <c r="AA23" s="367">
        <f t="shared" ca="1" si="15"/>
        <v>2</v>
      </c>
      <c r="AB23" s="367">
        <f t="shared" ca="1" si="16"/>
        <v>1</v>
      </c>
      <c r="AC23" s="367" t="str">
        <f t="shared" ca="1" si="17"/>
        <v>Connectivity</v>
      </c>
      <c r="AD23" s="127">
        <f t="shared" ca="1" si="18"/>
        <v>77</v>
      </c>
      <c r="AE23" s="127" t="str">
        <f t="shared" ca="1" si="18"/>
        <v>6</v>
      </c>
      <c r="AF23" s="127">
        <f t="shared" ca="1" si="18"/>
        <v>59.7</v>
      </c>
      <c r="AG23" s="127" t="str">
        <f t="shared" ca="1" si="18"/>
        <v>22</v>
      </c>
      <c r="AH23" s="127" t="str">
        <f t="shared" ca="1" si="18"/>
        <v/>
      </c>
      <c r="AI23" s="127">
        <f t="shared" ca="1" si="18"/>
        <v>0</v>
      </c>
      <c r="AK23" s="127" t="str">
        <f t="shared" ca="1" si="19"/>
        <v/>
      </c>
      <c r="AL23" s="127" t="str">
        <f t="shared" ca="1" si="19"/>
        <v/>
      </c>
      <c r="AS23" s="127">
        <f t="shared" ref="AS23:AS88" si="26">AS22+2.5</f>
        <v>5</v>
      </c>
      <c r="AT23" s="127">
        <f t="shared" ref="AT23:AV63" ca="1" si="27">IF($AS23&lt;=AT$20,2.5,0)</f>
        <v>2.5</v>
      </c>
      <c r="AU23" s="127">
        <f t="shared" ca="1" si="27"/>
        <v>2.5</v>
      </c>
      <c r="AV23" s="127">
        <f t="shared" ca="1" si="27"/>
        <v>2.5</v>
      </c>
    </row>
    <row r="24" spans="1:48">
      <c r="B24" s="367">
        <f>tblIndiSets!B14</f>
        <v>3</v>
      </c>
      <c r="C24" s="367">
        <f>tblIndiSets!D14</f>
        <v>2</v>
      </c>
      <c r="D24" s="367">
        <f>tblCategories!V7</f>
        <v>0</v>
      </c>
      <c r="E24" s="367" t="str">
        <f>tblIndiSets!H14</f>
        <v>Digital infrastructure</v>
      </c>
      <c r="H24" s="367">
        <f t="shared" ref="H24:H27" si="28">IF(B24="","",INDEX(aScoresRounded,B24,$B$2))</f>
        <v>84</v>
      </c>
      <c r="I24" s="13" t="str">
        <f t="shared" ref="I24:I27" ca="1" si="29">IF($B24="","",IF(J24=1,"","=")&amp;RANK(H24,OFFSET(aScoresRounded,$B24-1,0,1,$C$1)))</f>
        <v>8</v>
      </c>
      <c r="J24" s="13">
        <f t="shared" ref="J24:J27" ca="1" si="30">IF($B24="","",COUNTIF(OFFSET(aScoresRounded,$B24-1,0,1,$C$1),H24))</f>
        <v>1</v>
      </c>
      <c r="K24" s="367">
        <f t="shared" si="8"/>
        <v>77.3</v>
      </c>
      <c r="L24" s="13" t="str">
        <f t="shared" ref="L24:L27" ca="1" si="31">IF(OR($K24="",$B24=""),"",IF(M24=1,"","=")&amp;RANK(K24,OFFSET(aScoresRounded,$B24-1,0,1,$C$1)))</f>
        <v>15</v>
      </c>
      <c r="M24" s="13">
        <f t="shared" ref="M24:M27" ca="1" si="32">IF($B24="","",COUNTIF(OFFSET(aScoresRounded,$B24-1,0,1,$C$1),K24))</f>
        <v>1</v>
      </c>
      <c r="N24" s="36" t="str">
        <f t="shared" si="11"/>
        <v/>
      </c>
      <c r="O24" s="13"/>
      <c r="P24" s="13"/>
      <c r="Q24" s="367" t="str">
        <f t="shared" si="12"/>
        <v/>
      </c>
      <c r="R24" s="13" t="str">
        <f t="shared" ref="R24:R27" ca="1" si="33">IF(OR(Q24="",$B24=""),"",IF(S24=1,"","=")&amp;RANK(Q24,OFFSET(aScoresRounded,$B24-1,0,1,$C$1)))</f>
        <v/>
      </c>
      <c r="S24" s="13">
        <f t="shared" ref="S24:S27" ca="1" si="34">IF($B24="","",COUNTIF(OFFSET(aScoresRounded,$B24-1,0,1,$C$1),Q24))</f>
        <v>0</v>
      </c>
      <c r="U24" s="13"/>
      <c r="V24" s="13"/>
      <c r="X24" s="13"/>
      <c r="Y24" s="13"/>
      <c r="AA24" s="367">
        <f t="shared" ca="1" si="15"/>
        <v>16</v>
      </c>
      <c r="AB24" s="367">
        <f t="shared" ca="1" si="16"/>
        <v>1</v>
      </c>
      <c r="AC24" s="367" t="str">
        <f t="shared" ca="1" si="17"/>
        <v>Services</v>
      </c>
      <c r="AD24" s="127">
        <f t="shared" ca="1" si="18"/>
        <v>73.2</v>
      </c>
      <c r="AE24" s="127" t="str">
        <f t="shared" ca="1" si="18"/>
        <v>4</v>
      </c>
      <c r="AF24" s="127">
        <f t="shared" ca="1" si="18"/>
        <v>49.5</v>
      </c>
      <c r="AG24" s="127" t="str">
        <f t="shared" ca="1" si="18"/>
        <v>25</v>
      </c>
      <c r="AH24" s="127" t="str">
        <f t="shared" ca="1" si="18"/>
        <v/>
      </c>
      <c r="AI24" s="127">
        <f t="shared" ca="1" si="18"/>
        <v>0</v>
      </c>
      <c r="AK24" s="127" t="str">
        <f t="shared" ca="1" si="19"/>
        <v/>
      </c>
      <c r="AL24" s="127" t="str">
        <f t="shared" ca="1" si="19"/>
        <v/>
      </c>
      <c r="AS24" s="127">
        <f t="shared" si="26"/>
        <v>7.5</v>
      </c>
      <c r="AT24" s="127">
        <f t="shared" ca="1" si="27"/>
        <v>2.5</v>
      </c>
      <c r="AU24" s="127">
        <f t="shared" ca="1" si="27"/>
        <v>2.5</v>
      </c>
      <c r="AV24" s="127">
        <f t="shared" ca="1" si="27"/>
        <v>2.5</v>
      </c>
    </row>
    <row r="25" spans="1:48">
      <c r="B25" s="367">
        <f>tblIndiSets!B15</f>
        <v>4</v>
      </c>
      <c r="C25" s="367">
        <f>tblIndiSets!D15</f>
        <v>3</v>
      </c>
      <c r="D25" s="367">
        <f>tblCategories!V8</f>
        <v>0</v>
      </c>
      <c r="E25" s="367" t="str">
        <f>tblIndiSets!H15</f>
        <v>1.1.1</v>
      </c>
      <c r="H25" s="367">
        <f t="shared" si="28"/>
        <v>49.9</v>
      </c>
      <c r="I25" s="13" t="str">
        <f t="shared" ca="1" si="29"/>
        <v>10</v>
      </c>
      <c r="J25" s="13">
        <f t="shared" ca="1" si="30"/>
        <v>1</v>
      </c>
      <c r="K25" s="367">
        <f t="shared" si="8"/>
        <v>42</v>
      </c>
      <c r="L25" s="13" t="str">
        <f t="shared" ca="1" si="31"/>
        <v>13</v>
      </c>
      <c r="M25" s="13">
        <f t="shared" ca="1" si="32"/>
        <v>1</v>
      </c>
      <c r="N25" s="36" t="str">
        <f t="shared" si="11"/>
        <v/>
      </c>
      <c r="O25" s="13"/>
      <c r="P25" s="13"/>
      <c r="Q25" s="367" t="str">
        <f t="shared" si="12"/>
        <v/>
      </c>
      <c r="R25" s="13" t="str">
        <f t="shared" ca="1" si="33"/>
        <v/>
      </c>
      <c r="S25" s="13">
        <f t="shared" ca="1" si="34"/>
        <v>0</v>
      </c>
      <c r="U25" s="13"/>
      <c r="V25" s="13"/>
      <c r="X25" s="13"/>
      <c r="Y25" s="13"/>
      <c r="AA25" s="367">
        <f t="shared" ca="1" si="15"/>
        <v>37</v>
      </c>
      <c r="AB25" s="367">
        <f t="shared" ca="1" si="16"/>
        <v>1</v>
      </c>
      <c r="AC25" s="367" t="str">
        <f t="shared" ca="1" si="17"/>
        <v>Culture</v>
      </c>
      <c r="AD25" s="127">
        <f t="shared" ca="1" si="18"/>
        <v>62.1</v>
      </c>
      <c r="AE25" s="127" t="str">
        <f t="shared" ca="1" si="18"/>
        <v>15</v>
      </c>
      <c r="AF25" s="127">
        <f t="shared" ca="1" si="18"/>
        <v>67</v>
      </c>
      <c r="AG25" s="127" t="str">
        <f t="shared" ca="1" si="18"/>
        <v>7</v>
      </c>
      <c r="AH25" s="127" t="str">
        <f t="shared" ca="1" si="18"/>
        <v/>
      </c>
      <c r="AI25" s="127">
        <f t="shared" ca="1" si="18"/>
        <v>0</v>
      </c>
      <c r="AK25" s="127" t="str">
        <f t="shared" ca="1" si="19"/>
        <v/>
      </c>
      <c r="AL25" s="127" t="str">
        <f t="shared" ca="1" si="19"/>
        <v/>
      </c>
      <c r="AS25" s="127">
        <f t="shared" si="26"/>
        <v>10</v>
      </c>
      <c r="AT25" s="127">
        <f t="shared" ca="1" si="27"/>
        <v>2.5</v>
      </c>
      <c r="AU25" s="127">
        <f t="shared" ca="1" si="27"/>
        <v>2.5</v>
      </c>
      <c r="AV25" s="127">
        <f t="shared" ca="1" si="27"/>
        <v>2.5</v>
      </c>
    </row>
    <row r="26" spans="1:48">
      <c r="B26" s="367">
        <f>tblIndiSets!B16</f>
        <v>5</v>
      </c>
      <c r="C26" s="367">
        <f>tblIndiSets!D16</f>
        <v>3</v>
      </c>
      <c r="D26" s="367">
        <f>tblCategories!V9</f>
        <v>0</v>
      </c>
      <c r="E26" s="367" t="str">
        <f>tblIndiSets!H16</f>
        <v>1.1.2</v>
      </c>
      <c r="H26" s="367">
        <f t="shared" si="28"/>
        <v>93.4</v>
      </c>
      <c r="I26" s="13" t="str">
        <f t="shared" ca="1" si="29"/>
        <v>4</v>
      </c>
      <c r="J26" s="13">
        <f t="shared" ca="1" si="30"/>
        <v>1</v>
      </c>
      <c r="K26" s="367">
        <f t="shared" si="8"/>
        <v>73.099999999999994</v>
      </c>
      <c r="L26" s="13" t="str">
        <f t="shared" ca="1" si="31"/>
        <v>15</v>
      </c>
      <c r="M26" s="13">
        <f t="shared" ca="1" si="32"/>
        <v>1</v>
      </c>
      <c r="N26" s="36" t="str">
        <f t="shared" si="11"/>
        <v/>
      </c>
      <c r="O26" s="13"/>
      <c r="P26" s="13"/>
      <c r="Q26" s="367" t="str">
        <f t="shared" si="12"/>
        <v/>
      </c>
      <c r="R26" s="13" t="str">
        <f t="shared" ca="1" si="33"/>
        <v/>
      </c>
      <c r="S26" s="13">
        <f t="shared" ca="1" si="34"/>
        <v>0</v>
      </c>
      <c r="U26" s="13"/>
      <c r="V26" s="13"/>
      <c r="X26" s="13"/>
      <c r="Y26" s="13"/>
      <c r="AA26" s="367">
        <f t="shared" ca="1" si="15"/>
        <v>57</v>
      </c>
      <c r="AB26" s="367">
        <f t="shared" ca="1" si="16"/>
        <v>1</v>
      </c>
      <c r="AC26" s="367" t="str">
        <f t="shared" ca="1" si="17"/>
        <v>Sustainability</v>
      </c>
      <c r="AD26" s="127">
        <f t="shared" ca="1" si="18"/>
        <v>85.4</v>
      </c>
      <c r="AE26" s="127" t="str">
        <f t="shared" ca="1" si="18"/>
        <v>6</v>
      </c>
      <c r="AF26" s="127">
        <f t="shared" ca="1" si="18"/>
        <v>68.099999999999994</v>
      </c>
      <c r="AG26" s="127" t="str">
        <f t="shared" ca="1" si="18"/>
        <v>17</v>
      </c>
      <c r="AH26" s="127" t="str">
        <f t="shared" ca="1" si="18"/>
        <v/>
      </c>
      <c r="AI26" s="127">
        <f t="shared" ca="1" si="18"/>
        <v>0</v>
      </c>
      <c r="AK26" s="127" t="str">
        <f t="shared" ca="1" si="19"/>
        <v/>
      </c>
      <c r="AL26" s="127" t="str">
        <f t="shared" ca="1" si="19"/>
        <v/>
      </c>
      <c r="AS26" s="127">
        <f t="shared" si="26"/>
        <v>12.5</v>
      </c>
      <c r="AT26" s="127">
        <f t="shared" ca="1" si="27"/>
        <v>2.5</v>
      </c>
      <c r="AU26" s="127">
        <f t="shared" ca="1" si="27"/>
        <v>2.5</v>
      </c>
      <c r="AV26" s="127">
        <f t="shared" ca="1" si="27"/>
        <v>2.5</v>
      </c>
    </row>
    <row r="27" spans="1:48">
      <c r="B27" s="367">
        <f>tblIndiSets!B17</f>
        <v>6</v>
      </c>
      <c r="C27" s="367">
        <f>tblIndiSets!D17</f>
        <v>3</v>
      </c>
      <c r="D27" s="367">
        <f>tblCategories!V10</f>
        <v>0</v>
      </c>
      <c r="E27" s="367" t="str">
        <f>tblIndiSets!H17</f>
        <v>1.1.3</v>
      </c>
      <c r="H27" s="367">
        <f t="shared" si="28"/>
        <v>100</v>
      </c>
      <c r="I27" s="13" t="str">
        <f t="shared" ca="1" si="29"/>
        <v>=1</v>
      </c>
      <c r="J27" s="13">
        <f t="shared" ca="1" si="30"/>
        <v>29</v>
      </c>
      <c r="K27" s="367">
        <f t="shared" si="8"/>
        <v>100</v>
      </c>
      <c r="L27" s="13" t="str">
        <f t="shared" ca="1" si="31"/>
        <v>=1</v>
      </c>
      <c r="M27" s="13">
        <f t="shared" ca="1" si="32"/>
        <v>29</v>
      </c>
      <c r="N27" s="36" t="str">
        <f t="shared" si="11"/>
        <v/>
      </c>
      <c r="O27" s="13"/>
      <c r="P27" s="13"/>
      <c r="Q27" s="367" t="str">
        <f t="shared" si="12"/>
        <v/>
      </c>
      <c r="R27" s="13" t="str">
        <f t="shared" ca="1" si="33"/>
        <v/>
      </c>
      <c r="S27" s="13">
        <f t="shared" ca="1" si="34"/>
        <v>0</v>
      </c>
      <c r="U27" s="13"/>
      <c r="V27" s="13"/>
      <c r="X27" s="13"/>
      <c r="Y27" s="13"/>
      <c r="AA27" s="367" t="e">
        <f t="shared" ca="1" si="15"/>
        <v>#N/A</v>
      </c>
      <c r="AB27" s="367">
        <f t="shared" ca="1" si="16"/>
        <v>0</v>
      </c>
      <c r="AC27" s="367" t="str">
        <f t="shared" ca="1" si="17"/>
        <v/>
      </c>
      <c r="AD27" s="127" t="str">
        <f t="shared" ca="1" si="18"/>
        <v/>
      </c>
      <c r="AE27" s="127" t="str">
        <f t="shared" ca="1" si="18"/>
        <v/>
      </c>
      <c r="AF27" s="127" t="str">
        <f t="shared" ca="1" si="18"/>
        <v/>
      </c>
      <c r="AG27" s="127" t="str">
        <f t="shared" ca="1" si="18"/>
        <v/>
      </c>
      <c r="AH27" s="127" t="str">
        <f t="shared" ca="1" si="18"/>
        <v/>
      </c>
      <c r="AI27" s="127" t="str">
        <f t="shared" ca="1" si="18"/>
        <v/>
      </c>
      <c r="AK27" s="127" t="str">
        <f t="shared" ca="1" si="19"/>
        <v/>
      </c>
      <c r="AL27" s="127" t="str">
        <f t="shared" ca="1" si="19"/>
        <v/>
      </c>
      <c r="AS27" s="127">
        <f t="shared" si="26"/>
        <v>15</v>
      </c>
      <c r="AT27" s="127">
        <f t="shared" ca="1" si="27"/>
        <v>2.5</v>
      </c>
      <c r="AU27" s="127">
        <f t="shared" ca="1" si="27"/>
        <v>2.5</v>
      </c>
      <c r="AV27" s="127">
        <f t="shared" ca="1" si="27"/>
        <v>2.5</v>
      </c>
    </row>
    <row r="28" spans="1:48">
      <c r="B28" s="367">
        <f>tblIndiSets!B18</f>
        <v>7</v>
      </c>
      <c r="C28" s="367">
        <f>tblIndiSets!D18</f>
        <v>3</v>
      </c>
      <c r="D28" s="367">
        <f>tblCategories!V11</f>
        <v>0</v>
      </c>
      <c r="E28" s="367" t="str">
        <f>tblIndiSets!H18</f>
        <v>1.1.4</v>
      </c>
      <c r="H28" s="367">
        <f t="shared" ref="H28" si="35">IF(B28="","",INDEX(aScoresRounded,B28,$B$2))</f>
        <v>100</v>
      </c>
      <c r="I28" s="13" t="str">
        <f t="shared" ref="I28" ca="1" si="36">IF($B28="","",IF(J28=1,"","=")&amp;RANK(H28,OFFSET(aScoresRounded,$B28-1,0,1,$C$1)))</f>
        <v>=1</v>
      </c>
      <c r="J28" s="13">
        <f t="shared" ref="J28" ca="1" si="37">IF($B28="","",COUNTIF(OFFSET(aScoresRounded,$B28-1,0,1,$C$1),H28))</f>
        <v>29</v>
      </c>
      <c r="K28" s="367">
        <f t="shared" si="8"/>
        <v>100</v>
      </c>
      <c r="L28" s="13" t="str">
        <f t="shared" ref="L28" ca="1" si="38">IF(OR($K28="",$B28=""),"",IF(M28=1,"","=")&amp;RANK(K28,OFFSET(aScoresRounded,$B28-1,0,1,$C$1)))</f>
        <v>=1</v>
      </c>
      <c r="M28" s="13">
        <f t="shared" ref="M28" ca="1" si="39">IF($B28="","",COUNTIF(OFFSET(aScoresRounded,$B28-1,0,1,$C$1),K28))</f>
        <v>29</v>
      </c>
      <c r="N28" s="36" t="str">
        <f t="shared" si="11"/>
        <v/>
      </c>
      <c r="O28" s="13"/>
      <c r="P28" s="13"/>
      <c r="Q28" s="367" t="str">
        <f t="shared" si="12"/>
        <v/>
      </c>
      <c r="R28" s="13" t="str">
        <f t="shared" ref="R28" ca="1" si="40">IF(OR(Q28="",$B28=""),"",IF(S28=1,"","=")&amp;RANK(Q28,OFFSET(aScoresRounded,$B28-1,0,1,$C$1)))</f>
        <v/>
      </c>
      <c r="S28" s="13">
        <f t="shared" ref="S28" ca="1" si="41">IF($B28="","",COUNTIF(OFFSET(aScoresRounded,$B28-1,0,1,$C$1),Q28))</f>
        <v>0</v>
      </c>
      <c r="U28" s="13"/>
      <c r="V28" s="13"/>
      <c r="X28" s="13"/>
      <c r="Y28" s="13"/>
      <c r="AA28" s="367" t="e">
        <f t="shared" ca="1" si="15"/>
        <v>#N/A</v>
      </c>
      <c r="AB28" s="367">
        <f t="shared" ca="1" si="16"/>
        <v>0</v>
      </c>
      <c r="AC28" s="367" t="str">
        <f t="shared" ca="1" si="17"/>
        <v/>
      </c>
      <c r="AD28" s="127" t="str">
        <f t="shared" ca="1" si="18"/>
        <v/>
      </c>
      <c r="AE28" s="127" t="str">
        <f t="shared" ca="1" si="18"/>
        <v/>
      </c>
      <c r="AF28" s="127" t="str">
        <f t="shared" ca="1" si="18"/>
        <v/>
      </c>
      <c r="AG28" s="127" t="str">
        <f t="shared" ca="1" si="18"/>
        <v/>
      </c>
      <c r="AH28" s="127" t="str">
        <f t="shared" ca="1" si="18"/>
        <v/>
      </c>
      <c r="AI28" s="127" t="str">
        <f t="shared" ca="1" si="18"/>
        <v/>
      </c>
      <c r="AK28" s="127" t="str">
        <f t="shared" ca="1" si="19"/>
        <v/>
      </c>
      <c r="AL28" s="127" t="str">
        <f t="shared" ca="1" si="19"/>
        <v/>
      </c>
      <c r="AS28" s="127">
        <f t="shared" si="26"/>
        <v>17.5</v>
      </c>
      <c r="AT28" s="127">
        <f t="shared" ca="1" si="27"/>
        <v>2.5</v>
      </c>
      <c r="AU28" s="127">
        <f t="shared" ca="1" si="27"/>
        <v>2.5</v>
      </c>
      <c r="AV28" s="127">
        <f t="shared" ca="1" si="27"/>
        <v>2.5</v>
      </c>
    </row>
    <row r="29" spans="1:48">
      <c r="B29" s="367">
        <f>tblIndiSets!B19</f>
        <v>8</v>
      </c>
      <c r="C29" s="367">
        <f>tblIndiSets!D19</f>
        <v>2</v>
      </c>
      <c r="D29" s="367">
        <f>tblCategories!V12</f>
        <v>0</v>
      </c>
      <c r="E29" s="367" t="str">
        <f>tblIndiSets!H19</f>
        <v>Quality</v>
      </c>
      <c r="H29" s="367">
        <f t="shared" ref="H29:H91" si="42">IF(B29="","",INDEX(aScoresRounded,B29,$B$2))</f>
        <v>66.7</v>
      </c>
      <c r="I29" s="13" t="str">
        <f t="shared" ref="I29:I91" ca="1" si="43">IF($B29="","",IF(J29=1,"","=")&amp;RANK(H29,OFFSET(aScoresRounded,$B29-1,0,1,$C$1)))</f>
        <v>7</v>
      </c>
      <c r="J29" s="13">
        <f t="shared" ref="J29:J91" ca="1" si="44">IF($B29="","",COUNTIF(OFFSET(aScoresRounded,$B29-1,0,1,$C$1),H29))</f>
        <v>1</v>
      </c>
      <c r="K29" s="367">
        <f t="shared" si="8"/>
        <v>44.1</v>
      </c>
      <c r="L29" s="13" t="str">
        <f t="shared" ref="L29:L91" ca="1" si="45">IF(OR($K29="",$B29=""),"",IF(M29=1,"","=")&amp;RANK(K29,OFFSET(aScoresRounded,$B29-1,0,1,$C$1)))</f>
        <v>12</v>
      </c>
      <c r="M29" s="13">
        <f t="shared" ref="M29:M91" ca="1" si="46">IF($B29="","",COUNTIF(OFFSET(aScoresRounded,$B29-1,0,1,$C$1),K29))</f>
        <v>1</v>
      </c>
      <c r="N29" s="36" t="str">
        <f t="shared" si="11"/>
        <v/>
      </c>
      <c r="O29" s="13"/>
      <c r="P29" s="13"/>
      <c r="Q29" s="367" t="str">
        <f t="shared" si="12"/>
        <v/>
      </c>
      <c r="R29" s="13" t="str">
        <f t="shared" ref="R29:R91" ca="1" si="47">IF(OR(Q29="",$B29=""),"",IF(S29=1,"","=")&amp;RANK(Q29,OFFSET(aScoresRounded,$B29-1,0,1,$C$1)))</f>
        <v/>
      </c>
      <c r="S29" s="13">
        <f t="shared" ref="S29:S91" ca="1" si="48">IF($B29="","",COUNTIF(OFFSET(aScoresRounded,$B29-1,0,1,$C$1),Q29))</f>
        <v>0</v>
      </c>
      <c r="U29" s="13"/>
      <c r="V29" s="13"/>
      <c r="X29" s="13"/>
      <c r="Y29" s="13"/>
      <c r="AA29" s="367" t="e">
        <f t="shared" ref="AA29:AA91" ca="1" si="49">AA28+MATCH(AA$20,OFFSET($D$22:$D$91,AA28,0),0)</f>
        <v>#N/A</v>
      </c>
      <c r="AB29" s="367">
        <f t="shared" ref="AB29:AB91" ca="1" si="50">IF(ISNA(AA29),0,INDEX($C$22:$C$91,AA29))</f>
        <v>0</v>
      </c>
      <c r="AC29" s="367" t="str">
        <f t="shared" ref="AC29:AC91" ca="1" si="51">IF(ISNUMBER($AA29),INDEX(E$22:E$91,$AA29),"")</f>
        <v/>
      </c>
      <c r="AD29" s="127" t="str">
        <f t="shared" ref="AD29:AI60" ca="1" si="52">IF(ISNUMBER($AA29),INDEX($H$22:$R$91,$AA29,AD$19),"")</f>
        <v/>
      </c>
      <c r="AE29" s="127" t="str">
        <f t="shared" ca="1" si="52"/>
        <v/>
      </c>
      <c r="AF29" s="127" t="str">
        <f t="shared" ca="1" si="52"/>
        <v/>
      </c>
      <c r="AG29" s="127" t="str">
        <f t="shared" ca="1" si="52"/>
        <v/>
      </c>
      <c r="AH29" s="127" t="str">
        <f t="shared" ca="1" si="52"/>
        <v/>
      </c>
      <c r="AI29" s="127" t="str">
        <f t="shared" ca="1" si="52"/>
        <v/>
      </c>
      <c r="AK29" s="127" t="str">
        <f t="shared" ref="AK29:AL60" ca="1" si="53">IF(ISNUMBER($AA29),INDEX($H$22:$X$91,$AA29,AK$19),"")</f>
        <v/>
      </c>
      <c r="AL29" s="127" t="str">
        <f t="shared" ca="1" si="53"/>
        <v/>
      </c>
      <c r="AS29" s="127">
        <f t="shared" si="26"/>
        <v>20</v>
      </c>
      <c r="AT29" s="127">
        <f t="shared" ca="1" si="27"/>
        <v>2.5</v>
      </c>
      <c r="AU29" s="127">
        <f t="shared" ca="1" si="27"/>
        <v>2.5</v>
      </c>
      <c r="AV29" s="127">
        <f t="shared" ca="1" si="27"/>
        <v>2.5</v>
      </c>
    </row>
    <row r="30" spans="1:48">
      <c r="B30" s="367">
        <f>tblIndiSets!B20</f>
        <v>9</v>
      </c>
      <c r="C30" s="367">
        <f>tblIndiSets!D20</f>
        <v>3</v>
      </c>
      <c r="D30" s="367">
        <f>tblCategories!V13</f>
        <v>0</v>
      </c>
      <c r="E30" s="367" t="str">
        <f>tblIndiSets!H20</f>
        <v>1.2.1</v>
      </c>
      <c r="H30" s="367">
        <f t="shared" si="42"/>
        <v>53.9</v>
      </c>
      <c r="I30" s="13" t="str">
        <f t="shared" ca="1" si="43"/>
        <v>7</v>
      </c>
      <c r="J30" s="13">
        <f t="shared" ca="1" si="44"/>
        <v>1</v>
      </c>
      <c r="K30" s="367">
        <f t="shared" si="8"/>
        <v>35.1</v>
      </c>
      <c r="L30" s="13" t="str">
        <f t="shared" ca="1" si="45"/>
        <v>12</v>
      </c>
      <c r="M30" s="13">
        <f t="shared" ca="1" si="46"/>
        <v>1</v>
      </c>
      <c r="N30" s="36" t="str">
        <f t="shared" si="11"/>
        <v/>
      </c>
      <c r="O30" s="13"/>
      <c r="P30" s="13"/>
      <c r="Q30" s="367" t="str">
        <f t="shared" si="12"/>
        <v/>
      </c>
      <c r="R30" s="13" t="str">
        <f t="shared" ca="1" si="47"/>
        <v/>
      </c>
      <c r="S30" s="13">
        <f t="shared" ca="1" si="48"/>
        <v>0</v>
      </c>
      <c r="U30" s="13"/>
      <c r="V30" s="13"/>
      <c r="X30" s="13"/>
      <c r="Y30" s="13"/>
      <c r="AA30" s="367" t="e">
        <f t="shared" ca="1" si="49"/>
        <v>#N/A</v>
      </c>
      <c r="AB30" s="367">
        <f t="shared" ca="1" si="50"/>
        <v>0</v>
      </c>
      <c r="AC30" s="367" t="str">
        <f t="shared" ca="1" si="51"/>
        <v/>
      </c>
      <c r="AD30" s="127" t="str">
        <f t="shared" ca="1" si="52"/>
        <v/>
      </c>
      <c r="AE30" s="127" t="str">
        <f t="shared" ca="1" si="52"/>
        <v/>
      </c>
      <c r="AF30" s="127" t="str">
        <f t="shared" ca="1" si="52"/>
        <v/>
      </c>
      <c r="AG30" s="127" t="str">
        <f t="shared" ca="1" si="52"/>
        <v/>
      </c>
      <c r="AH30" s="127" t="str">
        <f t="shared" ca="1" si="52"/>
        <v/>
      </c>
      <c r="AI30" s="127" t="str">
        <f t="shared" ca="1" si="52"/>
        <v/>
      </c>
      <c r="AK30" s="127" t="str">
        <f t="shared" ca="1" si="53"/>
        <v/>
      </c>
      <c r="AL30" s="127" t="str">
        <f t="shared" ca="1" si="53"/>
        <v/>
      </c>
      <c r="AS30" s="127">
        <f t="shared" si="26"/>
        <v>22.5</v>
      </c>
      <c r="AT30" s="127">
        <f t="shared" ca="1" si="27"/>
        <v>2.5</v>
      </c>
      <c r="AU30" s="127">
        <f t="shared" ca="1" si="27"/>
        <v>2.5</v>
      </c>
      <c r="AV30" s="127">
        <f t="shared" ca="1" si="27"/>
        <v>2.5</v>
      </c>
    </row>
    <row r="31" spans="1:48">
      <c r="B31" s="367">
        <f>tblIndiSets!B21</f>
        <v>10</v>
      </c>
      <c r="C31" s="367">
        <f>tblIndiSets!D21</f>
        <v>3</v>
      </c>
      <c r="D31" s="367">
        <f>tblCategories!V14</f>
        <v>0</v>
      </c>
      <c r="E31" s="367" t="str">
        <f>tblIndiSets!H21</f>
        <v>1.2.2</v>
      </c>
      <c r="H31" s="367">
        <f t="shared" si="42"/>
        <v>90.4</v>
      </c>
      <c r="I31" s="13" t="str">
        <f t="shared" ca="1" si="43"/>
        <v>3</v>
      </c>
      <c r="J31" s="13">
        <f t="shared" ca="1" si="44"/>
        <v>1</v>
      </c>
      <c r="K31" s="367">
        <f t="shared" si="8"/>
        <v>34.700000000000003</v>
      </c>
      <c r="L31" s="13" t="str">
        <f t="shared" ca="1" si="45"/>
        <v>18</v>
      </c>
      <c r="M31" s="13">
        <f t="shared" ca="1" si="46"/>
        <v>1</v>
      </c>
      <c r="N31" s="36" t="str">
        <f t="shared" si="11"/>
        <v/>
      </c>
      <c r="O31" s="13"/>
      <c r="P31" s="13"/>
      <c r="Q31" s="367" t="str">
        <f t="shared" si="12"/>
        <v/>
      </c>
      <c r="R31" s="13" t="str">
        <f t="shared" ca="1" si="47"/>
        <v/>
      </c>
      <c r="S31" s="13">
        <f t="shared" ca="1" si="48"/>
        <v>0</v>
      </c>
      <c r="U31" s="13"/>
      <c r="V31" s="13"/>
      <c r="X31" s="13"/>
      <c r="Y31" s="13"/>
      <c r="AA31" s="367" t="e">
        <f t="shared" ca="1" si="49"/>
        <v>#N/A</v>
      </c>
      <c r="AB31" s="367">
        <f t="shared" ca="1" si="50"/>
        <v>0</v>
      </c>
      <c r="AC31" s="367" t="str">
        <f t="shared" ca="1" si="51"/>
        <v/>
      </c>
      <c r="AD31" s="127" t="str">
        <f t="shared" ca="1" si="52"/>
        <v/>
      </c>
      <c r="AE31" s="127" t="str">
        <f t="shared" ca="1" si="52"/>
        <v/>
      </c>
      <c r="AF31" s="127" t="str">
        <f t="shared" ca="1" si="52"/>
        <v/>
      </c>
      <c r="AG31" s="127" t="str">
        <f t="shared" ca="1" si="52"/>
        <v/>
      </c>
      <c r="AH31" s="127" t="str">
        <f t="shared" ca="1" si="52"/>
        <v/>
      </c>
      <c r="AI31" s="127" t="str">
        <f t="shared" ca="1" si="52"/>
        <v/>
      </c>
      <c r="AK31" s="127" t="str">
        <f t="shared" ca="1" si="53"/>
        <v/>
      </c>
      <c r="AL31" s="127" t="str">
        <f t="shared" ca="1" si="53"/>
        <v/>
      </c>
      <c r="AS31" s="127">
        <f t="shared" si="26"/>
        <v>25</v>
      </c>
      <c r="AT31" s="127">
        <f t="shared" ca="1" si="27"/>
        <v>2.5</v>
      </c>
      <c r="AU31" s="127">
        <f t="shared" ca="1" si="27"/>
        <v>2.5</v>
      </c>
      <c r="AV31" s="127">
        <f t="shared" ca="1" si="27"/>
        <v>2.5</v>
      </c>
    </row>
    <row r="32" spans="1:48">
      <c r="B32" s="367">
        <f>tblIndiSets!B22</f>
        <v>11</v>
      </c>
      <c r="C32" s="367">
        <f>tblIndiSets!D22</f>
        <v>3</v>
      </c>
      <c r="D32" s="367">
        <f>tblCategories!V15</f>
        <v>0</v>
      </c>
      <c r="E32" s="367" t="str">
        <f>tblIndiSets!H22</f>
        <v>1.2.3</v>
      </c>
      <c r="H32" s="367">
        <f t="shared" si="42"/>
        <v>70</v>
      </c>
      <c r="I32" s="13" t="str">
        <f t="shared" ca="1" si="43"/>
        <v>=7</v>
      </c>
      <c r="J32" s="13">
        <f t="shared" ca="1" si="44"/>
        <v>4</v>
      </c>
      <c r="K32" s="367">
        <f t="shared" si="8"/>
        <v>30</v>
      </c>
      <c r="L32" s="13" t="str">
        <f t="shared" ca="1" si="45"/>
        <v>=19</v>
      </c>
      <c r="M32" s="13">
        <f t="shared" ca="1" si="46"/>
        <v>4</v>
      </c>
      <c r="N32" s="36" t="str">
        <f t="shared" si="11"/>
        <v/>
      </c>
      <c r="O32" s="13"/>
      <c r="P32" s="13"/>
      <c r="Q32" s="367" t="str">
        <f t="shared" si="12"/>
        <v/>
      </c>
      <c r="R32" s="13" t="str">
        <f t="shared" ca="1" si="47"/>
        <v/>
      </c>
      <c r="S32" s="13">
        <f t="shared" ca="1" si="48"/>
        <v>0</v>
      </c>
      <c r="U32" s="13"/>
      <c r="V32" s="13"/>
      <c r="X32" s="13"/>
      <c r="Y32" s="13"/>
      <c r="AA32" s="367" t="e">
        <f t="shared" ca="1" si="49"/>
        <v>#N/A</v>
      </c>
      <c r="AB32" s="367">
        <f t="shared" ca="1" si="50"/>
        <v>0</v>
      </c>
      <c r="AC32" s="367" t="str">
        <f t="shared" ca="1" si="51"/>
        <v/>
      </c>
      <c r="AD32" s="127" t="str">
        <f t="shared" ca="1" si="52"/>
        <v/>
      </c>
      <c r="AE32" s="127" t="str">
        <f t="shared" ca="1" si="52"/>
        <v/>
      </c>
      <c r="AF32" s="127" t="str">
        <f t="shared" ca="1" si="52"/>
        <v/>
      </c>
      <c r="AG32" s="127" t="str">
        <f t="shared" ca="1" si="52"/>
        <v/>
      </c>
      <c r="AH32" s="127" t="str">
        <f t="shared" ca="1" si="52"/>
        <v/>
      </c>
      <c r="AI32" s="127" t="str">
        <f t="shared" ca="1" si="52"/>
        <v/>
      </c>
      <c r="AK32" s="127" t="str">
        <f t="shared" ca="1" si="53"/>
        <v/>
      </c>
      <c r="AL32" s="127" t="str">
        <f t="shared" ca="1" si="53"/>
        <v/>
      </c>
      <c r="AS32" s="127">
        <f t="shared" si="26"/>
        <v>27.5</v>
      </c>
      <c r="AT32" s="127">
        <f t="shared" ca="1" si="27"/>
        <v>2.5</v>
      </c>
      <c r="AU32" s="127">
        <f t="shared" ca="1" si="27"/>
        <v>2.5</v>
      </c>
      <c r="AV32" s="127">
        <f t="shared" ca="1" si="27"/>
        <v>2.5</v>
      </c>
    </row>
    <row r="33" spans="2:48">
      <c r="B33" s="367">
        <f>tblIndiSets!B23</f>
        <v>12</v>
      </c>
      <c r="C33" s="367">
        <f>tblIndiSets!D23</f>
        <v>3</v>
      </c>
      <c r="D33" s="367">
        <f>tblCategories!V16</f>
        <v>0</v>
      </c>
      <c r="E33" s="367" t="str">
        <f>tblIndiSets!H23</f>
        <v>1.2.4</v>
      </c>
      <c r="H33" s="367">
        <f t="shared" si="42"/>
        <v>45.5</v>
      </c>
      <c r="I33" s="13" t="str">
        <f t="shared" ca="1" si="43"/>
        <v>=15</v>
      </c>
      <c r="J33" s="13">
        <f t="shared" ca="1" si="44"/>
        <v>2</v>
      </c>
      <c r="K33" s="367">
        <f t="shared" si="8"/>
        <v>81.8</v>
      </c>
      <c r="L33" s="13" t="str">
        <f t="shared" ca="1" si="45"/>
        <v>=6</v>
      </c>
      <c r="M33" s="13">
        <f t="shared" ca="1" si="46"/>
        <v>4</v>
      </c>
      <c r="N33" s="36" t="str">
        <f t="shared" si="11"/>
        <v/>
      </c>
      <c r="O33" s="13"/>
      <c r="P33" s="13"/>
      <c r="Q33" s="367" t="str">
        <f t="shared" si="12"/>
        <v/>
      </c>
      <c r="R33" s="13" t="str">
        <f t="shared" ca="1" si="47"/>
        <v/>
      </c>
      <c r="S33" s="13">
        <f t="shared" ca="1" si="48"/>
        <v>0</v>
      </c>
      <c r="U33" s="13"/>
      <c r="V33" s="13"/>
      <c r="X33" s="13"/>
      <c r="Y33" s="13"/>
      <c r="AA33" s="367" t="e">
        <f t="shared" ca="1" si="49"/>
        <v>#N/A</v>
      </c>
      <c r="AB33" s="367">
        <f t="shared" ca="1" si="50"/>
        <v>0</v>
      </c>
      <c r="AC33" s="367" t="str">
        <f t="shared" ca="1" si="51"/>
        <v/>
      </c>
      <c r="AD33" s="127" t="str">
        <f t="shared" ca="1" si="52"/>
        <v/>
      </c>
      <c r="AE33" s="127" t="str">
        <f t="shared" ca="1" si="52"/>
        <v/>
      </c>
      <c r="AF33" s="127" t="str">
        <f t="shared" ca="1" si="52"/>
        <v/>
      </c>
      <c r="AG33" s="127" t="str">
        <f t="shared" ca="1" si="52"/>
        <v/>
      </c>
      <c r="AH33" s="127" t="str">
        <f t="shared" ca="1" si="52"/>
        <v/>
      </c>
      <c r="AI33" s="127" t="str">
        <f t="shared" ca="1" si="52"/>
        <v/>
      </c>
      <c r="AK33" s="127" t="str">
        <f t="shared" ca="1" si="53"/>
        <v/>
      </c>
      <c r="AL33" s="127" t="str">
        <f t="shared" ca="1" si="53"/>
        <v/>
      </c>
      <c r="AS33" s="127">
        <f t="shared" si="26"/>
        <v>30</v>
      </c>
      <c r="AT33" s="127">
        <f t="shared" ca="1" si="27"/>
        <v>2.5</v>
      </c>
      <c r="AU33" s="127">
        <f t="shared" ca="1" si="27"/>
        <v>2.5</v>
      </c>
      <c r="AV33" s="127">
        <f t="shared" ca="1" si="27"/>
        <v>2.5</v>
      </c>
    </row>
    <row r="34" spans="2:48">
      <c r="B34" s="367">
        <f>tblIndiSets!B24</f>
        <v>13</v>
      </c>
      <c r="C34" s="367">
        <f>tblIndiSets!D24</f>
        <v>2</v>
      </c>
      <c r="D34" s="367">
        <f>tblCategories!V17</f>
        <v>0</v>
      </c>
      <c r="E34" s="367" t="str">
        <f>tblIndiSets!H24</f>
        <v>Affordability</v>
      </c>
      <c r="H34" s="367">
        <f t="shared" si="42"/>
        <v>74.599999999999994</v>
      </c>
      <c r="I34" s="13" t="str">
        <f t="shared" ca="1" si="43"/>
        <v>15</v>
      </c>
      <c r="J34" s="13">
        <f t="shared" ca="1" si="44"/>
        <v>1</v>
      </c>
      <c r="K34" s="367">
        <f t="shared" si="8"/>
        <v>46.8</v>
      </c>
      <c r="L34" s="13" t="str">
        <f t="shared" ca="1" si="45"/>
        <v>25</v>
      </c>
      <c r="M34" s="13">
        <f t="shared" ca="1" si="46"/>
        <v>1</v>
      </c>
      <c r="N34" s="36" t="str">
        <f t="shared" si="11"/>
        <v/>
      </c>
      <c r="O34" s="13"/>
      <c r="P34" s="13"/>
      <c r="Q34" s="367" t="str">
        <f t="shared" si="12"/>
        <v/>
      </c>
      <c r="R34" s="13" t="str">
        <f t="shared" ca="1" si="47"/>
        <v/>
      </c>
      <c r="S34" s="13">
        <f t="shared" ca="1" si="48"/>
        <v>0</v>
      </c>
      <c r="U34" s="13"/>
      <c r="V34" s="13"/>
      <c r="X34" s="13"/>
      <c r="Y34" s="13"/>
      <c r="AA34" s="367" t="e">
        <f t="shared" ca="1" si="49"/>
        <v>#N/A</v>
      </c>
      <c r="AB34" s="367">
        <f t="shared" ca="1" si="50"/>
        <v>0</v>
      </c>
      <c r="AC34" s="367" t="str">
        <f t="shared" ca="1" si="51"/>
        <v/>
      </c>
      <c r="AD34" s="127" t="str">
        <f t="shared" ca="1" si="52"/>
        <v/>
      </c>
      <c r="AE34" s="127" t="str">
        <f t="shared" ca="1" si="52"/>
        <v/>
      </c>
      <c r="AF34" s="127" t="str">
        <f t="shared" ca="1" si="52"/>
        <v/>
      </c>
      <c r="AG34" s="127" t="str">
        <f t="shared" ca="1" si="52"/>
        <v/>
      </c>
      <c r="AH34" s="127" t="str">
        <f t="shared" ca="1" si="52"/>
        <v/>
      </c>
      <c r="AI34" s="127" t="str">
        <f t="shared" ca="1" si="52"/>
        <v/>
      </c>
      <c r="AK34" s="127" t="str">
        <f t="shared" ca="1" si="53"/>
        <v/>
      </c>
      <c r="AL34" s="127" t="str">
        <f t="shared" ca="1" si="53"/>
        <v/>
      </c>
      <c r="AS34" s="127">
        <f t="shared" si="26"/>
        <v>32.5</v>
      </c>
      <c r="AT34" s="127">
        <f t="shared" ca="1" si="27"/>
        <v>2.5</v>
      </c>
      <c r="AU34" s="127">
        <f t="shared" ca="1" si="27"/>
        <v>2.5</v>
      </c>
      <c r="AV34" s="127">
        <f t="shared" ca="1" si="27"/>
        <v>2.5</v>
      </c>
    </row>
    <row r="35" spans="2:48">
      <c r="B35" s="367">
        <f>tblIndiSets!B25</f>
        <v>14</v>
      </c>
      <c r="C35" s="367">
        <f>tblIndiSets!D25</f>
        <v>3</v>
      </c>
      <c r="D35" s="367">
        <f>tblCategories!V18</f>
        <v>0</v>
      </c>
      <c r="E35" s="367" t="str">
        <f>tblIndiSets!H25</f>
        <v>1.3.1</v>
      </c>
      <c r="H35" s="367">
        <f t="shared" si="42"/>
        <v>80.599999999999994</v>
      </c>
      <c r="I35" s="13" t="str">
        <f t="shared" ca="1" si="43"/>
        <v>18</v>
      </c>
      <c r="J35" s="13">
        <f t="shared" ca="1" si="44"/>
        <v>1</v>
      </c>
      <c r="K35" s="367">
        <f t="shared" si="8"/>
        <v>33</v>
      </c>
      <c r="L35" s="13" t="str">
        <f t="shared" ca="1" si="45"/>
        <v>29</v>
      </c>
      <c r="M35" s="13">
        <f t="shared" ca="1" si="46"/>
        <v>1</v>
      </c>
      <c r="N35" s="36" t="str">
        <f t="shared" si="11"/>
        <v/>
      </c>
      <c r="O35" s="13"/>
      <c r="P35" s="13"/>
      <c r="Q35" s="367" t="str">
        <f t="shared" si="12"/>
        <v/>
      </c>
      <c r="R35" s="13" t="str">
        <f t="shared" ca="1" si="47"/>
        <v/>
      </c>
      <c r="S35" s="13">
        <f t="shared" ca="1" si="48"/>
        <v>0</v>
      </c>
      <c r="U35" s="13"/>
      <c r="V35" s="13"/>
      <c r="X35" s="13"/>
      <c r="Y35" s="13"/>
      <c r="AA35" s="367" t="e">
        <f t="shared" ca="1" si="49"/>
        <v>#N/A</v>
      </c>
      <c r="AB35" s="367">
        <f t="shared" ca="1" si="50"/>
        <v>0</v>
      </c>
      <c r="AC35" s="367" t="str">
        <f t="shared" ca="1" si="51"/>
        <v/>
      </c>
      <c r="AD35" s="127" t="str">
        <f t="shared" ca="1" si="52"/>
        <v/>
      </c>
      <c r="AE35" s="127" t="str">
        <f t="shared" ca="1" si="52"/>
        <v/>
      </c>
      <c r="AF35" s="127" t="str">
        <f t="shared" ca="1" si="52"/>
        <v/>
      </c>
      <c r="AG35" s="127" t="str">
        <f t="shared" ca="1" si="52"/>
        <v/>
      </c>
      <c r="AH35" s="127" t="str">
        <f t="shared" ca="1" si="52"/>
        <v/>
      </c>
      <c r="AI35" s="127" t="str">
        <f t="shared" ca="1" si="52"/>
        <v/>
      </c>
      <c r="AK35" s="127" t="str">
        <f t="shared" ca="1" si="53"/>
        <v/>
      </c>
      <c r="AL35" s="127" t="str">
        <f t="shared" ca="1" si="53"/>
        <v/>
      </c>
      <c r="AS35" s="127">
        <f t="shared" si="26"/>
        <v>35</v>
      </c>
      <c r="AT35" s="127">
        <f t="shared" ca="1" si="27"/>
        <v>2.5</v>
      </c>
      <c r="AU35" s="127">
        <f t="shared" ca="1" si="27"/>
        <v>2.5</v>
      </c>
      <c r="AV35" s="127">
        <f t="shared" ca="1" si="27"/>
        <v>2.5</v>
      </c>
    </row>
    <row r="36" spans="2:48">
      <c r="B36" s="367">
        <f>tblIndiSets!B26</f>
        <v>15</v>
      </c>
      <c r="C36" s="367">
        <f>tblIndiSets!D26</f>
        <v>3</v>
      </c>
      <c r="D36" s="367">
        <f>tblCategories!V19</f>
        <v>0</v>
      </c>
      <c r="E36" s="367" t="str">
        <f>tblIndiSets!H26</f>
        <v>1.3.2</v>
      </c>
      <c r="H36" s="367">
        <f t="shared" si="42"/>
        <v>67.900000000000006</v>
      </c>
      <c r="I36" s="13" t="str">
        <f t="shared" ca="1" si="43"/>
        <v>=17</v>
      </c>
      <c r="J36" s="13">
        <f t="shared" ca="1" si="44"/>
        <v>2</v>
      </c>
      <c r="K36" s="367">
        <f t="shared" si="8"/>
        <v>61.9</v>
      </c>
      <c r="L36" s="13" t="str">
        <f t="shared" ca="1" si="45"/>
        <v>20</v>
      </c>
      <c r="M36" s="13">
        <f t="shared" ca="1" si="46"/>
        <v>1</v>
      </c>
      <c r="N36" s="36" t="str">
        <f t="shared" si="11"/>
        <v/>
      </c>
      <c r="O36" s="13"/>
      <c r="P36" s="13"/>
      <c r="Q36" s="367" t="str">
        <f t="shared" si="12"/>
        <v/>
      </c>
      <c r="R36" s="13" t="str">
        <f t="shared" ca="1" si="47"/>
        <v/>
      </c>
      <c r="S36" s="13">
        <f t="shared" ca="1" si="48"/>
        <v>0</v>
      </c>
      <c r="U36" s="13"/>
      <c r="V36" s="13"/>
      <c r="X36" s="13"/>
      <c r="Y36" s="13"/>
      <c r="AA36" s="367" t="e">
        <f t="shared" ca="1" si="49"/>
        <v>#N/A</v>
      </c>
      <c r="AB36" s="367">
        <f t="shared" ca="1" si="50"/>
        <v>0</v>
      </c>
      <c r="AC36" s="367" t="str">
        <f t="shared" ca="1" si="51"/>
        <v/>
      </c>
      <c r="AD36" s="127" t="str">
        <f t="shared" ca="1" si="52"/>
        <v/>
      </c>
      <c r="AE36" s="127" t="str">
        <f t="shared" ca="1" si="52"/>
        <v/>
      </c>
      <c r="AF36" s="127" t="str">
        <f t="shared" ca="1" si="52"/>
        <v/>
      </c>
      <c r="AG36" s="127" t="str">
        <f t="shared" ca="1" si="52"/>
        <v/>
      </c>
      <c r="AH36" s="127" t="str">
        <f t="shared" ca="1" si="52"/>
        <v/>
      </c>
      <c r="AI36" s="127" t="str">
        <f t="shared" ca="1" si="52"/>
        <v/>
      </c>
      <c r="AK36" s="127" t="str">
        <f t="shared" ca="1" si="53"/>
        <v/>
      </c>
      <c r="AL36" s="127" t="str">
        <f t="shared" ca="1" si="53"/>
        <v/>
      </c>
      <c r="AS36" s="127">
        <f t="shared" si="26"/>
        <v>37.5</v>
      </c>
      <c r="AT36" s="127">
        <f t="shared" ca="1" si="27"/>
        <v>2.5</v>
      </c>
      <c r="AU36" s="127">
        <f t="shared" ca="1" si="27"/>
        <v>2.5</v>
      </c>
      <c r="AV36" s="127">
        <f t="shared" ca="1" si="27"/>
        <v>2.5</v>
      </c>
    </row>
    <row r="37" spans="2:48">
      <c r="B37" s="367">
        <f>tblIndiSets!B27</f>
        <v>16</v>
      </c>
      <c r="C37" s="367">
        <f>tblIndiSets!D27</f>
        <v>1</v>
      </c>
      <c r="D37" s="367">
        <f>tblCategories!V20</f>
        <v>1</v>
      </c>
      <c r="E37" s="367" t="str">
        <f>tblIndiSets!H27</f>
        <v>Services</v>
      </c>
      <c r="H37" s="367">
        <f t="shared" si="42"/>
        <v>73.2</v>
      </c>
      <c r="I37" s="13" t="str">
        <f t="shared" ca="1" si="43"/>
        <v>4</v>
      </c>
      <c r="J37" s="13">
        <f t="shared" ca="1" si="44"/>
        <v>1</v>
      </c>
      <c r="K37" s="367">
        <f t="shared" si="8"/>
        <v>49.5</v>
      </c>
      <c r="L37" s="13" t="str">
        <f t="shared" ca="1" si="45"/>
        <v>25</v>
      </c>
      <c r="M37" s="13">
        <f t="shared" ca="1" si="46"/>
        <v>1</v>
      </c>
      <c r="N37" s="36" t="str">
        <f t="shared" si="11"/>
        <v/>
      </c>
      <c r="O37" s="13"/>
      <c r="P37" s="13"/>
      <c r="Q37" s="367" t="str">
        <f t="shared" si="12"/>
        <v/>
      </c>
      <c r="R37" s="13" t="str">
        <f t="shared" ca="1" si="47"/>
        <v/>
      </c>
      <c r="S37" s="13">
        <f t="shared" ca="1" si="48"/>
        <v>0</v>
      </c>
      <c r="U37" s="13"/>
      <c r="V37" s="13"/>
      <c r="X37" s="13"/>
      <c r="Y37" s="13"/>
      <c r="AA37" s="367" t="e">
        <f t="shared" ca="1" si="49"/>
        <v>#N/A</v>
      </c>
      <c r="AB37" s="367">
        <f t="shared" ca="1" si="50"/>
        <v>0</v>
      </c>
      <c r="AC37" s="367" t="str">
        <f t="shared" ca="1" si="51"/>
        <v/>
      </c>
      <c r="AD37" s="127" t="str">
        <f t="shared" ca="1" si="52"/>
        <v/>
      </c>
      <c r="AE37" s="127" t="str">
        <f t="shared" ca="1" si="52"/>
        <v/>
      </c>
      <c r="AF37" s="127" t="str">
        <f t="shared" ca="1" si="52"/>
        <v/>
      </c>
      <c r="AG37" s="127" t="str">
        <f t="shared" ca="1" si="52"/>
        <v/>
      </c>
      <c r="AH37" s="127" t="str">
        <f t="shared" ca="1" si="52"/>
        <v/>
      </c>
      <c r="AI37" s="127" t="str">
        <f t="shared" ca="1" si="52"/>
        <v/>
      </c>
      <c r="AK37" s="127" t="str">
        <f t="shared" ca="1" si="53"/>
        <v/>
      </c>
      <c r="AL37" s="127" t="str">
        <f t="shared" ca="1" si="53"/>
        <v/>
      </c>
      <c r="AS37" s="127">
        <f t="shared" si="26"/>
        <v>40</v>
      </c>
      <c r="AT37" s="127">
        <f t="shared" ca="1" si="27"/>
        <v>2.5</v>
      </c>
      <c r="AU37" s="127">
        <f t="shared" ca="1" si="27"/>
        <v>2.5</v>
      </c>
      <c r="AV37" s="127">
        <f t="shared" ca="1" si="27"/>
        <v>2.5</v>
      </c>
    </row>
    <row r="38" spans="2:48">
      <c r="B38" s="367">
        <f>tblIndiSets!B28</f>
        <v>17</v>
      </c>
      <c r="C38" s="367">
        <f>tblIndiSets!D28</f>
        <v>2</v>
      </c>
      <c r="D38" s="367">
        <f>tblCategories!V21</f>
        <v>0</v>
      </c>
      <c r="E38" s="367" t="str">
        <f>tblIndiSets!H28</f>
        <v>E-gov services for residents &amp; businesses</v>
      </c>
      <c r="H38" s="367">
        <f t="shared" si="42"/>
        <v>48.6</v>
      </c>
      <c r="I38" s="13" t="str">
        <f t="shared" ca="1" si="43"/>
        <v>29</v>
      </c>
      <c r="J38" s="13">
        <f t="shared" ca="1" si="44"/>
        <v>1</v>
      </c>
      <c r="K38" s="367">
        <f t="shared" si="8"/>
        <v>65.400000000000006</v>
      </c>
      <c r="L38" s="13" t="str">
        <f t="shared" ca="1" si="45"/>
        <v>14</v>
      </c>
      <c r="M38" s="13">
        <f t="shared" ca="1" si="46"/>
        <v>1</v>
      </c>
      <c r="N38" s="36" t="str">
        <f t="shared" si="11"/>
        <v/>
      </c>
      <c r="O38" s="13"/>
      <c r="P38" s="13"/>
      <c r="Q38" s="367" t="str">
        <f t="shared" si="12"/>
        <v/>
      </c>
      <c r="R38" s="13" t="str">
        <f t="shared" ca="1" si="47"/>
        <v/>
      </c>
      <c r="S38" s="13">
        <f t="shared" ca="1" si="48"/>
        <v>0</v>
      </c>
      <c r="U38" s="13"/>
      <c r="V38" s="13"/>
      <c r="X38" s="13"/>
      <c r="Y38" s="13"/>
      <c r="AA38" s="367" t="e">
        <f t="shared" ca="1" si="49"/>
        <v>#N/A</v>
      </c>
      <c r="AB38" s="367">
        <f t="shared" ca="1" si="50"/>
        <v>0</v>
      </c>
      <c r="AC38" s="367" t="str">
        <f t="shared" ca="1" si="51"/>
        <v/>
      </c>
      <c r="AD38" s="127" t="str">
        <f t="shared" ca="1" si="52"/>
        <v/>
      </c>
      <c r="AE38" s="127" t="str">
        <f t="shared" ca="1" si="52"/>
        <v/>
      </c>
      <c r="AF38" s="127" t="str">
        <f t="shared" ca="1" si="52"/>
        <v/>
      </c>
      <c r="AG38" s="127" t="str">
        <f t="shared" ca="1" si="52"/>
        <v/>
      </c>
      <c r="AH38" s="127" t="str">
        <f t="shared" ca="1" si="52"/>
        <v/>
      </c>
      <c r="AI38" s="127" t="str">
        <f t="shared" ca="1" si="52"/>
        <v/>
      </c>
      <c r="AK38" s="127" t="str">
        <f t="shared" ca="1" si="53"/>
        <v/>
      </c>
      <c r="AL38" s="127" t="str">
        <f t="shared" ca="1" si="53"/>
        <v/>
      </c>
      <c r="AS38" s="127">
        <f t="shared" si="26"/>
        <v>42.5</v>
      </c>
      <c r="AT38" s="127">
        <f t="shared" ca="1" si="27"/>
        <v>2.5</v>
      </c>
      <c r="AU38" s="127">
        <f t="shared" ca="1" si="27"/>
        <v>2.5</v>
      </c>
      <c r="AV38" s="127">
        <f t="shared" ca="1" si="27"/>
        <v>2.5</v>
      </c>
    </row>
    <row r="39" spans="2:48">
      <c r="B39" s="367">
        <f>tblIndiSets!B29</f>
        <v>18</v>
      </c>
      <c r="C39" s="367">
        <f>tblIndiSets!D29</f>
        <v>3</v>
      </c>
      <c r="D39" s="367">
        <f>tblCategories!V22</f>
        <v>0</v>
      </c>
      <c r="E39" s="367" t="str">
        <f>tblIndiSets!H29</f>
        <v>2.1.1</v>
      </c>
      <c r="H39" s="367">
        <f t="shared" si="42"/>
        <v>0</v>
      </c>
      <c r="I39" s="13" t="str">
        <f t="shared" ca="1" si="43"/>
        <v>=7</v>
      </c>
      <c r="J39" s="13">
        <f t="shared" ca="1" si="44"/>
        <v>24</v>
      </c>
      <c r="K39" s="367">
        <f t="shared" si="8"/>
        <v>0</v>
      </c>
      <c r="L39" s="13" t="str">
        <f t="shared" ca="1" si="45"/>
        <v>=7</v>
      </c>
      <c r="M39" s="13">
        <f t="shared" ca="1" si="46"/>
        <v>24</v>
      </c>
      <c r="N39" s="36" t="str">
        <f t="shared" si="11"/>
        <v/>
      </c>
      <c r="O39" s="13"/>
      <c r="P39" s="13"/>
      <c r="Q39" s="367" t="str">
        <f t="shared" si="12"/>
        <v/>
      </c>
      <c r="R39" s="13" t="str">
        <f t="shared" ca="1" si="47"/>
        <v/>
      </c>
      <c r="S39" s="13">
        <f t="shared" ca="1" si="48"/>
        <v>0</v>
      </c>
      <c r="U39" s="13"/>
      <c r="V39" s="13"/>
      <c r="X39" s="13"/>
      <c r="Y39" s="13"/>
      <c r="AA39" s="367" t="e">
        <f t="shared" ca="1" si="49"/>
        <v>#N/A</v>
      </c>
      <c r="AB39" s="367">
        <f t="shared" ca="1" si="50"/>
        <v>0</v>
      </c>
      <c r="AC39" s="367" t="str">
        <f t="shared" ca="1" si="51"/>
        <v/>
      </c>
      <c r="AD39" s="127" t="str">
        <f t="shared" ca="1" si="52"/>
        <v/>
      </c>
      <c r="AE39" s="127" t="str">
        <f t="shared" ca="1" si="52"/>
        <v/>
      </c>
      <c r="AF39" s="127" t="str">
        <f t="shared" ca="1" si="52"/>
        <v/>
      </c>
      <c r="AG39" s="127" t="str">
        <f t="shared" ca="1" si="52"/>
        <v/>
      </c>
      <c r="AH39" s="127" t="str">
        <f t="shared" ca="1" si="52"/>
        <v/>
      </c>
      <c r="AI39" s="127" t="str">
        <f t="shared" ca="1" si="52"/>
        <v/>
      </c>
      <c r="AK39" s="127" t="str">
        <f t="shared" ca="1" si="53"/>
        <v/>
      </c>
      <c r="AL39" s="127" t="str">
        <f t="shared" ca="1" si="53"/>
        <v/>
      </c>
      <c r="AS39" s="127">
        <f t="shared" si="26"/>
        <v>45</v>
      </c>
      <c r="AT39" s="127">
        <f t="shared" ca="1" si="27"/>
        <v>2.5</v>
      </c>
      <c r="AU39" s="127">
        <f t="shared" ca="1" si="27"/>
        <v>2.5</v>
      </c>
      <c r="AV39" s="127">
        <f t="shared" ca="1" si="27"/>
        <v>2.5</v>
      </c>
    </row>
    <row r="40" spans="2:48">
      <c r="B40" s="367">
        <f>tblIndiSets!B30</f>
        <v>19</v>
      </c>
      <c r="C40" s="367">
        <f>tblIndiSets!D30</f>
        <v>3</v>
      </c>
      <c r="D40" s="367">
        <f>tblCategories!V23</f>
        <v>0</v>
      </c>
      <c r="E40" s="367" t="str">
        <f>tblIndiSets!H30</f>
        <v>2.1.2</v>
      </c>
      <c r="H40" s="367">
        <f t="shared" si="42"/>
        <v>91</v>
      </c>
      <c r="I40" s="13" t="str">
        <f t="shared" ca="1" si="43"/>
        <v>=11</v>
      </c>
      <c r="J40" s="13">
        <f t="shared" ca="1" si="44"/>
        <v>3</v>
      </c>
      <c r="K40" s="367">
        <f t="shared" si="8"/>
        <v>93</v>
      </c>
      <c r="L40" s="13" t="str">
        <f t="shared" ca="1" si="45"/>
        <v>10</v>
      </c>
      <c r="M40" s="13">
        <f t="shared" ca="1" si="46"/>
        <v>1</v>
      </c>
      <c r="N40" s="36" t="str">
        <f t="shared" si="11"/>
        <v/>
      </c>
      <c r="O40" s="13"/>
      <c r="P40" s="13"/>
      <c r="Q40" s="367" t="str">
        <f t="shared" si="12"/>
        <v/>
      </c>
      <c r="R40" s="13" t="str">
        <f t="shared" ca="1" si="47"/>
        <v/>
      </c>
      <c r="S40" s="13">
        <f t="shared" ca="1" si="48"/>
        <v>0</v>
      </c>
      <c r="U40" s="13"/>
      <c r="V40" s="13"/>
      <c r="X40" s="13"/>
      <c r="Y40" s="13"/>
      <c r="AA40" s="367" t="e">
        <f t="shared" ca="1" si="49"/>
        <v>#N/A</v>
      </c>
      <c r="AB40" s="367">
        <f t="shared" ca="1" si="50"/>
        <v>0</v>
      </c>
      <c r="AC40" s="367" t="str">
        <f t="shared" ca="1" si="51"/>
        <v/>
      </c>
      <c r="AD40" s="127" t="str">
        <f t="shared" ca="1" si="52"/>
        <v/>
      </c>
      <c r="AE40" s="127" t="str">
        <f t="shared" ca="1" si="52"/>
        <v/>
      </c>
      <c r="AF40" s="127" t="str">
        <f t="shared" ca="1" si="52"/>
        <v/>
      </c>
      <c r="AG40" s="127" t="str">
        <f t="shared" ca="1" si="52"/>
        <v/>
      </c>
      <c r="AH40" s="127" t="str">
        <f t="shared" ca="1" si="52"/>
        <v/>
      </c>
      <c r="AI40" s="127" t="str">
        <f t="shared" ca="1" si="52"/>
        <v/>
      </c>
      <c r="AK40" s="127" t="str">
        <f t="shared" ca="1" si="53"/>
        <v/>
      </c>
      <c r="AL40" s="127" t="str">
        <f t="shared" ca="1" si="53"/>
        <v/>
      </c>
      <c r="AS40" s="127">
        <f t="shared" si="26"/>
        <v>47.5</v>
      </c>
      <c r="AT40" s="127">
        <f t="shared" ca="1" si="27"/>
        <v>2.5</v>
      </c>
      <c r="AU40" s="127">
        <f t="shared" ca="1" si="27"/>
        <v>2.5</v>
      </c>
      <c r="AV40" s="127">
        <f t="shared" ca="1" si="27"/>
        <v>2.5</v>
      </c>
    </row>
    <row r="41" spans="2:48">
      <c r="B41" s="367">
        <f>tblIndiSets!B31</f>
        <v>20</v>
      </c>
      <c r="C41" s="367">
        <f>tblIndiSets!D31</f>
        <v>3</v>
      </c>
      <c r="D41" s="367">
        <f>tblCategories!V24</f>
        <v>0</v>
      </c>
      <c r="E41" s="367" t="str">
        <f>tblIndiSets!H31</f>
        <v>2.1.3</v>
      </c>
      <c r="H41" s="367">
        <f t="shared" si="42"/>
        <v>50</v>
      </c>
      <c r="I41" s="13" t="str">
        <f t="shared" ca="1" si="43"/>
        <v>=28</v>
      </c>
      <c r="J41" s="13">
        <f t="shared" ca="1" si="44"/>
        <v>3</v>
      </c>
      <c r="K41" s="367">
        <f t="shared" si="8"/>
        <v>100</v>
      </c>
      <c r="L41" s="13" t="str">
        <f t="shared" ca="1" si="45"/>
        <v>=1</v>
      </c>
      <c r="M41" s="13">
        <f t="shared" ca="1" si="46"/>
        <v>27</v>
      </c>
      <c r="N41" s="36" t="str">
        <f t="shared" si="11"/>
        <v/>
      </c>
      <c r="O41" s="13"/>
      <c r="P41" s="13"/>
      <c r="Q41" s="367" t="str">
        <f t="shared" si="12"/>
        <v/>
      </c>
      <c r="R41" s="13" t="str">
        <f t="shared" ca="1" si="47"/>
        <v/>
      </c>
      <c r="S41" s="13">
        <f t="shared" ca="1" si="48"/>
        <v>0</v>
      </c>
      <c r="U41" s="13"/>
      <c r="V41" s="13"/>
      <c r="X41" s="13"/>
      <c r="Y41" s="13"/>
      <c r="AA41" s="367" t="e">
        <f t="shared" ca="1" si="49"/>
        <v>#N/A</v>
      </c>
      <c r="AB41" s="367">
        <f t="shared" ca="1" si="50"/>
        <v>0</v>
      </c>
      <c r="AC41" s="367" t="str">
        <f t="shared" ca="1" si="51"/>
        <v/>
      </c>
      <c r="AD41" s="127" t="str">
        <f t="shared" ca="1" si="52"/>
        <v/>
      </c>
      <c r="AE41" s="127" t="str">
        <f t="shared" ca="1" si="52"/>
        <v/>
      </c>
      <c r="AF41" s="127" t="str">
        <f t="shared" ca="1" si="52"/>
        <v/>
      </c>
      <c r="AG41" s="127" t="str">
        <f t="shared" ca="1" si="52"/>
        <v/>
      </c>
      <c r="AH41" s="127" t="str">
        <f t="shared" ca="1" si="52"/>
        <v/>
      </c>
      <c r="AI41" s="127" t="str">
        <f t="shared" ca="1" si="52"/>
        <v/>
      </c>
      <c r="AK41" s="127" t="str">
        <f t="shared" ca="1" si="53"/>
        <v/>
      </c>
      <c r="AL41" s="127" t="str">
        <f t="shared" ca="1" si="53"/>
        <v/>
      </c>
      <c r="AS41" s="127">
        <f t="shared" si="26"/>
        <v>50</v>
      </c>
      <c r="AT41" s="127">
        <f t="shared" ca="1" si="27"/>
        <v>2.5</v>
      </c>
      <c r="AU41" s="127">
        <f t="shared" ca="1" si="27"/>
        <v>2.5</v>
      </c>
      <c r="AV41" s="127">
        <f t="shared" ca="1" si="27"/>
        <v>2.5</v>
      </c>
    </row>
    <row r="42" spans="2:48">
      <c r="B42" s="367">
        <f>tblIndiSets!B32</f>
        <v>21</v>
      </c>
      <c r="C42" s="367">
        <f>tblIndiSets!D32</f>
        <v>2</v>
      </c>
      <c r="D42" s="367">
        <f>tblCategories!V25</f>
        <v>0</v>
      </c>
      <c r="E42" s="367" t="str">
        <f>tblIndiSets!H32</f>
        <v>Digital finance - fintech</v>
      </c>
      <c r="H42" s="367">
        <f t="shared" si="42"/>
        <v>58.5</v>
      </c>
      <c r="I42" s="13" t="str">
        <f t="shared" ca="1" si="43"/>
        <v>13</v>
      </c>
      <c r="J42" s="13">
        <f t="shared" ca="1" si="44"/>
        <v>1</v>
      </c>
      <c r="K42" s="367">
        <f t="shared" si="8"/>
        <v>65.599999999999994</v>
      </c>
      <c r="L42" s="13" t="str">
        <f t="shared" ca="1" si="45"/>
        <v>5</v>
      </c>
      <c r="M42" s="13">
        <f t="shared" ca="1" si="46"/>
        <v>1</v>
      </c>
      <c r="N42" s="36" t="str">
        <f t="shared" si="11"/>
        <v/>
      </c>
      <c r="O42" s="13"/>
      <c r="P42" s="13"/>
      <c r="Q42" s="367" t="str">
        <f t="shared" si="12"/>
        <v/>
      </c>
      <c r="R42" s="13" t="str">
        <f t="shared" ca="1" si="47"/>
        <v/>
      </c>
      <c r="S42" s="13">
        <f t="shared" ca="1" si="48"/>
        <v>0</v>
      </c>
      <c r="U42" s="13"/>
      <c r="V42" s="13"/>
      <c r="X42" s="13"/>
      <c r="Y42" s="13"/>
      <c r="AA42" s="367" t="e">
        <f t="shared" ca="1" si="49"/>
        <v>#N/A</v>
      </c>
      <c r="AB42" s="367">
        <f t="shared" ca="1" si="50"/>
        <v>0</v>
      </c>
      <c r="AC42" s="367" t="str">
        <f t="shared" ca="1" si="51"/>
        <v/>
      </c>
      <c r="AD42" s="127" t="str">
        <f t="shared" ca="1" si="52"/>
        <v/>
      </c>
      <c r="AE42" s="127" t="str">
        <f t="shared" ca="1" si="52"/>
        <v/>
      </c>
      <c r="AF42" s="127" t="str">
        <f t="shared" ca="1" si="52"/>
        <v/>
      </c>
      <c r="AG42" s="127" t="str">
        <f t="shared" ca="1" si="52"/>
        <v/>
      </c>
      <c r="AH42" s="127" t="str">
        <f t="shared" ca="1" si="52"/>
        <v/>
      </c>
      <c r="AI42" s="127" t="str">
        <f t="shared" ca="1" si="52"/>
        <v/>
      </c>
      <c r="AK42" s="127" t="str">
        <f t="shared" ca="1" si="53"/>
        <v/>
      </c>
      <c r="AL42" s="127" t="str">
        <f t="shared" ca="1" si="53"/>
        <v/>
      </c>
      <c r="AS42" s="127">
        <f t="shared" si="26"/>
        <v>52.5</v>
      </c>
      <c r="AT42" s="127">
        <f t="shared" ca="1" si="27"/>
        <v>2.5</v>
      </c>
      <c r="AU42" s="127">
        <f t="shared" ca="1" si="27"/>
        <v>2.5</v>
      </c>
      <c r="AV42" s="127">
        <f t="shared" ca="1" si="27"/>
        <v>2.5</v>
      </c>
    </row>
    <row r="43" spans="2:48">
      <c r="B43" s="367">
        <f>tblIndiSets!B33</f>
        <v>22</v>
      </c>
      <c r="C43" s="367">
        <f>tblIndiSets!D33</f>
        <v>3</v>
      </c>
      <c r="D43" s="367">
        <f>tblCategories!V26</f>
        <v>0</v>
      </c>
      <c r="E43" s="367" t="str">
        <f>tblIndiSets!H33</f>
        <v>2.2.1</v>
      </c>
      <c r="H43" s="367">
        <f t="shared" si="42"/>
        <v>56.5</v>
      </c>
      <c r="I43" s="13" t="str">
        <f t="shared" ca="1" si="43"/>
        <v>=13</v>
      </c>
      <c r="J43" s="13">
        <f t="shared" ca="1" si="44"/>
        <v>2</v>
      </c>
      <c r="K43" s="367">
        <f t="shared" si="8"/>
        <v>69.599999999999994</v>
      </c>
      <c r="L43" s="13" t="str">
        <f t="shared" ca="1" si="45"/>
        <v>=9</v>
      </c>
      <c r="M43" s="13">
        <f t="shared" ca="1" si="46"/>
        <v>2</v>
      </c>
      <c r="N43" s="36" t="str">
        <f t="shared" si="11"/>
        <v/>
      </c>
      <c r="O43" s="13"/>
      <c r="P43" s="13"/>
      <c r="Q43" s="367" t="str">
        <f t="shared" si="12"/>
        <v/>
      </c>
      <c r="R43" s="13" t="str">
        <f t="shared" ca="1" si="47"/>
        <v/>
      </c>
      <c r="S43" s="13">
        <f t="shared" ca="1" si="48"/>
        <v>0</v>
      </c>
      <c r="U43" s="13"/>
      <c r="V43" s="13"/>
      <c r="X43" s="13"/>
      <c r="Y43" s="13"/>
      <c r="AA43" s="367" t="e">
        <f t="shared" ca="1" si="49"/>
        <v>#N/A</v>
      </c>
      <c r="AB43" s="367">
        <f t="shared" ca="1" si="50"/>
        <v>0</v>
      </c>
      <c r="AC43" s="367" t="str">
        <f t="shared" ca="1" si="51"/>
        <v/>
      </c>
      <c r="AD43" s="127" t="str">
        <f t="shared" ca="1" si="52"/>
        <v/>
      </c>
      <c r="AE43" s="127" t="str">
        <f t="shared" ca="1" si="52"/>
        <v/>
      </c>
      <c r="AF43" s="127" t="str">
        <f t="shared" ca="1" si="52"/>
        <v/>
      </c>
      <c r="AG43" s="127" t="str">
        <f t="shared" ca="1" si="52"/>
        <v/>
      </c>
      <c r="AH43" s="127" t="str">
        <f t="shared" ca="1" si="52"/>
        <v/>
      </c>
      <c r="AI43" s="127" t="str">
        <f t="shared" ca="1" si="52"/>
        <v/>
      </c>
      <c r="AK43" s="127" t="str">
        <f t="shared" ca="1" si="53"/>
        <v/>
      </c>
      <c r="AL43" s="127" t="str">
        <f t="shared" ca="1" si="53"/>
        <v/>
      </c>
      <c r="AS43" s="127">
        <f t="shared" si="26"/>
        <v>55</v>
      </c>
      <c r="AT43" s="127">
        <f t="shared" ca="1" si="27"/>
        <v>2.5</v>
      </c>
      <c r="AU43" s="127">
        <f t="shared" ca="1" si="27"/>
        <v>2.5</v>
      </c>
      <c r="AV43" s="127">
        <f t="shared" ca="1" si="27"/>
        <v>2.5</v>
      </c>
    </row>
    <row r="44" spans="2:48">
      <c r="B44" s="367">
        <f>tblIndiSets!B34</f>
        <v>23</v>
      </c>
      <c r="C44" s="367">
        <f>tblIndiSets!D34</f>
        <v>3</v>
      </c>
      <c r="D44" s="367">
        <f>tblCategories!V27</f>
        <v>0</v>
      </c>
      <c r="E44" s="367" t="str">
        <f>tblIndiSets!H34</f>
        <v>2.2.2</v>
      </c>
      <c r="H44" s="367">
        <f t="shared" si="42"/>
        <v>5.6</v>
      </c>
      <c r="I44" s="13" t="str">
        <f t="shared" ca="1" si="43"/>
        <v>=28</v>
      </c>
      <c r="J44" s="13">
        <f t="shared" ca="1" si="44"/>
        <v>2</v>
      </c>
      <c r="K44" s="367">
        <f t="shared" si="8"/>
        <v>19.7</v>
      </c>
      <c r="L44" s="13" t="str">
        <f t="shared" ca="1" si="45"/>
        <v>20</v>
      </c>
      <c r="M44" s="13">
        <f t="shared" ca="1" si="46"/>
        <v>1</v>
      </c>
      <c r="N44" s="36" t="str">
        <f t="shared" si="11"/>
        <v/>
      </c>
      <c r="O44" s="13"/>
      <c r="P44" s="13"/>
      <c r="Q44" s="367" t="str">
        <f t="shared" si="12"/>
        <v/>
      </c>
      <c r="R44" s="13" t="str">
        <f t="shared" ca="1" si="47"/>
        <v/>
      </c>
      <c r="S44" s="13">
        <f t="shared" ca="1" si="48"/>
        <v>0</v>
      </c>
      <c r="U44" s="13"/>
      <c r="V44" s="13"/>
      <c r="X44" s="13"/>
      <c r="Y44" s="13"/>
      <c r="AA44" s="367" t="e">
        <f t="shared" ca="1" si="49"/>
        <v>#N/A</v>
      </c>
      <c r="AB44" s="367">
        <f t="shared" ca="1" si="50"/>
        <v>0</v>
      </c>
      <c r="AC44" s="367" t="str">
        <f t="shared" ca="1" si="51"/>
        <v/>
      </c>
      <c r="AD44" s="127" t="str">
        <f t="shared" ca="1" si="52"/>
        <v/>
      </c>
      <c r="AE44" s="127" t="str">
        <f t="shared" ca="1" si="52"/>
        <v/>
      </c>
      <c r="AF44" s="127" t="str">
        <f t="shared" ca="1" si="52"/>
        <v/>
      </c>
      <c r="AG44" s="127" t="str">
        <f t="shared" ca="1" si="52"/>
        <v/>
      </c>
      <c r="AH44" s="127" t="str">
        <f t="shared" ca="1" si="52"/>
        <v/>
      </c>
      <c r="AI44" s="127" t="str">
        <f t="shared" ca="1" si="52"/>
        <v/>
      </c>
      <c r="AK44" s="127" t="str">
        <f t="shared" ca="1" si="53"/>
        <v/>
      </c>
      <c r="AL44" s="127" t="str">
        <f t="shared" ca="1" si="53"/>
        <v/>
      </c>
      <c r="AS44" s="127">
        <f t="shared" si="26"/>
        <v>57.5</v>
      </c>
      <c r="AT44" s="127">
        <f t="shared" ca="1" si="27"/>
        <v>2.5</v>
      </c>
      <c r="AU44" s="127">
        <f t="shared" ca="1" si="27"/>
        <v>2.5</v>
      </c>
      <c r="AV44" s="127">
        <f t="shared" ca="1" si="27"/>
        <v>2.5</v>
      </c>
    </row>
    <row r="45" spans="2:48">
      <c r="B45" s="367">
        <f>tblIndiSets!B35</f>
        <v>24</v>
      </c>
      <c r="C45" s="367">
        <f>tblIndiSets!D35</f>
        <v>3</v>
      </c>
      <c r="D45" s="367">
        <f>tblCategories!V28</f>
        <v>0</v>
      </c>
      <c r="E45" s="367" t="str">
        <f>tblIndiSets!H35</f>
        <v>2.2.3</v>
      </c>
      <c r="H45" s="367">
        <f t="shared" si="42"/>
        <v>88.3</v>
      </c>
      <c r="I45" s="13" t="str">
        <f t="shared" ca="1" si="43"/>
        <v>8</v>
      </c>
      <c r="J45" s="13">
        <f t="shared" ca="1" si="44"/>
        <v>1</v>
      </c>
      <c r="K45" s="367">
        <f t="shared" si="8"/>
        <v>86.8</v>
      </c>
      <c r="L45" s="13" t="str">
        <f t="shared" ca="1" si="45"/>
        <v>10</v>
      </c>
      <c r="M45" s="13">
        <f t="shared" ca="1" si="46"/>
        <v>1</v>
      </c>
      <c r="N45" s="36" t="str">
        <f t="shared" si="11"/>
        <v/>
      </c>
      <c r="O45" s="13"/>
      <c r="P45" s="13"/>
      <c r="Q45" s="367" t="str">
        <f t="shared" si="12"/>
        <v/>
      </c>
      <c r="R45" s="13" t="str">
        <f t="shared" ca="1" si="47"/>
        <v/>
      </c>
      <c r="S45" s="13">
        <f t="shared" ca="1" si="48"/>
        <v>0</v>
      </c>
      <c r="U45" s="13"/>
      <c r="V45" s="13"/>
      <c r="X45" s="13"/>
      <c r="Y45" s="13"/>
      <c r="AA45" s="367" t="e">
        <f t="shared" ca="1" si="49"/>
        <v>#N/A</v>
      </c>
      <c r="AB45" s="367">
        <f t="shared" ca="1" si="50"/>
        <v>0</v>
      </c>
      <c r="AC45" s="367" t="str">
        <f t="shared" ca="1" si="51"/>
        <v/>
      </c>
      <c r="AD45" s="127" t="str">
        <f t="shared" ca="1" si="52"/>
        <v/>
      </c>
      <c r="AE45" s="127" t="str">
        <f t="shared" ca="1" si="52"/>
        <v/>
      </c>
      <c r="AF45" s="127" t="str">
        <f t="shared" ca="1" si="52"/>
        <v/>
      </c>
      <c r="AG45" s="127" t="str">
        <f t="shared" ca="1" si="52"/>
        <v/>
      </c>
      <c r="AH45" s="127" t="str">
        <f t="shared" ca="1" si="52"/>
        <v/>
      </c>
      <c r="AI45" s="127" t="str">
        <f t="shared" ca="1" si="52"/>
        <v/>
      </c>
      <c r="AK45" s="127" t="str">
        <f t="shared" ca="1" si="53"/>
        <v/>
      </c>
      <c r="AL45" s="127" t="str">
        <f t="shared" ca="1" si="53"/>
        <v/>
      </c>
      <c r="AS45" s="127">
        <f t="shared" si="26"/>
        <v>60</v>
      </c>
      <c r="AT45" s="127">
        <f t="shared" ca="1" si="27"/>
        <v>2.5</v>
      </c>
      <c r="AU45" s="127">
        <f t="shared" ca="1" si="27"/>
        <v>2.5</v>
      </c>
      <c r="AV45" s="127">
        <f t="shared" ca="1" si="27"/>
        <v>2.5</v>
      </c>
    </row>
    <row r="46" spans="2:48">
      <c r="B46" s="367">
        <f>tblIndiSets!B36</f>
        <v>25</v>
      </c>
      <c r="C46" s="367">
        <f>tblIndiSets!D36</f>
        <v>2</v>
      </c>
      <c r="D46" s="367">
        <f>tblCategories!V29</f>
        <v>0</v>
      </c>
      <c r="E46" s="367" t="str">
        <f>tblIndiSets!H36</f>
        <v xml:space="preserve">Transport </v>
      </c>
      <c r="H46" s="367">
        <f t="shared" si="42"/>
        <v>100</v>
      </c>
      <c r="I46" s="13" t="str">
        <f t="shared" ca="1" si="43"/>
        <v>=1</v>
      </c>
      <c r="J46" s="13">
        <f t="shared" ca="1" si="44"/>
        <v>7</v>
      </c>
      <c r="K46" s="367">
        <f t="shared" si="8"/>
        <v>41</v>
      </c>
      <c r="L46" s="13" t="str">
        <f t="shared" ca="1" si="45"/>
        <v>24</v>
      </c>
      <c r="M46" s="13">
        <f t="shared" ca="1" si="46"/>
        <v>1</v>
      </c>
      <c r="N46" s="36" t="str">
        <f t="shared" si="11"/>
        <v/>
      </c>
      <c r="O46" s="13"/>
      <c r="P46" s="13"/>
      <c r="Q46" s="367" t="str">
        <f t="shared" si="12"/>
        <v/>
      </c>
      <c r="R46" s="13" t="str">
        <f t="shared" ca="1" si="47"/>
        <v/>
      </c>
      <c r="S46" s="13">
        <f t="shared" ca="1" si="48"/>
        <v>0</v>
      </c>
      <c r="U46" s="13"/>
      <c r="V46" s="13"/>
      <c r="X46" s="13"/>
      <c r="Y46" s="13"/>
      <c r="AA46" s="367" t="e">
        <f t="shared" ca="1" si="49"/>
        <v>#N/A</v>
      </c>
      <c r="AB46" s="367">
        <f t="shared" ca="1" si="50"/>
        <v>0</v>
      </c>
      <c r="AC46" s="367" t="str">
        <f t="shared" ca="1" si="51"/>
        <v/>
      </c>
      <c r="AD46" s="127" t="str">
        <f t="shared" ca="1" si="52"/>
        <v/>
      </c>
      <c r="AE46" s="127" t="str">
        <f t="shared" ca="1" si="52"/>
        <v/>
      </c>
      <c r="AF46" s="127" t="str">
        <f t="shared" ca="1" si="52"/>
        <v/>
      </c>
      <c r="AG46" s="127" t="str">
        <f t="shared" ca="1" si="52"/>
        <v/>
      </c>
      <c r="AH46" s="127" t="str">
        <f t="shared" ca="1" si="52"/>
        <v/>
      </c>
      <c r="AI46" s="127" t="str">
        <f t="shared" ca="1" si="52"/>
        <v/>
      </c>
      <c r="AK46" s="127" t="str">
        <f t="shared" ca="1" si="53"/>
        <v/>
      </c>
      <c r="AL46" s="127" t="str">
        <f t="shared" ca="1" si="53"/>
        <v/>
      </c>
      <c r="AS46" s="127">
        <f t="shared" si="26"/>
        <v>62.5</v>
      </c>
      <c r="AT46" s="127">
        <f t="shared" ca="1" si="27"/>
        <v>2.5</v>
      </c>
      <c r="AU46" s="127">
        <f t="shared" ca="1" si="27"/>
        <v>0</v>
      </c>
      <c r="AV46" s="127">
        <f t="shared" ca="1" si="27"/>
        <v>2.5</v>
      </c>
    </row>
    <row r="47" spans="2:48">
      <c r="B47" s="367">
        <f>tblIndiSets!B37</f>
        <v>26</v>
      </c>
      <c r="C47" s="367">
        <f>tblIndiSets!D37</f>
        <v>3</v>
      </c>
      <c r="D47" s="367">
        <f>tblCategories!V30</f>
        <v>0</v>
      </c>
      <c r="E47" s="367" t="str">
        <f>tblIndiSets!H37</f>
        <v>2.3.1</v>
      </c>
      <c r="H47" s="367">
        <f t="shared" si="42"/>
        <v>100</v>
      </c>
      <c r="I47" s="13" t="str">
        <f t="shared" ca="1" si="43"/>
        <v>=1</v>
      </c>
      <c r="J47" s="13">
        <f t="shared" ca="1" si="44"/>
        <v>11</v>
      </c>
      <c r="K47" s="367">
        <f t="shared" si="8"/>
        <v>33.299999999999997</v>
      </c>
      <c r="L47" s="13" t="str">
        <f t="shared" ca="1" si="45"/>
        <v>=23</v>
      </c>
      <c r="M47" s="13">
        <f t="shared" ca="1" si="46"/>
        <v>4</v>
      </c>
      <c r="N47" s="36" t="str">
        <f t="shared" si="11"/>
        <v/>
      </c>
      <c r="O47" s="13"/>
      <c r="P47" s="13"/>
      <c r="Q47" s="367" t="str">
        <f t="shared" si="12"/>
        <v/>
      </c>
      <c r="R47" s="13" t="str">
        <f t="shared" ca="1" si="47"/>
        <v/>
      </c>
      <c r="S47" s="13">
        <f t="shared" ca="1" si="48"/>
        <v>0</v>
      </c>
      <c r="U47" s="13"/>
      <c r="V47" s="13"/>
      <c r="X47" s="13"/>
      <c r="Y47" s="13"/>
      <c r="AA47" s="367" t="e">
        <f t="shared" ca="1" si="49"/>
        <v>#N/A</v>
      </c>
      <c r="AB47" s="367">
        <f t="shared" ca="1" si="50"/>
        <v>0</v>
      </c>
      <c r="AC47" s="367" t="str">
        <f t="shared" ca="1" si="51"/>
        <v/>
      </c>
      <c r="AD47" s="127" t="str">
        <f t="shared" ca="1" si="52"/>
        <v/>
      </c>
      <c r="AE47" s="127" t="str">
        <f t="shared" ca="1" si="52"/>
        <v/>
      </c>
      <c r="AF47" s="127" t="str">
        <f t="shared" ca="1" si="52"/>
        <v/>
      </c>
      <c r="AG47" s="127" t="str">
        <f t="shared" ca="1" si="52"/>
        <v/>
      </c>
      <c r="AH47" s="127" t="str">
        <f t="shared" ca="1" si="52"/>
        <v/>
      </c>
      <c r="AI47" s="127" t="str">
        <f t="shared" ca="1" si="52"/>
        <v/>
      </c>
      <c r="AK47" s="127" t="str">
        <f t="shared" ca="1" si="53"/>
        <v/>
      </c>
      <c r="AL47" s="127" t="str">
        <f t="shared" ca="1" si="53"/>
        <v/>
      </c>
      <c r="AS47" s="127">
        <f t="shared" si="26"/>
        <v>65</v>
      </c>
      <c r="AT47" s="127">
        <f t="shared" ca="1" si="27"/>
        <v>2.5</v>
      </c>
      <c r="AU47" s="127">
        <f t="shared" ca="1" si="27"/>
        <v>0</v>
      </c>
      <c r="AV47" s="127">
        <f t="shared" ca="1" si="27"/>
        <v>0</v>
      </c>
    </row>
    <row r="48" spans="2:48">
      <c r="B48" s="367">
        <f>tblIndiSets!B38</f>
        <v>27</v>
      </c>
      <c r="C48" s="367">
        <f>tblIndiSets!D38</f>
        <v>3</v>
      </c>
      <c r="D48" s="367">
        <f>tblCategories!V31</f>
        <v>0</v>
      </c>
      <c r="E48" s="367" t="str">
        <f>tblIndiSets!H38</f>
        <v>2.3.2</v>
      </c>
      <c r="H48" s="367">
        <f t="shared" si="42"/>
        <v>100</v>
      </c>
      <c r="I48" s="13" t="str">
        <f t="shared" ca="1" si="43"/>
        <v>=1</v>
      </c>
      <c r="J48" s="13">
        <f t="shared" ca="1" si="44"/>
        <v>15</v>
      </c>
      <c r="K48" s="367">
        <f t="shared" si="8"/>
        <v>50</v>
      </c>
      <c r="L48" s="13" t="str">
        <f t="shared" ca="1" si="45"/>
        <v>=16</v>
      </c>
      <c r="M48" s="13">
        <f t="shared" ca="1" si="46"/>
        <v>12</v>
      </c>
      <c r="N48" s="36" t="str">
        <f t="shared" si="11"/>
        <v/>
      </c>
      <c r="O48" s="13"/>
      <c r="P48" s="13"/>
      <c r="Q48" s="367" t="str">
        <f t="shared" si="12"/>
        <v/>
      </c>
      <c r="R48" s="13" t="str">
        <f t="shared" ca="1" si="47"/>
        <v/>
      </c>
      <c r="S48" s="13">
        <f t="shared" ca="1" si="48"/>
        <v>0</v>
      </c>
      <c r="U48" s="13"/>
      <c r="V48" s="13"/>
      <c r="X48" s="13"/>
      <c r="Y48" s="13"/>
      <c r="AA48" s="367" t="e">
        <f t="shared" ca="1" si="49"/>
        <v>#N/A</v>
      </c>
      <c r="AB48" s="367">
        <f t="shared" ca="1" si="50"/>
        <v>0</v>
      </c>
      <c r="AC48" s="367" t="str">
        <f t="shared" ca="1" si="51"/>
        <v/>
      </c>
      <c r="AD48" s="127" t="str">
        <f t="shared" ca="1" si="52"/>
        <v/>
      </c>
      <c r="AE48" s="127" t="str">
        <f t="shared" ca="1" si="52"/>
        <v/>
      </c>
      <c r="AF48" s="127" t="str">
        <f t="shared" ca="1" si="52"/>
        <v/>
      </c>
      <c r="AG48" s="127" t="str">
        <f t="shared" ca="1" si="52"/>
        <v/>
      </c>
      <c r="AH48" s="127" t="str">
        <f t="shared" ca="1" si="52"/>
        <v/>
      </c>
      <c r="AI48" s="127" t="str">
        <f t="shared" ca="1" si="52"/>
        <v/>
      </c>
      <c r="AK48" s="127" t="str">
        <f t="shared" ca="1" si="53"/>
        <v/>
      </c>
      <c r="AL48" s="127" t="str">
        <f t="shared" ca="1" si="53"/>
        <v/>
      </c>
      <c r="AS48" s="127">
        <f t="shared" si="26"/>
        <v>67.5</v>
      </c>
      <c r="AT48" s="127">
        <f t="shared" ca="1" si="27"/>
        <v>2.5</v>
      </c>
      <c r="AU48" s="127">
        <f t="shared" ca="1" si="27"/>
        <v>0</v>
      </c>
      <c r="AV48" s="127">
        <f t="shared" ca="1" si="27"/>
        <v>0</v>
      </c>
    </row>
    <row r="49" spans="2:48">
      <c r="B49" s="367">
        <f>tblIndiSets!B39</f>
        <v>28</v>
      </c>
      <c r="C49" s="367">
        <f>tblIndiSets!D39</f>
        <v>2</v>
      </c>
      <c r="D49" s="367">
        <f>tblCategories!V32</f>
        <v>0</v>
      </c>
      <c r="E49" s="367" t="str">
        <f>tblIndiSets!H39</f>
        <v>Healthcare</v>
      </c>
      <c r="H49" s="367">
        <f t="shared" si="42"/>
        <v>91.6</v>
      </c>
      <c r="I49" s="13" t="str">
        <f t="shared" ca="1" si="43"/>
        <v>7</v>
      </c>
      <c r="J49" s="13">
        <f t="shared" ca="1" si="44"/>
        <v>1</v>
      </c>
      <c r="K49" s="367">
        <f t="shared" si="8"/>
        <v>54.1</v>
      </c>
      <c r="L49" s="13" t="str">
        <f t="shared" ca="1" si="45"/>
        <v>24</v>
      </c>
      <c r="M49" s="13">
        <f t="shared" ca="1" si="46"/>
        <v>1</v>
      </c>
      <c r="N49" s="36" t="str">
        <f t="shared" si="11"/>
        <v/>
      </c>
      <c r="O49" s="13"/>
      <c r="P49" s="13"/>
      <c r="Q49" s="367" t="str">
        <f t="shared" si="12"/>
        <v/>
      </c>
      <c r="R49" s="13" t="str">
        <f t="shared" ca="1" si="47"/>
        <v/>
      </c>
      <c r="S49" s="13">
        <f t="shared" ca="1" si="48"/>
        <v>0</v>
      </c>
      <c r="U49" s="13"/>
      <c r="V49" s="13"/>
      <c r="X49" s="13"/>
      <c r="Y49" s="13"/>
      <c r="AA49" s="367" t="e">
        <f t="shared" ca="1" si="49"/>
        <v>#N/A</v>
      </c>
      <c r="AB49" s="367">
        <f t="shared" ca="1" si="50"/>
        <v>0</v>
      </c>
      <c r="AC49" s="367" t="str">
        <f t="shared" ca="1" si="51"/>
        <v/>
      </c>
      <c r="AD49" s="127" t="str">
        <f t="shared" ca="1" si="52"/>
        <v/>
      </c>
      <c r="AE49" s="127" t="str">
        <f t="shared" ca="1" si="52"/>
        <v/>
      </c>
      <c r="AF49" s="127" t="str">
        <f t="shared" ca="1" si="52"/>
        <v/>
      </c>
      <c r="AG49" s="127" t="str">
        <f t="shared" ca="1" si="52"/>
        <v/>
      </c>
      <c r="AH49" s="127" t="str">
        <f t="shared" ca="1" si="52"/>
        <v/>
      </c>
      <c r="AI49" s="127" t="str">
        <f t="shared" ca="1" si="52"/>
        <v/>
      </c>
      <c r="AK49" s="127" t="str">
        <f t="shared" ca="1" si="53"/>
        <v/>
      </c>
      <c r="AL49" s="127" t="str">
        <f t="shared" ca="1" si="53"/>
        <v/>
      </c>
      <c r="AS49" s="127">
        <f t="shared" si="26"/>
        <v>70</v>
      </c>
      <c r="AT49" s="127">
        <f t="shared" ca="1" si="27"/>
        <v>2.5</v>
      </c>
      <c r="AU49" s="127">
        <f t="shared" ca="1" si="27"/>
        <v>0</v>
      </c>
      <c r="AV49" s="127">
        <f t="shared" ca="1" si="27"/>
        <v>0</v>
      </c>
    </row>
    <row r="50" spans="2:48">
      <c r="B50" s="367">
        <f>tblIndiSets!B40</f>
        <v>29</v>
      </c>
      <c r="C50" s="367">
        <f>tblIndiSets!D40</f>
        <v>3</v>
      </c>
      <c r="D50" s="367">
        <f>tblCategories!V33</f>
        <v>0</v>
      </c>
      <c r="E50" s="367" t="str">
        <f>tblIndiSets!H40</f>
        <v>2.4.1</v>
      </c>
      <c r="H50" s="367">
        <f t="shared" si="42"/>
        <v>73.2</v>
      </c>
      <c r="I50" s="13" t="str">
        <f t="shared" ca="1" si="43"/>
        <v>14</v>
      </c>
      <c r="J50" s="13">
        <f t="shared" ca="1" si="44"/>
        <v>1</v>
      </c>
      <c r="K50" s="367">
        <f t="shared" si="8"/>
        <v>71.3</v>
      </c>
      <c r="L50" s="13" t="str">
        <f t="shared" ca="1" si="45"/>
        <v>15</v>
      </c>
      <c r="M50" s="13">
        <f t="shared" ca="1" si="46"/>
        <v>1</v>
      </c>
      <c r="N50" s="36" t="str">
        <f t="shared" si="11"/>
        <v/>
      </c>
      <c r="O50" s="13"/>
      <c r="P50" s="13"/>
      <c r="Q50" s="367" t="str">
        <f t="shared" si="12"/>
        <v/>
      </c>
      <c r="R50" s="13" t="str">
        <f t="shared" ca="1" si="47"/>
        <v/>
      </c>
      <c r="S50" s="13">
        <f t="shared" ca="1" si="48"/>
        <v>0</v>
      </c>
      <c r="U50" s="13"/>
      <c r="V50" s="13"/>
      <c r="X50" s="13"/>
      <c r="Y50" s="13"/>
      <c r="AA50" s="367" t="e">
        <f t="shared" ca="1" si="49"/>
        <v>#N/A</v>
      </c>
      <c r="AB50" s="367">
        <f t="shared" ca="1" si="50"/>
        <v>0</v>
      </c>
      <c r="AC50" s="367" t="str">
        <f t="shared" ca="1" si="51"/>
        <v/>
      </c>
      <c r="AD50" s="127" t="str">
        <f t="shared" ca="1" si="52"/>
        <v/>
      </c>
      <c r="AE50" s="127" t="str">
        <f t="shared" ca="1" si="52"/>
        <v/>
      </c>
      <c r="AF50" s="127" t="str">
        <f t="shared" ca="1" si="52"/>
        <v/>
      </c>
      <c r="AG50" s="127" t="str">
        <f t="shared" ca="1" si="52"/>
        <v/>
      </c>
      <c r="AH50" s="127" t="str">
        <f t="shared" ca="1" si="52"/>
        <v/>
      </c>
      <c r="AI50" s="127" t="str">
        <f t="shared" ca="1" si="52"/>
        <v/>
      </c>
      <c r="AK50" s="127" t="str">
        <f t="shared" ca="1" si="53"/>
        <v/>
      </c>
      <c r="AL50" s="127" t="str">
        <f t="shared" ca="1" si="53"/>
        <v/>
      </c>
      <c r="AS50" s="127">
        <f t="shared" si="26"/>
        <v>72.5</v>
      </c>
      <c r="AT50" s="127">
        <f t="shared" ca="1" si="27"/>
        <v>2.5</v>
      </c>
      <c r="AU50" s="127">
        <f t="shared" ca="1" si="27"/>
        <v>0</v>
      </c>
      <c r="AV50" s="127">
        <f t="shared" ca="1" si="27"/>
        <v>0</v>
      </c>
    </row>
    <row r="51" spans="2:48">
      <c r="B51" s="367">
        <f>tblIndiSets!B41</f>
        <v>30</v>
      </c>
      <c r="C51" s="367">
        <f>tblIndiSets!D41</f>
        <v>3</v>
      </c>
      <c r="D51" s="367">
        <f>tblCategories!V34</f>
        <v>0</v>
      </c>
      <c r="E51" s="367" t="str">
        <f>tblIndiSets!H41</f>
        <v>2.4.2</v>
      </c>
      <c r="H51" s="367">
        <f t="shared" si="42"/>
        <v>100</v>
      </c>
      <c r="I51" s="13" t="str">
        <f t="shared" ca="1" si="43"/>
        <v>=1</v>
      </c>
      <c r="J51" s="13">
        <f t="shared" ca="1" si="44"/>
        <v>16</v>
      </c>
      <c r="K51" s="367">
        <f t="shared" si="8"/>
        <v>0</v>
      </c>
      <c r="L51" s="13" t="str">
        <f t="shared" ca="1" si="45"/>
        <v>=29</v>
      </c>
      <c r="M51" s="13">
        <f t="shared" ca="1" si="46"/>
        <v>2</v>
      </c>
      <c r="N51" s="36" t="str">
        <f t="shared" si="11"/>
        <v/>
      </c>
      <c r="O51" s="13"/>
      <c r="P51" s="13"/>
      <c r="Q51" s="367" t="str">
        <f t="shared" si="12"/>
        <v/>
      </c>
      <c r="R51" s="13" t="str">
        <f t="shared" ca="1" si="47"/>
        <v/>
      </c>
      <c r="S51" s="13">
        <f t="shared" ca="1" si="48"/>
        <v>0</v>
      </c>
      <c r="U51" s="13"/>
      <c r="V51" s="13"/>
      <c r="X51" s="13"/>
      <c r="Y51" s="13"/>
      <c r="AA51" s="367" t="e">
        <f t="shared" ca="1" si="49"/>
        <v>#N/A</v>
      </c>
      <c r="AB51" s="367">
        <f t="shared" ca="1" si="50"/>
        <v>0</v>
      </c>
      <c r="AC51" s="367" t="str">
        <f t="shared" ca="1" si="51"/>
        <v/>
      </c>
      <c r="AD51" s="127" t="str">
        <f t="shared" ca="1" si="52"/>
        <v/>
      </c>
      <c r="AE51" s="127" t="str">
        <f t="shared" ca="1" si="52"/>
        <v/>
      </c>
      <c r="AF51" s="127" t="str">
        <f t="shared" ca="1" si="52"/>
        <v/>
      </c>
      <c r="AG51" s="127" t="str">
        <f t="shared" ca="1" si="52"/>
        <v/>
      </c>
      <c r="AH51" s="127" t="str">
        <f t="shared" ca="1" si="52"/>
        <v/>
      </c>
      <c r="AI51" s="127" t="str">
        <f t="shared" ca="1" si="52"/>
        <v/>
      </c>
      <c r="AK51" s="127" t="str">
        <f t="shared" ca="1" si="53"/>
        <v/>
      </c>
      <c r="AL51" s="127" t="str">
        <f t="shared" ca="1" si="53"/>
        <v/>
      </c>
      <c r="AS51" s="127">
        <f t="shared" si="26"/>
        <v>75</v>
      </c>
      <c r="AT51" s="127">
        <f t="shared" ca="1" si="27"/>
        <v>0</v>
      </c>
      <c r="AU51" s="127">
        <f t="shared" ca="1" si="27"/>
        <v>0</v>
      </c>
      <c r="AV51" s="127">
        <f t="shared" ca="1" si="27"/>
        <v>0</v>
      </c>
    </row>
    <row r="52" spans="2:48">
      <c r="B52" s="367">
        <f>tblIndiSets!B42</f>
        <v>31</v>
      </c>
      <c r="C52" s="367">
        <f>tblIndiSets!D42</f>
        <v>3</v>
      </c>
      <c r="D52" s="367">
        <f>tblCategories!V35</f>
        <v>0</v>
      </c>
      <c r="E52" s="367" t="str">
        <f>tblIndiSets!H42</f>
        <v>2.4.3</v>
      </c>
      <c r="H52" s="367">
        <f t="shared" si="42"/>
        <v>100</v>
      </c>
      <c r="I52" s="13" t="str">
        <f t="shared" ca="1" si="43"/>
        <v>=1</v>
      </c>
      <c r="J52" s="13">
        <f t="shared" ca="1" si="44"/>
        <v>26</v>
      </c>
      <c r="K52" s="367">
        <f t="shared" si="8"/>
        <v>100</v>
      </c>
      <c r="L52" s="13" t="str">
        <f t="shared" ca="1" si="45"/>
        <v>=1</v>
      </c>
      <c r="M52" s="13">
        <f t="shared" ca="1" si="46"/>
        <v>26</v>
      </c>
      <c r="N52" s="36" t="str">
        <f t="shared" si="11"/>
        <v/>
      </c>
      <c r="O52" s="13"/>
      <c r="P52" s="13"/>
      <c r="Q52" s="367" t="str">
        <f t="shared" si="12"/>
        <v/>
      </c>
      <c r="R52" s="13" t="str">
        <f t="shared" ca="1" si="47"/>
        <v/>
      </c>
      <c r="S52" s="13">
        <f t="shared" ca="1" si="48"/>
        <v>0</v>
      </c>
      <c r="U52" s="13"/>
      <c r="V52" s="13"/>
      <c r="X52" s="13"/>
      <c r="Y52" s="13"/>
      <c r="AA52" s="367" t="e">
        <f t="shared" ca="1" si="49"/>
        <v>#N/A</v>
      </c>
      <c r="AB52" s="367">
        <f t="shared" ca="1" si="50"/>
        <v>0</v>
      </c>
      <c r="AC52" s="367" t="str">
        <f t="shared" ca="1" si="51"/>
        <v/>
      </c>
      <c r="AD52" s="127" t="str">
        <f t="shared" ca="1" si="52"/>
        <v/>
      </c>
      <c r="AE52" s="127" t="str">
        <f t="shared" ca="1" si="52"/>
        <v/>
      </c>
      <c r="AF52" s="127" t="str">
        <f t="shared" ca="1" si="52"/>
        <v/>
      </c>
      <c r="AG52" s="127" t="str">
        <f t="shared" ca="1" si="52"/>
        <v/>
      </c>
      <c r="AH52" s="127" t="str">
        <f t="shared" ca="1" si="52"/>
        <v/>
      </c>
      <c r="AI52" s="127" t="str">
        <f t="shared" ca="1" si="52"/>
        <v/>
      </c>
      <c r="AK52" s="127" t="str">
        <f t="shared" ca="1" si="53"/>
        <v/>
      </c>
      <c r="AL52" s="127" t="str">
        <f t="shared" ca="1" si="53"/>
        <v/>
      </c>
      <c r="AS52" s="127">
        <f t="shared" si="26"/>
        <v>77.5</v>
      </c>
      <c r="AT52" s="127">
        <f t="shared" ca="1" si="27"/>
        <v>0</v>
      </c>
      <c r="AU52" s="127">
        <f t="shared" ca="1" si="27"/>
        <v>0</v>
      </c>
      <c r="AV52" s="127">
        <f t="shared" ca="1" si="27"/>
        <v>0</v>
      </c>
    </row>
    <row r="53" spans="2:48">
      <c r="B53" s="367">
        <f>tblIndiSets!B43</f>
        <v>32</v>
      </c>
      <c r="C53" s="367">
        <f>tblIndiSets!D43</f>
        <v>2</v>
      </c>
      <c r="D53" s="367">
        <f>tblCategories!V36</f>
        <v>0</v>
      </c>
      <c r="E53" s="367" t="str">
        <f>tblIndiSets!H43</f>
        <v>Education</v>
      </c>
      <c r="H53" s="367">
        <f t="shared" si="42"/>
        <v>100</v>
      </c>
      <c r="I53" s="13" t="str">
        <f t="shared" ca="1" si="43"/>
        <v>=1</v>
      </c>
      <c r="J53" s="13">
        <f t="shared" ca="1" si="44"/>
        <v>16</v>
      </c>
      <c r="K53" s="367">
        <f t="shared" si="8"/>
        <v>50</v>
      </c>
      <c r="L53" s="13" t="str">
        <f t="shared" ca="1" si="45"/>
        <v>=17</v>
      </c>
      <c r="M53" s="13">
        <f t="shared" ca="1" si="46"/>
        <v>12</v>
      </c>
      <c r="N53" s="36" t="str">
        <f t="shared" si="11"/>
        <v/>
      </c>
      <c r="O53" s="13"/>
      <c r="P53" s="13"/>
      <c r="Q53" s="367" t="str">
        <f t="shared" si="12"/>
        <v/>
      </c>
      <c r="R53" s="13" t="str">
        <f t="shared" ca="1" si="47"/>
        <v/>
      </c>
      <c r="S53" s="13">
        <f t="shared" ca="1" si="48"/>
        <v>0</v>
      </c>
      <c r="U53" s="13"/>
      <c r="V53" s="13"/>
      <c r="X53" s="13"/>
      <c r="Y53" s="13"/>
      <c r="AA53" s="367" t="e">
        <f t="shared" ca="1" si="49"/>
        <v>#N/A</v>
      </c>
      <c r="AB53" s="367">
        <f t="shared" ca="1" si="50"/>
        <v>0</v>
      </c>
      <c r="AC53" s="367" t="str">
        <f t="shared" ca="1" si="51"/>
        <v/>
      </c>
      <c r="AD53" s="127" t="str">
        <f t="shared" ca="1" si="52"/>
        <v/>
      </c>
      <c r="AE53" s="127" t="str">
        <f t="shared" ca="1" si="52"/>
        <v/>
      </c>
      <c r="AF53" s="127" t="str">
        <f t="shared" ca="1" si="52"/>
        <v/>
      </c>
      <c r="AG53" s="127" t="str">
        <f t="shared" ca="1" si="52"/>
        <v/>
      </c>
      <c r="AH53" s="127" t="str">
        <f t="shared" ca="1" si="52"/>
        <v/>
      </c>
      <c r="AI53" s="127" t="str">
        <f t="shared" ca="1" si="52"/>
        <v/>
      </c>
      <c r="AK53" s="127" t="str">
        <f t="shared" ca="1" si="53"/>
        <v/>
      </c>
      <c r="AL53" s="127" t="str">
        <f t="shared" ca="1" si="53"/>
        <v/>
      </c>
      <c r="AS53" s="127">
        <f t="shared" si="26"/>
        <v>80</v>
      </c>
      <c r="AT53" s="127">
        <f t="shared" ca="1" si="27"/>
        <v>0</v>
      </c>
      <c r="AU53" s="127">
        <f t="shared" ca="1" si="27"/>
        <v>0</v>
      </c>
      <c r="AV53" s="127">
        <f t="shared" ca="1" si="27"/>
        <v>0</v>
      </c>
    </row>
    <row r="54" spans="2:48">
      <c r="B54" s="367">
        <f>tblIndiSets!B44</f>
        <v>33</v>
      </c>
      <c r="C54" s="367">
        <f>tblIndiSets!D44</f>
        <v>3</v>
      </c>
      <c r="D54" s="367">
        <f>tblCategories!V37</f>
        <v>0</v>
      </c>
      <c r="E54" s="367" t="str">
        <f>tblIndiSets!H44</f>
        <v>2.5.1</v>
      </c>
      <c r="H54" s="367">
        <f t="shared" si="42"/>
        <v>100</v>
      </c>
      <c r="I54" s="13" t="str">
        <f t="shared" ca="1" si="43"/>
        <v>=1</v>
      </c>
      <c r="J54" s="13">
        <f t="shared" ca="1" si="44"/>
        <v>16</v>
      </c>
      <c r="K54" s="367">
        <f t="shared" si="8"/>
        <v>50</v>
      </c>
      <c r="L54" s="13" t="str">
        <f t="shared" ca="1" si="45"/>
        <v>=17</v>
      </c>
      <c r="M54" s="13">
        <f t="shared" ca="1" si="46"/>
        <v>12</v>
      </c>
      <c r="N54" s="36" t="str">
        <f t="shared" si="11"/>
        <v/>
      </c>
      <c r="O54" s="13"/>
      <c r="P54" s="13"/>
      <c r="Q54" s="367" t="str">
        <f t="shared" si="12"/>
        <v/>
      </c>
      <c r="R54" s="13" t="str">
        <f t="shared" ca="1" si="47"/>
        <v/>
      </c>
      <c r="S54" s="13">
        <f t="shared" ca="1" si="48"/>
        <v>0</v>
      </c>
      <c r="U54" s="13"/>
      <c r="V54" s="13"/>
      <c r="X54" s="13"/>
      <c r="Y54" s="13"/>
      <c r="AA54" s="367" t="e">
        <f t="shared" ca="1" si="49"/>
        <v>#N/A</v>
      </c>
      <c r="AB54" s="367">
        <f t="shared" ca="1" si="50"/>
        <v>0</v>
      </c>
      <c r="AC54" s="367" t="str">
        <f t="shared" ca="1" si="51"/>
        <v/>
      </c>
      <c r="AD54" s="127" t="str">
        <f t="shared" ca="1" si="52"/>
        <v/>
      </c>
      <c r="AE54" s="127" t="str">
        <f t="shared" ca="1" si="52"/>
        <v/>
      </c>
      <c r="AF54" s="127" t="str">
        <f t="shared" ca="1" si="52"/>
        <v/>
      </c>
      <c r="AG54" s="127" t="str">
        <f t="shared" ca="1" si="52"/>
        <v/>
      </c>
      <c r="AH54" s="127" t="str">
        <f t="shared" ca="1" si="52"/>
        <v/>
      </c>
      <c r="AI54" s="127" t="str">
        <f t="shared" ca="1" si="52"/>
        <v/>
      </c>
      <c r="AK54" s="127" t="str">
        <f t="shared" ca="1" si="53"/>
        <v/>
      </c>
      <c r="AL54" s="127" t="str">
        <f t="shared" ca="1" si="53"/>
        <v/>
      </c>
      <c r="AS54" s="127">
        <f t="shared" si="26"/>
        <v>82.5</v>
      </c>
      <c r="AT54" s="127">
        <f t="shared" ca="1" si="27"/>
        <v>0</v>
      </c>
      <c r="AU54" s="127">
        <f t="shared" ca="1" si="27"/>
        <v>0</v>
      </c>
      <c r="AV54" s="127">
        <f t="shared" ca="1" si="27"/>
        <v>0</v>
      </c>
    </row>
    <row r="55" spans="2:48">
      <c r="B55" s="367">
        <f>tblIndiSets!B45</f>
        <v>34</v>
      </c>
      <c r="C55" s="367">
        <f>tblIndiSets!D45</f>
        <v>2</v>
      </c>
      <c r="D55" s="367">
        <f>tblCategories!V38</f>
        <v>0</v>
      </c>
      <c r="E55" s="367" t="str">
        <f>tblIndiSets!H45</f>
        <v>Retail and hospitality</v>
      </c>
      <c r="H55" s="367">
        <f t="shared" si="42"/>
        <v>40.299999999999997</v>
      </c>
      <c r="I55" s="13" t="str">
        <f t="shared" ca="1" si="43"/>
        <v>9</v>
      </c>
      <c r="J55" s="13">
        <f t="shared" ca="1" si="44"/>
        <v>1</v>
      </c>
      <c r="K55" s="367">
        <f t="shared" si="8"/>
        <v>19.2</v>
      </c>
      <c r="L55" s="13" t="str">
        <f t="shared" ca="1" si="45"/>
        <v>21</v>
      </c>
      <c r="M55" s="13">
        <f t="shared" ca="1" si="46"/>
        <v>1</v>
      </c>
      <c r="N55" s="36" t="str">
        <f t="shared" si="11"/>
        <v/>
      </c>
      <c r="O55" s="13"/>
      <c r="P55" s="13"/>
      <c r="Q55" s="367" t="str">
        <f t="shared" si="12"/>
        <v/>
      </c>
      <c r="R55" s="13" t="str">
        <f t="shared" ca="1" si="47"/>
        <v/>
      </c>
      <c r="S55" s="13">
        <f t="shared" ca="1" si="48"/>
        <v>0</v>
      </c>
      <c r="U55" s="13"/>
      <c r="V55" s="13"/>
      <c r="X55" s="13"/>
      <c r="Y55" s="13"/>
      <c r="AA55" s="367" t="e">
        <f t="shared" ca="1" si="49"/>
        <v>#N/A</v>
      </c>
      <c r="AB55" s="367">
        <f t="shared" ca="1" si="50"/>
        <v>0</v>
      </c>
      <c r="AC55" s="367" t="str">
        <f t="shared" ca="1" si="51"/>
        <v/>
      </c>
      <c r="AD55" s="127" t="str">
        <f t="shared" ca="1" si="52"/>
        <v/>
      </c>
      <c r="AE55" s="127" t="str">
        <f t="shared" ca="1" si="52"/>
        <v/>
      </c>
      <c r="AF55" s="127" t="str">
        <f t="shared" ca="1" si="52"/>
        <v/>
      </c>
      <c r="AG55" s="127" t="str">
        <f t="shared" ca="1" si="52"/>
        <v/>
      </c>
      <c r="AH55" s="127" t="str">
        <f t="shared" ca="1" si="52"/>
        <v/>
      </c>
      <c r="AI55" s="127" t="str">
        <f t="shared" ca="1" si="52"/>
        <v/>
      </c>
      <c r="AK55" s="127" t="str">
        <f t="shared" ca="1" si="53"/>
        <v/>
      </c>
      <c r="AL55" s="127" t="str">
        <f t="shared" ca="1" si="53"/>
        <v/>
      </c>
      <c r="AS55" s="127">
        <f t="shared" si="26"/>
        <v>85</v>
      </c>
      <c r="AT55" s="127">
        <f t="shared" ca="1" si="27"/>
        <v>0</v>
      </c>
      <c r="AU55" s="127">
        <f t="shared" ca="1" si="27"/>
        <v>0</v>
      </c>
      <c r="AV55" s="127">
        <f t="shared" ca="1" si="27"/>
        <v>0</v>
      </c>
    </row>
    <row r="56" spans="2:48">
      <c r="B56" s="367">
        <f>tblIndiSets!B46</f>
        <v>35</v>
      </c>
      <c r="C56" s="367">
        <f>tblIndiSets!D46</f>
        <v>3</v>
      </c>
      <c r="D56" s="367">
        <f>tblCategories!V39</f>
        <v>0</v>
      </c>
      <c r="E56" s="367" t="str">
        <f>tblIndiSets!H46</f>
        <v>2.6.1</v>
      </c>
      <c r="H56" s="367">
        <f t="shared" si="42"/>
        <v>71.2</v>
      </c>
      <c r="I56" s="13" t="str">
        <f t="shared" ca="1" si="43"/>
        <v>3</v>
      </c>
      <c r="J56" s="13">
        <f t="shared" ca="1" si="44"/>
        <v>1</v>
      </c>
      <c r="K56" s="367">
        <f t="shared" si="8"/>
        <v>34</v>
      </c>
      <c r="L56" s="13" t="str">
        <f t="shared" ca="1" si="45"/>
        <v>19</v>
      </c>
      <c r="M56" s="13">
        <f t="shared" ca="1" si="46"/>
        <v>1</v>
      </c>
      <c r="N56" s="36" t="str">
        <f t="shared" si="11"/>
        <v/>
      </c>
      <c r="O56" s="13"/>
      <c r="P56" s="13"/>
      <c r="Q56" s="367" t="str">
        <f t="shared" si="12"/>
        <v/>
      </c>
      <c r="R56" s="13" t="str">
        <f t="shared" ca="1" si="47"/>
        <v/>
      </c>
      <c r="S56" s="13">
        <f t="shared" ca="1" si="48"/>
        <v>0</v>
      </c>
      <c r="U56" s="13"/>
      <c r="V56" s="13"/>
      <c r="X56" s="13"/>
      <c r="Y56" s="13"/>
      <c r="AA56" s="367" t="e">
        <f t="shared" ca="1" si="49"/>
        <v>#N/A</v>
      </c>
      <c r="AB56" s="367">
        <f t="shared" ca="1" si="50"/>
        <v>0</v>
      </c>
      <c r="AC56" s="367" t="str">
        <f t="shared" ca="1" si="51"/>
        <v/>
      </c>
      <c r="AD56" s="127" t="str">
        <f t="shared" ca="1" si="52"/>
        <v/>
      </c>
      <c r="AE56" s="127" t="str">
        <f t="shared" ca="1" si="52"/>
        <v/>
      </c>
      <c r="AF56" s="127" t="str">
        <f t="shared" ca="1" si="52"/>
        <v/>
      </c>
      <c r="AG56" s="127" t="str">
        <f t="shared" ca="1" si="52"/>
        <v/>
      </c>
      <c r="AH56" s="127" t="str">
        <f t="shared" ca="1" si="52"/>
        <v/>
      </c>
      <c r="AI56" s="127" t="str">
        <f t="shared" ca="1" si="52"/>
        <v/>
      </c>
      <c r="AK56" s="127" t="str">
        <f t="shared" ca="1" si="53"/>
        <v/>
      </c>
      <c r="AL56" s="127" t="str">
        <f t="shared" ca="1" si="53"/>
        <v/>
      </c>
      <c r="AS56" s="127">
        <f t="shared" si="26"/>
        <v>87.5</v>
      </c>
      <c r="AT56" s="127">
        <f t="shared" ca="1" si="27"/>
        <v>0</v>
      </c>
      <c r="AU56" s="127">
        <f t="shared" ca="1" si="27"/>
        <v>0</v>
      </c>
      <c r="AV56" s="127">
        <f t="shared" ca="1" si="27"/>
        <v>0</v>
      </c>
    </row>
    <row r="57" spans="2:48">
      <c r="B57" s="367">
        <f>tblIndiSets!B47</f>
        <v>36</v>
      </c>
      <c r="C57" s="367">
        <f>tblIndiSets!D47</f>
        <v>3</v>
      </c>
      <c r="D57" s="367">
        <f>tblCategories!V40</f>
        <v>0</v>
      </c>
      <c r="E57" s="367" t="str">
        <f>tblIndiSets!H47</f>
        <v>2.6.2</v>
      </c>
      <c r="H57" s="367">
        <f t="shared" si="42"/>
        <v>0</v>
      </c>
      <c r="I57" s="13" t="str">
        <f t="shared" ca="1" si="43"/>
        <v>=8</v>
      </c>
      <c r="J57" s="13">
        <f t="shared" ca="1" si="44"/>
        <v>23</v>
      </c>
      <c r="K57" s="367">
        <f t="shared" si="8"/>
        <v>0</v>
      </c>
      <c r="L57" s="13" t="str">
        <f t="shared" ca="1" si="45"/>
        <v>=8</v>
      </c>
      <c r="M57" s="13">
        <f t="shared" ca="1" si="46"/>
        <v>23</v>
      </c>
      <c r="N57" s="36" t="str">
        <f t="shared" si="11"/>
        <v/>
      </c>
      <c r="O57" s="13"/>
      <c r="P57" s="13"/>
      <c r="Q57" s="367" t="str">
        <f t="shared" si="12"/>
        <v/>
      </c>
      <c r="R57" s="13" t="str">
        <f t="shared" ca="1" si="47"/>
        <v/>
      </c>
      <c r="S57" s="13">
        <f t="shared" ca="1" si="48"/>
        <v>0</v>
      </c>
      <c r="U57" s="13"/>
      <c r="V57" s="13"/>
      <c r="X57" s="13"/>
      <c r="Y57" s="13"/>
      <c r="AA57" s="367" t="e">
        <f t="shared" ca="1" si="49"/>
        <v>#N/A</v>
      </c>
      <c r="AB57" s="367">
        <f t="shared" ca="1" si="50"/>
        <v>0</v>
      </c>
      <c r="AC57" s="367" t="str">
        <f t="shared" ca="1" si="51"/>
        <v/>
      </c>
      <c r="AD57" s="127" t="str">
        <f t="shared" ca="1" si="52"/>
        <v/>
      </c>
      <c r="AE57" s="127" t="str">
        <f t="shared" ca="1" si="52"/>
        <v/>
      </c>
      <c r="AF57" s="127" t="str">
        <f t="shared" ca="1" si="52"/>
        <v/>
      </c>
      <c r="AG57" s="127" t="str">
        <f t="shared" ca="1" si="52"/>
        <v/>
      </c>
      <c r="AH57" s="127" t="str">
        <f t="shared" ca="1" si="52"/>
        <v/>
      </c>
      <c r="AI57" s="127" t="str">
        <f t="shared" ca="1" si="52"/>
        <v/>
      </c>
      <c r="AK57" s="127" t="str">
        <f t="shared" ca="1" si="53"/>
        <v/>
      </c>
      <c r="AL57" s="127" t="str">
        <f t="shared" ca="1" si="53"/>
        <v/>
      </c>
      <c r="AS57" s="127">
        <f t="shared" si="26"/>
        <v>90</v>
      </c>
      <c r="AT57" s="127">
        <f t="shared" ca="1" si="27"/>
        <v>0</v>
      </c>
      <c r="AU57" s="127">
        <f t="shared" ca="1" si="27"/>
        <v>0</v>
      </c>
      <c r="AV57" s="127">
        <f t="shared" ca="1" si="27"/>
        <v>0</v>
      </c>
    </row>
    <row r="58" spans="2:48">
      <c r="B58" s="367">
        <f>tblIndiSets!B48</f>
        <v>37</v>
      </c>
      <c r="C58" s="367">
        <f>tblIndiSets!D48</f>
        <v>1</v>
      </c>
      <c r="D58" s="367">
        <f>tblCategories!V41</f>
        <v>1</v>
      </c>
      <c r="E58" s="367" t="str">
        <f>tblIndiSets!H48</f>
        <v>Culture</v>
      </c>
      <c r="H58" s="367">
        <f t="shared" si="42"/>
        <v>62.1</v>
      </c>
      <c r="I58" s="13" t="str">
        <f t="shared" ca="1" si="43"/>
        <v>15</v>
      </c>
      <c r="J58" s="13">
        <f t="shared" ca="1" si="44"/>
        <v>1</v>
      </c>
      <c r="K58" s="367">
        <f t="shared" si="8"/>
        <v>67</v>
      </c>
      <c r="L58" s="13" t="str">
        <f t="shared" ca="1" si="45"/>
        <v>7</v>
      </c>
      <c r="M58" s="13">
        <f t="shared" ca="1" si="46"/>
        <v>1</v>
      </c>
      <c r="N58" s="36" t="str">
        <f t="shared" si="11"/>
        <v/>
      </c>
      <c r="O58" s="13"/>
      <c r="P58" s="13"/>
      <c r="Q58" s="367" t="str">
        <f t="shared" si="12"/>
        <v/>
      </c>
      <c r="R58" s="13" t="str">
        <f t="shared" ca="1" si="47"/>
        <v/>
      </c>
      <c r="S58" s="13">
        <f t="shared" ca="1" si="48"/>
        <v>0</v>
      </c>
      <c r="U58" s="13"/>
      <c r="V58" s="13"/>
      <c r="X58" s="13"/>
      <c r="Y58" s="13"/>
      <c r="AA58" s="367" t="e">
        <f t="shared" ca="1" si="49"/>
        <v>#N/A</v>
      </c>
      <c r="AB58" s="367">
        <f t="shared" ca="1" si="50"/>
        <v>0</v>
      </c>
      <c r="AC58" s="367" t="str">
        <f t="shared" ca="1" si="51"/>
        <v/>
      </c>
      <c r="AD58" s="127" t="str">
        <f t="shared" ca="1" si="52"/>
        <v/>
      </c>
      <c r="AE58" s="127" t="str">
        <f t="shared" ca="1" si="52"/>
        <v/>
      </c>
      <c r="AF58" s="127" t="str">
        <f t="shared" ca="1" si="52"/>
        <v/>
      </c>
      <c r="AG58" s="127" t="str">
        <f t="shared" ca="1" si="52"/>
        <v/>
      </c>
      <c r="AH58" s="127" t="str">
        <f t="shared" ca="1" si="52"/>
        <v/>
      </c>
      <c r="AI58" s="127" t="str">
        <f t="shared" ca="1" si="52"/>
        <v/>
      </c>
      <c r="AK58" s="127" t="str">
        <f t="shared" ca="1" si="53"/>
        <v/>
      </c>
      <c r="AL58" s="127" t="str">
        <f t="shared" ca="1" si="53"/>
        <v/>
      </c>
      <c r="AS58" s="127">
        <f t="shared" si="26"/>
        <v>92.5</v>
      </c>
      <c r="AT58" s="127">
        <f t="shared" ca="1" si="27"/>
        <v>0</v>
      </c>
      <c r="AU58" s="127">
        <f t="shared" ca="1" si="27"/>
        <v>0</v>
      </c>
      <c r="AV58" s="127">
        <f t="shared" ca="1" si="27"/>
        <v>0</v>
      </c>
    </row>
    <row r="59" spans="2:48">
      <c r="B59" s="367">
        <f>tblIndiSets!B49</f>
        <v>38</v>
      </c>
      <c r="C59" s="367">
        <f>tblIndiSets!D49</f>
        <v>2</v>
      </c>
      <c r="D59" s="367">
        <f>tblCategories!V42</f>
        <v>0</v>
      </c>
      <c r="E59" s="367" t="str">
        <f>tblIndiSets!H49</f>
        <v>Digital inclusion</v>
      </c>
      <c r="H59" s="367">
        <f t="shared" si="42"/>
        <v>65.8</v>
      </c>
      <c r="I59" s="13" t="str">
        <f t="shared" ca="1" si="43"/>
        <v>22</v>
      </c>
      <c r="J59" s="13">
        <f t="shared" ca="1" si="44"/>
        <v>1</v>
      </c>
      <c r="K59" s="367">
        <f t="shared" si="8"/>
        <v>69.400000000000006</v>
      </c>
      <c r="L59" s="13" t="str">
        <f t="shared" ca="1" si="45"/>
        <v>17</v>
      </c>
      <c r="M59" s="13">
        <f t="shared" ca="1" si="46"/>
        <v>1</v>
      </c>
      <c r="N59" s="36" t="str">
        <f t="shared" si="11"/>
        <v/>
      </c>
      <c r="O59" s="13"/>
      <c r="P59" s="13"/>
      <c r="Q59" s="367" t="str">
        <f t="shared" si="12"/>
        <v/>
      </c>
      <c r="R59" s="13" t="str">
        <f t="shared" ca="1" si="47"/>
        <v/>
      </c>
      <c r="S59" s="13">
        <f t="shared" ca="1" si="48"/>
        <v>0</v>
      </c>
      <c r="U59" s="13"/>
      <c r="V59" s="13"/>
      <c r="X59" s="13"/>
      <c r="Y59" s="13"/>
      <c r="AA59" s="367" t="e">
        <f t="shared" ca="1" si="49"/>
        <v>#N/A</v>
      </c>
      <c r="AB59" s="367">
        <f t="shared" ca="1" si="50"/>
        <v>0</v>
      </c>
      <c r="AC59" s="367" t="str">
        <f t="shared" ca="1" si="51"/>
        <v/>
      </c>
      <c r="AD59" s="127" t="str">
        <f t="shared" ca="1" si="52"/>
        <v/>
      </c>
      <c r="AE59" s="127" t="str">
        <f t="shared" ca="1" si="52"/>
        <v/>
      </c>
      <c r="AF59" s="127" t="str">
        <f t="shared" ca="1" si="52"/>
        <v/>
      </c>
      <c r="AG59" s="127" t="str">
        <f t="shared" ca="1" si="52"/>
        <v/>
      </c>
      <c r="AH59" s="127" t="str">
        <f t="shared" ca="1" si="52"/>
        <v/>
      </c>
      <c r="AI59" s="127" t="str">
        <f t="shared" ca="1" si="52"/>
        <v/>
      </c>
      <c r="AK59" s="127" t="str">
        <f t="shared" ca="1" si="53"/>
        <v/>
      </c>
      <c r="AL59" s="127" t="str">
        <f t="shared" ca="1" si="53"/>
        <v/>
      </c>
      <c r="AS59" s="127">
        <f t="shared" si="26"/>
        <v>95</v>
      </c>
      <c r="AT59" s="127">
        <f t="shared" ca="1" si="27"/>
        <v>0</v>
      </c>
      <c r="AU59" s="127">
        <f t="shared" ca="1" si="27"/>
        <v>0</v>
      </c>
      <c r="AV59" s="127">
        <f t="shared" ca="1" si="27"/>
        <v>0</v>
      </c>
    </row>
    <row r="60" spans="2:48">
      <c r="B60" s="367">
        <f>tblIndiSets!B50</f>
        <v>39</v>
      </c>
      <c r="C60" s="367">
        <f>tblIndiSets!D50</f>
        <v>3</v>
      </c>
      <c r="D60" s="367">
        <f>tblCategories!V43</f>
        <v>0</v>
      </c>
      <c r="E60" s="367" t="str">
        <f>tblIndiSets!H50</f>
        <v>3.1.1</v>
      </c>
      <c r="H60" s="367">
        <f t="shared" si="42"/>
        <v>87</v>
      </c>
      <c r="I60" s="13" t="str">
        <f t="shared" ca="1" si="43"/>
        <v>9</v>
      </c>
      <c r="J60" s="13">
        <f t="shared" ca="1" si="44"/>
        <v>1</v>
      </c>
      <c r="K60" s="367">
        <f t="shared" si="8"/>
        <v>85.2</v>
      </c>
      <c r="L60" s="13" t="str">
        <f t="shared" ca="1" si="45"/>
        <v>11</v>
      </c>
      <c r="M60" s="13">
        <f t="shared" ca="1" si="46"/>
        <v>1</v>
      </c>
      <c r="N60" s="36" t="str">
        <f t="shared" si="11"/>
        <v/>
      </c>
      <c r="O60" s="13"/>
      <c r="P60" s="13"/>
      <c r="Q60" s="367" t="str">
        <f t="shared" si="12"/>
        <v/>
      </c>
      <c r="R60" s="13" t="str">
        <f t="shared" ca="1" si="47"/>
        <v/>
      </c>
      <c r="S60" s="13">
        <f t="shared" ca="1" si="48"/>
        <v>0</v>
      </c>
      <c r="U60" s="13"/>
      <c r="V60" s="13"/>
      <c r="X60" s="13"/>
      <c r="Y60" s="13"/>
      <c r="AA60" s="367" t="e">
        <f t="shared" ca="1" si="49"/>
        <v>#N/A</v>
      </c>
      <c r="AB60" s="367">
        <f t="shared" ca="1" si="50"/>
        <v>0</v>
      </c>
      <c r="AC60" s="367" t="str">
        <f t="shared" ca="1" si="51"/>
        <v/>
      </c>
      <c r="AD60" s="127" t="str">
        <f t="shared" ca="1" si="52"/>
        <v/>
      </c>
      <c r="AE60" s="127" t="str">
        <f t="shared" ca="1" si="52"/>
        <v/>
      </c>
      <c r="AF60" s="127" t="str">
        <f t="shared" ca="1" si="52"/>
        <v/>
      </c>
      <c r="AG60" s="127" t="str">
        <f t="shared" ca="1" si="52"/>
        <v/>
      </c>
      <c r="AH60" s="127" t="str">
        <f t="shared" ca="1" si="52"/>
        <v/>
      </c>
      <c r="AI60" s="127" t="str">
        <f t="shared" ca="1" si="52"/>
        <v/>
      </c>
      <c r="AK60" s="127" t="str">
        <f t="shared" ca="1" si="53"/>
        <v/>
      </c>
      <c r="AL60" s="127" t="str">
        <f t="shared" ca="1" si="53"/>
        <v/>
      </c>
      <c r="AS60" s="127">
        <f t="shared" si="26"/>
        <v>97.5</v>
      </c>
      <c r="AT60" s="127">
        <f t="shared" ca="1" si="27"/>
        <v>0</v>
      </c>
      <c r="AU60" s="127">
        <f t="shared" ca="1" si="27"/>
        <v>0</v>
      </c>
      <c r="AV60" s="127">
        <f t="shared" ca="1" si="27"/>
        <v>0</v>
      </c>
    </row>
    <row r="61" spans="2:48">
      <c r="B61" s="367">
        <f>tblIndiSets!B51</f>
        <v>40</v>
      </c>
      <c r="C61" s="367">
        <f>tblIndiSets!D51</f>
        <v>3</v>
      </c>
      <c r="D61" s="367">
        <f>tblCategories!V44</f>
        <v>0</v>
      </c>
      <c r="E61" s="367" t="str">
        <f>tblIndiSets!H51</f>
        <v>3.1.2</v>
      </c>
      <c r="H61" s="367">
        <f t="shared" si="42"/>
        <v>94</v>
      </c>
      <c r="I61" s="13" t="str">
        <f t="shared" ca="1" si="43"/>
        <v>=23</v>
      </c>
      <c r="J61" s="13">
        <f t="shared" ca="1" si="44"/>
        <v>2</v>
      </c>
      <c r="K61" s="367">
        <f t="shared" si="8"/>
        <v>96.9</v>
      </c>
      <c r="L61" s="13" t="str">
        <f t="shared" ca="1" si="45"/>
        <v>16</v>
      </c>
      <c r="M61" s="13">
        <f t="shared" ca="1" si="46"/>
        <v>1</v>
      </c>
      <c r="N61" s="36" t="str">
        <f t="shared" si="11"/>
        <v/>
      </c>
      <c r="O61" s="13"/>
      <c r="P61" s="13"/>
      <c r="Q61" s="367" t="str">
        <f t="shared" si="12"/>
        <v/>
      </c>
      <c r="R61" s="13" t="str">
        <f t="shared" ca="1" si="47"/>
        <v/>
      </c>
      <c r="S61" s="13">
        <f t="shared" ca="1" si="48"/>
        <v>0</v>
      </c>
      <c r="U61" s="13"/>
      <c r="V61" s="13"/>
      <c r="X61" s="13"/>
      <c r="Y61" s="13"/>
      <c r="AA61" s="367" t="e">
        <f t="shared" ca="1" si="49"/>
        <v>#N/A</v>
      </c>
      <c r="AB61" s="367">
        <f t="shared" ca="1" si="50"/>
        <v>0</v>
      </c>
      <c r="AC61" s="367" t="str">
        <f t="shared" ca="1" si="51"/>
        <v/>
      </c>
      <c r="AD61" s="127" t="str">
        <f t="shared" ref="AD61:AI91" ca="1" si="54">IF(ISNUMBER($AA61),INDEX($H$22:$R$91,$AA61,AD$19),"")</f>
        <v/>
      </c>
      <c r="AE61" s="127" t="str">
        <f t="shared" ca="1" si="54"/>
        <v/>
      </c>
      <c r="AF61" s="127" t="str">
        <f t="shared" ca="1" si="54"/>
        <v/>
      </c>
      <c r="AG61" s="127" t="str">
        <f t="shared" ca="1" si="54"/>
        <v/>
      </c>
      <c r="AH61" s="127" t="str">
        <f t="shared" ca="1" si="54"/>
        <v/>
      </c>
      <c r="AI61" s="127" t="str">
        <f t="shared" ca="1" si="54"/>
        <v/>
      </c>
      <c r="AK61" s="127" t="str">
        <f t="shared" ref="AK61:AL91" ca="1" si="55">IF(ISNUMBER($AA61),INDEX($H$22:$X$91,$AA61,AK$19),"")</f>
        <v/>
      </c>
      <c r="AL61" s="127" t="str">
        <f t="shared" ca="1" si="55"/>
        <v/>
      </c>
      <c r="AS61" s="127">
        <f t="shared" si="26"/>
        <v>100</v>
      </c>
      <c r="AT61" s="127">
        <f t="shared" ca="1" si="27"/>
        <v>0</v>
      </c>
      <c r="AU61" s="127">
        <f t="shared" ca="1" si="27"/>
        <v>0</v>
      </c>
      <c r="AV61" s="127">
        <f t="shared" ca="1" si="27"/>
        <v>0</v>
      </c>
    </row>
    <row r="62" spans="2:48">
      <c r="B62" s="367">
        <f>tblIndiSets!B52</f>
        <v>41</v>
      </c>
      <c r="C62" s="367">
        <f>tblIndiSets!D52</f>
        <v>3</v>
      </c>
      <c r="D62" s="367">
        <f>tblCategories!V45</f>
        <v>0</v>
      </c>
      <c r="E62" s="367" t="str">
        <f>tblIndiSets!H52</f>
        <v>3.1.3</v>
      </c>
      <c r="H62" s="367">
        <f t="shared" si="42"/>
        <v>12.8</v>
      </c>
      <c r="I62" s="13" t="str">
        <f t="shared" ca="1" si="43"/>
        <v>27</v>
      </c>
      <c r="J62" s="13">
        <f t="shared" ca="1" si="44"/>
        <v>1</v>
      </c>
      <c r="K62" s="367">
        <f t="shared" si="8"/>
        <v>23.3</v>
      </c>
      <c r="L62" s="13" t="str">
        <f t="shared" ca="1" si="45"/>
        <v>20</v>
      </c>
      <c r="M62" s="13">
        <f t="shared" ca="1" si="46"/>
        <v>1</v>
      </c>
      <c r="N62" s="36" t="str">
        <f t="shared" si="11"/>
        <v/>
      </c>
      <c r="O62" s="13"/>
      <c r="P62" s="13"/>
      <c r="Q62" s="367" t="str">
        <f t="shared" si="12"/>
        <v/>
      </c>
      <c r="R62" s="13" t="str">
        <f t="shared" ca="1" si="47"/>
        <v/>
      </c>
      <c r="S62" s="13">
        <f t="shared" ca="1" si="48"/>
        <v>0</v>
      </c>
      <c r="U62" s="13"/>
      <c r="V62" s="13"/>
      <c r="X62" s="13"/>
      <c r="Y62" s="13"/>
      <c r="AA62" s="367" t="e">
        <f t="shared" ca="1" si="49"/>
        <v>#N/A</v>
      </c>
      <c r="AB62" s="367">
        <f t="shared" ca="1" si="50"/>
        <v>0</v>
      </c>
      <c r="AC62" s="367" t="str">
        <f t="shared" ca="1" si="51"/>
        <v/>
      </c>
      <c r="AD62" s="127" t="str">
        <f t="shared" ca="1" si="54"/>
        <v/>
      </c>
      <c r="AE62" s="127" t="str">
        <f t="shared" ca="1" si="54"/>
        <v/>
      </c>
      <c r="AF62" s="127" t="str">
        <f t="shared" ca="1" si="54"/>
        <v/>
      </c>
      <c r="AG62" s="127" t="str">
        <f t="shared" ca="1" si="54"/>
        <v/>
      </c>
      <c r="AH62" s="127" t="str">
        <f t="shared" ca="1" si="54"/>
        <v/>
      </c>
      <c r="AI62" s="127" t="str">
        <f t="shared" ca="1" si="54"/>
        <v/>
      </c>
      <c r="AK62" s="127" t="str">
        <f t="shared" ca="1" si="55"/>
        <v/>
      </c>
      <c r="AL62" s="127" t="str">
        <f t="shared" ca="1" si="55"/>
        <v/>
      </c>
      <c r="AS62" s="127">
        <f t="shared" si="26"/>
        <v>102.5</v>
      </c>
      <c r="AT62" s="127">
        <f t="shared" ca="1" si="27"/>
        <v>0</v>
      </c>
      <c r="AU62" s="127">
        <f t="shared" ca="1" si="27"/>
        <v>0</v>
      </c>
      <c r="AV62" s="127">
        <f t="shared" ca="1" si="27"/>
        <v>0</v>
      </c>
    </row>
    <row r="63" spans="2:48">
      <c r="B63" s="367">
        <f>tblIndiSets!B53</f>
        <v>42</v>
      </c>
      <c r="C63" s="367">
        <f>tblIndiSets!D53</f>
        <v>2</v>
      </c>
      <c r="D63" s="367">
        <f>tblCategories!V46</f>
        <v>0</v>
      </c>
      <c r="E63" s="367" t="str">
        <f>tblIndiSets!H53</f>
        <v>Government support</v>
      </c>
      <c r="H63" s="367">
        <f t="shared" si="42"/>
        <v>76</v>
      </c>
      <c r="I63" s="13" t="str">
        <f t="shared" ca="1" si="43"/>
        <v>15</v>
      </c>
      <c r="J63" s="13">
        <f t="shared" ca="1" si="44"/>
        <v>1</v>
      </c>
      <c r="K63" s="367">
        <f t="shared" si="8"/>
        <v>81.099999999999994</v>
      </c>
      <c r="L63" s="13" t="str">
        <f t="shared" ca="1" si="45"/>
        <v>8</v>
      </c>
      <c r="M63" s="13">
        <f t="shared" ca="1" si="46"/>
        <v>1</v>
      </c>
      <c r="N63" s="36" t="str">
        <f t="shared" si="11"/>
        <v/>
      </c>
      <c r="O63" s="13"/>
      <c r="P63" s="13"/>
      <c r="Q63" s="367" t="str">
        <f t="shared" si="12"/>
        <v/>
      </c>
      <c r="R63" s="13" t="str">
        <f t="shared" ca="1" si="47"/>
        <v/>
      </c>
      <c r="S63" s="13">
        <f t="shared" ca="1" si="48"/>
        <v>0</v>
      </c>
      <c r="U63" s="13"/>
      <c r="V63" s="13"/>
      <c r="X63" s="13"/>
      <c r="Y63" s="13"/>
      <c r="AA63" s="367" t="e">
        <f t="shared" ca="1" si="49"/>
        <v>#N/A</v>
      </c>
      <c r="AB63" s="367">
        <f t="shared" ca="1" si="50"/>
        <v>0</v>
      </c>
      <c r="AC63" s="367" t="str">
        <f t="shared" ca="1" si="51"/>
        <v/>
      </c>
      <c r="AD63" s="127" t="str">
        <f t="shared" ca="1" si="54"/>
        <v/>
      </c>
      <c r="AE63" s="127" t="str">
        <f t="shared" ca="1" si="54"/>
        <v/>
      </c>
      <c r="AF63" s="127" t="str">
        <f t="shared" ca="1" si="54"/>
        <v/>
      </c>
      <c r="AG63" s="127" t="str">
        <f t="shared" ca="1" si="54"/>
        <v/>
      </c>
      <c r="AH63" s="127" t="str">
        <f t="shared" ca="1" si="54"/>
        <v/>
      </c>
      <c r="AI63" s="127" t="str">
        <f t="shared" ca="1" si="54"/>
        <v/>
      </c>
      <c r="AK63" s="127" t="str">
        <f t="shared" ca="1" si="55"/>
        <v/>
      </c>
      <c r="AL63" s="127" t="str">
        <f t="shared" ca="1" si="55"/>
        <v/>
      </c>
      <c r="AS63" s="127">
        <f t="shared" si="26"/>
        <v>105</v>
      </c>
      <c r="AT63" s="127">
        <f t="shared" ca="1" si="27"/>
        <v>0</v>
      </c>
      <c r="AU63" s="127">
        <f t="shared" ca="1" si="27"/>
        <v>0</v>
      </c>
      <c r="AV63" s="127">
        <f t="shared" ca="1" si="27"/>
        <v>0</v>
      </c>
    </row>
    <row r="64" spans="2:48">
      <c r="B64" s="367">
        <f>tblIndiSets!B54</f>
        <v>43</v>
      </c>
      <c r="C64" s="367">
        <f>tblIndiSets!D54</f>
        <v>3</v>
      </c>
      <c r="D64" s="367">
        <f>tblCategories!V47</f>
        <v>0</v>
      </c>
      <c r="E64" s="367" t="str">
        <f>tblIndiSets!H54</f>
        <v>3.2.1</v>
      </c>
      <c r="H64" s="367">
        <f t="shared" si="42"/>
        <v>100</v>
      </c>
      <c r="I64" s="13" t="str">
        <f t="shared" ca="1" si="43"/>
        <v>=1</v>
      </c>
      <c r="J64" s="13">
        <f t="shared" ca="1" si="44"/>
        <v>24</v>
      </c>
      <c r="K64" s="367">
        <f t="shared" si="8"/>
        <v>100</v>
      </c>
      <c r="L64" s="13" t="str">
        <f t="shared" ca="1" si="45"/>
        <v>=1</v>
      </c>
      <c r="M64" s="13">
        <f t="shared" ca="1" si="46"/>
        <v>24</v>
      </c>
      <c r="N64" s="36" t="str">
        <f t="shared" si="11"/>
        <v/>
      </c>
      <c r="O64" s="13"/>
      <c r="P64" s="13"/>
      <c r="Q64" s="367" t="str">
        <f t="shared" si="12"/>
        <v/>
      </c>
      <c r="R64" s="13" t="str">
        <f t="shared" ca="1" si="47"/>
        <v/>
      </c>
      <c r="S64" s="13">
        <f t="shared" ca="1" si="48"/>
        <v>0</v>
      </c>
      <c r="U64" s="13"/>
      <c r="V64" s="13"/>
      <c r="X64" s="13"/>
      <c r="Y64" s="13"/>
      <c r="AA64" s="367" t="e">
        <f t="shared" ca="1" si="49"/>
        <v>#N/A</v>
      </c>
      <c r="AB64" s="367">
        <f t="shared" ca="1" si="50"/>
        <v>0</v>
      </c>
      <c r="AC64" s="367" t="str">
        <f t="shared" ca="1" si="51"/>
        <v/>
      </c>
      <c r="AD64" s="127" t="str">
        <f t="shared" ca="1" si="54"/>
        <v/>
      </c>
      <c r="AE64" s="127" t="str">
        <f t="shared" ca="1" si="54"/>
        <v/>
      </c>
      <c r="AF64" s="127" t="str">
        <f t="shared" ca="1" si="54"/>
        <v/>
      </c>
      <c r="AG64" s="127" t="str">
        <f t="shared" ca="1" si="54"/>
        <v/>
      </c>
      <c r="AH64" s="127" t="str">
        <f t="shared" ca="1" si="54"/>
        <v/>
      </c>
      <c r="AI64" s="127" t="str">
        <f t="shared" ca="1" si="54"/>
        <v/>
      </c>
      <c r="AK64" s="127" t="str">
        <f t="shared" ca="1" si="55"/>
        <v/>
      </c>
      <c r="AL64" s="127" t="str">
        <f t="shared" ca="1" si="55"/>
        <v/>
      </c>
      <c r="AS64" s="127">
        <f t="shared" si="26"/>
        <v>107.5</v>
      </c>
      <c r="AT64" s="127">
        <f t="shared" ref="AT64:AV91" ca="1" si="56">IF($AS64&lt;=AT$20,2.5,0)</f>
        <v>0</v>
      </c>
      <c r="AU64" s="127">
        <f t="shared" ca="1" si="56"/>
        <v>0</v>
      </c>
      <c r="AV64" s="127">
        <f t="shared" ca="1" si="56"/>
        <v>0</v>
      </c>
    </row>
    <row r="65" spans="2:48">
      <c r="B65" s="367">
        <f>tblIndiSets!B55</f>
        <v>44</v>
      </c>
      <c r="C65" s="367">
        <f>tblIndiSets!D55</f>
        <v>3</v>
      </c>
      <c r="D65" s="367">
        <f>tblCategories!V48</f>
        <v>0</v>
      </c>
      <c r="E65" s="367" t="str">
        <f>tblIndiSets!H55</f>
        <v>3.2.2</v>
      </c>
      <c r="H65" s="367">
        <f t="shared" si="42"/>
        <v>75</v>
      </c>
      <c r="I65" s="13" t="str">
        <f t="shared" ca="1" si="43"/>
        <v>=10</v>
      </c>
      <c r="J65" s="13">
        <f t="shared" ca="1" si="44"/>
        <v>15</v>
      </c>
      <c r="K65" s="367">
        <f t="shared" si="8"/>
        <v>100</v>
      </c>
      <c r="L65" s="13" t="str">
        <f t="shared" ca="1" si="45"/>
        <v>=1</v>
      </c>
      <c r="M65" s="13">
        <f t="shared" ca="1" si="46"/>
        <v>9</v>
      </c>
      <c r="N65" s="36" t="str">
        <f t="shared" si="11"/>
        <v/>
      </c>
      <c r="O65" s="13"/>
      <c r="P65" s="13"/>
      <c r="Q65" s="367" t="str">
        <f t="shared" si="12"/>
        <v/>
      </c>
      <c r="R65" s="13" t="str">
        <f t="shared" ca="1" si="47"/>
        <v/>
      </c>
      <c r="S65" s="13">
        <f t="shared" ca="1" si="48"/>
        <v>0</v>
      </c>
      <c r="U65" s="13"/>
      <c r="V65" s="13"/>
      <c r="X65" s="13"/>
      <c r="Y65" s="13"/>
      <c r="AA65" s="367" t="e">
        <f t="shared" ca="1" si="49"/>
        <v>#N/A</v>
      </c>
      <c r="AB65" s="367">
        <f t="shared" ca="1" si="50"/>
        <v>0</v>
      </c>
      <c r="AC65" s="367" t="str">
        <f t="shared" ca="1" si="51"/>
        <v/>
      </c>
      <c r="AD65" s="127" t="str">
        <f t="shared" ca="1" si="54"/>
        <v/>
      </c>
      <c r="AE65" s="127" t="str">
        <f t="shared" ca="1" si="54"/>
        <v/>
      </c>
      <c r="AF65" s="127" t="str">
        <f t="shared" ca="1" si="54"/>
        <v/>
      </c>
      <c r="AG65" s="127" t="str">
        <f t="shared" ca="1" si="54"/>
        <v/>
      </c>
      <c r="AH65" s="127" t="str">
        <f t="shared" ca="1" si="54"/>
        <v/>
      </c>
      <c r="AI65" s="127" t="str">
        <f t="shared" ca="1" si="54"/>
        <v/>
      </c>
      <c r="AK65" s="127" t="str">
        <f t="shared" ca="1" si="55"/>
        <v/>
      </c>
      <c r="AL65" s="127" t="str">
        <f t="shared" ca="1" si="55"/>
        <v/>
      </c>
      <c r="AS65" s="127">
        <f t="shared" si="26"/>
        <v>110</v>
      </c>
      <c r="AT65" s="127">
        <f t="shared" ca="1" si="56"/>
        <v>0</v>
      </c>
      <c r="AU65" s="127">
        <f t="shared" ca="1" si="56"/>
        <v>0</v>
      </c>
      <c r="AV65" s="127">
        <f t="shared" ca="1" si="56"/>
        <v>0</v>
      </c>
    </row>
    <row r="66" spans="2:48">
      <c r="B66" s="367">
        <f>tblIndiSets!B56</f>
        <v>45</v>
      </c>
      <c r="C66" s="367">
        <f>tblIndiSets!D56</f>
        <v>3</v>
      </c>
      <c r="D66" s="367">
        <f>tblCategories!V49</f>
        <v>0</v>
      </c>
      <c r="E66" s="367" t="str">
        <f>tblIndiSets!H56</f>
        <v>3.2.3</v>
      </c>
      <c r="H66" s="367">
        <f t="shared" si="42"/>
        <v>50</v>
      </c>
      <c r="I66" s="13" t="str">
        <f t="shared" ca="1" si="43"/>
        <v>=19</v>
      </c>
      <c r="J66" s="13">
        <f t="shared" ca="1" si="44"/>
        <v>11</v>
      </c>
      <c r="K66" s="367">
        <f t="shared" si="8"/>
        <v>50</v>
      </c>
      <c r="L66" s="13" t="str">
        <f t="shared" ca="1" si="45"/>
        <v>=19</v>
      </c>
      <c r="M66" s="13">
        <f t="shared" ca="1" si="46"/>
        <v>11</v>
      </c>
      <c r="N66" s="36" t="str">
        <f t="shared" si="11"/>
        <v/>
      </c>
      <c r="O66" s="13"/>
      <c r="P66" s="13"/>
      <c r="Q66" s="367" t="str">
        <f t="shared" si="12"/>
        <v/>
      </c>
      <c r="R66" s="13" t="str">
        <f t="shared" ca="1" si="47"/>
        <v/>
      </c>
      <c r="S66" s="13">
        <f t="shared" ca="1" si="48"/>
        <v>0</v>
      </c>
      <c r="U66" s="13"/>
      <c r="V66" s="13"/>
      <c r="X66" s="13"/>
      <c r="Y66" s="13"/>
      <c r="AA66" s="367" t="e">
        <f t="shared" ca="1" si="49"/>
        <v>#N/A</v>
      </c>
      <c r="AB66" s="367">
        <f t="shared" ca="1" si="50"/>
        <v>0</v>
      </c>
      <c r="AC66" s="367" t="str">
        <f t="shared" ca="1" si="51"/>
        <v/>
      </c>
      <c r="AD66" s="127" t="str">
        <f t="shared" ca="1" si="54"/>
        <v/>
      </c>
      <c r="AE66" s="127" t="str">
        <f t="shared" ca="1" si="54"/>
        <v/>
      </c>
      <c r="AF66" s="127" t="str">
        <f t="shared" ca="1" si="54"/>
        <v/>
      </c>
      <c r="AG66" s="127" t="str">
        <f t="shared" ca="1" si="54"/>
        <v/>
      </c>
      <c r="AH66" s="127" t="str">
        <f t="shared" ca="1" si="54"/>
        <v/>
      </c>
      <c r="AI66" s="127" t="str">
        <f t="shared" ca="1" si="54"/>
        <v/>
      </c>
      <c r="AK66" s="127" t="str">
        <f t="shared" ca="1" si="55"/>
        <v/>
      </c>
      <c r="AL66" s="127" t="str">
        <f t="shared" ca="1" si="55"/>
        <v/>
      </c>
      <c r="AS66" s="127">
        <f t="shared" si="26"/>
        <v>112.5</v>
      </c>
      <c r="AT66" s="127">
        <f t="shared" ca="1" si="56"/>
        <v>0</v>
      </c>
      <c r="AU66" s="127">
        <f t="shared" ca="1" si="56"/>
        <v>0</v>
      </c>
      <c r="AV66" s="127">
        <f t="shared" ca="1" si="56"/>
        <v>0</v>
      </c>
    </row>
    <row r="67" spans="2:48">
      <c r="B67" s="367">
        <f>tblIndiSets!B57</f>
        <v>46</v>
      </c>
      <c r="C67" s="367">
        <f>tblIndiSets!D57</f>
        <v>3</v>
      </c>
      <c r="D67" s="367">
        <f>tblCategories!V50</f>
        <v>0</v>
      </c>
      <c r="E67" s="367" t="str">
        <f>tblIndiSets!H57</f>
        <v>3.2.4</v>
      </c>
      <c r="H67" s="367">
        <f t="shared" si="42"/>
        <v>68.8</v>
      </c>
      <c r="I67" s="13" t="str">
        <f t="shared" ca="1" si="43"/>
        <v>=10</v>
      </c>
      <c r="J67" s="13">
        <f t="shared" ca="1" si="44"/>
        <v>2</v>
      </c>
      <c r="K67" s="367">
        <f t="shared" si="8"/>
        <v>73.8</v>
      </c>
      <c r="L67" s="13" t="str">
        <f t="shared" ca="1" si="45"/>
        <v>9</v>
      </c>
      <c r="M67" s="13">
        <f t="shared" ca="1" si="46"/>
        <v>1</v>
      </c>
      <c r="N67" s="36" t="str">
        <f t="shared" si="11"/>
        <v/>
      </c>
      <c r="O67" s="13"/>
      <c r="P67" s="13"/>
      <c r="Q67" s="367" t="str">
        <f t="shared" si="12"/>
        <v/>
      </c>
      <c r="R67" s="13" t="str">
        <f t="shared" ca="1" si="47"/>
        <v/>
      </c>
      <c r="S67" s="13">
        <f t="shared" ca="1" si="48"/>
        <v>0</v>
      </c>
      <c r="U67" s="13"/>
      <c r="V67" s="13"/>
      <c r="X67" s="13"/>
      <c r="Y67" s="13"/>
      <c r="AA67" s="367" t="e">
        <f t="shared" ca="1" si="49"/>
        <v>#N/A</v>
      </c>
      <c r="AB67" s="367">
        <f t="shared" ca="1" si="50"/>
        <v>0</v>
      </c>
      <c r="AC67" s="367" t="str">
        <f t="shared" ca="1" si="51"/>
        <v/>
      </c>
      <c r="AD67" s="127" t="str">
        <f t="shared" ca="1" si="54"/>
        <v/>
      </c>
      <c r="AE67" s="127" t="str">
        <f t="shared" ca="1" si="54"/>
        <v/>
      </c>
      <c r="AF67" s="127" t="str">
        <f t="shared" ca="1" si="54"/>
        <v/>
      </c>
      <c r="AG67" s="127" t="str">
        <f t="shared" ca="1" si="54"/>
        <v/>
      </c>
      <c r="AH67" s="127" t="str">
        <f t="shared" ca="1" si="54"/>
        <v/>
      </c>
      <c r="AI67" s="127" t="str">
        <f t="shared" ca="1" si="54"/>
        <v/>
      </c>
      <c r="AK67" s="127" t="str">
        <f t="shared" ca="1" si="55"/>
        <v/>
      </c>
      <c r="AL67" s="127" t="str">
        <f t="shared" ca="1" si="55"/>
        <v/>
      </c>
      <c r="AS67" s="127">
        <f t="shared" si="26"/>
        <v>115</v>
      </c>
      <c r="AT67" s="127">
        <f t="shared" ca="1" si="56"/>
        <v>0</v>
      </c>
      <c r="AU67" s="127">
        <f t="shared" ca="1" si="56"/>
        <v>0</v>
      </c>
      <c r="AV67" s="127">
        <f t="shared" ca="1" si="56"/>
        <v>0</v>
      </c>
    </row>
    <row r="68" spans="2:48">
      <c r="B68" s="367">
        <f>tblIndiSets!B58</f>
        <v>47</v>
      </c>
      <c r="C68" s="367">
        <f>tblIndiSets!D58</f>
        <v>3</v>
      </c>
      <c r="D68" s="367">
        <f>tblCategories!V51</f>
        <v>0</v>
      </c>
      <c r="E68" s="367" t="str">
        <f>tblIndiSets!H58</f>
        <v>3.2.5</v>
      </c>
      <c r="H68" s="367">
        <f t="shared" si="42"/>
        <v>86.4</v>
      </c>
      <c r="I68" s="13" t="str">
        <f t="shared" ca="1" si="43"/>
        <v>=5</v>
      </c>
      <c r="J68" s="13">
        <f t="shared" ca="1" si="44"/>
        <v>2</v>
      </c>
      <c r="K68" s="367">
        <f t="shared" si="8"/>
        <v>82</v>
      </c>
      <c r="L68" s="13" t="str">
        <f t="shared" ca="1" si="45"/>
        <v>=11</v>
      </c>
      <c r="M68" s="13">
        <f t="shared" ca="1" si="46"/>
        <v>5</v>
      </c>
      <c r="N68" s="36" t="str">
        <f t="shared" si="11"/>
        <v/>
      </c>
      <c r="O68" s="13"/>
      <c r="P68" s="13"/>
      <c r="Q68" s="367" t="str">
        <f t="shared" si="12"/>
        <v/>
      </c>
      <c r="R68" s="13" t="str">
        <f t="shared" ca="1" si="47"/>
        <v/>
      </c>
      <c r="S68" s="13">
        <f t="shared" ca="1" si="48"/>
        <v>0</v>
      </c>
      <c r="U68" s="13"/>
      <c r="V68" s="13"/>
      <c r="X68" s="13"/>
      <c r="Y68" s="13"/>
      <c r="AA68" s="367" t="e">
        <f t="shared" ca="1" si="49"/>
        <v>#N/A</v>
      </c>
      <c r="AB68" s="367">
        <f t="shared" ca="1" si="50"/>
        <v>0</v>
      </c>
      <c r="AC68" s="367" t="str">
        <f t="shared" ca="1" si="51"/>
        <v/>
      </c>
      <c r="AD68" s="127" t="str">
        <f t="shared" ca="1" si="54"/>
        <v/>
      </c>
      <c r="AE68" s="127" t="str">
        <f t="shared" ca="1" si="54"/>
        <v/>
      </c>
      <c r="AF68" s="127" t="str">
        <f t="shared" ca="1" si="54"/>
        <v/>
      </c>
      <c r="AG68" s="127" t="str">
        <f t="shared" ca="1" si="54"/>
        <v/>
      </c>
      <c r="AH68" s="127" t="str">
        <f t="shared" ca="1" si="54"/>
        <v/>
      </c>
      <c r="AI68" s="127" t="str">
        <f t="shared" ca="1" si="54"/>
        <v/>
      </c>
      <c r="AK68" s="127" t="str">
        <f t="shared" ca="1" si="55"/>
        <v/>
      </c>
      <c r="AL68" s="127" t="str">
        <f t="shared" ca="1" si="55"/>
        <v/>
      </c>
      <c r="AS68" s="127">
        <f t="shared" si="26"/>
        <v>117.5</v>
      </c>
      <c r="AT68" s="127">
        <f t="shared" ca="1" si="56"/>
        <v>0</v>
      </c>
      <c r="AU68" s="127">
        <f t="shared" ca="1" si="56"/>
        <v>0</v>
      </c>
      <c r="AV68" s="127">
        <f t="shared" ca="1" si="56"/>
        <v>0</v>
      </c>
    </row>
    <row r="69" spans="2:48">
      <c r="B69" s="367">
        <f>tblIndiSets!B59</f>
        <v>48</v>
      </c>
      <c r="C69" s="367">
        <f>tblIndiSets!D59</f>
        <v>2</v>
      </c>
      <c r="D69" s="367">
        <f>tblCategories!V52</f>
        <v>0</v>
      </c>
      <c r="E69" s="367" t="str">
        <f>tblIndiSets!H59</f>
        <v>Innovation ecosystem</v>
      </c>
      <c r="H69" s="367">
        <f t="shared" si="42"/>
        <v>62</v>
      </c>
      <c r="I69" s="13" t="str">
        <f t="shared" ca="1" si="43"/>
        <v>9</v>
      </c>
      <c r="J69" s="13">
        <f t="shared" ca="1" si="44"/>
        <v>1</v>
      </c>
      <c r="K69" s="367">
        <f t="shared" si="8"/>
        <v>49.1</v>
      </c>
      <c r="L69" s="13" t="str">
        <f t="shared" ca="1" si="45"/>
        <v>18</v>
      </c>
      <c r="M69" s="13">
        <f t="shared" ca="1" si="46"/>
        <v>1</v>
      </c>
      <c r="N69" s="36" t="str">
        <f t="shared" si="11"/>
        <v/>
      </c>
      <c r="O69" s="13"/>
      <c r="P69" s="13"/>
      <c r="Q69" s="367" t="str">
        <f t="shared" si="12"/>
        <v/>
      </c>
      <c r="R69" s="13" t="str">
        <f t="shared" ca="1" si="47"/>
        <v/>
      </c>
      <c r="S69" s="13">
        <f t="shared" ca="1" si="48"/>
        <v>0</v>
      </c>
      <c r="U69" s="13"/>
      <c r="V69" s="13"/>
      <c r="X69" s="13"/>
      <c r="Y69" s="13"/>
      <c r="AA69" s="367" t="e">
        <f t="shared" ca="1" si="49"/>
        <v>#N/A</v>
      </c>
      <c r="AB69" s="367">
        <f t="shared" ca="1" si="50"/>
        <v>0</v>
      </c>
      <c r="AC69" s="367" t="str">
        <f t="shared" ca="1" si="51"/>
        <v/>
      </c>
      <c r="AD69" s="127" t="str">
        <f t="shared" ca="1" si="54"/>
        <v/>
      </c>
      <c r="AE69" s="127" t="str">
        <f t="shared" ca="1" si="54"/>
        <v/>
      </c>
      <c r="AF69" s="127" t="str">
        <f t="shared" ca="1" si="54"/>
        <v/>
      </c>
      <c r="AG69" s="127" t="str">
        <f t="shared" ca="1" si="54"/>
        <v/>
      </c>
      <c r="AH69" s="127" t="str">
        <f t="shared" ca="1" si="54"/>
        <v/>
      </c>
      <c r="AI69" s="127" t="str">
        <f t="shared" ca="1" si="54"/>
        <v/>
      </c>
      <c r="AK69" s="127" t="str">
        <f t="shared" ca="1" si="55"/>
        <v/>
      </c>
      <c r="AL69" s="127" t="str">
        <f t="shared" ca="1" si="55"/>
        <v/>
      </c>
      <c r="AS69" s="127">
        <f t="shared" si="26"/>
        <v>120</v>
      </c>
      <c r="AT69" s="127">
        <f t="shared" ca="1" si="56"/>
        <v>0</v>
      </c>
      <c r="AU69" s="127">
        <f t="shared" ca="1" si="56"/>
        <v>0</v>
      </c>
      <c r="AV69" s="127">
        <f t="shared" ca="1" si="56"/>
        <v>0</v>
      </c>
    </row>
    <row r="70" spans="2:48">
      <c r="B70" s="367">
        <f>tblIndiSets!B60</f>
        <v>49</v>
      </c>
      <c r="C70" s="367">
        <f>tblIndiSets!D60</f>
        <v>3</v>
      </c>
      <c r="D70" s="367">
        <f>tblCategories!V53</f>
        <v>0</v>
      </c>
      <c r="E70" s="367" t="str">
        <f>tblIndiSets!H60</f>
        <v>3.3.1</v>
      </c>
      <c r="H70" s="367">
        <f t="shared" si="42"/>
        <v>76.099999999999994</v>
      </c>
      <c r="I70" s="13" t="str">
        <f t="shared" ca="1" si="43"/>
        <v>10</v>
      </c>
      <c r="J70" s="13">
        <f t="shared" ca="1" si="44"/>
        <v>1</v>
      </c>
      <c r="K70" s="367">
        <f t="shared" si="8"/>
        <v>59.2</v>
      </c>
      <c r="L70" s="13" t="str">
        <f t="shared" ca="1" si="45"/>
        <v>19</v>
      </c>
      <c r="M70" s="13">
        <f t="shared" ca="1" si="46"/>
        <v>1</v>
      </c>
      <c r="N70" s="36" t="str">
        <f t="shared" si="11"/>
        <v/>
      </c>
      <c r="O70" s="13"/>
      <c r="P70" s="13"/>
      <c r="Q70" s="367" t="str">
        <f t="shared" si="12"/>
        <v/>
      </c>
      <c r="R70" s="13" t="str">
        <f t="shared" ca="1" si="47"/>
        <v/>
      </c>
      <c r="S70" s="13">
        <f t="shared" ca="1" si="48"/>
        <v>0</v>
      </c>
      <c r="U70" s="13"/>
      <c r="V70" s="13"/>
      <c r="X70" s="13"/>
      <c r="Y70" s="13"/>
      <c r="AA70" s="367" t="e">
        <f t="shared" ca="1" si="49"/>
        <v>#N/A</v>
      </c>
      <c r="AB70" s="367">
        <f t="shared" ca="1" si="50"/>
        <v>0</v>
      </c>
      <c r="AC70" s="367" t="str">
        <f t="shared" ca="1" si="51"/>
        <v/>
      </c>
      <c r="AD70" s="127" t="str">
        <f t="shared" ca="1" si="54"/>
        <v/>
      </c>
      <c r="AE70" s="127" t="str">
        <f t="shared" ca="1" si="54"/>
        <v/>
      </c>
      <c r="AF70" s="127" t="str">
        <f t="shared" ca="1" si="54"/>
        <v/>
      </c>
      <c r="AG70" s="127" t="str">
        <f t="shared" ca="1" si="54"/>
        <v/>
      </c>
      <c r="AH70" s="127" t="str">
        <f t="shared" ca="1" si="54"/>
        <v/>
      </c>
      <c r="AI70" s="127" t="str">
        <f t="shared" ca="1" si="54"/>
        <v/>
      </c>
      <c r="AK70" s="127" t="str">
        <f t="shared" ca="1" si="55"/>
        <v/>
      </c>
      <c r="AL70" s="127" t="str">
        <f t="shared" ca="1" si="55"/>
        <v/>
      </c>
      <c r="AS70" s="127">
        <f t="shared" si="26"/>
        <v>122.5</v>
      </c>
      <c r="AT70" s="127">
        <f t="shared" ca="1" si="56"/>
        <v>0</v>
      </c>
      <c r="AU70" s="127">
        <f t="shared" ca="1" si="56"/>
        <v>0</v>
      </c>
      <c r="AV70" s="127">
        <f t="shared" ca="1" si="56"/>
        <v>0</v>
      </c>
    </row>
    <row r="71" spans="2:48">
      <c r="B71" s="367">
        <f>tblIndiSets!B61</f>
        <v>50</v>
      </c>
      <c r="C71" s="367">
        <f>tblIndiSets!D61</f>
        <v>3</v>
      </c>
      <c r="D71" s="367">
        <f>tblCategories!V54</f>
        <v>0</v>
      </c>
      <c r="E71" s="367" t="str">
        <f>tblIndiSets!H61</f>
        <v>3.3.2</v>
      </c>
      <c r="H71" s="367">
        <f t="shared" si="42"/>
        <v>33.299999999999997</v>
      </c>
      <c r="I71" s="13" t="str">
        <f t="shared" ca="1" si="43"/>
        <v>=12</v>
      </c>
      <c r="J71" s="13">
        <f t="shared" ca="1" si="44"/>
        <v>4</v>
      </c>
      <c r="K71" s="367">
        <f t="shared" si="8"/>
        <v>0</v>
      </c>
      <c r="L71" s="13" t="str">
        <f t="shared" ca="1" si="45"/>
        <v>=16</v>
      </c>
      <c r="M71" s="13">
        <f t="shared" ca="1" si="46"/>
        <v>15</v>
      </c>
      <c r="N71" s="36" t="str">
        <f t="shared" si="11"/>
        <v/>
      </c>
      <c r="O71" s="13"/>
      <c r="P71" s="13"/>
      <c r="Q71" s="367" t="str">
        <f t="shared" si="12"/>
        <v/>
      </c>
      <c r="R71" s="13" t="str">
        <f t="shared" ca="1" si="47"/>
        <v/>
      </c>
      <c r="S71" s="13">
        <f t="shared" ca="1" si="48"/>
        <v>0</v>
      </c>
      <c r="U71" s="13"/>
      <c r="V71" s="13"/>
      <c r="X71" s="13"/>
      <c r="Y71" s="13"/>
      <c r="AA71" s="367" t="e">
        <f t="shared" ca="1" si="49"/>
        <v>#N/A</v>
      </c>
      <c r="AB71" s="367">
        <f t="shared" ca="1" si="50"/>
        <v>0</v>
      </c>
      <c r="AC71" s="367" t="str">
        <f t="shared" ca="1" si="51"/>
        <v/>
      </c>
      <c r="AD71" s="127" t="str">
        <f t="shared" ca="1" si="54"/>
        <v/>
      </c>
      <c r="AE71" s="127" t="str">
        <f t="shared" ca="1" si="54"/>
        <v/>
      </c>
      <c r="AF71" s="127" t="str">
        <f t="shared" ca="1" si="54"/>
        <v/>
      </c>
      <c r="AG71" s="127" t="str">
        <f t="shared" ca="1" si="54"/>
        <v/>
      </c>
      <c r="AH71" s="127" t="str">
        <f t="shared" ca="1" si="54"/>
        <v/>
      </c>
      <c r="AI71" s="127" t="str">
        <f t="shared" ca="1" si="54"/>
        <v/>
      </c>
      <c r="AK71" s="127" t="str">
        <f t="shared" ca="1" si="55"/>
        <v/>
      </c>
      <c r="AL71" s="127" t="str">
        <f t="shared" ca="1" si="55"/>
        <v/>
      </c>
      <c r="AS71" s="127">
        <f t="shared" si="26"/>
        <v>125</v>
      </c>
      <c r="AT71" s="127">
        <f t="shared" ca="1" si="56"/>
        <v>0</v>
      </c>
      <c r="AU71" s="127">
        <f t="shared" ca="1" si="56"/>
        <v>0</v>
      </c>
      <c r="AV71" s="127">
        <f t="shared" ca="1" si="56"/>
        <v>0</v>
      </c>
    </row>
    <row r="72" spans="2:48">
      <c r="B72" s="367">
        <f>tblIndiSets!B62</f>
        <v>51</v>
      </c>
      <c r="C72" s="367">
        <f>tblIndiSets!D62</f>
        <v>3</v>
      </c>
      <c r="D72" s="367">
        <f>tblCategories!V55</f>
        <v>0</v>
      </c>
      <c r="E72" s="367" t="str">
        <f>tblIndiSets!H62</f>
        <v>3.3.3</v>
      </c>
      <c r="H72" s="367">
        <f t="shared" si="42"/>
        <v>8.6</v>
      </c>
      <c r="I72" s="13" t="str">
        <f t="shared" ca="1" si="43"/>
        <v>16</v>
      </c>
      <c r="J72" s="13">
        <f t="shared" ca="1" si="44"/>
        <v>1</v>
      </c>
      <c r="K72" s="367">
        <f t="shared" si="8"/>
        <v>0.3</v>
      </c>
      <c r="L72" s="13" t="str">
        <f t="shared" ca="1" si="45"/>
        <v>29</v>
      </c>
      <c r="M72" s="13">
        <f t="shared" ca="1" si="46"/>
        <v>1</v>
      </c>
      <c r="N72" s="36" t="str">
        <f t="shared" si="11"/>
        <v/>
      </c>
      <c r="O72" s="13"/>
      <c r="P72" s="13"/>
      <c r="Q72" s="367" t="str">
        <f t="shared" si="12"/>
        <v/>
      </c>
      <c r="R72" s="13" t="str">
        <f t="shared" ca="1" si="47"/>
        <v/>
      </c>
      <c r="S72" s="13">
        <f t="shared" ca="1" si="48"/>
        <v>0</v>
      </c>
      <c r="U72" s="13"/>
      <c r="V72" s="13"/>
      <c r="X72" s="13"/>
      <c r="Y72" s="13"/>
      <c r="AA72" s="367" t="e">
        <f t="shared" ca="1" si="49"/>
        <v>#N/A</v>
      </c>
      <c r="AB72" s="367">
        <f t="shared" ca="1" si="50"/>
        <v>0</v>
      </c>
      <c r="AC72" s="367" t="str">
        <f t="shared" ca="1" si="51"/>
        <v/>
      </c>
      <c r="AD72" s="127" t="str">
        <f t="shared" ca="1" si="54"/>
        <v/>
      </c>
      <c r="AE72" s="127" t="str">
        <f t="shared" ca="1" si="54"/>
        <v/>
      </c>
      <c r="AF72" s="127" t="str">
        <f t="shared" ca="1" si="54"/>
        <v/>
      </c>
      <c r="AG72" s="127" t="str">
        <f t="shared" ca="1" si="54"/>
        <v/>
      </c>
      <c r="AH72" s="127" t="str">
        <f t="shared" ca="1" si="54"/>
        <v/>
      </c>
      <c r="AI72" s="127" t="str">
        <f t="shared" ca="1" si="54"/>
        <v/>
      </c>
      <c r="AK72" s="127" t="str">
        <f t="shared" ca="1" si="55"/>
        <v/>
      </c>
      <c r="AL72" s="127" t="str">
        <f t="shared" ca="1" si="55"/>
        <v/>
      </c>
      <c r="AS72" s="127">
        <f t="shared" si="26"/>
        <v>127.5</v>
      </c>
      <c r="AT72" s="127">
        <f t="shared" ca="1" si="56"/>
        <v>0</v>
      </c>
      <c r="AU72" s="127">
        <f t="shared" ca="1" si="56"/>
        <v>0</v>
      </c>
      <c r="AV72" s="127">
        <f t="shared" ca="1" si="56"/>
        <v>0</v>
      </c>
    </row>
    <row r="73" spans="2:48">
      <c r="B73" s="367">
        <f>tblIndiSets!B63</f>
        <v>52</v>
      </c>
      <c r="C73" s="367">
        <f>tblIndiSets!D63</f>
        <v>3</v>
      </c>
      <c r="D73" s="367">
        <f>tblCategories!V56</f>
        <v>0</v>
      </c>
      <c r="E73" s="367" t="str">
        <f>tblIndiSets!H63</f>
        <v>3.3.4</v>
      </c>
      <c r="H73" s="367">
        <f t="shared" si="42"/>
        <v>100</v>
      </c>
      <c r="I73" s="13" t="str">
        <f t="shared" ca="1" si="43"/>
        <v>=1</v>
      </c>
      <c r="J73" s="13">
        <f t="shared" ca="1" si="44"/>
        <v>13</v>
      </c>
      <c r="K73" s="367">
        <f t="shared" si="8"/>
        <v>75</v>
      </c>
      <c r="L73" s="13" t="str">
        <f t="shared" ca="1" si="45"/>
        <v>=14</v>
      </c>
      <c r="M73" s="13">
        <f t="shared" ca="1" si="46"/>
        <v>7</v>
      </c>
      <c r="N73" s="36" t="str">
        <f t="shared" si="11"/>
        <v/>
      </c>
      <c r="O73" s="13"/>
      <c r="P73" s="13"/>
      <c r="Q73" s="367" t="str">
        <f t="shared" si="12"/>
        <v/>
      </c>
      <c r="R73" s="13" t="str">
        <f t="shared" ca="1" si="47"/>
        <v/>
      </c>
      <c r="S73" s="13">
        <f t="shared" ca="1" si="48"/>
        <v>0</v>
      </c>
      <c r="U73" s="13"/>
      <c r="V73" s="13"/>
      <c r="X73" s="13"/>
      <c r="Y73" s="13"/>
      <c r="AA73" s="367" t="e">
        <f t="shared" ca="1" si="49"/>
        <v>#N/A</v>
      </c>
      <c r="AB73" s="367">
        <f t="shared" ca="1" si="50"/>
        <v>0</v>
      </c>
      <c r="AC73" s="367" t="str">
        <f t="shared" ca="1" si="51"/>
        <v/>
      </c>
      <c r="AD73" s="127" t="str">
        <f t="shared" ca="1" si="54"/>
        <v/>
      </c>
      <c r="AE73" s="127" t="str">
        <f t="shared" ca="1" si="54"/>
        <v/>
      </c>
      <c r="AF73" s="127" t="str">
        <f t="shared" ca="1" si="54"/>
        <v/>
      </c>
      <c r="AG73" s="127" t="str">
        <f t="shared" ca="1" si="54"/>
        <v/>
      </c>
      <c r="AH73" s="127" t="str">
        <f t="shared" ca="1" si="54"/>
        <v/>
      </c>
      <c r="AI73" s="127" t="str">
        <f t="shared" ca="1" si="54"/>
        <v/>
      </c>
      <c r="AK73" s="127" t="str">
        <f t="shared" ca="1" si="55"/>
        <v/>
      </c>
      <c r="AL73" s="127" t="str">
        <f t="shared" ca="1" si="55"/>
        <v/>
      </c>
      <c r="AS73" s="127">
        <f t="shared" si="26"/>
        <v>130</v>
      </c>
      <c r="AT73" s="127">
        <f t="shared" ca="1" si="56"/>
        <v>0</v>
      </c>
      <c r="AU73" s="127">
        <f t="shared" ca="1" si="56"/>
        <v>0</v>
      </c>
      <c r="AV73" s="127">
        <f t="shared" ca="1" si="56"/>
        <v>0</v>
      </c>
    </row>
    <row r="74" spans="2:48">
      <c r="B74" s="367">
        <f>tblIndiSets!B64</f>
        <v>53</v>
      </c>
      <c r="C74" s="367">
        <f>tblIndiSets!D64</f>
        <v>3</v>
      </c>
      <c r="D74" s="367">
        <f>tblCategories!V57</f>
        <v>0</v>
      </c>
      <c r="E74" s="367" t="str">
        <f>tblIndiSets!H64</f>
        <v>3.3.5</v>
      </c>
      <c r="H74" s="367">
        <f t="shared" si="42"/>
        <v>88.9</v>
      </c>
      <c r="I74" s="13" t="str">
        <f t="shared" ca="1" si="43"/>
        <v>=7</v>
      </c>
      <c r="J74" s="13">
        <f t="shared" ca="1" si="44"/>
        <v>2</v>
      </c>
      <c r="K74" s="367">
        <f t="shared" si="8"/>
        <v>96.2</v>
      </c>
      <c r="L74" s="13" t="str">
        <f t="shared" ca="1" si="45"/>
        <v>=4</v>
      </c>
      <c r="M74" s="13">
        <f t="shared" ca="1" si="46"/>
        <v>3</v>
      </c>
      <c r="N74" s="36" t="str">
        <f t="shared" si="11"/>
        <v/>
      </c>
      <c r="O74" s="13"/>
      <c r="P74" s="13"/>
      <c r="Q74" s="367" t="str">
        <f t="shared" si="12"/>
        <v/>
      </c>
      <c r="R74" s="13" t="str">
        <f t="shared" ca="1" si="47"/>
        <v/>
      </c>
      <c r="S74" s="13">
        <f t="shared" ca="1" si="48"/>
        <v>0</v>
      </c>
      <c r="U74" s="13"/>
      <c r="V74" s="13"/>
      <c r="X74" s="13"/>
      <c r="Y74" s="13"/>
      <c r="AA74" s="367" t="e">
        <f t="shared" ca="1" si="49"/>
        <v>#N/A</v>
      </c>
      <c r="AB74" s="367">
        <f t="shared" ca="1" si="50"/>
        <v>0</v>
      </c>
      <c r="AC74" s="367" t="str">
        <f t="shared" ca="1" si="51"/>
        <v/>
      </c>
      <c r="AD74" s="127" t="str">
        <f t="shared" ca="1" si="54"/>
        <v/>
      </c>
      <c r="AE74" s="127" t="str">
        <f t="shared" ca="1" si="54"/>
        <v/>
      </c>
      <c r="AF74" s="127" t="str">
        <f t="shared" ca="1" si="54"/>
        <v/>
      </c>
      <c r="AG74" s="127" t="str">
        <f t="shared" ca="1" si="54"/>
        <v/>
      </c>
      <c r="AH74" s="127" t="str">
        <f t="shared" ca="1" si="54"/>
        <v/>
      </c>
      <c r="AI74" s="127" t="str">
        <f t="shared" ca="1" si="54"/>
        <v/>
      </c>
      <c r="AK74" s="127" t="str">
        <f t="shared" ca="1" si="55"/>
        <v/>
      </c>
      <c r="AL74" s="127" t="str">
        <f t="shared" ca="1" si="55"/>
        <v/>
      </c>
      <c r="AS74" s="127">
        <f t="shared" si="26"/>
        <v>132.5</v>
      </c>
      <c r="AT74" s="127">
        <f t="shared" ca="1" si="56"/>
        <v>0</v>
      </c>
      <c r="AU74" s="127">
        <f t="shared" ca="1" si="56"/>
        <v>0</v>
      </c>
      <c r="AV74" s="127">
        <f t="shared" ca="1" si="56"/>
        <v>0</v>
      </c>
    </row>
    <row r="75" spans="2:48">
      <c r="B75" s="367">
        <f>tblIndiSets!B65</f>
        <v>54</v>
      </c>
      <c r="C75" s="367">
        <f>tblIndiSets!D65</f>
        <v>2</v>
      </c>
      <c r="D75" s="367">
        <f>tblCategories!V58</f>
        <v>0</v>
      </c>
      <c r="E75" s="367" t="str">
        <f>tblIndiSets!H65</f>
        <v>Public attitude and engagement</v>
      </c>
      <c r="H75" s="367">
        <f t="shared" si="42"/>
        <v>35.1</v>
      </c>
      <c r="I75" s="13" t="str">
        <f t="shared" ca="1" si="43"/>
        <v>20</v>
      </c>
      <c r="J75" s="13">
        <f t="shared" ca="1" si="44"/>
        <v>1</v>
      </c>
      <c r="K75" s="367">
        <f t="shared" si="8"/>
        <v>70.8</v>
      </c>
      <c r="L75" s="13" t="str">
        <f t="shared" ca="1" si="45"/>
        <v>5</v>
      </c>
      <c r="M75" s="13">
        <f t="shared" ca="1" si="46"/>
        <v>1</v>
      </c>
      <c r="N75" s="36" t="str">
        <f t="shared" si="11"/>
        <v/>
      </c>
      <c r="O75" s="13"/>
      <c r="P75" s="13"/>
      <c r="Q75" s="367" t="str">
        <f t="shared" si="12"/>
        <v/>
      </c>
      <c r="R75" s="13" t="str">
        <f t="shared" ca="1" si="47"/>
        <v/>
      </c>
      <c r="S75" s="13">
        <f t="shared" ca="1" si="48"/>
        <v>0</v>
      </c>
      <c r="U75" s="13"/>
      <c r="V75" s="13"/>
      <c r="X75" s="13"/>
      <c r="Y75" s="13"/>
      <c r="AA75" s="367" t="e">
        <f t="shared" ca="1" si="49"/>
        <v>#N/A</v>
      </c>
      <c r="AB75" s="367">
        <f t="shared" ca="1" si="50"/>
        <v>0</v>
      </c>
      <c r="AC75" s="367" t="str">
        <f t="shared" ca="1" si="51"/>
        <v/>
      </c>
      <c r="AD75" s="127" t="str">
        <f t="shared" ca="1" si="54"/>
        <v/>
      </c>
      <c r="AE75" s="127" t="str">
        <f t="shared" ca="1" si="54"/>
        <v/>
      </c>
      <c r="AF75" s="127" t="str">
        <f t="shared" ca="1" si="54"/>
        <v/>
      </c>
      <c r="AG75" s="127" t="str">
        <f t="shared" ca="1" si="54"/>
        <v/>
      </c>
      <c r="AH75" s="127" t="str">
        <f t="shared" ca="1" si="54"/>
        <v/>
      </c>
      <c r="AI75" s="127" t="str">
        <f t="shared" ca="1" si="54"/>
        <v/>
      </c>
      <c r="AK75" s="127" t="str">
        <f t="shared" ca="1" si="55"/>
        <v/>
      </c>
      <c r="AL75" s="127" t="str">
        <f t="shared" ca="1" si="55"/>
        <v/>
      </c>
      <c r="AS75" s="127">
        <f t="shared" si="26"/>
        <v>135</v>
      </c>
      <c r="AT75" s="127">
        <f t="shared" ca="1" si="56"/>
        <v>0</v>
      </c>
      <c r="AU75" s="127">
        <f t="shared" ca="1" si="56"/>
        <v>0</v>
      </c>
      <c r="AV75" s="127">
        <f t="shared" ca="1" si="56"/>
        <v>0</v>
      </c>
    </row>
    <row r="76" spans="2:48">
      <c r="B76" s="367">
        <f>tblIndiSets!B66</f>
        <v>55</v>
      </c>
      <c r="C76" s="367">
        <f>tblIndiSets!D66</f>
        <v>3</v>
      </c>
      <c r="D76" s="367">
        <f>tblCategories!V59</f>
        <v>0</v>
      </c>
      <c r="E76" s="367" t="str">
        <f>tblIndiSets!H66</f>
        <v>3.4.1</v>
      </c>
      <c r="H76" s="367">
        <f t="shared" si="42"/>
        <v>41.2</v>
      </c>
      <c r="I76" s="13" t="str">
        <f t="shared" ca="1" si="43"/>
        <v>=13</v>
      </c>
      <c r="J76" s="13">
        <f t="shared" ca="1" si="44"/>
        <v>12</v>
      </c>
      <c r="K76" s="367">
        <f t="shared" si="8"/>
        <v>100</v>
      </c>
      <c r="L76" s="13" t="str">
        <f t="shared" ca="1" si="45"/>
        <v>1</v>
      </c>
      <c r="M76" s="13">
        <f t="shared" ca="1" si="46"/>
        <v>1</v>
      </c>
      <c r="N76" s="36" t="str">
        <f t="shared" si="11"/>
        <v/>
      </c>
      <c r="O76" s="13"/>
      <c r="P76" s="13"/>
      <c r="Q76" s="367" t="str">
        <f t="shared" si="12"/>
        <v/>
      </c>
      <c r="R76" s="13" t="str">
        <f t="shared" ca="1" si="47"/>
        <v/>
      </c>
      <c r="S76" s="13">
        <f t="shared" ca="1" si="48"/>
        <v>0</v>
      </c>
      <c r="U76" s="13"/>
      <c r="V76" s="13"/>
      <c r="X76" s="13"/>
      <c r="Y76" s="13"/>
      <c r="AA76" s="367" t="e">
        <f t="shared" ca="1" si="49"/>
        <v>#N/A</v>
      </c>
      <c r="AB76" s="367">
        <f t="shared" ca="1" si="50"/>
        <v>0</v>
      </c>
      <c r="AC76" s="367" t="str">
        <f t="shared" ca="1" si="51"/>
        <v/>
      </c>
      <c r="AD76" s="127" t="str">
        <f t="shared" ca="1" si="54"/>
        <v/>
      </c>
      <c r="AE76" s="127" t="str">
        <f t="shared" ca="1" si="54"/>
        <v/>
      </c>
      <c r="AF76" s="127" t="str">
        <f t="shared" ca="1" si="54"/>
        <v/>
      </c>
      <c r="AG76" s="127" t="str">
        <f t="shared" ca="1" si="54"/>
        <v/>
      </c>
      <c r="AH76" s="127" t="str">
        <f t="shared" ca="1" si="54"/>
        <v/>
      </c>
      <c r="AI76" s="127" t="str">
        <f t="shared" ca="1" si="54"/>
        <v/>
      </c>
      <c r="AK76" s="127" t="str">
        <f t="shared" ca="1" si="55"/>
        <v/>
      </c>
      <c r="AL76" s="127" t="str">
        <f t="shared" ca="1" si="55"/>
        <v/>
      </c>
      <c r="AS76" s="127">
        <f t="shared" si="26"/>
        <v>137.5</v>
      </c>
      <c r="AT76" s="127">
        <f t="shared" ca="1" si="56"/>
        <v>0</v>
      </c>
      <c r="AU76" s="127">
        <f t="shared" ca="1" si="56"/>
        <v>0</v>
      </c>
      <c r="AV76" s="127">
        <f t="shared" ca="1" si="56"/>
        <v>0</v>
      </c>
    </row>
    <row r="77" spans="2:48">
      <c r="B77" s="367">
        <f>tblIndiSets!B67</f>
        <v>56</v>
      </c>
      <c r="C77" s="367">
        <f>tblIndiSets!D67</f>
        <v>3</v>
      </c>
      <c r="D77" s="367">
        <f>tblCategories!V60</f>
        <v>0</v>
      </c>
      <c r="E77" s="367" t="str">
        <f>tblIndiSets!H67</f>
        <v>3.4.2</v>
      </c>
      <c r="H77" s="367">
        <f t="shared" si="42"/>
        <v>29.1</v>
      </c>
      <c r="I77" s="13" t="str">
        <f t="shared" ca="1" si="43"/>
        <v>=22</v>
      </c>
      <c r="J77" s="13">
        <f t="shared" ca="1" si="44"/>
        <v>2</v>
      </c>
      <c r="K77" s="367">
        <f t="shared" si="8"/>
        <v>41.5</v>
      </c>
      <c r="L77" s="13" t="str">
        <f t="shared" ca="1" si="45"/>
        <v>14</v>
      </c>
      <c r="M77" s="13">
        <f t="shared" ca="1" si="46"/>
        <v>1</v>
      </c>
      <c r="N77" s="36" t="str">
        <f t="shared" si="11"/>
        <v/>
      </c>
      <c r="O77" s="13"/>
      <c r="P77" s="13"/>
      <c r="Q77" s="367" t="str">
        <f t="shared" si="12"/>
        <v/>
      </c>
      <c r="R77" s="13" t="str">
        <f t="shared" ca="1" si="47"/>
        <v/>
      </c>
      <c r="S77" s="13">
        <f t="shared" ca="1" si="48"/>
        <v>0</v>
      </c>
      <c r="U77" s="13"/>
      <c r="V77" s="13"/>
      <c r="X77" s="13"/>
      <c r="Y77" s="13"/>
      <c r="AA77" s="367" t="e">
        <f t="shared" ca="1" si="49"/>
        <v>#N/A</v>
      </c>
      <c r="AB77" s="367">
        <f t="shared" ca="1" si="50"/>
        <v>0</v>
      </c>
      <c r="AC77" s="367" t="str">
        <f t="shared" ca="1" si="51"/>
        <v/>
      </c>
      <c r="AD77" s="127" t="str">
        <f t="shared" ca="1" si="54"/>
        <v/>
      </c>
      <c r="AE77" s="127" t="str">
        <f t="shared" ca="1" si="54"/>
        <v/>
      </c>
      <c r="AF77" s="127" t="str">
        <f t="shared" ca="1" si="54"/>
        <v/>
      </c>
      <c r="AG77" s="127" t="str">
        <f t="shared" ca="1" si="54"/>
        <v/>
      </c>
      <c r="AH77" s="127" t="str">
        <f t="shared" ca="1" si="54"/>
        <v/>
      </c>
      <c r="AI77" s="127" t="str">
        <f t="shared" ca="1" si="54"/>
        <v/>
      </c>
      <c r="AK77" s="127" t="str">
        <f t="shared" ca="1" si="55"/>
        <v/>
      </c>
      <c r="AL77" s="127" t="str">
        <f t="shared" ca="1" si="55"/>
        <v/>
      </c>
      <c r="AS77" s="127">
        <f t="shared" si="26"/>
        <v>140</v>
      </c>
      <c r="AT77" s="127">
        <f t="shared" ca="1" si="56"/>
        <v>0</v>
      </c>
      <c r="AU77" s="127">
        <f t="shared" ca="1" si="56"/>
        <v>0</v>
      </c>
      <c r="AV77" s="127">
        <f t="shared" ca="1" si="56"/>
        <v>0</v>
      </c>
    </row>
    <row r="78" spans="2:48">
      <c r="B78" s="367">
        <f>tblIndiSets!B68</f>
        <v>57</v>
      </c>
      <c r="C78" s="367">
        <f>tblIndiSets!D68</f>
        <v>1</v>
      </c>
      <c r="D78" s="367">
        <f>tblCategories!V61</f>
        <v>1</v>
      </c>
      <c r="E78" s="367" t="str">
        <f>tblIndiSets!H68</f>
        <v>Sustainability</v>
      </c>
      <c r="H78" s="367">
        <f t="shared" si="42"/>
        <v>85.4</v>
      </c>
      <c r="I78" s="13" t="str">
        <f t="shared" ca="1" si="43"/>
        <v>6</v>
      </c>
      <c r="J78" s="13">
        <f t="shared" ca="1" si="44"/>
        <v>1</v>
      </c>
      <c r="K78" s="367">
        <f t="shared" si="8"/>
        <v>68.099999999999994</v>
      </c>
      <c r="L78" s="13" t="str">
        <f t="shared" ca="1" si="45"/>
        <v>17</v>
      </c>
      <c r="M78" s="13">
        <f t="shared" ca="1" si="46"/>
        <v>1</v>
      </c>
      <c r="N78" s="36" t="str">
        <f t="shared" si="11"/>
        <v/>
      </c>
      <c r="O78" s="13"/>
      <c r="P78" s="13"/>
      <c r="Q78" s="367" t="str">
        <f t="shared" si="12"/>
        <v/>
      </c>
      <c r="R78" s="13" t="str">
        <f t="shared" ca="1" si="47"/>
        <v/>
      </c>
      <c r="S78" s="13">
        <f t="shared" ca="1" si="48"/>
        <v>0</v>
      </c>
      <c r="U78" s="13"/>
      <c r="V78" s="13"/>
      <c r="X78" s="13"/>
      <c r="Y78" s="13"/>
      <c r="AA78" s="367" t="e">
        <f t="shared" ca="1" si="49"/>
        <v>#N/A</v>
      </c>
      <c r="AB78" s="367">
        <f t="shared" ca="1" si="50"/>
        <v>0</v>
      </c>
      <c r="AC78" s="367" t="str">
        <f t="shared" ca="1" si="51"/>
        <v/>
      </c>
      <c r="AD78" s="127" t="str">
        <f t="shared" ca="1" si="54"/>
        <v/>
      </c>
      <c r="AE78" s="127" t="str">
        <f t="shared" ca="1" si="54"/>
        <v/>
      </c>
      <c r="AF78" s="127" t="str">
        <f t="shared" ca="1" si="54"/>
        <v/>
      </c>
      <c r="AG78" s="127" t="str">
        <f t="shared" ca="1" si="54"/>
        <v/>
      </c>
      <c r="AH78" s="127" t="str">
        <f t="shared" ca="1" si="54"/>
        <v/>
      </c>
      <c r="AI78" s="127" t="str">
        <f t="shared" ca="1" si="54"/>
        <v/>
      </c>
      <c r="AK78" s="127" t="str">
        <f t="shared" ca="1" si="55"/>
        <v/>
      </c>
      <c r="AL78" s="127" t="str">
        <f t="shared" ca="1" si="55"/>
        <v/>
      </c>
      <c r="AS78" s="127">
        <f t="shared" si="26"/>
        <v>142.5</v>
      </c>
      <c r="AT78" s="127">
        <f t="shared" ca="1" si="56"/>
        <v>0</v>
      </c>
      <c r="AU78" s="127">
        <f t="shared" ca="1" si="56"/>
        <v>0</v>
      </c>
      <c r="AV78" s="127">
        <f t="shared" ca="1" si="56"/>
        <v>0</v>
      </c>
    </row>
    <row r="79" spans="2:48">
      <c r="B79" s="367">
        <f>tblIndiSets!B69</f>
        <v>58</v>
      </c>
      <c r="C79" s="367">
        <f>tblIndiSets!D69</f>
        <v>2</v>
      </c>
      <c r="D79" s="367">
        <f>tblCategories!V62</f>
        <v>0</v>
      </c>
      <c r="E79" s="367" t="str">
        <f>tblIndiSets!H69</f>
        <v>Efficient resource management</v>
      </c>
      <c r="H79" s="367">
        <f t="shared" si="42"/>
        <v>87.5</v>
      </c>
      <c r="I79" s="13" t="str">
        <f t="shared" ca="1" si="43"/>
        <v>=11</v>
      </c>
      <c r="J79" s="13">
        <f t="shared" ca="1" si="44"/>
        <v>7</v>
      </c>
      <c r="K79" s="367">
        <f t="shared" si="8"/>
        <v>87.5</v>
      </c>
      <c r="L79" s="13" t="str">
        <f t="shared" ca="1" si="45"/>
        <v>=11</v>
      </c>
      <c r="M79" s="13">
        <f t="shared" ca="1" si="46"/>
        <v>7</v>
      </c>
      <c r="N79" s="36" t="str">
        <f t="shared" si="11"/>
        <v/>
      </c>
      <c r="O79" s="13"/>
      <c r="P79" s="13"/>
      <c r="Q79" s="367" t="str">
        <f t="shared" si="12"/>
        <v/>
      </c>
      <c r="R79" s="13" t="str">
        <f t="shared" ca="1" si="47"/>
        <v/>
      </c>
      <c r="S79" s="13">
        <f t="shared" ca="1" si="48"/>
        <v>0</v>
      </c>
      <c r="U79" s="13"/>
      <c r="V79" s="13"/>
      <c r="X79" s="13"/>
      <c r="Y79" s="13"/>
      <c r="AA79" s="367" t="e">
        <f t="shared" ca="1" si="49"/>
        <v>#N/A</v>
      </c>
      <c r="AB79" s="367">
        <f t="shared" ca="1" si="50"/>
        <v>0</v>
      </c>
      <c r="AC79" s="367" t="str">
        <f t="shared" ca="1" si="51"/>
        <v/>
      </c>
      <c r="AD79" s="127" t="str">
        <f t="shared" ca="1" si="54"/>
        <v/>
      </c>
      <c r="AE79" s="127" t="str">
        <f t="shared" ca="1" si="54"/>
        <v/>
      </c>
      <c r="AF79" s="127" t="str">
        <f t="shared" ca="1" si="54"/>
        <v/>
      </c>
      <c r="AG79" s="127" t="str">
        <f t="shared" ca="1" si="54"/>
        <v/>
      </c>
      <c r="AH79" s="127" t="str">
        <f t="shared" ca="1" si="54"/>
        <v/>
      </c>
      <c r="AI79" s="127" t="str">
        <f t="shared" ca="1" si="54"/>
        <v/>
      </c>
      <c r="AK79" s="127" t="str">
        <f t="shared" ca="1" si="55"/>
        <v/>
      </c>
      <c r="AL79" s="127" t="str">
        <f t="shared" ca="1" si="55"/>
        <v/>
      </c>
      <c r="AS79" s="127">
        <f t="shared" si="26"/>
        <v>145</v>
      </c>
      <c r="AT79" s="127">
        <f t="shared" ca="1" si="56"/>
        <v>0</v>
      </c>
      <c r="AU79" s="127">
        <f t="shared" ca="1" si="56"/>
        <v>0</v>
      </c>
      <c r="AV79" s="127">
        <f t="shared" ca="1" si="56"/>
        <v>0</v>
      </c>
    </row>
    <row r="80" spans="2:48">
      <c r="B80" s="367">
        <f>tblIndiSets!B70</f>
        <v>59</v>
      </c>
      <c r="C80" s="367">
        <f>tblIndiSets!D70</f>
        <v>3</v>
      </c>
      <c r="D80" s="367">
        <f>tblCategories!V63</f>
        <v>0</v>
      </c>
      <c r="E80" s="367" t="str">
        <f>tblIndiSets!H70</f>
        <v>4.1.1</v>
      </c>
      <c r="H80" s="367">
        <f t="shared" si="42"/>
        <v>75</v>
      </c>
      <c r="I80" s="13" t="str">
        <f t="shared" ca="1" si="43"/>
        <v>=11</v>
      </c>
      <c r="J80" s="13">
        <f t="shared" ca="1" si="44"/>
        <v>12</v>
      </c>
      <c r="K80" s="367">
        <f t="shared" si="8"/>
        <v>75</v>
      </c>
      <c r="L80" s="13" t="str">
        <f t="shared" ca="1" si="45"/>
        <v>=11</v>
      </c>
      <c r="M80" s="13">
        <f t="shared" ca="1" si="46"/>
        <v>12</v>
      </c>
      <c r="N80" s="36" t="str">
        <f t="shared" si="11"/>
        <v/>
      </c>
      <c r="O80" s="13"/>
      <c r="P80" s="13"/>
      <c r="Q80" s="367" t="str">
        <f t="shared" si="12"/>
        <v/>
      </c>
      <c r="R80" s="13" t="str">
        <f t="shared" ca="1" si="47"/>
        <v/>
      </c>
      <c r="S80" s="13">
        <f t="shared" ca="1" si="48"/>
        <v>0</v>
      </c>
      <c r="U80" s="13"/>
      <c r="V80" s="13"/>
      <c r="X80" s="13"/>
      <c r="Y80" s="13"/>
      <c r="AA80" s="367" t="e">
        <f t="shared" ca="1" si="49"/>
        <v>#N/A</v>
      </c>
      <c r="AB80" s="367">
        <f t="shared" ca="1" si="50"/>
        <v>0</v>
      </c>
      <c r="AC80" s="367" t="str">
        <f t="shared" ca="1" si="51"/>
        <v/>
      </c>
      <c r="AD80" s="127" t="str">
        <f t="shared" ca="1" si="54"/>
        <v/>
      </c>
      <c r="AE80" s="127" t="str">
        <f t="shared" ca="1" si="54"/>
        <v/>
      </c>
      <c r="AF80" s="127" t="str">
        <f t="shared" ca="1" si="54"/>
        <v/>
      </c>
      <c r="AG80" s="127" t="str">
        <f t="shared" ca="1" si="54"/>
        <v/>
      </c>
      <c r="AH80" s="127" t="str">
        <f t="shared" ca="1" si="54"/>
        <v/>
      </c>
      <c r="AI80" s="127" t="str">
        <f t="shared" ca="1" si="54"/>
        <v/>
      </c>
      <c r="AK80" s="127" t="str">
        <f t="shared" ca="1" si="55"/>
        <v/>
      </c>
      <c r="AL80" s="127" t="str">
        <f t="shared" ca="1" si="55"/>
        <v/>
      </c>
      <c r="AS80" s="127">
        <f t="shared" si="26"/>
        <v>147.5</v>
      </c>
      <c r="AT80" s="127">
        <f t="shared" ca="1" si="56"/>
        <v>0</v>
      </c>
      <c r="AU80" s="127">
        <f t="shared" ca="1" si="56"/>
        <v>0</v>
      </c>
      <c r="AV80" s="127">
        <f t="shared" ca="1" si="56"/>
        <v>0</v>
      </c>
    </row>
    <row r="81" spans="2:48">
      <c r="B81" s="367">
        <f>tblIndiSets!B71</f>
        <v>60</v>
      </c>
      <c r="C81" s="367">
        <f>tblIndiSets!D71</f>
        <v>3</v>
      </c>
      <c r="D81" s="367">
        <f>tblCategories!V64</f>
        <v>0</v>
      </c>
      <c r="E81" s="367" t="str">
        <f>tblIndiSets!H71</f>
        <v>4.1.2</v>
      </c>
      <c r="H81" s="367">
        <f t="shared" si="42"/>
        <v>100</v>
      </c>
      <c r="I81" s="13" t="str">
        <f t="shared" ca="1" si="43"/>
        <v>=1</v>
      </c>
      <c r="J81" s="13">
        <f t="shared" ca="1" si="44"/>
        <v>23</v>
      </c>
      <c r="K81" s="367">
        <f t="shared" si="8"/>
        <v>100</v>
      </c>
      <c r="L81" s="13" t="str">
        <f t="shared" ca="1" si="45"/>
        <v>=1</v>
      </c>
      <c r="M81" s="13">
        <f t="shared" ca="1" si="46"/>
        <v>23</v>
      </c>
      <c r="N81" s="36" t="str">
        <f t="shared" si="11"/>
        <v/>
      </c>
      <c r="O81" s="13"/>
      <c r="P81" s="13"/>
      <c r="Q81" s="367" t="str">
        <f t="shared" si="12"/>
        <v/>
      </c>
      <c r="R81" s="13" t="str">
        <f t="shared" ca="1" si="47"/>
        <v/>
      </c>
      <c r="S81" s="13">
        <f t="shared" ca="1" si="48"/>
        <v>0</v>
      </c>
      <c r="U81" s="13"/>
      <c r="V81" s="13"/>
      <c r="X81" s="13"/>
      <c r="Y81" s="13"/>
      <c r="AA81" s="367" t="e">
        <f t="shared" ca="1" si="49"/>
        <v>#N/A</v>
      </c>
      <c r="AB81" s="367">
        <f t="shared" ca="1" si="50"/>
        <v>0</v>
      </c>
      <c r="AC81" s="367" t="str">
        <f t="shared" ca="1" si="51"/>
        <v/>
      </c>
      <c r="AD81" s="127" t="str">
        <f t="shared" ca="1" si="54"/>
        <v/>
      </c>
      <c r="AE81" s="127" t="str">
        <f t="shared" ca="1" si="54"/>
        <v/>
      </c>
      <c r="AF81" s="127" t="str">
        <f t="shared" ca="1" si="54"/>
        <v/>
      </c>
      <c r="AG81" s="127" t="str">
        <f t="shared" ca="1" si="54"/>
        <v/>
      </c>
      <c r="AH81" s="127" t="str">
        <f t="shared" ca="1" si="54"/>
        <v/>
      </c>
      <c r="AI81" s="127" t="str">
        <f t="shared" ca="1" si="54"/>
        <v/>
      </c>
      <c r="AK81" s="127" t="str">
        <f t="shared" ca="1" si="55"/>
        <v/>
      </c>
      <c r="AL81" s="127" t="str">
        <f t="shared" ca="1" si="55"/>
        <v/>
      </c>
      <c r="AS81" s="127">
        <f t="shared" si="26"/>
        <v>150</v>
      </c>
      <c r="AT81" s="127">
        <f t="shared" ca="1" si="56"/>
        <v>0</v>
      </c>
      <c r="AU81" s="127">
        <f t="shared" ca="1" si="56"/>
        <v>0</v>
      </c>
      <c r="AV81" s="127">
        <f t="shared" ca="1" si="56"/>
        <v>0</v>
      </c>
    </row>
    <row r="82" spans="2:48">
      <c r="B82" s="367">
        <f>tblIndiSets!B72</f>
        <v>61</v>
      </c>
      <c r="C82" s="367">
        <f>tblIndiSets!D72</f>
        <v>3</v>
      </c>
      <c r="D82" s="367">
        <f>tblCategories!V65</f>
        <v>0</v>
      </c>
      <c r="E82" s="367" t="str">
        <f>tblIndiSets!H72</f>
        <v>4.1.3</v>
      </c>
      <c r="H82" s="367">
        <f t="shared" si="42"/>
        <v>100</v>
      </c>
      <c r="I82" s="13" t="str">
        <f t="shared" ca="1" si="43"/>
        <v>=1</v>
      </c>
      <c r="J82" s="13">
        <f t="shared" ca="1" si="44"/>
        <v>24</v>
      </c>
      <c r="K82" s="367">
        <f t="shared" si="8"/>
        <v>100</v>
      </c>
      <c r="L82" s="13" t="str">
        <f t="shared" ca="1" si="45"/>
        <v>=1</v>
      </c>
      <c r="M82" s="13">
        <f t="shared" ca="1" si="46"/>
        <v>24</v>
      </c>
      <c r="N82" s="36" t="str">
        <f t="shared" si="11"/>
        <v/>
      </c>
      <c r="O82" s="13"/>
      <c r="P82" s="13"/>
      <c r="Q82" s="367" t="str">
        <f t="shared" si="12"/>
        <v/>
      </c>
      <c r="R82" s="13" t="str">
        <f t="shared" ca="1" si="47"/>
        <v/>
      </c>
      <c r="S82" s="13">
        <f t="shared" ca="1" si="48"/>
        <v>0</v>
      </c>
      <c r="U82" s="13"/>
      <c r="V82" s="13"/>
      <c r="X82" s="13"/>
      <c r="Y82" s="13"/>
      <c r="AA82" s="367" t="e">
        <f t="shared" ca="1" si="49"/>
        <v>#N/A</v>
      </c>
      <c r="AB82" s="367">
        <f t="shared" ca="1" si="50"/>
        <v>0</v>
      </c>
      <c r="AC82" s="367" t="str">
        <f t="shared" ca="1" si="51"/>
        <v/>
      </c>
      <c r="AD82" s="127" t="str">
        <f t="shared" ca="1" si="54"/>
        <v/>
      </c>
      <c r="AE82" s="127" t="str">
        <f t="shared" ca="1" si="54"/>
        <v/>
      </c>
      <c r="AF82" s="127" t="str">
        <f t="shared" ca="1" si="54"/>
        <v/>
      </c>
      <c r="AG82" s="127" t="str">
        <f t="shared" ca="1" si="54"/>
        <v/>
      </c>
      <c r="AH82" s="127" t="str">
        <f t="shared" ca="1" si="54"/>
        <v/>
      </c>
      <c r="AI82" s="127" t="str">
        <f t="shared" ca="1" si="54"/>
        <v/>
      </c>
      <c r="AK82" s="127" t="str">
        <f t="shared" ca="1" si="55"/>
        <v/>
      </c>
      <c r="AL82" s="127" t="str">
        <f t="shared" ca="1" si="55"/>
        <v/>
      </c>
      <c r="AS82" s="127">
        <f t="shared" si="26"/>
        <v>152.5</v>
      </c>
      <c r="AT82" s="127">
        <f t="shared" ca="1" si="56"/>
        <v>0</v>
      </c>
      <c r="AU82" s="127">
        <f t="shared" ca="1" si="56"/>
        <v>0</v>
      </c>
      <c r="AV82" s="127">
        <f t="shared" ca="1" si="56"/>
        <v>0</v>
      </c>
    </row>
    <row r="83" spans="2:48">
      <c r="B83" s="367">
        <f>tblIndiSets!B73</f>
        <v>62</v>
      </c>
      <c r="C83" s="367">
        <f>tblIndiSets!D73</f>
        <v>2</v>
      </c>
      <c r="D83" s="367">
        <f>tblCategories!V66</f>
        <v>0</v>
      </c>
      <c r="E83" s="367" t="str">
        <f>tblIndiSets!H73</f>
        <v>Emissions reduction</v>
      </c>
      <c r="H83" s="367">
        <f t="shared" si="42"/>
        <v>100</v>
      </c>
      <c r="I83" s="13" t="str">
        <f t="shared" ca="1" si="43"/>
        <v>=1</v>
      </c>
      <c r="J83" s="13">
        <f t="shared" ca="1" si="44"/>
        <v>5</v>
      </c>
      <c r="K83" s="367">
        <f t="shared" si="8"/>
        <v>77.599999999999994</v>
      </c>
      <c r="L83" s="13" t="str">
        <f t="shared" ca="1" si="45"/>
        <v>=19</v>
      </c>
      <c r="M83" s="13">
        <f t="shared" ca="1" si="46"/>
        <v>3</v>
      </c>
      <c r="N83" s="36" t="str">
        <f t="shared" si="11"/>
        <v/>
      </c>
      <c r="O83" s="13"/>
      <c r="P83" s="13"/>
      <c r="Q83" s="367" t="str">
        <f t="shared" si="12"/>
        <v/>
      </c>
      <c r="R83" s="13" t="str">
        <f t="shared" ca="1" si="47"/>
        <v/>
      </c>
      <c r="S83" s="13">
        <f t="shared" ca="1" si="48"/>
        <v>0</v>
      </c>
      <c r="U83" s="13"/>
      <c r="V83" s="13"/>
      <c r="X83" s="13"/>
      <c r="Y83" s="13"/>
      <c r="AA83" s="367" t="e">
        <f t="shared" ca="1" si="49"/>
        <v>#N/A</v>
      </c>
      <c r="AB83" s="367">
        <f t="shared" ca="1" si="50"/>
        <v>0</v>
      </c>
      <c r="AC83" s="367" t="str">
        <f t="shared" ca="1" si="51"/>
        <v/>
      </c>
      <c r="AD83" s="127" t="str">
        <f t="shared" ca="1" si="54"/>
        <v/>
      </c>
      <c r="AE83" s="127" t="str">
        <f t="shared" ca="1" si="54"/>
        <v/>
      </c>
      <c r="AF83" s="127" t="str">
        <f t="shared" ca="1" si="54"/>
        <v/>
      </c>
      <c r="AG83" s="127" t="str">
        <f t="shared" ca="1" si="54"/>
        <v/>
      </c>
      <c r="AH83" s="127" t="str">
        <f t="shared" ca="1" si="54"/>
        <v/>
      </c>
      <c r="AI83" s="127" t="str">
        <f t="shared" ca="1" si="54"/>
        <v/>
      </c>
      <c r="AK83" s="127" t="str">
        <f t="shared" ca="1" si="55"/>
        <v/>
      </c>
      <c r="AL83" s="127" t="str">
        <f t="shared" ca="1" si="55"/>
        <v/>
      </c>
      <c r="AS83" s="127">
        <f t="shared" si="26"/>
        <v>155</v>
      </c>
      <c r="AT83" s="127">
        <f t="shared" ca="1" si="56"/>
        <v>0</v>
      </c>
      <c r="AU83" s="127">
        <f t="shared" ca="1" si="56"/>
        <v>0</v>
      </c>
      <c r="AV83" s="127">
        <f t="shared" ca="1" si="56"/>
        <v>0</v>
      </c>
    </row>
    <row r="84" spans="2:48">
      <c r="B84" s="367">
        <f>tblIndiSets!B74</f>
        <v>63</v>
      </c>
      <c r="C84" s="367">
        <f>tblIndiSets!D74</f>
        <v>3</v>
      </c>
      <c r="D84" s="367">
        <f>tblCategories!V67</f>
        <v>0</v>
      </c>
      <c r="E84" s="367" t="str">
        <f>tblIndiSets!H74</f>
        <v>4.2.1</v>
      </c>
      <c r="H84" s="367">
        <f t="shared" si="42"/>
        <v>100</v>
      </c>
      <c r="I84" s="13" t="str">
        <f t="shared" ca="1" si="43"/>
        <v>=1</v>
      </c>
      <c r="J84" s="13">
        <f t="shared" ca="1" si="44"/>
        <v>22</v>
      </c>
      <c r="K84" s="367">
        <f t="shared" si="8"/>
        <v>100</v>
      </c>
      <c r="L84" s="13" t="str">
        <f t="shared" ca="1" si="45"/>
        <v>=1</v>
      </c>
      <c r="M84" s="13">
        <f t="shared" ca="1" si="46"/>
        <v>22</v>
      </c>
      <c r="N84" s="36" t="str">
        <f t="shared" si="11"/>
        <v/>
      </c>
      <c r="O84" s="13"/>
      <c r="P84" s="13"/>
      <c r="Q84" s="367" t="str">
        <f t="shared" si="12"/>
        <v/>
      </c>
      <c r="R84" s="13" t="str">
        <f t="shared" ca="1" si="47"/>
        <v/>
      </c>
      <c r="S84" s="13">
        <f t="shared" ca="1" si="48"/>
        <v>0</v>
      </c>
      <c r="U84" s="13"/>
      <c r="V84" s="13"/>
      <c r="X84" s="13"/>
      <c r="Y84" s="13"/>
      <c r="AA84" s="367" t="e">
        <f t="shared" ca="1" si="49"/>
        <v>#N/A</v>
      </c>
      <c r="AB84" s="367">
        <f t="shared" ca="1" si="50"/>
        <v>0</v>
      </c>
      <c r="AC84" s="367" t="str">
        <f t="shared" ca="1" si="51"/>
        <v/>
      </c>
      <c r="AD84" s="127" t="str">
        <f t="shared" ca="1" si="54"/>
        <v/>
      </c>
      <c r="AE84" s="127" t="str">
        <f t="shared" ca="1" si="54"/>
        <v/>
      </c>
      <c r="AF84" s="127" t="str">
        <f t="shared" ca="1" si="54"/>
        <v/>
      </c>
      <c r="AG84" s="127" t="str">
        <f t="shared" ca="1" si="54"/>
        <v/>
      </c>
      <c r="AH84" s="127" t="str">
        <f t="shared" ca="1" si="54"/>
        <v/>
      </c>
      <c r="AI84" s="127" t="str">
        <f t="shared" ca="1" si="54"/>
        <v/>
      </c>
      <c r="AK84" s="127" t="str">
        <f t="shared" ca="1" si="55"/>
        <v/>
      </c>
      <c r="AL84" s="127" t="str">
        <f t="shared" ca="1" si="55"/>
        <v/>
      </c>
      <c r="AS84" s="127">
        <f t="shared" si="26"/>
        <v>157.5</v>
      </c>
      <c r="AT84" s="127">
        <f t="shared" ca="1" si="56"/>
        <v>0</v>
      </c>
      <c r="AU84" s="127">
        <f t="shared" ca="1" si="56"/>
        <v>0</v>
      </c>
      <c r="AV84" s="127">
        <f t="shared" ca="1" si="56"/>
        <v>0</v>
      </c>
    </row>
    <row r="85" spans="2:48">
      <c r="B85" s="367">
        <f>tblIndiSets!B75</f>
        <v>64</v>
      </c>
      <c r="C85" s="367">
        <f>tblIndiSets!D75</f>
        <v>3</v>
      </c>
      <c r="D85" s="367">
        <f>tblCategories!V68</f>
        <v>0</v>
      </c>
      <c r="E85" s="367" t="str">
        <f>tblIndiSets!H75</f>
        <v>4.2.2</v>
      </c>
      <c r="H85" s="367">
        <f t="shared" si="42"/>
        <v>100</v>
      </c>
      <c r="I85" s="13" t="str">
        <f t="shared" ca="1" si="43"/>
        <v>=1</v>
      </c>
      <c r="J85" s="13">
        <f t="shared" ca="1" si="44"/>
        <v>6</v>
      </c>
      <c r="K85" s="367">
        <f t="shared" si="8"/>
        <v>80</v>
      </c>
      <c r="L85" s="13" t="str">
        <f t="shared" ca="1" si="45"/>
        <v>=7</v>
      </c>
      <c r="M85" s="13">
        <f t="shared" ca="1" si="46"/>
        <v>15</v>
      </c>
      <c r="N85" s="36" t="str">
        <f t="shared" si="11"/>
        <v/>
      </c>
      <c r="O85" s="13"/>
      <c r="P85" s="13"/>
      <c r="Q85" s="367" t="str">
        <f t="shared" si="12"/>
        <v/>
      </c>
      <c r="R85" s="13" t="str">
        <f t="shared" ca="1" si="47"/>
        <v/>
      </c>
      <c r="S85" s="13">
        <f t="shared" ca="1" si="48"/>
        <v>0</v>
      </c>
      <c r="U85" s="13"/>
      <c r="V85" s="13"/>
      <c r="X85" s="13"/>
      <c r="Y85" s="13"/>
      <c r="AA85" s="367" t="e">
        <f t="shared" ca="1" si="49"/>
        <v>#N/A</v>
      </c>
      <c r="AB85" s="367">
        <f t="shared" ca="1" si="50"/>
        <v>0</v>
      </c>
      <c r="AC85" s="367" t="str">
        <f t="shared" ca="1" si="51"/>
        <v/>
      </c>
      <c r="AD85" s="127" t="str">
        <f t="shared" ca="1" si="54"/>
        <v/>
      </c>
      <c r="AE85" s="127" t="str">
        <f t="shared" ca="1" si="54"/>
        <v/>
      </c>
      <c r="AF85" s="127" t="str">
        <f t="shared" ca="1" si="54"/>
        <v/>
      </c>
      <c r="AG85" s="127" t="str">
        <f t="shared" ca="1" si="54"/>
        <v/>
      </c>
      <c r="AH85" s="127" t="str">
        <f t="shared" ca="1" si="54"/>
        <v/>
      </c>
      <c r="AI85" s="127" t="str">
        <f t="shared" ca="1" si="54"/>
        <v/>
      </c>
      <c r="AK85" s="127" t="str">
        <f t="shared" ca="1" si="55"/>
        <v/>
      </c>
      <c r="AL85" s="127" t="str">
        <f t="shared" ca="1" si="55"/>
        <v/>
      </c>
      <c r="AS85" s="127">
        <f t="shared" si="26"/>
        <v>160</v>
      </c>
      <c r="AT85" s="127">
        <f t="shared" ca="1" si="56"/>
        <v>0</v>
      </c>
      <c r="AU85" s="127">
        <f t="shared" ca="1" si="56"/>
        <v>0</v>
      </c>
      <c r="AV85" s="127">
        <f t="shared" ca="1" si="56"/>
        <v>0</v>
      </c>
    </row>
    <row r="86" spans="2:48">
      <c r="B86" s="367">
        <f>tblIndiSets!B76</f>
        <v>65</v>
      </c>
      <c r="C86" s="367">
        <f>tblIndiSets!D76</f>
        <v>3</v>
      </c>
      <c r="D86" s="367">
        <f>tblCategories!V69</f>
        <v>0</v>
      </c>
      <c r="E86" s="367" t="str">
        <f>tblIndiSets!H76</f>
        <v>4.2.3</v>
      </c>
      <c r="H86" s="367">
        <f t="shared" si="42"/>
        <v>100</v>
      </c>
      <c r="I86" s="13" t="str">
        <f t="shared" ca="1" si="43"/>
        <v>=1</v>
      </c>
      <c r="J86" s="13">
        <f t="shared" ca="1" si="44"/>
        <v>21</v>
      </c>
      <c r="K86" s="367">
        <f t="shared" si="8"/>
        <v>50</v>
      </c>
      <c r="L86" s="13" t="str">
        <f t="shared" ca="1" si="45"/>
        <v>=22</v>
      </c>
      <c r="M86" s="13">
        <f t="shared" ca="1" si="46"/>
        <v>6</v>
      </c>
      <c r="N86" s="36" t="str">
        <f t="shared" si="11"/>
        <v/>
      </c>
      <c r="O86" s="13"/>
      <c r="P86" s="13"/>
      <c r="Q86" s="367" t="str">
        <f t="shared" si="12"/>
        <v/>
      </c>
      <c r="R86" s="13" t="str">
        <f t="shared" ca="1" si="47"/>
        <v/>
      </c>
      <c r="S86" s="13">
        <f t="shared" ca="1" si="48"/>
        <v>0</v>
      </c>
      <c r="U86" s="13"/>
      <c r="V86" s="13"/>
      <c r="X86" s="13"/>
      <c r="Y86" s="13"/>
      <c r="AA86" s="367" t="e">
        <f t="shared" ca="1" si="49"/>
        <v>#N/A</v>
      </c>
      <c r="AB86" s="367">
        <f t="shared" ca="1" si="50"/>
        <v>0</v>
      </c>
      <c r="AC86" s="367" t="str">
        <f t="shared" ca="1" si="51"/>
        <v/>
      </c>
      <c r="AD86" s="127" t="str">
        <f t="shared" ca="1" si="54"/>
        <v/>
      </c>
      <c r="AE86" s="127" t="str">
        <f t="shared" ca="1" si="54"/>
        <v/>
      </c>
      <c r="AF86" s="127" t="str">
        <f t="shared" ca="1" si="54"/>
        <v/>
      </c>
      <c r="AG86" s="127" t="str">
        <f t="shared" ca="1" si="54"/>
        <v/>
      </c>
      <c r="AH86" s="127" t="str">
        <f t="shared" ca="1" si="54"/>
        <v/>
      </c>
      <c r="AI86" s="127" t="str">
        <f t="shared" ca="1" si="54"/>
        <v/>
      </c>
      <c r="AK86" s="127" t="str">
        <f t="shared" ca="1" si="55"/>
        <v/>
      </c>
      <c r="AL86" s="127" t="str">
        <f t="shared" ca="1" si="55"/>
        <v/>
      </c>
      <c r="AS86" s="127">
        <f t="shared" si="26"/>
        <v>162.5</v>
      </c>
      <c r="AT86" s="127">
        <f t="shared" ca="1" si="56"/>
        <v>0</v>
      </c>
      <c r="AU86" s="127">
        <f t="shared" ca="1" si="56"/>
        <v>0</v>
      </c>
      <c r="AV86" s="127">
        <f t="shared" ca="1" si="56"/>
        <v>0</v>
      </c>
    </row>
    <row r="87" spans="2:48">
      <c r="B87" s="367">
        <f>tblIndiSets!B77</f>
        <v>66</v>
      </c>
      <c r="C87" s="367">
        <f>tblIndiSets!D77</f>
        <v>2</v>
      </c>
      <c r="D87" s="367">
        <f>tblCategories!V70</f>
        <v>0</v>
      </c>
      <c r="E87" s="367" t="str">
        <f>tblIndiSets!H77</f>
        <v>Pollution</v>
      </c>
      <c r="H87" s="367">
        <f t="shared" si="42"/>
        <v>50</v>
      </c>
      <c r="I87" s="13" t="str">
        <f t="shared" ca="1" si="43"/>
        <v>=15</v>
      </c>
      <c r="J87" s="13">
        <f t="shared" ca="1" si="44"/>
        <v>13</v>
      </c>
      <c r="K87" s="367">
        <f t="shared" si="8"/>
        <v>100</v>
      </c>
      <c r="L87" s="13" t="str">
        <f t="shared" ca="1" si="45"/>
        <v>1</v>
      </c>
      <c r="M87" s="13">
        <f t="shared" ca="1" si="46"/>
        <v>1</v>
      </c>
      <c r="N87" s="36" t="str">
        <f t="shared" si="11"/>
        <v/>
      </c>
      <c r="O87" s="13"/>
      <c r="P87" s="13"/>
      <c r="Q87" s="367" t="str">
        <f t="shared" si="12"/>
        <v/>
      </c>
      <c r="R87" s="13" t="str">
        <f t="shared" ca="1" si="47"/>
        <v/>
      </c>
      <c r="S87" s="13">
        <f t="shared" ca="1" si="48"/>
        <v>0</v>
      </c>
      <c r="U87" s="13"/>
      <c r="V87" s="13"/>
      <c r="X87" s="13"/>
      <c r="Y87" s="13"/>
      <c r="AA87" s="367" t="e">
        <f t="shared" ca="1" si="49"/>
        <v>#N/A</v>
      </c>
      <c r="AB87" s="367">
        <f t="shared" ca="1" si="50"/>
        <v>0</v>
      </c>
      <c r="AC87" s="367" t="str">
        <f t="shared" ca="1" si="51"/>
        <v/>
      </c>
      <c r="AD87" s="127" t="str">
        <f t="shared" ca="1" si="54"/>
        <v/>
      </c>
      <c r="AE87" s="127" t="str">
        <f t="shared" ca="1" si="54"/>
        <v/>
      </c>
      <c r="AF87" s="127" t="str">
        <f t="shared" ca="1" si="54"/>
        <v/>
      </c>
      <c r="AG87" s="127" t="str">
        <f t="shared" ca="1" si="54"/>
        <v/>
      </c>
      <c r="AH87" s="127" t="str">
        <f t="shared" ca="1" si="54"/>
        <v/>
      </c>
      <c r="AI87" s="127" t="str">
        <f t="shared" ca="1" si="54"/>
        <v/>
      </c>
      <c r="AK87" s="127" t="str">
        <f t="shared" ca="1" si="55"/>
        <v/>
      </c>
      <c r="AL87" s="127" t="str">
        <f t="shared" ca="1" si="55"/>
        <v/>
      </c>
      <c r="AS87" s="127">
        <f t="shared" si="26"/>
        <v>165</v>
      </c>
      <c r="AT87" s="127">
        <f t="shared" ca="1" si="56"/>
        <v>0</v>
      </c>
      <c r="AU87" s="127">
        <f t="shared" ca="1" si="56"/>
        <v>0</v>
      </c>
      <c r="AV87" s="127">
        <f t="shared" ca="1" si="56"/>
        <v>0</v>
      </c>
    </row>
    <row r="88" spans="2:48">
      <c r="B88" s="367">
        <f>tblIndiSets!B78</f>
        <v>67</v>
      </c>
      <c r="C88" s="367">
        <f>tblIndiSets!D78</f>
        <v>3</v>
      </c>
      <c r="D88" s="367">
        <f>tblCategories!V71</f>
        <v>0</v>
      </c>
      <c r="E88" s="367" t="str">
        <f>tblIndiSets!H78</f>
        <v>4.3.1</v>
      </c>
      <c r="H88" s="367">
        <f t="shared" si="42"/>
        <v>50</v>
      </c>
      <c r="I88" s="13" t="str">
        <f t="shared" ca="1" si="43"/>
        <v>=15</v>
      </c>
      <c r="J88" s="13">
        <f t="shared" ca="1" si="44"/>
        <v>13</v>
      </c>
      <c r="K88" s="367">
        <f t="shared" si="8"/>
        <v>100</v>
      </c>
      <c r="L88" s="13" t="str">
        <f t="shared" ca="1" si="45"/>
        <v>1</v>
      </c>
      <c r="M88" s="13">
        <f t="shared" ca="1" si="46"/>
        <v>1</v>
      </c>
      <c r="N88" s="36" t="str">
        <f t="shared" si="11"/>
        <v/>
      </c>
      <c r="O88" s="13"/>
      <c r="P88" s="13"/>
      <c r="Q88" s="367" t="str">
        <f t="shared" si="12"/>
        <v/>
      </c>
      <c r="R88" s="13" t="str">
        <f t="shared" ca="1" si="47"/>
        <v/>
      </c>
      <c r="S88" s="13">
        <f t="shared" ca="1" si="48"/>
        <v>0</v>
      </c>
      <c r="U88" s="13"/>
      <c r="V88" s="13"/>
      <c r="X88" s="13"/>
      <c r="Y88" s="13"/>
      <c r="AA88" s="367" t="e">
        <f t="shared" ca="1" si="49"/>
        <v>#N/A</v>
      </c>
      <c r="AB88" s="367">
        <f t="shared" ca="1" si="50"/>
        <v>0</v>
      </c>
      <c r="AC88" s="367" t="str">
        <f t="shared" ca="1" si="51"/>
        <v/>
      </c>
      <c r="AD88" s="127" t="str">
        <f t="shared" ca="1" si="54"/>
        <v/>
      </c>
      <c r="AE88" s="127" t="str">
        <f t="shared" ca="1" si="54"/>
        <v/>
      </c>
      <c r="AF88" s="127" t="str">
        <f t="shared" ca="1" si="54"/>
        <v/>
      </c>
      <c r="AG88" s="127" t="str">
        <f t="shared" ca="1" si="54"/>
        <v/>
      </c>
      <c r="AH88" s="127" t="str">
        <f t="shared" ca="1" si="54"/>
        <v/>
      </c>
      <c r="AI88" s="127" t="str">
        <f t="shared" ca="1" si="54"/>
        <v/>
      </c>
      <c r="AK88" s="127" t="str">
        <f t="shared" ca="1" si="55"/>
        <v/>
      </c>
      <c r="AL88" s="127" t="str">
        <f t="shared" ca="1" si="55"/>
        <v/>
      </c>
      <c r="AS88" s="127">
        <f t="shared" si="26"/>
        <v>167.5</v>
      </c>
      <c r="AT88" s="127">
        <f t="shared" ca="1" si="56"/>
        <v>0</v>
      </c>
      <c r="AU88" s="127">
        <f t="shared" ca="1" si="56"/>
        <v>0</v>
      </c>
      <c r="AV88" s="127">
        <f t="shared" ca="1" si="56"/>
        <v>0</v>
      </c>
    </row>
    <row r="89" spans="2:48">
      <c r="B89" s="367">
        <f>tblIndiSets!B79</f>
        <v>68</v>
      </c>
      <c r="C89" s="367">
        <f>tblIndiSets!D79</f>
        <v>2</v>
      </c>
      <c r="D89" s="367">
        <f>tblCategories!V72</f>
        <v>0</v>
      </c>
      <c r="E89" s="367" t="str">
        <f>tblIndiSets!H79</f>
        <v>Circular economy</v>
      </c>
      <c r="H89" s="367">
        <f t="shared" si="42"/>
        <v>100</v>
      </c>
      <c r="I89" s="13" t="str">
        <f t="shared" ca="1" si="43"/>
        <v>=1</v>
      </c>
      <c r="J89" s="13">
        <f t="shared" ca="1" si="44"/>
        <v>6</v>
      </c>
      <c r="K89" s="367">
        <f t="shared" si="8"/>
        <v>0</v>
      </c>
      <c r="L89" s="13" t="str">
        <f t="shared" ca="1" si="45"/>
        <v>=26</v>
      </c>
      <c r="M89" s="13">
        <f t="shared" ca="1" si="46"/>
        <v>5</v>
      </c>
      <c r="N89" s="36" t="str">
        <f t="shared" ref="N89:N91" si="57">IF($D$16=0,"",IF($B89="","",INDEX(aAverages,$B89,2)))</f>
        <v/>
      </c>
      <c r="O89" s="13"/>
      <c r="P89" s="13"/>
      <c r="Q89" s="367" t="str">
        <f t="shared" si="12"/>
        <v/>
      </c>
      <c r="R89" s="13" t="str">
        <f t="shared" ca="1" si="47"/>
        <v/>
      </c>
      <c r="S89" s="13">
        <f t="shared" ca="1" si="48"/>
        <v>0</v>
      </c>
      <c r="U89" s="13"/>
      <c r="V89" s="13"/>
      <c r="X89" s="13"/>
      <c r="Y89" s="13"/>
      <c r="AA89" s="367" t="e">
        <f t="shared" ca="1" si="49"/>
        <v>#N/A</v>
      </c>
      <c r="AB89" s="367">
        <f t="shared" ca="1" si="50"/>
        <v>0</v>
      </c>
      <c r="AC89" s="367" t="str">
        <f t="shared" ca="1" si="51"/>
        <v/>
      </c>
      <c r="AD89" s="127" t="str">
        <f t="shared" ca="1" si="54"/>
        <v/>
      </c>
      <c r="AE89" s="127" t="str">
        <f t="shared" ca="1" si="54"/>
        <v/>
      </c>
      <c r="AF89" s="127" t="str">
        <f t="shared" ca="1" si="54"/>
        <v/>
      </c>
      <c r="AG89" s="127" t="str">
        <f t="shared" ca="1" si="54"/>
        <v/>
      </c>
      <c r="AH89" s="127" t="str">
        <f t="shared" ca="1" si="54"/>
        <v/>
      </c>
      <c r="AI89" s="127" t="str">
        <f t="shared" ca="1" si="54"/>
        <v/>
      </c>
      <c r="AK89" s="127" t="str">
        <f t="shared" ca="1" si="55"/>
        <v/>
      </c>
      <c r="AL89" s="127" t="str">
        <f t="shared" ca="1" si="55"/>
        <v/>
      </c>
      <c r="AS89" s="127">
        <f t="shared" ref="AS89:AS91" si="58">AS88+2.5</f>
        <v>170</v>
      </c>
      <c r="AT89" s="127">
        <f t="shared" ca="1" si="56"/>
        <v>0</v>
      </c>
      <c r="AU89" s="127">
        <f t="shared" ca="1" si="56"/>
        <v>0</v>
      </c>
      <c r="AV89" s="127">
        <f t="shared" ca="1" si="56"/>
        <v>0</v>
      </c>
    </row>
    <row r="90" spans="2:48">
      <c r="B90" s="367">
        <f>tblIndiSets!B80</f>
        <v>69</v>
      </c>
      <c r="C90" s="367">
        <f>tblIndiSets!D80</f>
        <v>3</v>
      </c>
      <c r="D90" s="367">
        <f>tblCategories!V73</f>
        <v>0</v>
      </c>
      <c r="E90" s="367" t="str">
        <f>tblIndiSets!H80</f>
        <v>4.4.1</v>
      </c>
      <c r="H90" s="367">
        <f t="shared" si="42"/>
        <v>100</v>
      </c>
      <c r="I90" s="13" t="str">
        <f t="shared" ca="1" si="43"/>
        <v>=1</v>
      </c>
      <c r="J90" s="13">
        <f t="shared" ca="1" si="44"/>
        <v>7</v>
      </c>
      <c r="K90" s="367">
        <f t="shared" si="8"/>
        <v>0</v>
      </c>
      <c r="L90" s="13" t="str">
        <f t="shared" ca="1" si="45"/>
        <v>=11</v>
      </c>
      <c r="M90" s="13">
        <f t="shared" ca="1" si="46"/>
        <v>20</v>
      </c>
      <c r="N90" s="36" t="str">
        <f t="shared" si="57"/>
        <v/>
      </c>
      <c r="O90" s="13"/>
      <c r="P90" s="13"/>
      <c r="Q90" s="367" t="str">
        <f t="shared" si="12"/>
        <v/>
      </c>
      <c r="R90" s="13" t="str">
        <f t="shared" ca="1" si="47"/>
        <v/>
      </c>
      <c r="S90" s="13">
        <f t="shared" ca="1" si="48"/>
        <v>0</v>
      </c>
      <c r="U90" s="13"/>
      <c r="V90" s="13"/>
      <c r="X90" s="13"/>
      <c r="Y90" s="13"/>
      <c r="AA90" s="367" t="e">
        <f t="shared" ca="1" si="49"/>
        <v>#N/A</v>
      </c>
      <c r="AB90" s="367">
        <f t="shared" ca="1" si="50"/>
        <v>0</v>
      </c>
      <c r="AC90" s="367" t="str">
        <f t="shared" ca="1" si="51"/>
        <v/>
      </c>
      <c r="AD90" s="127" t="str">
        <f t="shared" ca="1" si="54"/>
        <v/>
      </c>
      <c r="AE90" s="127" t="str">
        <f t="shared" ca="1" si="54"/>
        <v/>
      </c>
      <c r="AF90" s="127" t="str">
        <f t="shared" ca="1" si="54"/>
        <v/>
      </c>
      <c r="AG90" s="127" t="str">
        <f t="shared" ca="1" si="54"/>
        <v/>
      </c>
      <c r="AH90" s="127" t="str">
        <f t="shared" ca="1" si="54"/>
        <v/>
      </c>
      <c r="AI90" s="127" t="str">
        <f t="shared" ca="1" si="54"/>
        <v/>
      </c>
      <c r="AK90" s="127" t="str">
        <f t="shared" ca="1" si="55"/>
        <v/>
      </c>
      <c r="AL90" s="127" t="str">
        <f t="shared" ca="1" si="55"/>
        <v/>
      </c>
      <c r="AS90" s="127">
        <f t="shared" si="58"/>
        <v>172.5</v>
      </c>
      <c r="AT90" s="127">
        <f t="shared" ca="1" si="56"/>
        <v>0</v>
      </c>
      <c r="AU90" s="127">
        <f t="shared" ca="1" si="56"/>
        <v>0</v>
      </c>
      <c r="AV90" s="127">
        <f t="shared" ca="1" si="56"/>
        <v>0</v>
      </c>
    </row>
    <row r="91" spans="2:48">
      <c r="B91" s="367">
        <f>tblIndiSets!B81</f>
        <v>70</v>
      </c>
      <c r="C91" s="367">
        <f>tblIndiSets!D81</f>
        <v>3</v>
      </c>
      <c r="D91" s="367">
        <f>tblCategories!V74</f>
        <v>0</v>
      </c>
      <c r="E91" s="367" t="str">
        <f>tblIndiSets!H81</f>
        <v>4.4.2</v>
      </c>
      <c r="H91" s="367">
        <f t="shared" si="42"/>
        <v>100</v>
      </c>
      <c r="I91" s="13" t="str">
        <f t="shared" ca="1" si="43"/>
        <v>=1</v>
      </c>
      <c r="J91" s="13">
        <f t="shared" ca="1" si="44"/>
        <v>24</v>
      </c>
      <c r="K91" s="367">
        <f t="shared" ref="K91" si="59">IF($B$3=0,"",IF($B91="","",INDEX(aScoresRounded,$B91,$B$3)))</f>
        <v>0</v>
      </c>
      <c r="L91" s="13" t="str">
        <f t="shared" ca="1" si="45"/>
        <v>=25</v>
      </c>
      <c r="M91" s="13">
        <f t="shared" ca="1" si="46"/>
        <v>6</v>
      </c>
      <c r="N91" s="36" t="str">
        <f t="shared" si="57"/>
        <v/>
      </c>
      <c r="O91" s="13"/>
      <c r="P91" s="13"/>
      <c r="Q91" s="367" t="str">
        <f t="shared" si="12"/>
        <v/>
      </c>
      <c r="R91" s="13" t="str">
        <f t="shared" ca="1" si="47"/>
        <v/>
      </c>
      <c r="S91" s="13">
        <f t="shared" ca="1" si="48"/>
        <v>0</v>
      </c>
      <c r="U91" s="13"/>
      <c r="V91" s="13"/>
      <c r="X91" s="13"/>
      <c r="Y91" s="13"/>
      <c r="AA91" s="367" t="e">
        <f t="shared" ca="1" si="49"/>
        <v>#N/A</v>
      </c>
      <c r="AB91" s="367">
        <f t="shared" ca="1" si="50"/>
        <v>0</v>
      </c>
      <c r="AC91" s="367" t="str">
        <f t="shared" ca="1" si="51"/>
        <v/>
      </c>
      <c r="AD91" s="127" t="str">
        <f t="shared" ca="1" si="54"/>
        <v/>
      </c>
      <c r="AE91" s="127" t="str">
        <f t="shared" ca="1" si="54"/>
        <v/>
      </c>
      <c r="AF91" s="127" t="str">
        <f t="shared" ca="1" si="54"/>
        <v/>
      </c>
      <c r="AG91" s="127" t="str">
        <f t="shared" ca="1" si="54"/>
        <v/>
      </c>
      <c r="AH91" s="127" t="str">
        <f t="shared" ca="1" si="54"/>
        <v/>
      </c>
      <c r="AI91" s="127" t="str">
        <f t="shared" ca="1" si="54"/>
        <v/>
      </c>
      <c r="AK91" s="127" t="str">
        <f t="shared" ca="1" si="55"/>
        <v/>
      </c>
      <c r="AL91" s="127" t="str">
        <f t="shared" ca="1" si="55"/>
        <v/>
      </c>
      <c r="AS91" s="127">
        <f t="shared" si="58"/>
        <v>175</v>
      </c>
      <c r="AT91" s="127">
        <f t="shared" ca="1" si="56"/>
        <v>0</v>
      </c>
      <c r="AU91" s="127">
        <f t="shared" ca="1" si="56"/>
        <v>0</v>
      </c>
      <c r="AV91" s="127">
        <f t="shared" ca="1" si="56"/>
        <v>0</v>
      </c>
    </row>
  </sheetData>
  <mergeCells count="6">
    <mergeCell ref="W20:X20"/>
    <mergeCell ref="H20:I20"/>
    <mergeCell ref="K20:L20"/>
    <mergeCell ref="N20:O20"/>
    <mergeCell ref="Q20:R20"/>
    <mergeCell ref="T20:U20"/>
  </mergeCells>
  <pageMargins left="0.55118110236220474" right="0.55118110236220474" top="0.59055118110236227" bottom="0.78740157480314965" header="0.51181102362204722" footer="0.51181102362204722"/>
  <pageSetup paperSize="9" scale="38" orientation="landscape" r:id="rId1"/>
  <headerFooter alignWithMargins="0">
    <oddHeader>&amp;RCity Water Optimization Index: 2020</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000"/>
    <pageSetUpPr fitToPage="1"/>
  </sheetPr>
  <dimension ref="A1:AX91"/>
  <sheetViews>
    <sheetView showRowColHeaders="0" zoomScaleNormal="100" workbookViewId="0">
      <pane xSplit="3" ySplit="3" topLeftCell="D66" activePane="bottomRight" state="frozen"/>
      <selection activeCell="X1" sqref="X1"/>
      <selection pane="topRight" activeCell="X1" sqref="X1"/>
      <selection pane="bottomLeft" activeCell="X1" sqref="X1"/>
      <selection pane="bottomRight" activeCell="A45" sqref="A45:XFD91"/>
    </sheetView>
  </sheetViews>
  <sheetFormatPr defaultColWidth="9.1796875" defaultRowHeight="14.5"/>
  <cols>
    <col min="1" max="1" width="17.453125" style="367" bestFit="1" customWidth="1"/>
    <col min="2" max="2" width="4.1796875" style="367" customWidth="1"/>
    <col min="3" max="3" width="15.7265625" style="367" customWidth="1"/>
    <col min="4" max="4" width="5.7265625" style="367" bestFit="1" customWidth="1"/>
    <col min="5" max="7" width="5.453125" style="367" customWidth="1"/>
    <col min="8" max="8" width="10.453125" style="367" bestFit="1" customWidth="1"/>
    <col min="9" max="13" width="5.453125" style="367" customWidth="1"/>
    <col min="14" max="14" width="10.453125" style="367" bestFit="1" customWidth="1"/>
    <col min="15" max="16" width="5.453125" style="367" customWidth="1"/>
    <col min="17" max="29" width="5.7265625" style="367" customWidth="1"/>
    <col min="30" max="30" width="19" style="367" customWidth="1"/>
    <col min="31" max="48" width="7.453125" style="127" customWidth="1"/>
    <col min="49" max="50" width="9.1796875" style="127"/>
    <col min="51" max="16384" width="9.1796875" style="367"/>
  </cols>
  <sheetData>
    <row r="1" spans="1:47" ht="22.5" customHeight="1">
      <c r="A1" s="11" t="s">
        <v>118</v>
      </c>
      <c r="B1" s="11">
        <f>uxb_works!B1</f>
        <v>30</v>
      </c>
      <c r="C1" s="11">
        <f>uxb_works!C1</f>
        <v>30</v>
      </c>
      <c r="D1" s="11"/>
    </row>
    <row r="2" spans="1:47" ht="63" customHeight="1">
      <c r="A2" s="367" t="str">
        <f>uxb_works!A26</f>
        <v>CITY1_ID</v>
      </c>
      <c r="B2" s="367">
        <f>uxb_works!D26</f>
        <v>1</v>
      </c>
      <c r="C2" s="367" t="str">
        <f>uxb_works!C26</f>
        <v>Amsterdam</v>
      </c>
      <c r="D2" s="367">
        <f>uxb_works!D26</f>
        <v>1</v>
      </c>
      <c r="E2" s="11"/>
    </row>
    <row r="3" spans="1:47">
      <c r="A3" s="367" t="str">
        <f>uxb_works!A27</f>
        <v>CITY2_ID</v>
      </c>
      <c r="B3" s="367">
        <f>uxb_works!D27</f>
        <v>2</v>
      </c>
      <c r="C3" s="367" t="str">
        <f ca="1">uxb_works!C27</f>
        <v>Auckland</v>
      </c>
      <c r="D3" s="367">
        <f>uxb_works!D27</f>
        <v>2</v>
      </c>
      <c r="E3" s="11"/>
    </row>
    <row r="4" spans="1:47">
      <c r="A4" s="367" t="str">
        <f>uxb_works!A28</f>
        <v>CITY3_ID</v>
      </c>
      <c r="C4" s="367" t="s">
        <v>709</v>
      </c>
      <c r="D4" s="367">
        <f>SUM(C12:C15)</f>
        <v>0</v>
      </c>
      <c r="E4" s="11"/>
    </row>
    <row r="5" spans="1:47">
      <c r="A5" s="367" t="str">
        <f>uxb_works!A29</f>
        <v>CITY4_ID</v>
      </c>
      <c r="E5" s="11"/>
    </row>
    <row r="6" spans="1:47">
      <c r="E6" s="11"/>
    </row>
    <row r="8" spans="1:47">
      <c r="G8" s="13"/>
      <c r="AA8" s="14"/>
    </row>
    <row r="9" spans="1:47">
      <c r="G9" s="13"/>
      <c r="H9" s="13"/>
      <c r="I9" s="14"/>
      <c r="J9" s="14"/>
      <c r="N9" s="13"/>
      <c r="O9" s="14"/>
      <c r="P9" s="14"/>
      <c r="T9" s="14"/>
      <c r="AA9" s="14"/>
    </row>
    <row r="10" spans="1:47">
      <c r="A10" s="367" t="s">
        <v>232</v>
      </c>
      <c r="B10" s="367">
        <f>COUNTIF(D2:D7,"&gt;0")</f>
        <v>2</v>
      </c>
      <c r="G10" s="13"/>
      <c r="H10" s="13"/>
      <c r="I10" s="14"/>
      <c r="J10" s="14"/>
      <c r="N10" s="13"/>
      <c r="O10" s="14"/>
      <c r="P10" s="14"/>
      <c r="T10" s="14"/>
      <c r="AA10" s="14"/>
    </row>
    <row r="11" spans="1:47">
      <c r="G11" s="13"/>
      <c r="H11" s="13"/>
      <c r="I11" s="14"/>
      <c r="J11" s="14"/>
      <c r="N11" s="13"/>
      <c r="O11" s="14"/>
      <c r="P11" s="14"/>
      <c r="T11" s="14"/>
      <c r="AA11" s="14"/>
    </row>
    <row r="12" spans="1:47">
      <c r="A12" s="367" t="str">
        <f>uxb_works!A10</f>
        <v>GROUP_FILTER_INCOME</v>
      </c>
      <c r="B12" s="367">
        <f>uxb_works!B10</f>
        <v>1</v>
      </c>
      <c r="C12" s="367">
        <f>B12-1</f>
        <v>0</v>
      </c>
      <c r="G12" s="13"/>
      <c r="H12" s="13"/>
      <c r="I12" s="14"/>
      <c r="J12" s="14"/>
      <c r="N12" s="13"/>
      <c r="O12" s="14"/>
      <c r="P12" s="14"/>
      <c r="T12" s="14"/>
      <c r="AA12" s="14"/>
    </row>
    <row r="13" spans="1:47">
      <c r="A13" s="367" t="str">
        <f>uxb_works!A12</f>
        <v>GROUP_FILTER_REGION</v>
      </c>
      <c r="B13" s="367">
        <f>uxb_works!B12</f>
        <v>1</v>
      </c>
      <c r="C13" s="367">
        <f t="shared" ref="C13:C15" si="0">B13-1</f>
        <v>0</v>
      </c>
      <c r="G13" s="13"/>
      <c r="H13" s="13"/>
      <c r="I13" s="14"/>
      <c r="J13" s="14"/>
      <c r="N13" s="13"/>
      <c r="O13" s="14"/>
      <c r="P13" s="14"/>
      <c r="T13" s="14"/>
      <c r="AA13" s="14"/>
    </row>
    <row r="14" spans="1:47">
      <c r="A14" s="367" t="str">
        <f>uxb_works!A158</f>
        <v>FILTER_SET_3</v>
      </c>
      <c r="B14" s="367">
        <f>uxb_works!B158</f>
        <v>1</v>
      </c>
      <c r="C14" s="367">
        <f t="shared" si="0"/>
        <v>0</v>
      </c>
      <c r="G14" s="13"/>
      <c r="H14" s="13"/>
      <c r="I14" s="14"/>
      <c r="J14" s="14"/>
      <c r="N14" s="13"/>
      <c r="O14" s="14"/>
      <c r="P14" s="14"/>
      <c r="T14" s="14"/>
      <c r="AA14" s="14"/>
      <c r="AC14" s="367" t="str">
        <f ca="1">uxb_works!C187</f>
        <v>OVERALL SCORE</v>
      </c>
    </row>
    <row r="15" spans="1:47">
      <c r="A15" s="367" t="str">
        <f>uxb_works!A160</f>
        <v>FILTER_SET_3</v>
      </c>
      <c r="B15" s="367">
        <f>uxb_works!B160</f>
        <v>1</v>
      </c>
      <c r="C15" s="367">
        <f t="shared" si="0"/>
        <v>0</v>
      </c>
      <c r="G15" s="13"/>
      <c r="H15" s="13"/>
      <c r="I15" s="14"/>
      <c r="J15" s="14"/>
      <c r="N15" s="13"/>
      <c r="O15" s="14"/>
      <c r="P15" s="14"/>
      <c r="T15" s="14"/>
      <c r="AA15" s="14"/>
    </row>
    <row r="16" spans="1:47">
      <c r="G16" s="13"/>
      <c r="H16" s="13"/>
      <c r="I16" s="14"/>
      <c r="J16" s="14"/>
      <c r="N16" s="13"/>
      <c r="O16" s="14"/>
      <c r="P16" s="14"/>
      <c r="T16" s="14"/>
      <c r="AA16" s="14"/>
      <c r="AF16" s="127">
        <v>3</v>
      </c>
      <c r="AG16" s="127">
        <v>3</v>
      </c>
      <c r="AH16" s="127">
        <v>1</v>
      </c>
      <c r="AI16" s="127">
        <v>2</v>
      </c>
      <c r="AJ16" s="127">
        <v>3</v>
      </c>
      <c r="AK16" s="127">
        <v>1</v>
      </c>
      <c r="AL16" s="127">
        <v>2</v>
      </c>
      <c r="AM16" s="127">
        <v>3</v>
      </c>
      <c r="AN16" s="127">
        <v>1</v>
      </c>
      <c r="AO16" s="127">
        <v>2</v>
      </c>
      <c r="AP16" s="127">
        <v>3</v>
      </c>
      <c r="AQ16" s="127">
        <v>1</v>
      </c>
      <c r="AR16" s="127">
        <v>2</v>
      </c>
      <c r="AS16" s="127">
        <v>3</v>
      </c>
      <c r="AT16" s="127">
        <v>1</v>
      </c>
      <c r="AU16" s="127">
        <v>2</v>
      </c>
    </row>
    <row r="17" spans="1:50">
      <c r="G17" s="13"/>
      <c r="H17" s="13"/>
      <c r="I17" s="14"/>
      <c r="J17" s="14"/>
      <c r="N17" s="13"/>
      <c r="O17" s="14"/>
      <c r="P17" s="14"/>
      <c r="T17" s="14"/>
      <c r="AA17" s="14"/>
      <c r="AE17" s="127">
        <v>1</v>
      </c>
      <c r="AF17" s="127">
        <v>2</v>
      </c>
      <c r="AG17" s="127">
        <f>IF(B3=0,0,3)</f>
        <v>3</v>
      </c>
      <c r="AH17" s="127">
        <f>IF($D$3=0,0,AH16)</f>
        <v>1</v>
      </c>
      <c r="AI17" s="127">
        <f>IF(B3=0,0,AI16)</f>
        <v>2</v>
      </c>
      <c r="AJ17" s="127">
        <f>IF(C4=0,0,3)</f>
        <v>3</v>
      </c>
      <c r="AK17" s="127">
        <f>IF($D$4=0,0,AK16)</f>
        <v>0</v>
      </c>
      <c r="AL17" s="127">
        <f>IF($D$4=0,0,AL16)</f>
        <v>0</v>
      </c>
      <c r="AM17" s="127">
        <f>IF(AND($D$4=0,$D$5=0),0,AM16)</f>
        <v>0</v>
      </c>
      <c r="AN17" s="127">
        <f>IF($D$5=0,0,AN16)</f>
        <v>0</v>
      </c>
      <c r="AO17" s="127">
        <f>IF($D$5=0,0,AO16)</f>
        <v>0</v>
      </c>
      <c r="AP17" s="127">
        <f>IF(AND($D$5=0,$D$6=0),0,AP16)</f>
        <v>0</v>
      </c>
      <c r="AQ17" s="127">
        <f>IF($D$6=0,0,AQ16)</f>
        <v>0</v>
      </c>
      <c r="AR17" s="127">
        <f>IF($D$6=0,0,AR16)</f>
        <v>0</v>
      </c>
      <c r="AS17" s="127">
        <f>IF(AND($D$6=0,$D$7=0),0,AS16)</f>
        <v>0</v>
      </c>
      <c r="AT17" s="127">
        <f>IF($D$7=0,0,AT16)</f>
        <v>0</v>
      </c>
      <c r="AU17" s="127">
        <f>IF($D$7=0,0,AU16)</f>
        <v>0</v>
      </c>
    </row>
    <row r="18" spans="1:50">
      <c r="G18" s="13"/>
      <c r="H18" s="13"/>
      <c r="I18" s="14"/>
      <c r="J18" s="14"/>
      <c r="N18" s="13"/>
      <c r="O18" s="14"/>
      <c r="P18" s="14"/>
      <c r="T18" s="14"/>
      <c r="AA18" s="14" t="s">
        <v>143</v>
      </c>
    </row>
    <row r="19" spans="1:50">
      <c r="AE19" s="127">
        <v>1</v>
      </c>
      <c r="AF19" s="127">
        <v>2</v>
      </c>
      <c r="AH19" s="127">
        <v>4</v>
      </c>
      <c r="AI19" s="127">
        <v>5</v>
      </c>
      <c r="AK19" s="127">
        <v>7</v>
      </c>
      <c r="AL19" s="127">
        <v>8</v>
      </c>
      <c r="AN19" s="127">
        <v>10</v>
      </c>
      <c r="AO19" s="127">
        <v>11</v>
      </c>
      <c r="AQ19" s="127">
        <v>13</v>
      </c>
      <c r="AR19" s="127">
        <v>14</v>
      </c>
      <c r="AT19" s="127">
        <v>16</v>
      </c>
      <c r="AU19" s="127">
        <v>17</v>
      </c>
    </row>
    <row r="20" spans="1:50">
      <c r="H20" s="1186" t="s">
        <v>573</v>
      </c>
      <c r="I20" s="1186"/>
      <c r="J20" s="472"/>
      <c r="K20" s="1186" t="s">
        <v>574</v>
      </c>
      <c r="L20" s="1186"/>
      <c r="M20" s="472"/>
      <c r="N20" s="1186" t="s">
        <v>708</v>
      </c>
      <c r="O20" s="1186"/>
      <c r="P20" s="707"/>
      <c r="Q20" s="1186"/>
      <c r="R20" s="1186"/>
      <c r="S20" s="472"/>
      <c r="T20" s="1186"/>
      <c r="U20" s="1186"/>
      <c r="V20" s="472"/>
      <c r="W20" s="1186"/>
      <c r="X20" s="1186"/>
      <c r="Y20" s="472"/>
      <c r="AA20" s="367">
        <v>1</v>
      </c>
      <c r="AE20" s="127" t="s">
        <v>233</v>
      </c>
      <c r="AH20" s="127" t="s">
        <v>234</v>
      </c>
      <c r="AK20" s="127" t="s">
        <v>235</v>
      </c>
      <c r="AN20" s="127" t="s">
        <v>236</v>
      </c>
      <c r="AQ20" s="127" t="s">
        <v>237</v>
      </c>
      <c r="AT20" s="127" t="s">
        <v>238</v>
      </c>
    </row>
    <row r="21" spans="1:50" s="12" customFormat="1">
      <c r="A21" s="12">
        <f>A22</f>
        <v>1</v>
      </c>
      <c r="H21" s="12" t="s">
        <v>36</v>
      </c>
      <c r="I21" s="12" t="str">
        <f>CONCATENATE("Rank / ",$C$1)</f>
        <v>Rank / 30</v>
      </c>
      <c r="J21" s="12" t="s">
        <v>239</v>
      </c>
      <c r="N21" s="12" t="s">
        <v>36</v>
      </c>
      <c r="O21" s="12" t="str">
        <f>CONCATENATE("Rank / ",$C$1)</f>
        <v>Rank / 30</v>
      </c>
      <c r="P21" s="12" t="s">
        <v>239</v>
      </c>
      <c r="AA21" s="12">
        <v>0</v>
      </c>
      <c r="AE21" s="128"/>
      <c r="AF21" s="128"/>
      <c r="AG21" s="128"/>
      <c r="AH21" s="128"/>
      <c r="AI21" s="128"/>
      <c r="AJ21" s="128"/>
      <c r="AK21" s="128"/>
      <c r="AL21" s="128"/>
      <c r="AM21" s="128"/>
      <c r="AN21" s="128"/>
      <c r="AO21" s="128"/>
      <c r="AP21" s="128"/>
      <c r="AQ21" s="128"/>
      <c r="AR21" s="128"/>
      <c r="AS21" s="128"/>
      <c r="AT21" s="128"/>
      <c r="AU21" s="128"/>
      <c r="AV21" s="128"/>
      <c r="AW21" s="128"/>
      <c r="AX21" s="128"/>
    </row>
    <row r="22" spans="1:50">
      <c r="A22" s="367">
        <f>IF(ISEVEN(tblIndicators!C2),1,2)</f>
        <v>1</v>
      </c>
      <c r="B22" s="367">
        <f>tblIndiSets!B12</f>
        <v>1</v>
      </c>
      <c r="C22" s="129">
        <v>5</v>
      </c>
      <c r="D22" s="367">
        <f>tblCategories!AE5</f>
        <v>1</v>
      </c>
      <c r="E22" s="367" t="str">
        <f>tblIndiSets!E12</f>
        <v>OVERALL SCORE</v>
      </c>
      <c r="H22" s="367">
        <f t="shared" ref="H22:H23" si="1">IF(B22="","",INDEX(aScoresRounded,B22,$B$2))</f>
        <v>74.599999999999994</v>
      </c>
      <c r="I22" s="13" t="str">
        <f t="shared" ref="I22:I23" ca="1" si="2">IF($B22="","",IF(J22=1,"","=")&amp;RANK(H22,OFFSET(aScoresRounded,$B22-1,0,1,$C$1)))</f>
        <v>2</v>
      </c>
      <c r="J22" s="13">
        <f t="shared" ref="J22:J23" ca="1" si="3">IF($B22="","",COUNTIF(OFFSET(aScoresRounded,$B22-1,0,1,$C$1),H22))</f>
        <v>1</v>
      </c>
      <c r="K22" s="367">
        <f t="shared" ref="K22:K90" si="4">IF($B$3=0,"",IF($B22="","",INDEX(aScoresRounded,$B22,$B$3)))</f>
        <v>60.1</v>
      </c>
      <c r="L22" s="13" t="str">
        <f ca="1">IF(OR($B22="",K22=""),"",IF(M22=1,"","=")&amp;RANK(K22,OFFSET(aScoresRounded,$B22-1,0,1,$C$1)))</f>
        <v>22</v>
      </c>
      <c r="M22" s="13">
        <f t="shared" ref="M22:M25" ca="1" si="5">IF($B22="","",COUNTIF(OFFSET(aScoresRounded,$B22-1,0,1,$C$1),K22))</f>
        <v>1</v>
      </c>
      <c r="N22" s="367">
        <f ca="1">IF(B22="","",INDEX(aAverages,B22,2))</f>
        <v>63.3</v>
      </c>
      <c r="O22" s="13"/>
      <c r="P22" s="13"/>
      <c r="R22" s="13"/>
      <c r="S22" s="13"/>
      <c r="U22" s="13"/>
      <c r="V22" s="13"/>
      <c r="X22" s="13"/>
      <c r="Y22" s="13"/>
      <c r="AA22" s="367">
        <f t="shared" ref="AA22:AA45" ca="1" si="6">AA21+MATCH(AA$20,OFFSET($D$22:$D$91,AA21,0),0)</f>
        <v>1</v>
      </c>
      <c r="AB22" s="129">
        <f>IF(uxb_works!$B$32=1,2,IF(ISNA(AA22),0,IF(uxb_works!$B$32=1,IF(ISEVEN(LEFT(TRIM(AD22),1)),2,1),INDEX($C$22:$C$91,AA22))))</f>
        <v>2</v>
      </c>
      <c r="AC22" s="129">
        <f ca="1">IF(AD22="",0,IF($AC$14=TRIM(AD22),2,1))</f>
        <v>2</v>
      </c>
      <c r="AD22" s="367" t="str">
        <f t="shared" ref="AD22:AD45" ca="1" si="7">IF(ISNUMBER($AA22),INDEX(E$22:E$91,$AA22),"")</f>
        <v>OVERALL SCORE</v>
      </c>
      <c r="AE22" s="127">
        <f t="shared" ref="AE22:AF45" ca="1" si="8">IF(ISNUMBER($AA22),INDEX($H$22:$R$91,$AA22,AE$19),"")</f>
        <v>74.599999999999994</v>
      </c>
      <c r="AF22" s="127" t="str">
        <f t="shared" ca="1" si="8"/>
        <v>2</v>
      </c>
      <c r="AH22" s="127">
        <f t="shared" ref="AH22:AI45" ca="1" si="9">IF(ISNUMBER($AA22),INDEX($H$22:$R$91,$AA22,AH$19),"")</f>
        <v>60.1</v>
      </c>
      <c r="AI22" s="127" t="str">
        <f t="shared" ca="1" si="9"/>
        <v>22</v>
      </c>
      <c r="AK22" s="127">
        <f t="shared" ref="AK22:AL45" ca="1" si="10">IF(ISNUMBER($AA22),INDEX($H$22:$R$91,$AA22,AK$19),"")</f>
        <v>63.3</v>
      </c>
      <c r="AL22" s="127">
        <f t="shared" ca="1" si="10"/>
        <v>0</v>
      </c>
      <c r="AN22" s="127">
        <f t="shared" ref="AN22:AO45" ca="1" si="11">IF(ISNUMBER($AA22),INDEX($H$22:$X$91,$AA22,AN$19),"")</f>
        <v>0</v>
      </c>
      <c r="AO22" s="127">
        <f t="shared" ca="1" si="11"/>
        <v>0</v>
      </c>
      <c r="AQ22" s="127">
        <f t="shared" ref="AQ22:AR45" ca="1" si="12">IF(ISNUMBER($AA22),INDEX($H$22:$X$91,$AA22,AQ$19),"")</f>
        <v>0</v>
      </c>
      <c r="AR22" s="127">
        <f t="shared" ca="1" si="12"/>
        <v>0</v>
      </c>
      <c r="AT22" s="127">
        <f t="shared" ref="AT22:AU45" ca="1" si="13">IF(ISNUMBER($AA22),INDEX($H$22:$X$91,$AA22,AT$19),"")</f>
        <v>0</v>
      </c>
      <c r="AU22" s="127">
        <f t="shared" ca="1" si="13"/>
        <v>0</v>
      </c>
    </row>
    <row r="23" spans="1:50">
      <c r="A23" s="367">
        <f>IF(ISEVEN(tblIndicators!C3),1,2)</f>
        <v>2</v>
      </c>
      <c r="B23" s="367">
        <f>tblIndiSets!B13</f>
        <v>2</v>
      </c>
      <c r="C23" s="367">
        <f>tblIndiSets!D13</f>
        <v>1</v>
      </c>
      <c r="D23" s="367">
        <f>tblCategories!AE6</f>
        <v>1</v>
      </c>
      <c r="E23" s="367" t="str">
        <f>tblIndiSets!E13</f>
        <v xml:space="preserve"> 1) CONNECTIVITY</v>
      </c>
      <c r="H23" s="367">
        <f t="shared" si="1"/>
        <v>77</v>
      </c>
      <c r="I23" s="13" t="str">
        <f t="shared" ca="1" si="2"/>
        <v>6</v>
      </c>
      <c r="J23" s="13">
        <f t="shared" ca="1" si="3"/>
        <v>1</v>
      </c>
      <c r="K23" s="367">
        <f t="shared" si="4"/>
        <v>59.7</v>
      </c>
      <c r="L23" s="13" t="str">
        <f t="shared" ref="L23:L24" ca="1" si="14">IF(OR($B23="",K23=""),"",IF(M23=1,"","=")&amp;RANK(K23,OFFSET(aScoresRounded,$B23-1,0,1,$C$1)))</f>
        <v>22</v>
      </c>
      <c r="M23" s="13">
        <f t="shared" ca="1" si="5"/>
        <v>1</v>
      </c>
      <c r="N23" s="367">
        <f t="shared" ref="N23:N26" ca="1" si="15">IF(B23="","",INDEX(aAverages,B23,2))</f>
        <v>65.900000000000006</v>
      </c>
      <c r="O23" s="13"/>
      <c r="P23" s="13"/>
      <c r="R23" s="13"/>
      <c r="S23" s="13"/>
      <c r="U23" s="13"/>
      <c r="V23" s="13"/>
      <c r="X23" s="13"/>
      <c r="Y23" s="13"/>
      <c r="AA23" s="367">
        <f t="shared" ca="1" si="6"/>
        <v>2</v>
      </c>
      <c r="AB23" s="367">
        <f ca="1">IF(ISNA(AA23),0,IF(uxb_works!$B$130=1,IF(ISEVEN(LEFT(TRIM(AD23),1)),2,1),INDEX($C$22:$C$91,AA23)))</f>
        <v>1</v>
      </c>
      <c r="AC23" s="367">
        <f t="shared" ref="AC23:AC24" ca="1" si="16">IF(AD23="",0,IF($AC$14=TRIM(AD23),2,1))</f>
        <v>1</v>
      </c>
      <c r="AD23" s="367" t="str">
        <f t="shared" ca="1" si="7"/>
        <v xml:space="preserve"> 1) CONNECTIVITY</v>
      </c>
      <c r="AE23" s="127">
        <f t="shared" ca="1" si="8"/>
        <v>77</v>
      </c>
      <c r="AF23" s="127" t="str">
        <f t="shared" ca="1" si="8"/>
        <v>6</v>
      </c>
      <c r="AH23" s="127">
        <f t="shared" ca="1" si="9"/>
        <v>59.7</v>
      </c>
      <c r="AI23" s="127" t="str">
        <f t="shared" ca="1" si="9"/>
        <v>22</v>
      </c>
      <c r="AK23" s="127">
        <f t="shared" ca="1" si="10"/>
        <v>65.900000000000006</v>
      </c>
      <c r="AL23" s="127">
        <f t="shared" ca="1" si="10"/>
        <v>0</v>
      </c>
      <c r="AN23" s="127">
        <f t="shared" ca="1" si="11"/>
        <v>0</v>
      </c>
      <c r="AO23" s="127">
        <f t="shared" ca="1" si="11"/>
        <v>0</v>
      </c>
      <c r="AQ23" s="127">
        <f t="shared" ca="1" si="12"/>
        <v>0</v>
      </c>
      <c r="AR23" s="127">
        <f t="shared" ca="1" si="12"/>
        <v>0</v>
      </c>
      <c r="AT23" s="127">
        <f t="shared" ca="1" si="13"/>
        <v>0</v>
      </c>
      <c r="AU23" s="127">
        <f t="shared" ca="1" si="13"/>
        <v>0</v>
      </c>
    </row>
    <row r="24" spans="1:50">
      <c r="A24" s="367">
        <f>IF(ISEVEN(tblIndicators!C4),1,2)</f>
        <v>2</v>
      </c>
      <c r="B24" s="367">
        <f>tblIndiSets!B14</f>
        <v>3</v>
      </c>
      <c r="C24" s="367">
        <f>tblIndiSets!D14</f>
        <v>2</v>
      </c>
      <c r="D24" s="367">
        <f>tblCategories!AE7</f>
        <v>1</v>
      </c>
      <c r="E24" s="367" t="str">
        <f>tblIndiSets!E14</f>
        <v xml:space="preserve">  1.1) Digital infrastructure</v>
      </c>
      <c r="H24" s="367">
        <f t="shared" ref="H24" si="17">IF(B24="","",INDEX(aScoresRounded,B24,$B$2))</f>
        <v>84</v>
      </c>
      <c r="I24" s="13" t="str">
        <f t="shared" ref="I24" ca="1" si="18">IF($B24="","",IF(J24=1,"","=")&amp;RANK(H24,OFFSET(aScoresRounded,$B24-1,0,1,$C$1)))</f>
        <v>8</v>
      </c>
      <c r="J24" s="13">
        <f t="shared" ref="J24" ca="1" si="19">IF($B24="","",COUNTIF(OFFSET(aScoresRounded,$B24-1,0,1,$C$1),H24))</f>
        <v>1</v>
      </c>
      <c r="K24" s="367">
        <f t="shared" si="4"/>
        <v>77.3</v>
      </c>
      <c r="L24" s="13" t="str">
        <f t="shared" ca="1" si="14"/>
        <v>15</v>
      </c>
      <c r="M24" s="13">
        <f t="shared" ca="1" si="5"/>
        <v>1</v>
      </c>
      <c r="N24" s="367">
        <f t="shared" ca="1" si="15"/>
        <v>74.5</v>
      </c>
      <c r="O24" s="13"/>
      <c r="P24" s="13"/>
      <c r="R24" s="13"/>
      <c r="S24" s="13"/>
      <c r="U24" s="13"/>
      <c r="V24" s="13"/>
      <c r="X24" s="13"/>
      <c r="Y24" s="13"/>
      <c r="AA24" s="367">
        <f t="shared" ca="1" si="6"/>
        <v>3</v>
      </c>
      <c r="AB24" s="367">
        <f ca="1">IF(ISNA(AA24),0,IF(uxb_works!$B$130=1,IF(ISEVEN(LEFT(TRIM(AD24),1)),2,1),INDEX($C$22:$C$91,AA24)))</f>
        <v>1</v>
      </c>
      <c r="AC24" s="367">
        <f t="shared" ca="1" si="16"/>
        <v>1</v>
      </c>
      <c r="AD24" s="367" t="str">
        <f t="shared" ca="1" si="7"/>
        <v xml:space="preserve">  1.1) Digital infrastructure</v>
      </c>
      <c r="AE24" s="127">
        <f t="shared" ca="1" si="8"/>
        <v>84</v>
      </c>
      <c r="AF24" s="127" t="str">
        <f t="shared" ca="1" si="8"/>
        <v>8</v>
      </c>
      <c r="AH24" s="127">
        <f t="shared" ca="1" si="9"/>
        <v>77.3</v>
      </c>
      <c r="AI24" s="127" t="str">
        <f t="shared" ca="1" si="9"/>
        <v>15</v>
      </c>
      <c r="AK24" s="127">
        <f t="shared" ca="1" si="10"/>
        <v>74.5</v>
      </c>
      <c r="AL24" s="127">
        <f t="shared" ca="1" si="10"/>
        <v>0</v>
      </c>
      <c r="AN24" s="127">
        <f t="shared" ca="1" si="11"/>
        <v>0</v>
      </c>
      <c r="AO24" s="127">
        <f t="shared" ca="1" si="11"/>
        <v>0</v>
      </c>
      <c r="AQ24" s="127">
        <f t="shared" ca="1" si="12"/>
        <v>0</v>
      </c>
      <c r="AR24" s="127">
        <f t="shared" ca="1" si="12"/>
        <v>0</v>
      </c>
      <c r="AT24" s="127">
        <f t="shared" ca="1" si="13"/>
        <v>0</v>
      </c>
      <c r="AU24" s="127">
        <f t="shared" ca="1" si="13"/>
        <v>0</v>
      </c>
    </row>
    <row r="25" spans="1:50">
      <c r="A25" s="367">
        <f>IF(ISEVEN(tblIndicators!C5),1,2)</f>
        <v>2</v>
      </c>
      <c r="B25" s="367">
        <f>tblIndiSets!B15</f>
        <v>4</v>
      </c>
      <c r="C25" s="367">
        <f>tblIndiSets!D15</f>
        <v>3</v>
      </c>
      <c r="D25" s="367">
        <f>tblCategories!AE8</f>
        <v>0</v>
      </c>
      <c r="E25" s="367" t="str">
        <f>tblIndiSets!E15</f>
        <v xml:space="preserve">   1.1.1) Mobile broadband subscriptions</v>
      </c>
      <c r="H25" s="367">
        <f t="shared" ref="H25" si="20">IF(B25="","",INDEX(aScoresRounded,B25,$B$2))</f>
        <v>49.9</v>
      </c>
      <c r="I25" s="13" t="str">
        <f t="shared" ref="I25" ca="1" si="21">IF($B25="","",IF(J25=1,"","=")&amp;RANK(H25,OFFSET(aScoresRounded,$B25-1,0,1,$C$1)))</f>
        <v>10</v>
      </c>
      <c r="J25" s="13">
        <f t="shared" ref="J25" ca="1" si="22">IF($B25="","",COUNTIF(OFFSET(aScoresRounded,$B25-1,0,1,$C$1),H25))</f>
        <v>1</v>
      </c>
      <c r="K25" s="367">
        <f t="shared" si="4"/>
        <v>42</v>
      </c>
      <c r="L25" s="13" t="str">
        <f t="shared" ref="L25" ca="1" si="23">IF(OR($B25="",K25=""),"",IF(M25=1,"","=")&amp;RANK(K25,OFFSET(aScoresRounded,$B25-1,0,1,$C$1)))</f>
        <v>13</v>
      </c>
      <c r="M25" s="13">
        <f t="shared" ca="1" si="5"/>
        <v>1</v>
      </c>
      <c r="N25" s="367">
        <f t="shared" ca="1" si="15"/>
        <v>41.3</v>
      </c>
      <c r="O25" s="13"/>
      <c r="P25" s="13"/>
      <c r="R25" s="13"/>
      <c r="S25" s="13"/>
      <c r="U25" s="13"/>
      <c r="V25" s="13"/>
      <c r="X25" s="13"/>
      <c r="Y25" s="13"/>
      <c r="AA25" s="367">
        <f t="shared" ca="1" si="6"/>
        <v>8</v>
      </c>
      <c r="AB25" s="367">
        <f ca="1">IF(ISNA(AA25),0,IF(uxb_works!$B$130=1,IF(ISEVEN(LEFT(TRIM(AD25),1)),2,1),INDEX($C$22:$C$91,AA25)))</f>
        <v>1</v>
      </c>
      <c r="AC25" s="367">
        <f t="shared" ref="AC25" ca="1" si="24">IF(AD25="",0,IF($AC$14=TRIM(AD25),2,1))</f>
        <v>1</v>
      </c>
      <c r="AD25" s="367" t="str">
        <f t="shared" ca="1" si="7"/>
        <v xml:space="preserve">  1.2) Quality</v>
      </c>
      <c r="AE25" s="127">
        <f t="shared" ca="1" si="8"/>
        <v>66.7</v>
      </c>
      <c r="AF25" s="127" t="str">
        <f t="shared" ca="1" si="8"/>
        <v>7</v>
      </c>
      <c r="AH25" s="127">
        <f t="shared" ca="1" si="9"/>
        <v>44.1</v>
      </c>
      <c r="AI25" s="127" t="str">
        <f t="shared" ca="1" si="9"/>
        <v>12</v>
      </c>
      <c r="AK25" s="127">
        <f t="shared" ca="1" si="10"/>
        <v>43.5</v>
      </c>
      <c r="AL25" s="127">
        <f t="shared" ca="1" si="10"/>
        <v>0</v>
      </c>
      <c r="AN25" s="127">
        <f t="shared" ca="1" si="11"/>
        <v>0</v>
      </c>
      <c r="AO25" s="127">
        <f t="shared" ca="1" si="11"/>
        <v>0</v>
      </c>
      <c r="AQ25" s="127">
        <f t="shared" ca="1" si="12"/>
        <v>0</v>
      </c>
      <c r="AR25" s="127">
        <f t="shared" ca="1" si="12"/>
        <v>0</v>
      </c>
      <c r="AT25" s="127">
        <f t="shared" ca="1" si="13"/>
        <v>0</v>
      </c>
      <c r="AU25" s="127">
        <f t="shared" ca="1" si="13"/>
        <v>0</v>
      </c>
    </row>
    <row r="26" spans="1:50">
      <c r="A26" s="367">
        <f>IF(ISEVEN(tblIndicators!C6),1,2)</f>
        <v>2</v>
      </c>
      <c r="B26" s="367">
        <f>tblIndiSets!B16</f>
        <v>5</v>
      </c>
      <c r="C26" s="367">
        <f>tblIndiSets!D16</f>
        <v>3</v>
      </c>
      <c r="D26" s="367">
        <f>tblCategories!AE9</f>
        <v>0</v>
      </c>
      <c r="E26" s="367" t="str">
        <f>tblIndiSets!E16</f>
        <v xml:space="preserve">   1.1.2) Fixed broadband susbcriptions</v>
      </c>
      <c r="H26" s="367">
        <f t="shared" ref="H26" si="25">IF(B26="","",INDEX(aScoresRounded,B26,$B$2))</f>
        <v>93.4</v>
      </c>
      <c r="I26" s="13" t="str">
        <f t="shared" ref="I26" ca="1" si="26">IF($B26="","",IF(J26=1,"","=")&amp;RANK(H26,OFFSET(aScoresRounded,$B26-1,0,1,$C$1)))</f>
        <v>4</v>
      </c>
      <c r="J26" s="13">
        <f t="shared" ref="J26" ca="1" si="27">IF($B26="","",COUNTIF(OFFSET(aScoresRounded,$B26-1,0,1,$C$1),H26))</f>
        <v>1</v>
      </c>
      <c r="K26" s="367">
        <f t="shared" si="4"/>
        <v>73.099999999999994</v>
      </c>
      <c r="L26" s="13" t="str">
        <f t="shared" ref="L26" ca="1" si="28">IF(OR($B26="",K26=""),"",IF(M26=1,"","=")&amp;RANK(K26,OFFSET(aScoresRounded,$B26-1,0,1,$C$1)))</f>
        <v>15</v>
      </c>
      <c r="M26" s="13">
        <f t="shared" ref="M26" ca="1" si="29">IF($B26="","",COUNTIF(OFFSET(aScoresRounded,$B26-1,0,1,$C$1),K26))</f>
        <v>1</v>
      </c>
      <c r="N26" s="367">
        <f t="shared" ca="1" si="15"/>
        <v>64.7</v>
      </c>
      <c r="O26" s="13"/>
      <c r="P26" s="13"/>
      <c r="R26" s="13"/>
      <c r="S26" s="13"/>
      <c r="U26" s="13"/>
      <c r="V26" s="13"/>
      <c r="X26" s="13"/>
      <c r="Y26" s="13"/>
      <c r="AA26" s="367">
        <f t="shared" ca="1" si="6"/>
        <v>13</v>
      </c>
      <c r="AB26" s="367">
        <f ca="1">IF(ISNA(AA26),0,IF(uxb_works!$B$130=1,IF(ISEVEN(LEFT(TRIM(AD26),1)),2,1),INDEX($C$22:$C$91,AA26)))</f>
        <v>1</v>
      </c>
      <c r="AC26" s="367">
        <f t="shared" ref="AC26" ca="1" si="30">IF(AD26="",0,IF($AC$14=TRIM(AD26),2,1))</f>
        <v>1</v>
      </c>
      <c r="AD26" s="367" t="str">
        <f t="shared" ca="1" si="7"/>
        <v xml:space="preserve">  1.3) Affordability</v>
      </c>
      <c r="AE26" s="127">
        <f t="shared" ca="1" si="8"/>
        <v>74.599999999999994</v>
      </c>
      <c r="AF26" s="127" t="str">
        <f t="shared" ca="1" si="8"/>
        <v>15</v>
      </c>
      <c r="AH26" s="127">
        <f t="shared" ca="1" si="9"/>
        <v>46.8</v>
      </c>
      <c r="AI26" s="127" t="str">
        <f t="shared" ca="1" si="9"/>
        <v>25</v>
      </c>
      <c r="AK26" s="127">
        <f t="shared" ca="1" si="10"/>
        <v>69.3</v>
      </c>
      <c r="AL26" s="127">
        <f t="shared" ca="1" si="10"/>
        <v>0</v>
      </c>
      <c r="AN26" s="127">
        <f t="shared" ca="1" si="11"/>
        <v>0</v>
      </c>
      <c r="AO26" s="127">
        <f t="shared" ca="1" si="11"/>
        <v>0</v>
      </c>
      <c r="AQ26" s="127">
        <f t="shared" ca="1" si="12"/>
        <v>0</v>
      </c>
      <c r="AR26" s="127">
        <f t="shared" ca="1" si="12"/>
        <v>0</v>
      </c>
      <c r="AT26" s="127">
        <f t="shared" ca="1" si="13"/>
        <v>0</v>
      </c>
      <c r="AU26" s="127">
        <f t="shared" ca="1" si="13"/>
        <v>0</v>
      </c>
    </row>
    <row r="27" spans="1:50">
      <c r="A27" s="367">
        <f>IF(ISEVEN(tblIndicators!C7),1,2)</f>
        <v>2</v>
      </c>
      <c r="B27" s="367">
        <f>tblIndiSets!B17</f>
        <v>6</v>
      </c>
      <c r="C27" s="367">
        <f>tblIndiSets!D17</f>
        <v>3</v>
      </c>
      <c r="D27" s="367">
        <f>tblCategories!AE10</f>
        <v>0</v>
      </c>
      <c r="E27" s="367" t="str">
        <f>tblIndiSets!E17</f>
        <v xml:space="preserve">   1.1.3) 5G readiness</v>
      </c>
      <c r="H27" s="367">
        <f t="shared" ref="H27:H29" si="31">IF(B27="","",INDEX(aScoresRounded,B27,$B$2))</f>
        <v>100</v>
      </c>
      <c r="I27" s="13" t="str">
        <f t="shared" ref="I27:I29" ca="1" si="32">IF($B27="","",IF(J27=1,"","=")&amp;RANK(H27,OFFSET(aScoresRounded,$B27-1,0,1,$C$1)))</f>
        <v>=1</v>
      </c>
      <c r="J27" s="13">
        <f t="shared" ref="J27:J29" ca="1" si="33">IF($B27="","",COUNTIF(OFFSET(aScoresRounded,$B27-1,0,1,$C$1),H27))</f>
        <v>29</v>
      </c>
      <c r="K27" s="367">
        <f t="shared" si="4"/>
        <v>100</v>
      </c>
      <c r="L27" s="13" t="str">
        <f t="shared" ref="L27:L29" ca="1" si="34">IF(OR($B27="",K27=""),"",IF(M27=1,"","=")&amp;RANK(K27,OFFSET(aScoresRounded,$B27-1,0,1,$C$1)))</f>
        <v>=1</v>
      </c>
      <c r="M27" s="13">
        <f t="shared" ref="M27:M29" ca="1" si="35">IF($B27="","",COUNTIF(OFFSET(aScoresRounded,$B27-1,0,1,$C$1),K27))</f>
        <v>29</v>
      </c>
      <c r="N27" s="367">
        <f t="shared" ref="N27:N29" ca="1" si="36">IF(B27="","",INDEX(aAverages,B27,2))</f>
        <v>98.9</v>
      </c>
      <c r="O27" s="13"/>
      <c r="P27" s="13"/>
      <c r="R27" s="13"/>
      <c r="S27" s="13"/>
      <c r="U27" s="13"/>
      <c r="V27" s="13"/>
      <c r="X27" s="13"/>
      <c r="Y27" s="13"/>
      <c r="AA27" s="367">
        <f t="shared" ca="1" si="6"/>
        <v>16</v>
      </c>
      <c r="AB27" s="367">
        <f ca="1">IF(ISNA(AA27),0,IF(uxb_works!$B$130=1,IF(ISEVEN(LEFT(TRIM(AD27),1)),2,1),INDEX($C$22:$C$91,AA27)))</f>
        <v>2</v>
      </c>
      <c r="AC27" s="367">
        <f t="shared" ref="AC27:AC29" ca="1" si="37">IF(AD27="",0,IF($AC$14=TRIM(AD27),2,1))</f>
        <v>1</v>
      </c>
      <c r="AD27" s="367" t="str">
        <f t="shared" ca="1" si="7"/>
        <v xml:space="preserve"> 2) SERVICES</v>
      </c>
      <c r="AE27" s="127">
        <f t="shared" ca="1" si="8"/>
        <v>73.2</v>
      </c>
      <c r="AF27" s="127" t="str">
        <f t="shared" ca="1" si="8"/>
        <v>4</v>
      </c>
      <c r="AH27" s="127">
        <f t="shared" ca="1" si="9"/>
        <v>49.5</v>
      </c>
      <c r="AI27" s="127" t="str">
        <f t="shared" ca="1" si="9"/>
        <v>25</v>
      </c>
      <c r="AK27" s="127">
        <f t="shared" ca="1" si="10"/>
        <v>61.4</v>
      </c>
      <c r="AL27" s="127">
        <f t="shared" ca="1" si="10"/>
        <v>0</v>
      </c>
      <c r="AN27" s="127">
        <f t="shared" ca="1" si="11"/>
        <v>0</v>
      </c>
      <c r="AO27" s="127">
        <f t="shared" ca="1" si="11"/>
        <v>0</v>
      </c>
      <c r="AQ27" s="127">
        <f t="shared" ca="1" si="12"/>
        <v>0</v>
      </c>
      <c r="AR27" s="127">
        <f t="shared" ca="1" si="12"/>
        <v>0</v>
      </c>
      <c r="AT27" s="127">
        <f t="shared" ca="1" si="13"/>
        <v>0</v>
      </c>
      <c r="AU27" s="127">
        <f t="shared" ca="1" si="13"/>
        <v>0</v>
      </c>
    </row>
    <row r="28" spans="1:50">
      <c r="A28" s="367">
        <f>IF(ISEVEN(tblIndicators!C8),1,2)</f>
        <v>2</v>
      </c>
      <c r="B28" s="367">
        <f>tblIndiSets!B18</f>
        <v>7</v>
      </c>
      <c r="C28" s="367">
        <f>tblIndiSets!D18</f>
        <v>3</v>
      </c>
      <c r="D28" s="367">
        <f>tblCategories!AE11</f>
        <v>0</v>
      </c>
      <c r="E28" s="367" t="str">
        <f>tblIndiSets!E18</f>
        <v xml:space="preserve">   1.1.4) 5G deployment</v>
      </c>
      <c r="H28" s="367">
        <f t="shared" si="31"/>
        <v>100</v>
      </c>
      <c r="I28" s="13" t="str">
        <f t="shared" ca="1" si="32"/>
        <v>=1</v>
      </c>
      <c r="J28" s="13">
        <f t="shared" ca="1" si="33"/>
        <v>29</v>
      </c>
      <c r="K28" s="367">
        <f t="shared" si="4"/>
        <v>100</v>
      </c>
      <c r="L28" s="13" t="str">
        <f t="shared" ca="1" si="34"/>
        <v>=1</v>
      </c>
      <c r="M28" s="13">
        <f t="shared" ca="1" si="35"/>
        <v>29</v>
      </c>
      <c r="N28" s="367">
        <f t="shared" ca="1" si="36"/>
        <v>98.3</v>
      </c>
      <c r="O28" s="13"/>
      <c r="P28" s="13"/>
      <c r="R28" s="13"/>
      <c r="S28" s="13"/>
      <c r="U28" s="13"/>
      <c r="V28" s="13"/>
      <c r="X28" s="13"/>
      <c r="Y28" s="13"/>
      <c r="AA28" s="367">
        <f t="shared" ca="1" si="6"/>
        <v>17</v>
      </c>
      <c r="AB28" s="367">
        <f ca="1">IF(ISNA(AA28),0,IF(uxb_works!$B$130=1,IF(ISEVEN(LEFT(TRIM(AD28),1)),2,1),INDEX($C$22:$C$91,AA28)))</f>
        <v>2</v>
      </c>
      <c r="AC28" s="367">
        <f t="shared" ca="1" si="37"/>
        <v>1</v>
      </c>
      <c r="AD28" s="367" t="str">
        <f t="shared" ca="1" si="7"/>
        <v xml:space="preserve">  2.1) E-gov services for residents &amp; businesses</v>
      </c>
      <c r="AE28" s="127">
        <f t="shared" ca="1" si="8"/>
        <v>48.6</v>
      </c>
      <c r="AF28" s="127" t="str">
        <f t="shared" ca="1" si="8"/>
        <v>29</v>
      </c>
      <c r="AH28" s="127">
        <f t="shared" ca="1" si="9"/>
        <v>65.400000000000006</v>
      </c>
      <c r="AI28" s="127" t="str">
        <f t="shared" ca="1" si="9"/>
        <v>14</v>
      </c>
      <c r="AK28" s="127">
        <f t="shared" ca="1" si="10"/>
        <v>68.2</v>
      </c>
      <c r="AL28" s="127">
        <f t="shared" ca="1" si="10"/>
        <v>0</v>
      </c>
      <c r="AN28" s="127">
        <f t="shared" ca="1" si="11"/>
        <v>0</v>
      </c>
      <c r="AO28" s="127">
        <f t="shared" ca="1" si="11"/>
        <v>0</v>
      </c>
      <c r="AQ28" s="127">
        <f t="shared" ca="1" si="12"/>
        <v>0</v>
      </c>
      <c r="AR28" s="127">
        <f t="shared" ca="1" si="12"/>
        <v>0</v>
      </c>
      <c r="AT28" s="127">
        <f t="shared" ca="1" si="13"/>
        <v>0</v>
      </c>
      <c r="AU28" s="127">
        <f t="shared" ca="1" si="13"/>
        <v>0</v>
      </c>
    </row>
    <row r="29" spans="1:50">
      <c r="A29" s="367">
        <f>IF(ISEVEN(tblIndicators!C9),1,2)</f>
        <v>2</v>
      </c>
      <c r="B29" s="367">
        <f>tblIndiSets!B19</f>
        <v>8</v>
      </c>
      <c r="C29" s="367">
        <f>tblIndiSets!D19</f>
        <v>2</v>
      </c>
      <c r="D29" s="367">
        <f>tblCategories!AE12</f>
        <v>1</v>
      </c>
      <c r="E29" s="367" t="str">
        <f>tblIndiSets!E19</f>
        <v xml:space="preserve">  1.2) Quality</v>
      </c>
      <c r="H29" s="367">
        <f t="shared" si="31"/>
        <v>66.7</v>
      </c>
      <c r="I29" s="13" t="str">
        <f t="shared" ca="1" si="32"/>
        <v>7</v>
      </c>
      <c r="J29" s="13">
        <f t="shared" ca="1" si="33"/>
        <v>1</v>
      </c>
      <c r="K29" s="367">
        <f t="shared" si="4"/>
        <v>44.1</v>
      </c>
      <c r="L29" s="13" t="str">
        <f t="shared" ca="1" si="34"/>
        <v>12</v>
      </c>
      <c r="M29" s="13">
        <f t="shared" ca="1" si="35"/>
        <v>1</v>
      </c>
      <c r="N29" s="367">
        <f t="shared" ca="1" si="36"/>
        <v>43.5</v>
      </c>
      <c r="O29" s="13"/>
      <c r="P29" s="13"/>
      <c r="R29" s="13"/>
      <c r="S29" s="13"/>
      <c r="U29" s="13"/>
      <c r="V29" s="13"/>
      <c r="X29" s="13"/>
      <c r="Y29" s="13"/>
      <c r="AA29" s="367">
        <f t="shared" ca="1" si="6"/>
        <v>21</v>
      </c>
      <c r="AB29" s="367">
        <f ca="1">IF(ISNA(AA29),0,IF(uxb_works!$B$130=1,IF(ISEVEN(LEFT(TRIM(AD29),1)),2,1),INDEX($C$22:$C$91,AA29)))</f>
        <v>2</v>
      </c>
      <c r="AC29" s="367">
        <f t="shared" ca="1" si="37"/>
        <v>1</v>
      </c>
      <c r="AD29" s="367" t="str">
        <f t="shared" ca="1" si="7"/>
        <v xml:space="preserve">  2.2) Digital finance</v>
      </c>
      <c r="AE29" s="127">
        <f t="shared" ca="1" si="8"/>
        <v>58.5</v>
      </c>
      <c r="AF29" s="127" t="str">
        <f t="shared" ca="1" si="8"/>
        <v>13</v>
      </c>
      <c r="AH29" s="127">
        <f t="shared" ca="1" si="9"/>
        <v>65.599999999999994</v>
      </c>
      <c r="AI29" s="127" t="str">
        <f t="shared" ca="1" si="9"/>
        <v>5</v>
      </c>
      <c r="AK29" s="127">
        <f t="shared" ca="1" si="10"/>
        <v>50.8</v>
      </c>
      <c r="AL29" s="127">
        <f t="shared" ca="1" si="10"/>
        <v>0</v>
      </c>
      <c r="AN29" s="127">
        <f t="shared" ca="1" si="11"/>
        <v>0</v>
      </c>
      <c r="AO29" s="127">
        <f t="shared" ca="1" si="11"/>
        <v>0</v>
      </c>
      <c r="AQ29" s="127">
        <f t="shared" ca="1" si="12"/>
        <v>0</v>
      </c>
      <c r="AR29" s="127">
        <f t="shared" ca="1" si="12"/>
        <v>0</v>
      </c>
      <c r="AT29" s="127">
        <f t="shared" ca="1" si="13"/>
        <v>0</v>
      </c>
      <c r="AU29" s="127">
        <f t="shared" ca="1" si="13"/>
        <v>0</v>
      </c>
    </row>
    <row r="30" spans="1:50">
      <c r="A30" s="367">
        <f>IF(ISEVEN(tblIndicators!C10),1,2)</f>
        <v>2</v>
      </c>
      <c r="B30" s="367">
        <f>tblIndiSets!B20</f>
        <v>9</v>
      </c>
      <c r="C30" s="367">
        <f>tblIndiSets!D20</f>
        <v>3</v>
      </c>
      <c r="D30" s="367">
        <f>tblCategories!AE13</f>
        <v>0</v>
      </c>
      <c r="E30" s="367" t="str">
        <f>tblIndiSets!E20</f>
        <v xml:space="preserve">   1.2.1) Internet upload speed</v>
      </c>
      <c r="H30" s="367">
        <f t="shared" ref="H30:H45" si="38">IF(B30="","",INDEX(aScoresRounded,B30,$B$2))</f>
        <v>53.9</v>
      </c>
      <c r="I30" s="13" t="str">
        <f t="shared" ref="I30:I45" ca="1" si="39">IF($B30="","",IF(J30=1,"","=")&amp;RANK(H30,OFFSET(aScoresRounded,$B30-1,0,1,$C$1)))</f>
        <v>7</v>
      </c>
      <c r="J30" s="13">
        <f t="shared" ref="J30:J45" ca="1" si="40">IF($B30="","",COUNTIF(OFFSET(aScoresRounded,$B30-1,0,1,$C$1),H30))</f>
        <v>1</v>
      </c>
      <c r="K30" s="367">
        <f t="shared" si="4"/>
        <v>35.1</v>
      </c>
      <c r="L30" s="13" t="str">
        <f t="shared" ref="L30:L45" ca="1" si="41">IF(OR($B30="",K30=""),"",IF(M30=1,"","=")&amp;RANK(K30,OFFSET(aScoresRounded,$B30-1,0,1,$C$1)))</f>
        <v>12</v>
      </c>
      <c r="M30" s="13">
        <f t="shared" ref="M30:M45" ca="1" si="42">IF($B30="","",COUNTIF(OFFSET(aScoresRounded,$B30-1,0,1,$C$1),K30))</f>
        <v>1</v>
      </c>
      <c r="N30" s="367">
        <f t="shared" ref="N30:N45" ca="1" si="43">IF(B30="","",INDEX(aAverages,B30,2))</f>
        <v>38.299999999999997</v>
      </c>
      <c r="O30" s="13"/>
      <c r="P30" s="13"/>
      <c r="R30" s="13"/>
      <c r="S30" s="13"/>
      <c r="U30" s="13"/>
      <c r="V30" s="13"/>
      <c r="X30" s="13"/>
      <c r="Y30" s="13"/>
      <c r="AA30" s="367">
        <f t="shared" ca="1" si="6"/>
        <v>25</v>
      </c>
      <c r="AB30" s="367">
        <f ca="1">IF(ISNA(AA30),0,IF(uxb_works!$B$130=1,IF(ISEVEN(LEFT(TRIM(AD30),1)),2,1),INDEX($C$22:$C$91,AA30)))</f>
        <v>2</v>
      </c>
      <c r="AC30" s="367">
        <f t="shared" ref="AC30:AC45" ca="1" si="44">IF(AD30="",0,IF($AC$14=TRIM(AD30),2,1))</f>
        <v>1</v>
      </c>
      <c r="AD30" s="367" t="str">
        <f t="shared" ca="1" si="7"/>
        <v xml:space="preserve">  2.3) Transportation</v>
      </c>
      <c r="AE30" s="127">
        <f t="shared" ca="1" si="8"/>
        <v>100</v>
      </c>
      <c r="AF30" s="127" t="str">
        <f t="shared" ca="1" si="8"/>
        <v>=1</v>
      </c>
      <c r="AH30" s="127">
        <f t="shared" ca="1" si="9"/>
        <v>41</v>
      </c>
      <c r="AI30" s="127" t="str">
        <f t="shared" ca="1" si="9"/>
        <v>24</v>
      </c>
      <c r="AK30" s="127">
        <f t="shared" ca="1" si="10"/>
        <v>67.599999999999994</v>
      </c>
      <c r="AL30" s="127">
        <f t="shared" ca="1" si="10"/>
        <v>0</v>
      </c>
      <c r="AN30" s="127">
        <f t="shared" ca="1" si="11"/>
        <v>0</v>
      </c>
      <c r="AO30" s="127">
        <f t="shared" ca="1" si="11"/>
        <v>0</v>
      </c>
      <c r="AQ30" s="127">
        <f t="shared" ca="1" si="12"/>
        <v>0</v>
      </c>
      <c r="AR30" s="127">
        <f t="shared" ca="1" si="12"/>
        <v>0</v>
      </c>
      <c r="AT30" s="127">
        <f t="shared" ca="1" si="13"/>
        <v>0</v>
      </c>
      <c r="AU30" s="127">
        <f t="shared" ca="1" si="13"/>
        <v>0</v>
      </c>
    </row>
    <row r="31" spans="1:50">
      <c r="A31" s="367">
        <f>IF(ISEVEN(tblIndicators!C11),1,2)</f>
        <v>2</v>
      </c>
      <c r="B31" s="367">
        <f>tblIndiSets!B21</f>
        <v>10</v>
      </c>
      <c r="C31" s="367">
        <f>tblIndiSets!D21</f>
        <v>3</v>
      </c>
      <c r="D31" s="367">
        <f>tblCategories!AE14</f>
        <v>0</v>
      </c>
      <c r="E31" s="367" t="str">
        <f>tblIndiSets!E21</f>
        <v xml:space="preserve">   1.2.2) Internet download speed</v>
      </c>
      <c r="H31" s="367">
        <f t="shared" si="38"/>
        <v>90.4</v>
      </c>
      <c r="I31" s="13" t="str">
        <f t="shared" ca="1" si="39"/>
        <v>3</v>
      </c>
      <c r="J31" s="13">
        <f t="shared" ca="1" si="40"/>
        <v>1</v>
      </c>
      <c r="K31" s="367">
        <f t="shared" si="4"/>
        <v>34.700000000000003</v>
      </c>
      <c r="L31" s="13" t="str">
        <f t="shared" ca="1" si="41"/>
        <v>18</v>
      </c>
      <c r="M31" s="13">
        <f t="shared" ca="1" si="42"/>
        <v>1</v>
      </c>
      <c r="N31" s="367">
        <f t="shared" ca="1" si="43"/>
        <v>42.5</v>
      </c>
      <c r="O31" s="13"/>
      <c r="P31" s="13"/>
      <c r="R31" s="13"/>
      <c r="S31" s="13"/>
      <c r="U31" s="13"/>
      <c r="V31" s="13"/>
      <c r="X31" s="13"/>
      <c r="Y31" s="13"/>
      <c r="AA31" s="367">
        <f t="shared" ca="1" si="6"/>
        <v>28</v>
      </c>
      <c r="AB31" s="367">
        <f ca="1">IF(ISNA(AA31),0,IF(uxb_works!$B$130=1,IF(ISEVEN(LEFT(TRIM(AD31),1)),2,1),INDEX($C$22:$C$91,AA31)))</f>
        <v>2</v>
      </c>
      <c r="AC31" s="367">
        <f t="shared" ca="1" si="44"/>
        <v>1</v>
      </c>
      <c r="AD31" s="367" t="str">
        <f t="shared" ca="1" si="7"/>
        <v xml:space="preserve">  2.4) Healthcare</v>
      </c>
      <c r="AE31" s="127">
        <f t="shared" ca="1" si="8"/>
        <v>91.6</v>
      </c>
      <c r="AF31" s="127" t="str">
        <f t="shared" ca="1" si="8"/>
        <v>7</v>
      </c>
      <c r="AH31" s="127">
        <f t="shared" ca="1" si="9"/>
        <v>54.1</v>
      </c>
      <c r="AI31" s="127" t="str">
        <f t="shared" ca="1" si="9"/>
        <v>24</v>
      </c>
      <c r="AK31" s="127">
        <f t="shared" ca="1" si="10"/>
        <v>71.599999999999994</v>
      </c>
      <c r="AL31" s="127">
        <f t="shared" ca="1" si="10"/>
        <v>0</v>
      </c>
      <c r="AN31" s="127">
        <f t="shared" ca="1" si="11"/>
        <v>0</v>
      </c>
      <c r="AO31" s="127">
        <f t="shared" ca="1" si="11"/>
        <v>0</v>
      </c>
      <c r="AQ31" s="127">
        <f t="shared" ca="1" si="12"/>
        <v>0</v>
      </c>
      <c r="AR31" s="127">
        <f t="shared" ca="1" si="12"/>
        <v>0</v>
      </c>
      <c r="AT31" s="127">
        <f t="shared" ca="1" si="13"/>
        <v>0</v>
      </c>
      <c r="AU31" s="127">
        <f t="shared" ca="1" si="13"/>
        <v>0</v>
      </c>
    </row>
    <row r="32" spans="1:50">
      <c r="A32" s="367">
        <f>IF(ISEVEN(tblIndicators!C12),1,2)</f>
        <v>2</v>
      </c>
      <c r="B32" s="367">
        <f>tblIndiSets!B22</f>
        <v>11</v>
      </c>
      <c r="C32" s="367">
        <f>tblIndiSets!D22</f>
        <v>3</v>
      </c>
      <c r="D32" s="367">
        <f>tblCategories!AE15</f>
        <v>0</v>
      </c>
      <c r="E32" s="367" t="str">
        <f>tblIndiSets!E22</f>
        <v xml:space="preserve">   1.2.3) Mobile broadband latency</v>
      </c>
      <c r="H32" s="367">
        <f t="shared" si="38"/>
        <v>70</v>
      </c>
      <c r="I32" s="13" t="str">
        <f t="shared" ca="1" si="39"/>
        <v>=7</v>
      </c>
      <c r="J32" s="13">
        <f t="shared" ca="1" si="40"/>
        <v>4</v>
      </c>
      <c r="K32" s="367">
        <f t="shared" si="4"/>
        <v>30</v>
      </c>
      <c r="L32" s="13" t="str">
        <f t="shared" ca="1" si="41"/>
        <v>=19</v>
      </c>
      <c r="M32" s="13">
        <f t="shared" ca="1" si="42"/>
        <v>4</v>
      </c>
      <c r="N32" s="367">
        <f t="shared" ca="1" si="43"/>
        <v>47.8</v>
      </c>
      <c r="O32" s="13"/>
      <c r="P32" s="13"/>
      <c r="R32" s="13"/>
      <c r="S32" s="13"/>
      <c r="U32" s="13"/>
      <c r="V32" s="13"/>
      <c r="X32" s="13"/>
      <c r="Y32" s="13"/>
      <c r="AA32" s="367">
        <f t="shared" ca="1" si="6"/>
        <v>32</v>
      </c>
      <c r="AB32" s="367">
        <f ca="1">IF(ISNA(AA32),0,IF(uxb_works!$B$130=1,IF(ISEVEN(LEFT(TRIM(AD32),1)),2,1),INDEX($C$22:$C$91,AA32)))</f>
        <v>2</v>
      </c>
      <c r="AC32" s="367">
        <f t="shared" ca="1" si="44"/>
        <v>1</v>
      </c>
      <c r="AD32" s="367" t="str">
        <f t="shared" ca="1" si="7"/>
        <v xml:space="preserve">  2.5) Education</v>
      </c>
      <c r="AE32" s="127">
        <f t="shared" ca="1" si="8"/>
        <v>100</v>
      </c>
      <c r="AF32" s="127" t="str">
        <f t="shared" ca="1" si="8"/>
        <v>=1</v>
      </c>
      <c r="AH32" s="127">
        <f t="shared" ca="1" si="9"/>
        <v>50</v>
      </c>
      <c r="AI32" s="127" t="str">
        <f t="shared" ca="1" si="9"/>
        <v>=17</v>
      </c>
      <c r="AK32" s="127">
        <f t="shared" ca="1" si="10"/>
        <v>73.3</v>
      </c>
      <c r="AL32" s="127">
        <f t="shared" ca="1" si="10"/>
        <v>0</v>
      </c>
      <c r="AN32" s="127">
        <f t="shared" ca="1" si="11"/>
        <v>0</v>
      </c>
      <c r="AO32" s="127">
        <f t="shared" ca="1" si="11"/>
        <v>0</v>
      </c>
      <c r="AQ32" s="127">
        <f t="shared" ca="1" si="12"/>
        <v>0</v>
      </c>
      <c r="AR32" s="127">
        <f t="shared" ca="1" si="12"/>
        <v>0</v>
      </c>
      <c r="AT32" s="127">
        <f t="shared" ca="1" si="13"/>
        <v>0</v>
      </c>
      <c r="AU32" s="127">
        <f t="shared" ca="1" si="13"/>
        <v>0</v>
      </c>
    </row>
    <row r="33" spans="1:47">
      <c r="A33" s="367">
        <f>IF(ISEVEN(tblIndicators!C13),1,2)</f>
        <v>2</v>
      </c>
      <c r="B33" s="367">
        <f>tblIndiSets!B23</f>
        <v>12</v>
      </c>
      <c r="C33" s="367">
        <f>tblIndiSets!D23</f>
        <v>3</v>
      </c>
      <c r="D33" s="367">
        <f>tblCategories!AE16</f>
        <v>0</v>
      </c>
      <c r="E33" s="367" t="str">
        <f>tblIndiSets!E23</f>
        <v xml:space="preserve">   1.2.4) Fixed broadband latency</v>
      </c>
      <c r="H33" s="367">
        <f t="shared" si="38"/>
        <v>45.5</v>
      </c>
      <c r="I33" s="13" t="str">
        <f t="shared" ca="1" si="39"/>
        <v>=15</v>
      </c>
      <c r="J33" s="13">
        <f t="shared" ca="1" si="40"/>
        <v>2</v>
      </c>
      <c r="K33" s="367">
        <f t="shared" si="4"/>
        <v>81.8</v>
      </c>
      <c r="L33" s="13" t="str">
        <f t="shared" ca="1" si="41"/>
        <v>=6</v>
      </c>
      <c r="M33" s="13">
        <f t="shared" ca="1" si="42"/>
        <v>4</v>
      </c>
      <c r="N33" s="367">
        <f t="shared" ca="1" si="43"/>
        <v>48.2</v>
      </c>
      <c r="O33" s="13"/>
      <c r="P33" s="13"/>
      <c r="R33" s="13"/>
      <c r="S33" s="13"/>
      <c r="U33" s="13"/>
      <c r="V33" s="13"/>
      <c r="X33" s="13"/>
      <c r="Y33" s="13"/>
      <c r="AA33" s="367">
        <f t="shared" ca="1" si="6"/>
        <v>34</v>
      </c>
      <c r="AB33" s="367">
        <f ca="1">IF(ISNA(AA33),0,IF(uxb_works!$B$130=1,IF(ISEVEN(LEFT(TRIM(AD33),1)),2,1),INDEX($C$22:$C$91,AA33)))</f>
        <v>2</v>
      </c>
      <c r="AC33" s="367">
        <f t="shared" ca="1" si="44"/>
        <v>1</v>
      </c>
      <c r="AD33" s="367" t="str">
        <f t="shared" ca="1" si="7"/>
        <v xml:space="preserve">  2.6) Retail and hospitality</v>
      </c>
      <c r="AE33" s="127">
        <f t="shared" ca="1" si="8"/>
        <v>40.299999999999997</v>
      </c>
      <c r="AF33" s="127" t="str">
        <f t="shared" ca="1" si="8"/>
        <v>9</v>
      </c>
      <c r="AH33" s="127">
        <f t="shared" ca="1" si="9"/>
        <v>19.2</v>
      </c>
      <c r="AI33" s="127" t="str">
        <f t="shared" ca="1" si="9"/>
        <v>21</v>
      </c>
      <c r="AK33" s="127">
        <f t="shared" ca="1" si="10"/>
        <v>33.9</v>
      </c>
      <c r="AL33" s="127">
        <f t="shared" ca="1" si="10"/>
        <v>0</v>
      </c>
      <c r="AN33" s="127">
        <f t="shared" ca="1" si="11"/>
        <v>0</v>
      </c>
      <c r="AO33" s="127">
        <f t="shared" ca="1" si="11"/>
        <v>0</v>
      </c>
      <c r="AQ33" s="127">
        <f t="shared" ca="1" si="12"/>
        <v>0</v>
      </c>
      <c r="AR33" s="127">
        <f t="shared" ca="1" si="12"/>
        <v>0</v>
      </c>
      <c r="AT33" s="127">
        <f t="shared" ca="1" si="13"/>
        <v>0</v>
      </c>
      <c r="AU33" s="127">
        <f t="shared" ca="1" si="13"/>
        <v>0</v>
      </c>
    </row>
    <row r="34" spans="1:47">
      <c r="A34" s="367">
        <f>IF(ISEVEN(tblIndicators!C14),1,2)</f>
        <v>2</v>
      </c>
      <c r="B34" s="367">
        <f>tblIndiSets!B24</f>
        <v>13</v>
      </c>
      <c r="C34" s="367">
        <f>tblIndiSets!D24</f>
        <v>2</v>
      </c>
      <c r="D34" s="367">
        <f>tblCategories!AE17</f>
        <v>1</v>
      </c>
      <c r="E34" s="367" t="str">
        <f>tblIndiSets!E24</f>
        <v xml:space="preserve">  1.3) Affordability</v>
      </c>
      <c r="H34" s="367">
        <f t="shared" si="38"/>
        <v>74.599999999999994</v>
      </c>
      <c r="I34" s="13" t="str">
        <f t="shared" ca="1" si="39"/>
        <v>15</v>
      </c>
      <c r="J34" s="13">
        <f t="shared" ca="1" si="40"/>
        <v>1</v>
      </c>
      <c r="K34" s="367">
        <f t="shared" si="4"/>
        <v>46.8</v>
      </c>
      <c r="L34" s="13" t="str">
        <f t="shared" ca="1" si="41"/>
        <v>25</v>
      </c>
      <c r="M34" s="13">
        <f t="shared" ca="1" si="42"/>
        <v>1</v>
      </c>
      <c r="N34" s="367">
        <f t="shared" ca="1" si="43"/>
        <v>69.3</v>
      </c>
      <c r="O34" s="13"/>
      <c r="P34" s="13"/>
      <c r="R34" s="13"/>
      <c r="S34" s="13"/>
      <c r="U34" s="13"/>
      <c r="V34" s="13"/>
      <c r="X34" s="13"/>
      <c r="Y34" s="13"/>
      <c r="AA34" s="367">
        <f t="shared" ca="1" si="6"/>
        <v>37</v>
      </c>
      <c r="AB34" s="367">
        <f ca="1">IF(ISNA(AA34),0,IF(uxb_works!$B$130=1,IF(ISEVEN(LEFT(TRIM(AD34),1)),2,1),INDEX($C$22:$C$91,AA34)))</f>
        <v>1</v>
      </c>
      <c r="AC34" s="367">
        <f t="shared" ca="1" si="44"/>
        <v>1</v>
      </c>
      <c r="AD34" s="367" t="str">
        <f t="shared" ca="1" si="7"/>
        <v xml:space="preserve"> 3) CULTURE</v>
      </c>
      <c r="AE34" s="127">
        <f t="shared" ca="1" si="8"/>
        <v>62.1</v>
      </c>
      <c r="AF34" s="127" t="str">
        <f t="shared" ca="1" si="8"/>
        <v>15</v>
      </c>
      <c r="AH34" s="127">
        <f t="shared" ca="1" si="9"/>
        <v>67</v>
      </c>
      <c r="AI34" s="127" t="str">
        <f t="shared" ca="1" si="9"/>
        <v>7</v>
      </c>
      <c r="AK34" s="127">
        <f t="shared" ca="1" si="10"/>
        <v>59.2</v>
      </c>
      <c r="AL34" s="127">
        <f t="shared" ca="1" si="10"/>
        <v>0</v>
      </c>
      <c r="AN34" s="127">
        <f t="shared" ca="1" si="11"/>
        <v>0</v>
      </c>
      <c r="AO34" s="127">
        <f t="shared" ca="1" si="11"/>
        <v>0</v>
      </c>
      <c r="AQ34" s="127">
        <f t="shared" ca="1" si="12"/>
        <v>0</v>
      </c>
      <c r="AR34" s="127">
        <f t="shared" ca="1" si="12"/>
        <v>0</v>
      </c>
      <c r="AT34" s="127">
        <f t="shared" ca="1" si="13"/>
        <v>0</v>
      </c>
      <c r="AU34" s="127">
        <f t="shared" ca="1" si="13"/>
        <v>0</v>
      </c>
    </row>
    <row r="35" spans="1:47">
      <c r="A35" s="367">
        <f>IF(ISEVEN(tblIndicators!C15),1,2)</f>
        <v>2</v>
      </c>
      <c r="B35" s="367">
        <f>tblIndiSets!B25</f>
        <v>14</v>
      </c>
      <c r="C35" s="367">
        <f>tblIndiSets!D25</f>
        <v>3</v>
      </c>
      <c r="D35" s="367">
        <f>tblCategories!AE18</f>
        <v>0</v>
      </c>
      <c r="E35" s="367" t="str">
        <f>tblIndiSets!E25</f>
        <v xml:space="preserve">   1.3.1) Mobile data affordability</v>
      </c>
      <c r="H35" s="367">
        <f t="shared" si="38"/>
        <v>80.599999999999994</v>
      </c>
      <c r="I35" s="13" t="str">
        <f t="shared" ca="1" si="39"/>
        <v>18</v>
      </c>
      <c r="J35" s="13">
        <f t="shared" ca="1" si="40"/>
        <v>1</v>
      </c>
      <c r="K35" s="367">
        <f t="shared" si="4"/>
        <v>33</v>
      </c>
      <c r="L35" s="13" t="str">
        <f t="shared" ca="1" si="41"/>
        <v>29</v>
      </c>
      <c r="M35" s="13">
        <f t="shared" ca="1" si="42"/>
        <v>1</v>
      </c>
      <c r="N35" s="367">
        <f t="shared" ca="1" si="43"/>
        <v>74.599999999999994</v>
      </c>
      <c r="O35" s="13"/>
      <c r="P35" s="13"/>
      <c r="R35" s="13"/>
      <c r="S35" s="13"/>
      <c r="U35" s="13"/>
      <c r="V35" s="13"/>
      <c r="X35" s="13"/>
      <c r="Y35" s="13"/>
      <c r="AA35" s="367">
        <f t="shared" ca="1" si="6"/>
        <v>38</v>
      </c>
      <c r="AB35" s="367">
        <f ca="1">IF(ISNA(AA35),0,IF(uxb_works!$B$130=1,IF(ISEVEN(LEFT(TRIM(AD35),1)),2,1),INDEX($C$22:$C$91,AA35)))</f>
        <v>1</v>
      </c>
      <c r="AC35" s="367">
        <f t="shared" ca="1" si="44"/>
        <v>1</v>
      </c>
      <c r="AD35" s="367" t="str">
        <f t="shared" ca="1" si="7"/>
        <v xml:space="preserve">  3.1) Digital inclusion</v>
      </c>
      <c r="AE35" s="127">
        <f t="shared" ca="1" si="8"/>
        <v>65.8</v>
      </c>
      <c r="AF35" s="127" t="str">
        <f t="shared" ca="1" si="8"/>
        <v>22</v>
      </c>
      <c r="AH35" s="127">
        <f t="shared" ca="1" si="9"/>
        <v>69.400000000000006</v>
      </c>
      <c r="AI35" s="127" t="str">
        <f t="shared" ca="1" si="9"/>
        <v>17</v>
      </c>
      <c r="AK35" s="127">
        <f t="shared" ca="1" si="10"/>
        <v>69.5</v>
      </c>
      <c r="AL35" s="127">
        <f t="shared" ca="1" si="10"/>
        <v>0</v>
      </c>
      <c r="AN35" s="127">
        <f t="shared" ca="1" si="11"/>
        <v>0</v>
      </c>
      <c r="AO35" s="127">
        <f t="shared" ca="1" si="11"/>
        <v>0</v>
      </c>
      <c r="AQ35" s="127">
        <f t="shared" ca="1" si="12"/>
        <v>0</v>
      </c>
      <c r="AR35" s="127">
        <f t="shared" ca="1" si="12"/>
        <v>0</v>
      </c>
      <c r="AT35" s="127">
        <f t="shared" ca="1" si="13"/>
        <v>0</v>
      </c>
      <c r="AU35" s="127">
        <f t="shared" ca="1" si="13"/>
        <v>0</v>
      </c>
    </row>
    <row r="36" spans="1:47">
      <c r="A36" s="367">
        <f>IF(ISEVEN(tblIndicators!C16),1,2)</f>
        <v>2</v>
      </c>
      <c r="B36" s="367">
        <f>tblIndiSets!B26</f>
        <v>15</v>
      </c>
      <c r="C36" s="367">
        <f>tblIndiSets!D26</f>
        <v>3</v>
      </c>
      <c r="D36" s="367">
        <f>tblCategories!AE19</f>
        <v>0</v>
      </c>
      <c r="E36" s="367" t="str">
        <f>tblIndiSets!E26</f>
        <v xml:space="preserve">   1.3.2) Fixed broadband affordability</v>
      </c>
      <c r="H36" s="367">
        <f t="shared" si="38"/>
        <v>67.900000000000006</v>
      </c>
      <c r="I36" s="13" t="str">
        <f t="shared" ca="1" si="39"/>
        <v>=17</v>
      </c>
      <c r="J36" s="13">
        <f t="shared" ca="1" si="40"/>
        <v>2</v>
      </c>
      <c r="K36" s="367">
        <f t="shared" si="4"/>
        <v>61.9</v>
      </c>
      <c r="L36" s="13" t="str">
        <f t="shared" ca="1" si="41"/>
        <v>20</v>
      </c>
      <c r="M36" s="13">
        <f t="shared" ca="1" si="42"/>
        <v>1</v>
      </c>
      <c r="N36" s="367">
        <f t="shared" ca="1" si="43"/>
        <v>63.6</v>
      </c>
      <c r="O36" s="13"/>
      <c r="P36" s="13"/>
      <c r="R36" s="13"/>
      <c r="S36" s="13"/>
      <c r="U36" s="13"/>
      <c r="V36" s="13"/>
      <c r="X36" s="13"/>
      <c r="Y36" s="13"/>
      <c r="AA36" s="367">
        <f t="shared" ca="1" si="6"/>
        <v>42</v>
      </c>
      <c r="AB36" s="367">
        <f ca="1">IF(ISNA(AA36),0,IF(uxb_works!$B$130=1,IF(ISEVEN(LEFT(TRIM(AD36),1)),2,1),INDEX($C$22:$C$91,AA36)))</f>
        <v>1</v>
      </c>
      <c r="AC36" s="367">
        <f t="shared" ca="1" si="44"/>
        <v>1</v>
      </c>
      <c r="AD36" s="367" t="str">
        <f t="shared" ca="1" si="7"/>
        <v xml:space="preserve">  3.2) Government support</v>
      </c>
      <c r="AE36" s="127">
        <f t="shared" ca="1" si="8"/>
        <v>76</v>
      </c>
      <c r="AF36" s="127" t="str">
        <f t="shared" ca="1" si="8"/>
        <v>15</v>
      </c>
      <c r="AH36" s="127">
        <f t="shared" ca="1" si="9"/>
        <v>81.099999999999994</v>
      </c>
      <c r="AI36" s="127" t="str">
        <f t="shared" ca="1" si="9"/>
        <v>8</v>
      </c>
      <c r="AK36" s="127">
        <f t="shared" ca="1" si="10"/>
        <v>71.7</v>
      </c>
      <c r="AL36" s="127">
        <f t="shared" ca="1" si="10"/>
        <v>0</v>
      </c>
      <c r="AN36" s="127">
        <f t="shared" ca="1" si="11"/>
        <v>0</v>
      </c>
      <c r="AO36" s="127">
        <f t="shared" ca="1" si="11"/>
        <v>0</v>
      </c>
      <c r="AQ36" s="127">
        <f t="shared" ca="1" si="12"/>
        <v>0</v>
      </c>
      <c r="AR36" s="127">
        <f t="shared" ca="1" si="12"/>
        <v>0</v>
      </c>
      <c r="AT36" s="127">
        <f t="shared" ca="1" si="13"/>
        <v>0</v>
      </c>
      <c r="AU36" s="127">
        <f t="shared" ca="1" si="13"/>
        <v>0</v>
      </c>
    </row>
    <row r="37" spans="1:47">
      <c r="A37" s="367">
        <f>IF(ISEVEN(tblIndicators!C17),1,2)</f>
        <v>1</v>
      </c>
      <c r="B37" s="367">
        <f>tblIndiSets!B27</f>
        <v>16</v>
      </c>
      <c r="C37" s="367">
        <f>tblIndiSets!D27</f>
        <v>1</v>
      </c>
      <c r="D37" s="367">
        <f>tblCategories!AE20</f>
        <v>1</v>
      </c>
      <c r="E37" s="367" t="str">
        <f>tblIndiSets!E27</f>
        <v xml:space="preserve"> 2) SERVICES</v>
      </c>
      <c r="H37" s="367">
        <f t="shared" si="38"/>
        <v>73.2</v>
      </c>
      <c r="I37" s="13" t="str">
        <f t="shared" ca="1" si="39"/>
        <v>4</v>
      </c>
      <c r="J37" s="13">
        <f t="shared" ca="1" si="40"/>
        <v>1</v>
      </c>
      <c r="K37" s="367">
        <f t="shared" si="4"/>
        <v>49.5</v>
      </c>
      <c r="L37" s="13" t="str">
        <f t="shared" ca="1" si="41"/>
        <v>25</v>
      </c>
      <c r="M37" s="13">
        <f t="shared" ca="1" si="42"/>
        <v>1</v>
      </c>
      <c r="N37" s="367">
        <f t="shared" ca="1" si="43"/>
        <v>61.4</v>
      </c>
      <c r="O37" s="13"/>
      <c r="P37" s="13"/>
      <c r="R37" s="13"/>
      <c r="S37" s="13"/>
      <c r="U37" s="13"/>
      <c r="V37" s="13"/>
      <c r="X37" s="13"/>
      <c r="Y37" s="13"/>
      <c r="AA37" s="367">
        <f t="shared" ca="1" si="6"/>
        <v>48</v>
      </c>
      <c r="AB37" s="367">
        <f ca="1">IF(ISNA(AA37),0,IF(uxb_works!$B$130=1,IF(ISEVEN(LEFT(TRIM(AD37),1)),2,1),INDEX($C$22:$C$91,AA37)))</f>
        <v>1</v>
      </c>
      <c r="AC37" s="367">
        <f t="shared" ca="1" si="44"/>
        <v>1</v>
      </c>
      <c r="AD37" s="367" t="str">
        <f t="shared" ca="1" si="7"/>
        <v xml:space="preserve">  3.3) Innovation ecosystem</v>
      </c>
      <c r="AE37" s="127">
        <f t="shared" ca="1" si="8"/>
        <v>62</v>
      </c>
      <c r="AF37" s="127" t="str">
        <f t="shared" ca="1" si="8"/>
        <v>9</v>
      </c>
      <c r="AH37" s="127">
        <f t="shared" ca="1" si="9"/>
        <v>49.1</v>
      </c>
      <c r="AI37" s="127" t="str">
        <f t="shared" ca="1" si="9"/>
        <v>18</v>
      </c>
      <c r="AK37" s="127">
        <f t="shared" ca="1" si="10"/>
        <v>49.1</v>
      </c>
      <c r="AL37" s="127">
        <f t="shared" ca="1" si="10"/>
        <v>0</v>
      </c>
      <c r="AN37" s="127">
        <f t="shared" ca="1" si="11"/>
        <v>0</v>
      </c>
      <c r="AO37" s="127">
        <f t="shared" ca="1" si="11"/>
        <v>0</v>
      </c>
      <c r="AQ37" s="127">
        <f t="shared" ca="1" si="12"/>
        <v>0</v>
      </c>
      <c r="AR37" s="127">
        <f t="shared" ca="1" si="12"/>
        <v>0</v>
      </c>
      <c r="AT37" s="127">
        <f t="shared" ca="1" si="13"/>
        <v>0</v>
      </c>
      <c r="AU37" s="127">
        <f t="shared" ca="1" si="13"/>
        <v>0</v>
      </c>
    </row>
    <row r="38" spans="1:47">
      <c r="A38" s="367">
        <f>IF(ISEVEN(tblIndicators!C18),1,2)</f>
        <v>1</v>
      </c>
      <c r="B38" s="367">
        <f>tblIndiSets!B28</f>
        <v>17</v>
      </c>
      <c r="C38" s="367">
        <f>tblIndiSets!D28</f>
        <v>2</v>
      </c>
      <c r="D38" s="367">
        <f>tblCategories!AE21</f>
        <v>1</v>
      </c>
      <c r="E38" s="367" t="str">
        <f>tblIndiSets!E28</f>
        <v xml:space="preserve">  2.1) E-gov services for residents &amp; businesses</v>
      </c>
      <c r="H38" s="367">
        <f t="shared" si="38"/>
        <v>48.6</v>
      </c>
      <c r="I38" s="13" t="str">
        <f t="shared" ca="1" si="39"/>
        <v>29</v>
      </c>
      <c r="J38" s="13">
        <f t="shared" ca="1" si="40"/>
        <v>1</v>
      </c>
      <c r="K38" s="367">
        <f t="shared" si="4"/>
        <v>65.400000000000006</v>
      </c>
      <c r="L38" s="13" t="str">
        <f t="shared" ca="1" si="41"/>
        <v>14</v>
      </c>
      <c r="M38" s="13">
        <f t="shared" ca="1" si="42"/>
        <v>1</v>
      </c>
      <c r="N38" s="367">
        <f t="shared" ca="1" si="43"/>
        <v>68.2</v>
      </c>
      <c r="O38" s="13"/>
      <c r="P38" s="13"/>
      <c r="R38" s="13"/>
      <c r="S38" s="13"/>
      <c r="U38" s="13"/>
      <c r="V38" s="13"/>
      <c r="X38" s="13"/>
      <c r="Y38" s="13"/>
      <c r="AA38" s="367">
        <f t="shared" ca="1" si="6"/>
        <v>54</v>
      </c>
      <c r="AB38" s="367">
        <f ca="1">IF(ISNA(AA38),0,IF(uxb_works!$B$130=1,IF(ISEVEN(LEFT(TRIM(AD38),1)),2,1),INDEX($C$22:$C$91,AA38)))</f>
        <v>1</v>
      </c>
      <c r="AC38" s="367">
        <f t="shared" ca="1" si="44"/>
        <v>1</v>
      </c>
      <c r="AD38" s="367" t="str">
        <f t="shared" ca="1" si="7"/>
        <v xml:space="preserve">  3.4) Public attitude and engagement</v>
      </c>
      <c r="AE38" s="127">
        <f t="shared" ca="1" si="8"/>
        <v>35.1</v>
      </c>
      <c r="AF38" s="127" t="str">
        <f t="shared" ca="1" si="8"/>
        <v>20</v>
      </c>
      <c r="AH38" s="127">
        <f t="shared" ca="1" si="9"/>
        <v>70.8</v>
      </c>
      <c r="AI38" s="127" t="str">
        <f t="shared" ca="1" si="9"/>
        <v>5</v>
      </c>
      <c r="AK38" s="127">
        <f t="shared" ca="1" si="10"/>
        <v>44.9</v>
      </c>
      <c r="AL38" s="127">
        <f t="shared" ca="1" si="10"/>
        <v>0</v>
      </c>
      <c r="AN38" s="127">
        <f t="shared" ca="1" si="11"/>
        <v>0</v>
      </c>
      <c r="AO38" s="127">
        <f t="shared" ca="1" si="11"/>
        <v>0</v>
      </c>
      <c r="AQ38" s="127">
        <f t="shared" ca="1" si="12"/>
        <v>0</v>
      </c>
      <c r="AR38" s="127">
        <f t="shared" ca="1" si="12"/>
        <v>0</v>
      </c>
      <c r="AT38" s="127">
        <f t="shared" ca="1" si="13"/>
        <v>0</v>
      </c>
      <c r="AU38" s="127">
        <f t="shared" ca="1" si="13"/>
        <v>0</v>
      </c>
    </row>
    <row r="39" spans="1:47">
      <c r="A39" s="367">
        <f>IF(ISEVEN(tblIndicators!C19),1,2)</f>
        <v>1</v>
      </c>
      <c r="B39" s="367">
        <f>tblIndiSets!B29</f>
        <v>18</v>
      </c>
      <c r="C39" s="367">
        <f>tblIndiSets!D29</f>
        <v>3</v>
      </c>
      <c r="D39" s="367">
        <f>tblCategories!AE22</f>
        <v>0</v>
      </c>
      <c r="E39" s="367" t="str">
        <f>tblIndiSets!E29</f>
        <v xml:space="preserve">   2.1.1) Mobile digital national ID</v>
      </c>
      <c r="H39" s="367">
        <f t="shared" si="38"/>
        <v>0</v>
      </c>
      <c r="I39" s="13" t="str">
        <f t="shared" ca="1" si="39"/>
        <v>=7</v>
      </c>
      <c r="J39" s="13">
        <f t="shared" ca="1" si="40"/>
        <v>24</v>
      </c>
      <c r="K39" s="367">
        <f t="shared" si="4"/>
        <v>0</v>
      </c>
      <c r="L39" s="13" t="str">
        <f t="shared" ca="1" si="41"/>
        <v>=7</v>
      </c>
      <c r="M39" s="13">
        <f t="shared" ca="1" si="42"/>
        <v>24</v>
      </c>
      <c r="N39" s="367">
        <f t="shared" ca="1" si="43"/>
        <v>20</v>
      </c>
      <c r="O39" s="13"/>
      <c r="P39" s="13"/>
      <c r="R39" s="13"/>
      <c r="S39" s="13"/>
      <c r="U39" s="13"/>
      <c r="V39" s="13"/>
      <c r="X39" s="13"/>
      <c r="Y39" s="13"/>
      <c r="AA39" s="367">
        <f t="shared" ca="1" si="6"/>
        <v>57</v>
      </c>
      <c r="AB39" s="367">
        <f ca="1">IF(ISNA(AA39),0,IF(uxb_works!$B$130=1,IF(ISEVEN(LEFT(TRIM(AD39),1)),2,1),INDEX($C$22:$C$91,AA39)))</f>
        <v>2</v>
      </c>
      <c r="AC39" s="367">
        <f t="shared" ca="1" si="44"/>
        <v>1</v>
      </c>
      <c r="AD39" s="367" t="str">
        <f t="shared" ca="1" si="7"/>
        <v xml:space="preserve"> 4) SUSTAINABILITY</v>
      </c>
      <c r="AE39" s="127">
        <f t="shared" ca="1" si="8"/>
        <v>85.4</v>
      </c>
      <c r="AF39" s="127" t="str">
        <f t="shared" ca="1" si="8"/>
        <v>6</v>
      </c>
      <c r="AH39" s="127">
        <f t="shared" ca="1" si="9"/>
        <v>68.099999999999994</v>
      </c>
      <c r="AI39" s="127" t="str">
        <f t="shared" ca="1" si="9"/>
        <v>17</v>
      </c>
      <c r="AK39" s="127">
        <f t="shared" ca="1" si="10"/>
        <v>66.3</v>
      </c>
      <c r="AL39" s="127">
        <f t="shared" ca="1" si="10"/>
        <v>0</v>
      </c>
      <c r="AN39" s="127">
        <f t="shared" ca="1" si="11"/>
        <v>0</v>
      </c>
      <c r="AO39" s="127">
        <f t="shared" ca="1" si="11"/>
        <v>0</v>
      </c>
      <c r="AQ39" s="127">
        <f t="shared" ca="1" si="12"/>
        <v>0</v>
      </c>
      <c r="AR39" s="127">
        <f t="shared" ca="1" si="12"/>
        <v>0</v>
      </c>
      <c r="AT39" s="127">
        <f t="shared" ca="1" si="13"/>
        <v>0</v>
      </c>
      <c r="AU39" s="127">
        <f t="shared" ca="1" si="13"/>
        <v>0</v>
      </c>
    </row>
    <row r="40" spans="1:47">
      <c r="A40" s="367">
        <f>IF(ISEVEN(tblIndicators!C20),1,2)</f>
        <v>1</v>
      </c>
      <c r="B40" s="367">
        <f>tblIndiSets!B30</f>
        <v>19</v>
      </c>
      <c r="C40" s="367">
        <f>tblIndiSets!D30</f>
        <v>3</v>
      </c>
      <c r="D40" s="367">
        <f>tblCategories!AE23</f>
        <v>0</v>
      </c>
      <c r="E40" s="367" t="str">
        <f>tblIndiSets!E30</f>
        <v xml:space="preserve">   2.1.2) E-gov service portal for residents</v>
      </c>
      <c r="H40" s="367">
        <f t="shared" si="38"/>
        <v>91</v>
      </c>
      <c r="I40" s="13" t="str">
        <f t="shared" ca="1" si="39"/>
        <v>=11</v>
      </c>
      <c r="J40" s="13">
        <f t="shared" ca="1" si="40"/>
        <v>3</v>
      </c>
      <c r="K40" s="367">
        <f t="shared" si="4"/>
        <v>93</v>
      </c>
      <c r="L40" s="13" t="str">
        <f t="shared" ca="1" si="41"/>
        <v>10</v>
      </c>
      <c r="M40" s="13">
        <f t="shared" ca="1" si="42"/>
        <v>1</v>
      </c>
      <c r="N40" s="367">
        <f t="shared" ca="1" si="43"/>
        <v>87.6</v>
      </c>
      <c r="O40" s="13"/>
      <c r="P40" s="13"/>
      <c r="R40" s="13"/>
      <c r="S40" s="13"/>
      <c r="U40" s="13"/>
      <c r="V40" s="13"/>
      <c r="X40" s="13"/>
      <c r="Y40" s="13"/>
      <c r="AA40" s="367">
        <f t="shared" ca="1" si="6"/>
        <v>58</v>
      </c>
      <c r="AB40" s="367">
        <f ca="1">IF(ISNA(AA40),0,IF(uxb_works!$B$130=1,IF(ISEVEN(LEFT(TRIM(AD40),1)),2,1),INDEX($C$22:$C$91,AA40)))</f>
        <v>2</v>
      </c>
      <c r="AC40" s="367">
        <f t="shared" ca="1" si="44"/>
        <v>1</v>
      </c>
      <c r="AD40" s="367" t="str">
        <f t="shared" ca="1" si="7"/>
        <v xml:space="preserve">  4.1) Efficient resource management</v>
      </c>
      <c r="AE40" s="127">
        <f t="shared" ca="1" si="8"/>
        <v>87.5</v>
      </c>
      <c r="AF40" s="127" t="str">
        <f t="shared" ca="1" si="8"/>
        <v>=11</v>
      </c>
      <c r="AH40" s="127">
        <f t="shared" ca="1" si="9"/>
        <v>87.5</v>
      </c>
      <c r="AI40" s="127" t="str">
        <f t="shared" ca="1" si="9"/>
        <v>=11</v>
      </c>
      <c r="AK40" s="127">
        <f t="shared" ca="1" si="10"/>
        <v>76</v>
      </c>
      <c r="AL40" s="127">
        <f t="shared" ca="1" si="10"/>
        <v>0</v>
      </c>
      <c r="AN40" s="127">
        <f t="shared" ca="1" si="11"/>
        <v>0</v>
      </c>
      <c r="AO40" s="127">
        <f t="shared" ca="1" si="11"/>
        <v>0</v>
      </c>
      <c r="AQ40" s="127">
        <f t="shared" ca="1" si="12"/>
        <v>0</v>
      </c>
      <c r="AR40" s="127">
        <f t="shared" ca="1" si="12"/>
        <v>0</v>
      </c>
      <c r="AT40" s="127">
        <f t="shared" ca="1" si="13"/>
        <v>0</v>
      </c>
      <c r="AU40" s="127">
        <f t="shared" ca="1" si="13"/>
        <v>0</v>
      </c>
    </row>
    <row r="41" spans="1:47">
      <c r="A41" s="367">
        <f>IF(ISEVEN(tblIndicators!C21),1,2)</f>
        <v>1</v>
      </c>
      <c r="B41" s="367">
        <f>tblIndiSets!B31</f>
        <v>20</v>
      </c>
      <c r="C41" s="367">
        <f>tblIndiSets!D31</f>
        <v>3</v>
      </c>
      <c r="D41" s="367">
        <f>tblCategories!AE24</f>
        <v>0</v>
      </c>
      <c r="E41" s="367" t="str">
        <f>tblIndiSets!E31</f>
        <v xml:space="preserve">   2.1.3) E-gov service portal for businesses</v>
      </c>
      <c r="H41" s="367">
        <f t="shared" si="38"/>
        <v>50</v>
      </c>
      <c r="I41" s="13" t="str">
        <f t="shared" ca="1" si="39"/>
        <v>=28</v>
      </c>
      <c r="J41" s="13">
        <f t="shared" ca="1" si="40"/>
        <v>3</v>
      </c>
      <c r="K41" s="367">
        <f t="shared" si="4"/>
        <v>100</v>
      </c>
      <c r="L41" s="13" t="str">
        <f t="shared" ca="1" si="41"/>
        <v>=1</v>
      </c>
      <c r="M41" s="13">
        <f t="shared" ca="1" si="42"/>
        <v>27</v>
      </c>
      <c r="N41" s="367">
        <f t="shared" ca="1" si="43"/>
        <v>95</v>
      </c>
      <c r="O41" s="13"/>
      <c r="P41" s="13"/>
      <c r="R41" s="13"/>
      <c r="S41" s="13"/>
      <c r="U41" s="13"/>
      <c r="V41" s="13"/>
      <c r="X41" s="13"/>
      <c r="Y41" s="13"/>
      <c r="AA41" s="367">
        <f t="shared" ca="1" si="6"/>
        <v>62</v>
      </c>
      <c r="AB41" s="367">
        <f ca="1">IF(ISNA(AA41),0,IF(uxb_works!$B$130=1,IF(ISEVEN(LEFT(TRIM(AD41),1)),2,1),INDEX($C$22:$C$91,AA41)))</f>
        <v>2</v>
      </c>
      <c r="AC41" s="367">
        <f t="shared" ca="1" si="44"/>
        <v>1</v>
      </c>
      <c r="AD41" s="367" t="str">
        <f t="shared" ca="1" si="7"/>
        <v xml:space="preserve">  4.2) Emissions reduction</v>
      </c>
      <c r="AE41" s="127">
        <f t="shared" ca="1" si="8"/>
        <v>100</v>
      </c>
      <c r="AF41" s="127" t="str">
        <f t="shared" ca="1" si="8"/>
        <v>=1</v>
      </c>
      <c r="AH41" s="127">
        <f t="shared" ca="1" si="9"/>
        <v>77.599999999999994</v>
      </c>
      <c r="AI41" s="127" t="str">
        <f t="shared" ca="1" si="9"/>
        <v>=19</v>
      </c>
      <c r="AK41" s="127">
        <f t="shared" ca="1" si="10"/>
        <v>78</v>
      </c>
      <c r="AL41" s="127">
        <f t="shared" ca="1" si="10"/>
        <v>0</v>
      </c>
      <c r="AN41" s="127">
        <f t="shared" ca="1" si="11"/>
        <v>0</v>
      </c>
      <c r="AO41" s="127">
        <f t="shared" ca="1" si="11"/>
        <v>0</v>
      </c>
      <c r="AQ41" s="127">
        <f t="shared" ca="1" si="12"/>
        <v>0</v>
      </c>
      <c r="AR41" s="127">
        <f t="shared" ca="1" si="12"/>
        <v>0</v>
      </c>
      <c r="AT41" s="127">
        <f t="shared" ca="1" si="13"/>
        <v>0</v>
      </c>
      <c r="AU41" s="127">
        <f t="shared" ca="1" si="13"/>
        <v>0</v>
      </c>
    </row>
    <row r="42" spans="1:47">
      <c r="A42" s="367">
        <f>IF(ISEVEN(tblIndicators!C22),1,2)</f>
        <v>1</v>
      </c>
      <c r="B42" s="367">
        <f>tblIndiSets!B32</f>
        <v>21</v>
      </c>
      <c r="C42" s="367">
        <f>tblIndiSets!D32</f>
        <v>2</v>
      </c>
      <c r="D42" s="367">
        <f>tblCategories!AE25</f>
        <v>1</v>
      </c>
      <c r="E42" s="367" t="str">
        <f>tblIndiSets!E32</f>
        <v xml:space="preserve">  2.2) Digital finance</v>
      </c>
      <c r="H42" s="367">
        <f t="shared" si="38"/>
        <v>58.5</v>
      </c>
      <c r="I42" s="13" t="str">
        <f t="shared" ca="1" si="39"/>
        <v>13</v>
      </c>
      <c r="J42" s="13">
        <f t="shared" ca="1" si="40"/>
        <v>1</v>
      </c>
      <c r="K42" s="367">
        <f t="shared" si="4"/>
        <v>65.599999999999994</v>
      </c>
      <c r="L42" s="13" t="str">
        <f t="shared" ca="1" si="41"/>
        <v>5</v>
      </c>
      <c r="M42" s="13">
        <f t="shared" ca="1" si="42"/>
        <v>1</v>
      </c>
      <c r="N42" s="367">
        <f t="shared" ca="1" si="43"/>
        <v>50.8</v>
      </c>
      <c r="O42" s="13"/>
      <c r="P42" s="13"/>
      <c r="R42" s="13"/>
      <c r="S42" s="13"/>
      <c r="U42" s="13"/>
      <c r="V42" s="13"/>
      <c r="X42" s="13"/>
      <c r="Y42" s="13"/>
      <c r="AA42" s="367">
        <f t="shared" ca="1" si="6"/>
        <v>66</v>
      </c>
      <c r="AB42" s="367">
        <f ca="1">IF(ISNA(AA42),0,IF(uxb_works!$B$130=1,IF(ISEVEN(LEFT(TRIM(AD42),1)),2,1),INDEX($C$22:$C$91,AA42)))</f>
        <v>2</v>
      </c>
      <c r="AC42" s="367">
        <f t="shared" ca="1" si="44"/>
        <v>1</v>
      </c>
      <c r="AD42" s="367" t="str">
        <f t="shared" ca="1" si="7"/>
        <v xml:space="preserve">  4.3) Pollution</v>
      </c>
      <c r="AE42" s="127">
        <f t="shared" ca="1" si="8"/>
        <v>50</v>
      </c>
      <c r="AF42" s="127" t="str">
        <f t="shared" ca="1" si="8"/>
        <v>=15</v>
      </c>
      <c r="AH42" s="127">
        <f t="shared" ca="1" si="9"/>
        <v>100</v>
      </c>
      <c r="AI42" s="127" t="str">
        <f t="shared" ca="1" si="9"/>
        <v>1</v>
      </c>
      <c r="AK42" s="127">
        <f t="shared" ca="1" si="10"/>
        <v>57.8</v>
      </c>
      <c r="AL42" s="127">
        <f t="shared" ca="1" si="10"/>
        <v>0</v>
      </c>
      <c r="AN42" s="127">
        <f t="shared" ca="1" si="11"/>
        <v>0</v>
      </c>
      <c r="AO42" s="127">
        <f t="shared" ca="1" si="11"/>
        <v>0</v>
      </c>
      <c r="AQ42" s="127">
        <f t="shared" ca="1" si="12"/>
        <v>0</v>
      </c>
      <c r="AR42" s="127">
        <f t="shared" ca="1" si="12"/>
        <v>0</v>
      </c>
      <c r="AT42" s="127">
        <f t="shared" ca="1" si="13"/>
        <v>0</v>
      </c>
      <c r="AU42" s="127">
        <f t="shared" ca="1" si="13"/>
        <v>0</v>
      </c>
    </row>
    <row r="43" spans="1:47">
      <c r="A43" s="367">
        <f>IF(ISEVEN(tblIndicators!C23),1,2)</f>
        <v>1</v>
      </c>
      <c r="B43" s="367">
        <f>tblIndiSets!B33</f>
        <v>22</v>
      </c>
      <c r="C43" s="367">
        <f>tblIndiSets!D33</f>
        <v>3</v>
      </c>
      <c r="D43" s="367">
        <f>tblCategories!AE26</f>
        <v>0</v>
      </c>
      <c r="E43" s="367" t="str">
        <f>tblIndiSets!E33</f>
        <v xml:space="preserve">   2.2.1) Digital platforms for banking and personal finance</v>
      </c>
      <c r="H43" s="367">
        <f t="shared" si="38"/>
        <v>56.5</v>
      </c>
      <c r="I43" s="13" t="str">
        <f t="shared" ca="1" si="39"/>
        <v>=13</v>
      </c>
      <c r="J43" s="13">
        <f t="shared" ca="1" si="40"/>
        <v>2</v>
      </c>
      <c r="K43" s="367">
        <f t="shared" si="4"/>
        <v>69.599999999999994</v>
      </c>
      <c r="L43" s="13" t="str">
        <f t="shared" ca="1" si="41"/>
        <v>=9</v>
      </c>
      <c r="M43" s="13">
        <f t="shared" ca="1" si="42"/>
        <v>2</v>
      </c>
      <c r="N43" s="367">
        <f t="shared" ca="1" si="43"/>
        <v>55.9</v>
      </c>
      <c r="O43" s="13"/>
      <c r="P43" s="13"/>
      <c r="R43" s="13"/>
      <c r="S43" s="13"/>
      <c r="U43" s="13"/>
      <c r="V43" s="13"/>
      <c r="X43" s="13"/>
      <c r="Y43" s="13"/>
      <c r="AA43" s="367">
        <f t="shared" ca="1" si="6"/>
        <v>68</v>
      </c>
      <c r="AB43" s="367">
        <f ca="1">IF(ISNA(AA43),0,IF(uxb_works!$B$130=1,IF(ISEVEN(LEFT(TRIM(AD43),1)),2,1),INDEX($C$22:$C$91,AA43)))</f>
        <v>2</v>
      </c>
      <c r="AC43" s="367">
        <f t="shared" ca="1" si="44"/>
        <v>1</v>
      </c>
      <c r="AD43" s="367" t="str">
        <f t="shared" ca="1" si="7"/>
        <v xml:space="preserve">  4.4) Circular economy</v>
      </c>
      <c r="AE43" s="127">
        <f t="shared" ca="1" si="8"/>
        <v>100</v>
      </c>
      <c r="AF43" s="127" t="str">
        <f t="shared" ca="1" si="8"/>
        <v>=1</v>
      </c>
      <c r="AH43" s="127">
        <f t="shared" ca="1" si="9"/>
        <v>0</v>
      </c>
      <c r="AI43" s="127" t="str">
        <f t="shared" ca="1" si="9"/>
        <v>=26</v>
      </c>
      <c r="AK43" s="127">
        <f t="shared" ca="1" si="10"/>
        <v>48</v>
      </c>
      <c r="AL43" s="127">
        <f t="shared" ca="1" si="10"/>
        <v>0</v>
      </c>
      <c r="AN43" s="127">
        <f t="shared" ca="1" si="11"/>
        <v>0</v>
      </c>
      <c r="AO43" s="127">
        <f t="shared" ca="1" si="11"/>
        <v>0</v>
      </c>
      <c r="AQ43" s="127">
        <f t="shared" ca="1" si="12"/>
        <v>0</v>
      </c>
      <c r="AR43" s="127">
        <f t="shared" ca="1" si="12"/>
        <v>0</v>
      </c>
      <c r="AT43" s="127">
        <f t="shared" ca="1" si="13"/>
        <v>0</v>
      </c>
      <c r="AU43" s="127">
        <f t="shared" ca="1" si="13"/>
        <v>0</v>
      </c>
    </row>
    <row r="44" spans="1:47">
      <c r="A44" s="367">
        <f>IF(ISEVEN(tblIndicators!C24),1,2)</f>
        <v>1</v>
      </c>
      <c r="B44" s="367">
        <f>tblIndiSets!B34</f>
        <v>23</v>
      </c>
      <c r="C44" s="367">
        <f>tblIndiSets!D34</f>
        <v>3</v>
      </c>
      <c r="D44" s="367">
        <f>tblCategories!AE27</f>
        <v>0</v>
      </c>
      <c r="E44" s="367" t="str">
        <f>tblIndiSets!E34</f>
        <v xml:space="preserve">   2.2.2) Digital investment management tools</v>
      </c>
      <c r="H44" s="367">
        <f t="shared" si="38"/>
        <v>5.6</v>
      </c>
      <c r="I44" s="13" t="str">
        <f t="shared" ca="1" si="39"/>
        <v>=28</v>
      </c>
      <c r="J44" s="13">
        <f t="shared" ca="1" si="40"/>
        <v>2</v>
      </c>
      <c r="K44" s="367">
        <f t="shared" si="4"/>
        <v>19.7</v>
      </c>
      <c r="L44" s="13" t="str">
        <f t="shared" ca="1" si="41"/>
        <v>20</v>
      </c>
      <c r="M44" s="13">
        <f t="shared" ca="1" si="42"/>
        <v>1</v>
      </c>
      <c r="N44" s="367">
        <f t="shared" ca="1" si="43"/>
        <v>36.799999999999997</v>
      </c>
      <c r="O44" s="13"/>
      <c r="P44" s="13"/>
      <c r="R44" s="13"/>
      <c r="S44" s="13"/>
      <c r="U44" s="13"/>
      <c r="V44" s="13"/>
      <c r="X44" s="13"/>
      <c r="Y44" s="13"/>
      <c r="AA44" s="367" t="e">
        <f t="shared" ca="1" si="6"/>
        <v>#N/A</v>
      </c>
      <c r="AB44" s="367">
        <f ca="1">IF(ISNA(AA44),0,IF(uxb_works!$B$130=1,IF(ISEVEN(LEFT(TRIM(AD44),1)),2,1),INDEX($C$22:$C$91,AA44)))</f>
        <v>0</v>
      </c>
      <c r="AC44" s="367">
        <f t="shared" ca="1" si="44"/>
        <v>0</v>
      </c>
      <c r="AD44" s="367" t="str">
        <f t="shared" ca="1" si="7"/>
        <v/>
      </c>
      <c r="AE44" s="127" t="str">
        <f t="shared" ca="1" si="8"/>
        <v/>
      </c>
      <c r="AF44" s="127" t="str">
        <f t="shared" ca="1" si="8"/>
        <v/>
      </c>
      <c r="AH44" s="127" t="str">
        <f t="shared" ca="1" si="9"/>
        <v/>
      </c>
      <c r="AI44" s="127" t="str">
        <f t="shared" ca="1" si="9"/>
        <v/>
      </c>
      <c r="AK44" s="127" t="str">
        <f t="shared" ca="1" si="10"/>
        <v/>
      </c>
      <c r="AL44" s="127" t="str">
        <f t="shared" ca="1" si="10"/>
        <v/>
      </c>
      <c r="AN44" s="127" t="str">
        <f t="shared" ca="1" si="11"/>
        <v/>
      </c>
      <c r="AO44" s="127" t="str">
        <f t="shared" ca="1" si="11"/>
        <v/>
      </c>
      <c r="AQ44" s="127" t="str">
        <f t="shared" ca="1" si="12"/>
        <v/>
      </c>
      <c r="AR44" s="127" t="str">
        <f t="shared" ca="1" si="12"/>
        <v/>
      </c>
      <c r="AT44" s="127" t="str">
        <f t="shared" ca="1" si="13"/>
        <v/>
      </c>
      <c r="AU44" s="127" t="str">
        <f t="shared" ca="1" si="13"/>
        <v/>
      </c>
    </row>
    <row r="45" spans="1:47">
      <c r="A45" s="367">
        <f>IF(ISEVEN(tblIndicators!C25),1,2)</f>
        <v>1</v>
      </c>
      <c r="B45" s="367">
        <f>tblIndiSets!B35</f>
        <v>24</v>
      </c>
      <c r="C45" s="367">
        <f>tblIndiSets!D35</f>
        <v>3</v>
      </c>
      <c r="D45" s="367">
        <f>tblCategories!AE28</f>
        <v>0</v>
      </c>
      <c r="E45" s="367" t="str">
        <f>tblIndiSets!E35</f>
        <v xml:space="preserve">   2.2.3) E-payments</v>
      </c>
      <c r="H45" s="367">
        <f t="shared" si="38"/>
        <v>88.3</v>
      </c>
      <c r="I45" s="13" t="str">
        <f t="shared" ca="1" si="39"/>
        <v>8</v>
      </c>
      <c r="J45" s="13">
        <f t="shared" ca="1" si="40"/>
        <v>1</v>
      </c>
      <c r="K45" s="367">
        <f t="shared" si="4"/>
        <v>86.8</v>
      </c>
      <c r="L45" s="13" t="str">
        <f t="shared" ca="1" si="41"/>
        <v>10</v>
      </c>
      <c r="M45" s="13">
        <f t="shared" ca="1" si="42"/>
        <v>1</v>
      </c>
      <c r="N45" s="367">
        <f t="shared" ca="1" si="43"/>
        <v>54.1</v>
      </c>
      <c r="O45" s="13"/>
      <c r="P45" s="13"/>
      <c r="R45" s="13"/>
      <c r="S45" s="13"/>
      <c r="U45" s="13"/>
      <c r="V45" s="13"/>
      <c r="X45" s="13"/>
      <c r="Y45" s="13"/>
      <c r="AA45" s="367" t="e">
        <f t="shared" ca="1" si="6"/>
        <v>#N/A</v>
      </c>
      <c r="AB45" s="367">
        <f ca="1">IF(ISNA(AA45),0,IF(uxb_works!$B$130=1,IF(ISEVEN(LEFT(TRIM(AD45),1)),2,1),INDEX($C$22:$C$91,AA45)))</f>
        <v>0</v>
      </c>
      <c r="AC45" s="367">
        <f t="shared" ca="1" si="44"/>
        <v>0</v>
      </c>
      <c r="AD45" s="367" t="str">
        <f t="shared" ca="1" si="7"/>
        <v/>
      </c>
      <c r="AE45" s="127" t="str">
        <f t="shared" ca="1" si="8"/>
        <v/>
      </c>
      <c r="AF45" s="127" t="str">
        <f t="shared" ca="1" si="8"/>
        <v/>
      </c>
      <c r="AH45" s="127" t="str">
        <f t="shared" ca="1" si="9"/>
        <v/>
      </c>
      <c r="AI45" s="127" t="str">
        <f t="shared" ca="1" si="9"/>
        <v/>
      </c>
      <c r="AK45" s="127" t="str">
        <f t="shared" ca="1" si="10"/>
        <v/>
      </c>
      <c r="AL45" s="127" t="str">
        <f t="shared" ca="1" si="10"/>
        <v/>
      </c>
      <c r="AN45" s="127" t="str">
        <f t="shared" ca="1" si="11"/>
        <v/>
      </c>
      <c r="AO45" s="127" t="str">
        <f t="shared" ca="1" si="11"/>
        <v/>
      </c>
      <c r="AQ45" s="127" t="str">
        <f t="shared" ca="1" si="12"/>
        <v/>
      </c>
      <c r="AR45" s="127" t="str">
        <f t="shared" ca="1" si="12"/>
        <v/>
      </c>
      <c r="AT45" s="127" t="str">
        <f t="shared" ca="1" si="13"/>
        <v/>
      </c>
      <c r="AU45" s="127" t="str">
        <f t="shared" ca="1" si="13"/>
        <v/>
      </c>
    </row>
    <row r="46" spans="1:47">
      <c r="A46" s="367">
        <f>IF(ISEVEN(tblIndicators!C26),1,2)</f>
        <v>1</v>
      </c>
      <c r="B46" s="367">
        <f>tblIndiSets!B36</f>
        <v>25</v>
      </c>
      <c r="C46" s="367">
        <f>tblIndiSets!D36</f>
        <v>2</v>
      </c>
      <c r="D46" s="367">
        <f>tblCategories!AE29</f>
        <v>1</v>
      </c>
      <c r="E46" s="367" t="str">
        <f>tblIndiSets!E36</f>
        <v xml:space="preserve">  2.3) Transportation</v>
      </c>
      <c r="H46" s="367">
        <f t="shared" ref="H46:H91" si="45">IF(B46="","",INDEX(aScoresRounded,B46,$B$2))</f>
        <v>100</v>
      </c>
      <c r="I46" s="13" t="str">
        <f t="shared" ref="I46:I91" ca="1" si="46">IF($B46="","",IF(J46=1,"","=")&amp;RANK(H46,OFFSET(aScoresRounded,$B46-1,0,1,$C$1)))</f>
        <v>=1</v>
      </c>
      <c r="J46" s="13">
        <f t="shared" ref="J46:J91" ca="1" si="47">IF($B46="","",COUNTIF(OFFSET(aScoresRounded,$B46-1,0,1,$C$1),H46))</f>
        <v>7</v>
      </c>
      <c r="K46" s="367">
        <f t="shared" si="4"/>
        <v>41</v>
      </c>
      <c r="L46" s="13" t="str">
        <f t="shared" ref="L46:L91" ca="1" si="48">IF(OR($B46="",K46=""),"",IF(M46=1,"","=")&amp;RANK(K46,OFFSET(aScoresRounded,$B46-1,0,1,$C$1)))</f>
        <v>24</v>
      </c>
      <c r="M46" s="13">
        <f t="shared" ref="M46:M91" ca="1" si="49">IF($B46="","",COUNTIF(OFFSET(aScoresRounded,$B46-1,0,1,$C$1),K46))</f>
        <v>1</v>
      </c>
      <c r="N46" s="367">
        <f t="shared" ref="N46:N91" ca="1" si="50">IF(B46="","",INDEX(aAverages,B46,2))</f>
        <v>67.599999999999994</v>
      </c>
      <c r="O46" s="13"/>
      <c r="P46" s="13"/>
      <c r="R46" s="13"/>
      <c r="S46" s="13"/>
      <c r="U46" s="13"/>
      <c r="V46" s="13"/>
      <c r="X46" s="13"/>
      <c r="Y46" s="13"/>
      <c r="AA46" s="367" t="e">
        <f t="shared" ref="AA46:AA91" ca="1" si="51">AA45+MATCH(AA$20,OFFSET($D$22:$D$91,AA45,0),0)</f>
        <v>#N/A</v>
      </c>
      <c r="AB46" s="367">
        <f ca="1">IF(ISNA(AA46),0,IF(uxb_works!$B$130=1,IF(ISEVEN(LEFT(TRIM(AD46),1)),2,1),INDEX($C$22:$C$91,AA46)))</f>
        <v>0</v>
      </c>
      <c r="AC46" s="367">
        <f t="shared" ref="AC46:AC91" ca="1" si="52">IF(AD46="",0,IF($AC$14=TRIM(AD46),2,1))</f>
        <v>0</v>
      </c>
      <c r="AD46" s="367" t="str">
        <f t="shared" ref="AD46:AD91" ca="1" si="53">IF(ISNUMBER($AA46),INDEX(E$22:E$91,$AA46),"")</f>
        <v/>
      </c>
      <c r="AE46" s="127" t="str">
        <f t="shared" ref="AE46:AF91" ca="1" si="54">IF(ISNUMBER($AA46),INDEX($H$22:$R$91,$AA46,AE$19),"")</f>
        <v/>
      </c>
      <c r="AF46" s="127" t="str">
        <f t="shared" ca="1" si="54"/>
        <v/>
      </c>
      <c r="AH46" s="127" t="str">
        <f t="shared" ref="AH46:AI91" ca="1" si="55">IF(ISNUMBER($AA46),INDEX($H$22:$R$91,$AA46,AH$19),"")</f>
        <v/>
      </c>
      <c r="AI46" s="127" t="str">
        <f t="shared" ca="1" si="55"/>
        <v/>
      </c>
      <c r="AK46" s="127" t="str">
        <f t="shared" ref="AK46:AL91" ca="1" si="56">IF(ISNUMBER($AA46),INDEX($H$22:$R$91,$AA46,AK$19),"")</f>
        <v/>
      </c>
      <c r="AL46" s="127" t="str">
        <f t="shared" ca="1" si="56"/>
        <v/>
      </c>
      <c r="AN46" s="127" t="str">
        <f t="shared" ref="AN46:AO91" ca="1" si="57">IF(ISNUMBER($AA46),INDEX($H$22:$X$91,$AA46,AN$19),"")</f>
        <v/>
      </c>
      <c r="AO46" s="127" t="str">
        <f t="shared" ca="1" si="57"/>
        <v/>
      </c>
      <c r="AQ46" s="127" t="str">
        <f t="shared" ref="AQ46:AR91" ca="1" si="58">IF(ISNUMBER($AA46),INDEX($H$22:$X$91,$AA46,AQ$19),"")</f>
        <v/>
      </c>
      <c r="AR46" s="127" t="str">
        <f t="shared" ca="1" si="58"/>
        <v/>
      </c>
      <c r="AT46" s="127" t="str">
        <f t="shared" ref="AT46:AU91" ca="1" si="59">IF(ISNUMBER($AA46),INDEX($H$22:$X$91,$AA46,AT$19),"")</f>
        <v/>
      </c>
      <c r="AU46" s="127" t="str">
        <f t="shared" ca="1" si="59"/>
        <v/>
      </c>
    </row>
    <row r="47" spans="1:47">
      <c r="A47" s="367">
        <f>IF(ISEVEN(tblIndicators!C27),1,2)</f>
        <v>1</v>
      </c>
      <c r="B47" s="367">
        <f>tblIndiSets!B37</f>
        <v>26</v>
      </c>
      <c r="C47" s="367">
        <f>tblIndiSets!D37</f>
        <v>3</v>
      </c>
      <c r="D47" s="367">
        <f>tblCategories!AE30</f>
        <v>0</v>
      </c>
      <c r="E47" s="367" t="str">
        <f>tblIndiSets!E37</f>
        <v xml:space="preserve">   2.3.1) Integrated public transport apps</v>
      </c>
      <c r="H47" s="367">
        <f t="shared" si="45"/>
        <v>100</v>
      </c>
      <c r="I47" s="13" t="str">
        <f t="shared" ca="1" si="46"/>
        <v>=1</v>
      </c>
      <c r="J47" s="13">
        <f t="shared" ca="1" si="47"/>
        <v>11</v>
      </c>
      <c r="K47" s="367">
        <f t="shared" si="4"/>
        <v>33.299999999999997</v>
      </c>
      <c r="L47" s="13" t="str">
        <f t="shared" ca="1" si="48"/>
        <v>=23</v>
      </c>
      <c r="M47" s="13">
        <f t="shared" ca="1" si="49"/>
        <v>4</v>
      </c>
      <c r="N47" s="367">
        <f t="shared" ca="1" si="50"/>
        <v>65.599999999999994</v>
      </c>
      <c r="O47" s="13"/>
      <c r="P47" s="13"/>
      <c r="R47" s="13"/>
      <c r="S47" s="13"/>
      <c r="U47" s="13"/>
      <c r="V47" s="13"/>
      <c r="X47" s="13"/>
      <c r="Y47" s="13"/>
      <c r="AA47" s="367" t="e">
        <f t="shared" ca="1" si="51"/>
        <v>#N/A</v>
      </c>
      <c r="AB47" s="367">
        <f ca="1">IF(ISNA(AA47),0,IF(uxb_works!$B$130=1,IF(ISEVEN(LEFT(TRIM(AD47),1)),2,1),INDEX($C$22:$C$91,AA47)))</f>
        <v>0</v>
      </c>
      <c r="AC47" s="367">
        <f t="shared" ca="1" si="52"/>
        <v>0</v>
      </c>
      <c r="AD47" s="367" t="str">
        <f t="shared" ca="1" si="53"/>
        <v/>
      </c>
      <c r="AE47" s="127" t="str">
        <f t="shared" ca="1" si="54"/>
        <v/>
      </c>
      <c r="AF47" s="127" t="str">
        <f t="shared" ca="1" si="54"/>
        <v/>
      </c>
      <c r="AH47" s="127" t="str">
        <f t="shared" ca="1" si="55"/>
        <v/>
      </c>
      <c r="AI47" s="127" t="str">
        <f t="shared" ca="1" si="55"/>
        <v/>
      </c>
      <c r="AK47" s="127" t="str">
        <f t="shared" ca="1" si="56"/>
        <v/>
      </c>
      <c r="AL47" s="127" t="str">
        <f t="shared" ca="1" si="56"/>
        <v/>
      </c>
      <c r="AN47" s="127" t="str">
        <f t="shared" ca="1" si="57"/>
        <v/>
      </c>
      <c r="AO47" s="127" t="str">
        <f t="shared" ca="1" si="57"/>
        <v/>
      </c>
      <c r="AQ47" s="127" t="str">
        <f t="shared" ca="1" si="58"/>
        <v/>
      </c>
      <c r="AR47" s="127" t="str">
        <f t="shared" ca="1" si="58"/>
        <v/>
      </c>
      <c r="AT47" s="127" t="str">
        <f t="shared" ca="1" si="59"/>
        <v/>
      </c>
      <c r="AU47" s="127" t="str">
        <f t="shared" ca="1" si="59"/>
        <v/>
      </c>
    </row>
    <row r="48" spans="1:47">
      <c r="A48" s="367">
        <f>IF(ISEVEN(tblIndicators!C28),1,2)</f>
        <v>1</v>
      </c>
      <c r="B48" s="367">
        <f>tblIndiSets!B38</f>
        <v>27</v>
      </c>
      <c r="C48" s="367">
        <f>tblIndiSets!D38</f>
        <v>3</v>
      </c>
      <c r="D48" s="367">
        <f>tblCategories!AE31</f>
        <v>0</v>
      </c>
      <c r="E48" s="367" t="str">
        <f>tblIndiSets!E38</f>
        <v xml:space="preserve">   2.3.2) Digital identification at airports</v>
      </c>
      <c r="H48" s="367">
        <f t="shared" si="45"/>
        <v>100</v>
      </c>
      <c r="I48" s="13" t="str">
        <f t="shared" ca="1" si="46"/>
        <v>=1</v>
      </c>
      <c r="J48" s="13">
        <f t="shared" ca="1" si="47"/>
        <v>15</v>
      </c>
      <c r="K48" s="367">
        <f t="shared" si="4"/>
        <v>50</v>
      </c>
      <c r="L48" s="13" t="str">
        <f t="shared" ca="1" si="48"/>
        <v>=16</v>
      </c>
      <c r="M48" s="13">
        <f t="shared" ca="1" si="49"/>
        <v>12</v>
      </c>
      <c r="N48" s="367">
        <f t="shared" ca="1" si="50"/>
        <v>70</v>
      </c>
      <c r="O48" s="13"/>
      <c r="P48" s="13"/>
      <c r="R48" s="13"/>
      <c r="S48" s="13"/>
      <c r="U48" s="13"/>
      <c r="V48" s="13"/>
      <c r="X48" s="13"/>
      <c r="Y48" s="13"/>
      <c r="AA48" s="367" t="e">
        <f t="shared" ca="1" si="51"/>
        <v>#N/A</v>
      </c>
      <c r="AB48" s="367">
        <f ca="1">IF(ISNA(AA48),0,IF(uxb_works!$B$130=1,IF(ISEVEN(LEFT(TRIM(AD48),1)),2,1),INDEX($C$22:$C$91,AA48)))</f>
        <v>0</v>
      </c>
      <c r="AC48" s="367">
        <f t="shared" ca="1" si="52"/>
        <v>0</v>
      </c>
      <c r="AD48" s="367" t="str">
        <f t="shared" ca="1" si="53"/>
        <v/>
      </c>
      <c r="AE48" s="127" t="str">
        <f t="shared" ca="1" si="54"/>
        <v/>
      </c>
      <c r="AF48" s="127" t="str">
        <f t="shared" ca="1" si="54"/>
        <v/>
      </c>
      <c r="AH48" s="127" t="str">
        <f t="shared" ca="1" si="55"/>
        <v/>
      </c>
      <c r="AI48" s="127" t="str">
        <f t="shared" ca="1" si="55"/>
        <v/>
      </c>
      <c r="AK48" s="127" t="str">
        <f t="shared" ca="1" si="56"/>
        <v/>
      </c>
      <c r="AL48" s="127" t="str">
        <f t="shared" ca="1" si="56"/>
        <v/>
      </c>
      <c r="AN48" s="127" t="str">
        <f t="shared" ca="1" si="57"/>
        <v/>
      </c>
      <c r="AO48" s="127" t="str">
        <f t="shared" ca="1" si="57"/>
        <v/>
      </c>
      <c r="AQ48" s="127" t="str">
        <f t="shared" ca="1" si="58"/>
        <v/>
      </c>
      <c r="AR48" s="127" t="str">
        <f t="shared" ca="1" si="58"/>
        <v/>
      </c>
      <c r="AT48" s="127" t="str">
        <f t="shared" ca="1" si="59"/>
        <v/>
      </c>
      <c r="AU48" s="127" t="str">
        <f t="shared" ca="1" si="59"/>
        <v/>
      </c>
    </row>
    <row r="49" spans="1:47">
      <c r="A49" s="367">
        <f>IF(ISEVEN(tblIndicators!C29),1,2)</f>
        <v>1</v>
      </c>
      <c r="B49" s="367">
        <f>tblIndiSets!B39</f>
        <v>28</v>
      </c>
      <c r="C49" s="367">
        <f>tblIndiSets!D39</f>
        <v>2</v>
      </c>
      <c r="D49" s="367">
        <f>tblCategories!AE32</f>
        <v>1</v>
      </c>
      <c r="E49" s="367" t="str">
        <f>tblIndiSets!E39</f>
        <v xml:space="preserve">  2.4) Healthcare</v>
      </c>
      <c r="H49" s="367">
        <f t="shared" si="45"/>
        <v>91.6</v>
      </c>
      <c r="I49" s="13" t="str">
        <f t="shared" ca="1" si="46"/>
        <v>7</v>
      </c>
      <c r="J49" s="13">
        <f t="shared" ca="1" si="47"/>
        <v>1</v>
      </c>
      <c r="K49" s="367">
        <f t="shared" si="4"/>
        <v>54.1</v>
      </c>
      <c r="L49" s="13" t="str">
        <f t="shared" ca="1" si="48"/>
        <v>24</v>
      </c>
      <c r="M49" s="13">
        <f t="shared" ca="1" si="49"/>
        <v>1</v>
      </c>
      <c r="N49" s="367">
        <f t="shared" ca="1" si="50"/>
        <v>71.599999999999994</v>
      </c>
      <c r="O49" s="13"/>
      <c r="P49" s="13"/>
      <c r="R49" s="13"/>
      <c r="S49" s="13"/>
      <c r="U49" s="13"/>
      <c r="V49" s="13"/>
      <c r="X49" s="13"/>
      <c r="Y49" s="13"/>
      <c r="AA49" s="367" t="e">
        <f t="shared" ca="1" si="51"/>
        <v>#N/A</v>
      </c>
      <c r="AB49" s="367">
        <f ca="1">IF(ISNA(AA49),0,IF(uxb_works!$B$130=1,IF(ISEVEN(LEFT(TRIM(AD49),1)),2,1),INDEX($C$22:$C$91,AA49)))</f>
        <v>0</v>
      </c>
      <c r="AC49" s="367">
        <f t="shared" ca="1" si="52"/>
        <v>0</v>
      </c>
      <c r="AD49" s="367" t="str">
        <f t="shared" ca="1" si="53"/>
        <v/>
      </c>
      <c r="AE49" s="127" t="str">
        <f t="shared" ca="1" si="54"/>
        <v/>
      </c>
      <c r="AF49" s="127" t="str">
        <f t="shared" ca="1" si="54"/>
        <v/>
      </c>
      <c r="AH49" s="127" t="str">
        <f t="shared" ca="1" si="55"/>
        <v/>
      </c>
      <c r="AI49" s="127" t="str">
        <f t="shared" ca="1" si="55"/>
        <v/>
      </c>
      <c r="AK49" s="127" t="str">
        <f t="shared" ca="1" si="56"/>
        <v/>
      </c>
      <c r="AL49" s="127" t="str">
        <f t="shared" ca="1" si="56"/>
        <v/>
      </c>
      <c r="AN49" s="127" t="str">
        <f t="shared" ca="1" si="57"/>
        <v/>
      </c>
      <c r="AO49" s="127" t="str">
        <f t="shared" ca="1" si="57"/>
        <v/>
      </c>
      <c r="AQ49" s="127" t="str">
        <f t="shared" ca="1" si="58"/>
        <v/>
      </c>
      <c r="AR49" s="127" t="str">
        <f t="shared" ca="1" si="58"/>
        <v/>
      </c>
      <c r="AT49" s="127" t="str">
        <f t="shared" ca="1" si="59"/>
        <v/>
      </c>
      <c r="AU49" s="127" t="str">
        <f t="shared" ca="1" si="59"/>
        <v/>
      </c>
    </row>
    <row r="50" spans="1:47">
      <c r="A50" s="367">
        <f>IF(ISEVEN(tblIndicators!C30),1,2)</f>
        <v>1</v>
      </c>
      <c r="B50" s="367">
        <f>tblIndiSets!B40</f>
        <v>29</v>
      </c>
      <c r="C50" s="367">
        <f>tblIndiSets!D40</f>
        <v>3</v>
      </c>
      <c r="D50" s="367">
        <f>tblCategories!AE33</f>
        <v>0</v>
      </c>
      <c r="E50" s="367" t="str">
        <f>tblIndiSets!E40</f>
        <v xml:space="preserve">   2.4.1) Telehealth &amp; telemedicine</v>
      </c>
      <c r="H50" s="367">
        <f t="shared" si="45"/>
        <v>73.2</v>
      </c>
      <c r="I50" s="13" t="str">
        <f t="shared" ca="1" si="46"/>
        <v>14</v>
      </c>
      <c r="J50" s="13">
        <f t="shared" ca="1" si="47"/>
        <v>1</v>
      </c>
      <c r="K50" s="367">
        <f t="shared" si="4"/>
        <v>71.3</v>
      </c>
      <c r="L50" s="13" t="str">
        <f t="shared" ca="1" si="48"/>
        <v>15</v>
      </c>
      <c r="M50" s="13">
        <f t="shared" ca="1" si="49"/>
        <v>1</v>
      </c>
      <c r="N50" s="367">
        <f t="shared" ca="1" si="50"/>
        <v>52.9</v>
      </c>
      <c r="O50" s="13"/>
      <c r="P50" s="13"/>
      <c r="R50" s="13"/>
      <c r="S50" s="13"/>
      <c r="U50" s="13"/>
      <c r="V50" s="13"/>
      <c r="X50" s="13"/>
      <c r="Y50" s="13"/>
      <c r="AA50" s="367" t="e">
        <f t="shared" ca="1" si="51"/>
        <v>#N/A</v>
      </c>
      <c r="AB50" s="367">
        <f ca="1">IF(ISNA(AA50),0,IF(uxb_works!$B$130=1,IF(ISEVEN(LEFT(TRIM(AD50),1)),2,1),INDEX($C$22:$C$91,AA50)))</f>
        <v>0</v>
      </c>
      <c r="AC50" s="367">
        <f t="shared" ca="1" si="52"/>
        <v>0</v>
      </c>
      <c r="AD50" s="367" t="str">
        <f t="shared" ca="1" si="53"/>
        <v/>
      </c>
      <c r="AE50" s="127" t="str">
        <f t="shared" ca="1" si="54"/>
        <v/>
      </c>
      <c r="AF50" s="127" t="str">
        <f t="shared" ca="1" si="54"/>
        <v/>
      </c>
      <c r="AH50" s="127" t="str">
        <f t="shared" ca="1" si="55"/>
        <v/>
      </c>
      <c r="AI50" s="127" t="str">
        <f t="shared" ca="1" si="55"/>
        <v/>
      </c>
      <c r="AK50" s="127" t="str">
        <f t="shared" ca="1" si="56"/>
        <v/>
      </c>
      <c r="AL50" s="127" t="str">
        <f t="shared" ca="1" si="56"/>
        <v/>
      </c>
      <c r="AN50" s="127" t="str">
        <f t="shared" ca="1" si="57"/>
        <v/>
      </c>
      <c r="AO50" s="127" t="str">
        <f t="shared" ca="1" si="57"/>
        <v/>
      </c>
      <c r="AQ50" s="127" t="str">
        <f t="shared" ca="1" si="58"/>
        <v/>
      </c>
      <c r="AR50" s="127" t="str">
        <f t="shared" ca="1" si="58"/>
        <v/>
      </c>
      <c r="AT50" s="127" t="str">
        <f t="shared" ca="1" si="59"/>
        <v/>
      </c>
      <c r="AU50" s="127" t="str">
        <f t="shared" ca="1" si="59"/>
        <v/>
      </c>
    </row>
    <row r="51" spans="1:47">
      <c r="A51" s="367">
        <f>IF(ISEVEN(tblIndicators!C31),1,2)</f>
        <v>1</v>
      </c>
      <c r="B51" s="367">
        <f>tblIndiSets!B41</f>
        <v>30</v>
      </c>
      <c r="C51" s="367">
        <f>tblIndiSets!D41</f>
        <v>3</v>
      </c>
      <c r="D51" s="367">
        <f>tblCategories!AE34</f>
        <v>0</v>
      </c>
      <c r="E51" s="367" t="str">
        <f>tblIndiSets!E41</f>
        <v xml:space="preserve">   2.4.2) Electronic health records</v>
      </c>
      <c r="H51" s="367">
        <f t="shared" si="45"/>
        <v>100</v>
      </c>
      <c r="I51" s="13" t="str">
        <f t="shared" ca="1" si="46"/>
        <v>=1</v>
      </c>
      <c r="J51" s="13">
        <f t="shared" ca="1" si="47"/>
        <v>16</v>
      </c>
      <c r="K51" s="367">
        <f t="shared" si="4"/>
        <v>0</v>
      </c>
      <c r="L51" s="13" t="str">
        <f t="shared" ca="1" si="48"/>
        <v>=29</v>
      </c>
      <c r="M51" s="13">
        <f t="shared" ca="1" si="49"/>
        <v>2</v>
      </c>
      <c r="N51" s="367">
        <f t="shared" ca="1" si="50"/>
        <v>73.3</v>
      </c>
      <c r="O51" s="13"/>
      <c r="P51" s="13"/>
      <c r="R51" s="13"/>
      <c r="S51" s="13"/>
      <c r="U51" s="13"/>
      <c r="V51" s="13"/>
      <c r="X51" s="13"/>
      <c r="Y51" s="13"/>
      <c r="AA51" s="367" t="e">
        <f t="shared" ca="1" si="51"/>
        <v>#N/A</v>
      </c>
      <c r="AB51" s="367">
        <f ca="1">IF(ISNA(AA51),0,IF(uxb_works!$B$130=1,IF(ISEVEN(LEFT(TRIM(AD51),1)),2,1),INDEX($C$22:$C$91,AA51)))</f>
        <v>0</v>
      </c>
      <c r="AC51" s="367">
        <f t="shared" ca="1" si="52"/>
        <v>0</v>
      </c>
      <c r="AD51" s="367" t="str">
        <f t="shared" ca="1" si="53"/>
        <v/>
      </c>
      <c r="AE51" s="127" t="str">
        <f t="shared" ca="1" si="54"/>
        <v/>
      </c>
      <c r="AF51" s="127" t="str">
        <f t="shared" ca="1" si="54"/>
        <v/>
      </c>
      <c r="AH51" s="127" t="str">
        <f t="shared" ca="1" si="55"/>
        <v/>
      </c>
      <c r="AI51" s="127" t="str">
        <f t="shared" ca="1" si="55"/>
        <v/>
      </c>
      <c r="AK51" s="127" t="str">
        <f t="shared" ca="1" si="56"/>
        <v/>
      </c>
      <c r="AL51" s="127" t="str">
        <f t="shared" ca="1" si="56"/>
        <v/>
      </c>
      <c r="AN51" s="127" t="str">
        <f t="shared" ca="1" si="57"/>
        <v/>
      </c>
      <c r="AO51" s="127" t="str">
        <f t="shared" ca="1" si="57"/>
        <v/>
      </c>
      <c r="AQ51" s="127" t="str">
        <f t="shared" ca="1" si="58"/>
        <v/>
      </c>
      <c r="AR51" s="127" t="str">
        <f t="shared" ca="1" si="58"/>
        <v/>
      </c>
      <c r="AT51" s="127" t="str">
        <f t="shared" ca="1" si="59"/>
        <v/>
      </c>
      <c r="AU51" s="127" t="str">
        <f t="shared" ca="1" si="59"/>
        <v/>
      </c>
    </row>
    <row r="52" spans="1:47">
      <c r="A52" s="367">
        <f>IF(ISEVEN(tblIndicators!C32),1,2)</f>
        <v>1</v>
      </c>
      <c r="B52" s="367">
        <f>tblIndiSets!B42</f>
        <v>31</v>
      </c>
      <c r="C52" s="367">
        <f>tblIndiSets!D42</f>
        <v>3</v>
      </c>
      <c r="D52" s="367">
        <f>tblCategories!AE35</f>
        <v>0</v>
      </c>
      <c r="E52" s="367" t="str">
        <f>tblIndiSets!E42</f>
        <v xml:space="preserve">   2.4.3) Pandemic-related applications</v>
      </c>
      <c r="H52" s="367">
        <f t="shared" si="45"/>
        <v>100</v>
      </c>
      <c r="I52" s="13" t="str">
        <f t="shared" ca="1" si="46"/>
        <v>=1</v>
      </c>
      <c r="J52" s="13">
        <f t="shared" ca="1" si="47"/>
        <v>26</v>
      </c>
      <c r="K52" s="367">
        <f t="shared" si="4"/>
        <v>100</v>
      </c>
      <c r="L52" s="13" t="str">
        <f t="shared" ca="1" si="48"/>
        <v>=1</v>
      </c>
      <c r="M52" s="13">
        <f t="shared" ca="1" si="49"/>
        <v>26</v>
      </c>
      <c r="N52" s="367">
        <f t="shared" ca="1" si="50"/>
        <v>88.3</v>
      </c>
      <c r="O52" s="13"/>
      <c r="P52" s="13"/>
      <c r="R52" s="13"/>
      <c r="S52" s="13"/>
      <c r="U52" s="13"/>
      <c r="V52" s="13"/>
      <c r="X52" s="13"/>
      <c r="Y52" s="13"/>
      <c r="AA52" s="367" t="e">
        <f t="shared" ca="1" si="51"/>
        <v>#N/A</v>
      </c>
      <c r="AB52" s="367">
        <f ca="1">IF(ISNA(AA52),0,IF(uxb_works!$B$130=1,IF(ISEVEN(LEFT(TRIM(AD52),1)),2,1),INDEX($C$22:$C$91,AA52)))</f>
        <v>0</v>
      </c>
      <c r="AC52" s="367">
        <f t="shared" ca="1" si="52"/>
        <v>0</v>
      </c>
      <c r="AD52" s="367" t="str">
        <f t="shared" ca="1" si="53"/>
        <v/>
      </c>
      <c r="AE52" s="127" t="str">
        <f t="shared" ca="1" si="54"/>
        <v/>
      </c>
      <c r="AF52" s="127" t="str">
        <f t="shared" ca="1" si="54"/>
        <v/>
      </c>
      <c r="AH52" s="127" t="str">
        <f t="shared" ca="1" si="55"/>
        <v/>
      </c>
      <c r="AI52" s="127" t="str">
        <f t="shared" ca="1" si="55"/>
        <v/>
      </c>
      <c r="AK52" s="127" t="str">
        <f t="shared" ca="1" si="56"/>
        <v/>
      </c>
      <c r="AL52" s="127" t="str">
        <f t="shared" ca="1" si="56"/>
        <v/>
      </c>
      <c r="AN52" s="127" t="str">
        <f t="shared" ca="1" si="57"/>
        <v/>
      </c>
      <c r="AO52" s="127" t="str">
        <f t="shared" ca="1" si="57"/>
        <v/>
      </c>
      <c r="AQ52" s="127" t="str">
        <f t="shared" ca="1" si="58"/>
        <v/>
      </c>
      <c r="AR52" s="127" t="str">
        <f t="shared" ca="1" si="58"/>
        <v/>
      </c>
      <c r="AT52" s="127" t="str">
        <f t="shared" ca="1" si="59"/>
        <v/>
      </c>
      <c r="AU52" s="127" t="str">
        <f t="shared" ca="1" si="59"/>
        <v/>
      </c>
    </row>
    <row r="53" spans="1:47">
      <c r="A53" s="367">
        <f>IF(ISEVEN(tblIndicators!C33),1,2)</f>
        <v>1</v>
      </c>
      <c r="B53" s="367">
        <f>tblIndiSets!B43</f>
        <v>32</v>
      </c>
      <c r="C53" s="367">
        <f>tblIndiSets!D43</f>
        <v>2</v>
      </c>
      <c r="D53" s="367">
        <f>tblCategories!AE36</f>
        <v>1</v>
      </c>
      <c r="E53" s="367" t="str">
        <f>tblIndiSets!E43</f>
        <v xml:space="preserve">  2.5) Education</v>
      </c>
      <c r="H53" s="367">
        <f t="shared" si="45"/>
        <v>100</v>
      </c>
      <c r="I53" s="13" t="str">
        <f t="shared" ca="1" si="46"/>
        <v>=1</v>
      </c>
      <c r="J53" s="13">
        <f t="shared" ca="1" si="47"/>
        <v>16</v>
      </c>
      <c r="K53" s="367">
        <f t="shared" si="4"/>
        <v>50</v>
      </c>
      <c r="L53" s="13" t="str">
        <f t="shared" ca="1" si="48"/>
        <v>=17</v>
      </c>
      <c r="M53" s="13">
        <f t="shared" ca="1" si="49"/>
        <v>12</v>
      </c>
      <c r="N53" s="367">
        <f t="shared" ca="1" si="50"/>
        <v>73.3</v>
      </c>
      <c r="O53" s="13"/>
      <c r="P53" s="13"/>
      <c r="R53" s="13"/>
      <c r="S53" s="13"/>
      <c r="U53" s="13"/>
      <c r="V53" s="13"/>
      <c r="X53" s="13"/>
      <c r="Y53" s="13"/>
      <c r="AA53" s="367" t="e">
        <f t="shared" ca="1" si="51"/>
        <v>#N/A</v>
      </c>
      <c r="AB53" s="367">
        <f ca="1">IF(ISNA(AA53),0,IF(uxb_works!$B$130=1,IF(ISEVEN(LEFT(TRIM(AD53),1)),2,1),INDEX($C$22:$C$91,AA53)))</f>
        <v>0</v>
      </c>
      <c r="AC53" s="367">
        <f t="shared" ca="1" si="52"/>
        <v>0</v>
      </c>
      <c r="AD53" s="367" t="str">
        <f t="shared" ca="1" si="53"/>
        <v/>
      </c>
      <c r="AE53" s="127" t="str">
        <f t="shared" ca="1" si="54"/>
        <v/>
      </c>
      <c r="AF53" s="127" t="str">
        <f t="shared" ca="1" si="54"/>
        <v/>
      </c>
      <c r="AH53" s="127" t="str">
        <f t="shared" ca="1" si="55"/>
        <v/>
      </c>
      <c r="AI53" s="127" t="str">
        <f t="shared" ca="1" si="55"/>
        <v/>
      </c>
      <c r="AK53" s="127" t="str">
        <f t="shared" ca="1" si="56"/>
        <v/>
      </c>
      <c r="AL53" s="127" t="str">
        <f t="shared" ca="1" si="56"/>
        <v/>
      </c>
      <c r="AN53" s="127" t="str">
        <f t="shared" ca="1" si="57"/>
        <v/>
      </c>
      <c r="AO53" s="127" t="str">
        <f t="shared" ca="1" si="57"/>
        <v/>
      </c>
      <c r="AQ53" s="127" t="str">
        <f t="shared" ca="1" si="58"/>
        <v/>
      </c>
      <c r="AR53" s="127" t="str">
        <f t="shared" ca="1" si="58"/>
        <v/>
      </c>
      <c r="AT53" s="127" t="str">
        <f t="shared" ca="1" si="59"/>
        <v/>
      </c>
      <c r="AU53" s="127" t="str">
        <f t="shared" ca="1" si="59"/>
        <v/>
      </c>
    </row>
    <row r="54" spans="1:47">
      <c r="A54" s="367">
        <f>IF(ISEVEN(tblIndicators!C34),1,2)</f>
        <v>1</v>
      </c>
      <c r="B54" s="367">
        <f>tblIndiSets!B44</f>
        <v>33</v>
      </c>
      <c r="C54" s="367">
        <f>tblIndiSets!D44</f>
        <v>3</v>
      </c>
      <c r="D54" s="367">
        <f>tblCategories!AE37</f>
        <v>0</v>
      </c>
      <c r="E54" s="367" t="str">
        <f>tblIndiSets!E44</f>
        <v xml:space="preserve">   2.5.1) Digital education</v>
      </c>
      <c r="H54" s="367">
        <f t="shared" si="45"/>
        <v>100</v>
      </c>
      <c r="I54" s="13" t="str">
        <f t="shared" ca="1" si="46"/>
        <v>=1</v>
      </c>
      <c r="J54" s="13">
        <f t="shared" ca="1" si="47"/>
        <v>16</v>
      </c>
      <c r="K54" s="367">
        <f t="shared" si="4"/>
        <v>50</v>
      </c>
      <c r="L54" s="13" t="str">
        <f t="shared" ca="1" si="48"/>
        <v>=17</v>
      </c>
      <c r="M54" s="13">
        <f t="shared" ca="1" si="49"/>
        <v>12</v>
      </c>
      <c r="N54" s="367">
        <f t="shared" ca="1" si="50"/>
        <v>73.3</v>
      </c>
      <c r="O54" s="13"/>
      <c r="P54" s="13"/>
      <c r="R54" s="13"/>
      <c r="S54" s="13"/>
      <c r="U54" s="13"/>
      <c r="V54" s="13"/>
      <c r="X54" s="13"/>
      <c r="Y54" s="13"/>
      <c r="AA54" s="367" t="e">
        <f t="shared" ca="1" si="51"/>
        <v>#N/A</v>
      </c>
      <c r="AB54" s="367">
        <f ca="1">IF(ISNA(AA54),0,IF(uxb_works!$B$130=1,IF(ISEVEN(LEFT(TRIM(AD54),1)),2,1),INDEX($C$22:$C$91,AA54)))</f>
        <v>0</v>
      </c>
      <c r="AC54" s="367">
        <f t="shared" ca="1" si="52"/>
        <v>0</v>
      </c>
      <c r="AD54" s="367" t="str">
        <f t="shared" ca="1" si="53"/>
        <v/>
      </c>
      <c r="AE54" s="127" t="str">
        <f t="shared" ca="1" si="54"/>
        <v/>
      </c>
      <c r="AF54" s="127" t="str">
        <f t="shared" ca="1" si="54"/>
        <v/>
      </c>
      <c r="AH54" s="127" t="str">
        <f t="shared" ca="1" si="55"/>
        <v/>
      </c>
      <c r="AI54" s="127" t="str">
        <f t="shared" ca="1" si="55"/>
        <v/>
      </c>
      <c r="AK54" s="127" t="str">
        <f t="shared" ca="1" si="56"/>
        <v/>
      </c>
      <c r="AL54" s="127" t="str">
        <f t="shared" ca="1" si="56"/>
        <v/>
      </c>
      <c r="AN54" s="127" t="str">
        <f t="shared" ca="1" si="57"/>
        <v/>
      </c>
      <c r="AO54" s="127" t="str">
        <f t="shared" ca="1" si="57"/>
        <v/>
      </c>
      <c r="AQ54" s="127" t="str">
        <f t="shared" ca="1" si="58"/>
        <v/>
      </c>
      <c r="AR54" s="127" t="str">
        <f t="shared" ca="1" si="58"/>
        <v/>
      </c>
      <c r="AT54" s="127" t="str">
        <f t="shared" ca="1" si="59"/>
        <v/>
      </c>
      <c r="AU54" s="127" t="str">
        <f t="shared" ca="1" si="59"/>
        <v/>
      </c>
    </row>
    <row r="55" spans="1:47">
      <c r="A55" s="367">
        <f>IF(ISEVEN(tblIndicators!C35),1,2)</f>
        <v>1</v>
      </c>
      <c r="B55" s="367">
        <f>tblIndiSets!B45</f>
        <v>34</v>
      </c>
      <c r="C55" s="367">
        <f>tblIndiSets!D45</f>
        <v>2</v>
      </c>
      <c r="D55" s="367">
        <f>tblCategories!AE38</f>
        <v>1</v>
      </c>
      <c r="E55" s="367" t="str">
        <f>tblIndiSets!E45</f>
        <v xml:space="preserve">  2.6) Retail and hospitality</v>
      </c>
      <c r="H55" s="367">
        <f t="shared" si="45"/>
        <v>40.299999999999997</v>
      </c>
      <c r="I55" s="13" t="str">
        <f t="shared" ca="1" si="46"/>
        <v>9</v>
      </c>
      <c r="J55" s="13">
        <f t="shared" ca="1" si="47"/>
        <v>1</v>
      </c>
      <c r="K55" s="367">
        <f t="shared" si="4"/>
        <v>19.2</v>
      </c>
      <c r="L55" s="13" t="str">
        <f t="shared" ca="1" si="48"/>
        <v>21</v>
      </c>
      <c r="M55" s="13">
        <f t="shared" ca="1" si="49"/>
        <v>1</v>
      </c>
      <c r="N55" s="367">
        <f t="shared" ca="1" si="50"/>
        <v>33.9</v>
      </c>
      <c r="O55" s="13"/>
      <c r="P55" s="13"/>
      <c r="R55" s="13"/>
      <c r="S55" s="13"/>
      <c r="U55" s="13"/>
      <c r="V55" s="13"/>
      <c r="X55" s="13"/>
      <c r="Y55" s="13"/>
      <c r="AA55" s="367" t="e">
        <f t="shared" ca="1" si="51"/>
        <v>#N/A</v>
      </c>
      <c r="AB55" s="367">
        <f ca="1">IF(ISNA(AA55),0,IF(uxb_works!$B$130=1,IF(ISEVEN(LEFT(TRIM(AD55),1)),2,1),INDEX($C$22:$C$91,AA55)))</f>
        <v>0</v>
      </c>
      <c r="AC55" s="367">
        <f t="shared" ca="1" si="52"/>
        <v>0</v>
      </c>
      <c r="AD55" s="367" t="str">
        <f t="shared" ca="1" si="53"/>
        <v/>
      </c>
      <c r="AE55" s="127" t="str">
        <f t="shared" ca="1" si="54"/>
        <v/>
      </c>
      <c r="AF55" s="127" t="str">
        <f t="shared" ca="1" si="54"/>
        <v/>
      </c>
      <c r="AH55" s="127" t="str">
        <f t="shared" ca="1" si="55"/>
        <v/>
      </c>
      <c r="AI55" s="127" t="str">
        <f t="shared" ca="1" si="55"/>
        <v/>
      </c>
      <c r="AK55" s="127" t="str">
        <f t="shared" ca="1" si="56"/>
        <v/>
      </c>
      <c r="AL55" s="127" t="str">
        <f t="shared" ca="1" si="56"/>
        <v/>
      </c>
      <c r="AN55" s="127" t="str">
        <f t="shared" ca="1" si="57"/>
        <v/>
      </c>
      <c r="AO55" s="127" t="str">
        <f t="shared" ca="1" si="57"/>
        <v/>
      </c>
      <c r="AQ55" s="127" t="str">
        <f t="shared" ca="1" si="58"/>
        <v/>
      </c>
      <c r="AR55" s="127" t="str">
        <f t="shared" ca="1" si="58"/>
        <v/>
      </c>
      <c r="AT55" s="127" t="str">
        <f t="shared" ca="1" si="59"/>
        <v/>
      </c>
      <c r="AU55" s="127" t="str">
        <f t="shared" ca="1" si="59"/>
        <v/>
      </c>
    </row>
    <row r="56" spans="1:47">
      <c r="A56" s="367">
        <f>IF(ISEVEN(tblIndicators!C36),1,2)</f>
        <v>1</v>
      </c>
      <c r="B56" s="367">
        <f>tblIndiSets!B46</f>
        <v>35</v>
      </c>
      <c r="C56" s="367">
        <f>tblIndiSets!D46</f>
        <v>3</v>
      </c>
      <c r="D56" s="367">
        <f>tblCategories!AE39</f>
        <v>0</v>
      </c>
      <c r="E56" s="367" t="str">
        <f>tblIndiSets!E46</f>
        <v xml:space="preserve">   2.6.1) E-commerce penetration</v>
      </c>
      <c r="H56" s="367">
        <f t="shared" si="45"/>
        <v>71.2</v>
      </c>
      <c r="I56" s="13" t="str">
        <f t="shared" ca="1" si="46"/>
        <v>3</v>
      </c>
      <c r="J56" s="13">
        <f t="shared" ca="1" si="47"/>
        <v>1</v>
      </c>
      <c r="K56" s="367">
        <f t="shared" si="4"/>
        <v>34</v>
      </c>
      <c r="L56" s="13" t="str">
        <f t="shared" ca="1" si="48"/>
        <v>19</v>
      </c>
      <c r="M56" s="13">
        <f t="shared" ca="1" si="49"/>
        <v>1</v>
      </c>
      <c r="N56" s="367">
        <f t="shared" ca="1" si="50"/>
        <v>42</v>
      </c>
      <c r="O56" s="13"/>
      <c r="P56" s="13"/>
      <c r="R56" s="13"/>
      <c r="S56" s="13"/>
      <c r="U56" s="13"/>
      <c r="V56" s="13"/>
      <c r="X56" s="13"/>
      <c r="Y56" s="13"/>
      <c r="AA56" s="367" t="e">
        <f t="shared" ca="1" si="51"/>
        <v>#N/A</v>
      </c>
      <c r="AB56" s="367">
        <f ca="1">IF(ISNA(AA56),0,IF(uxb_works!$B$130=1,IF(ISEVEN(LEFT(TRIM(AD56),1)),2,1),INDEX($C$22:$C$91,AA56)))</f>
        <v>0</v>
      </c>
      <c r="AC56" s="367">
        <f t="shared" ca="1" si="52"/>
        <v>0</v>
      </c>
      <c r="AD56" s="367" t="str">
        <f t="shared" ca="1" si="53"/>
        <v/>
      </c>
      <c r="AE56" s="127" t="str">
        <f t="shared" ca="1" si="54"/>
        <v/>
      </c>
      <c r="AF56" s="127" t="str">
        <f t="shared" ca="1" si="54"/>
        <v/>
      </c>
      <c r="AH56" s="127" t="str">
        <f t="shared" ca="1" si="55"/>
        <v/>
      </c>
      <c r="AI56" s="127" t="str">
        <f t="shared" ca="1" si="55"/>
        <v/>
      </c>
      <c r="AK56" s="127" t="str">
        <f t="shared" ca="1" si="56"/>
        <v/>
      </c>
      <c r="AL56" s="127" t="str">
        <f t="shared" ca="1" si="56"/>
        <v/>
      </c>
      <c r="AN56" s="127" t="str">
        <f t="shared" ca="1" si="57"/>
        <v/>
      </c>
      <c r="AO56" s="127" t="str">
        <f t="shared" ca="1" si="57"/>
        <v/>
      </c>
      <c r="AQ56" s="127" t="str">
        <f t="shared" ca="1" si="58"/>
        <v/>
      </c>
      <c r="AR56" s="127" t="str">
        <f t="shared" ca="1" si="58"/>
        <v/>
      </c>
      <c r="AT56" s="127" t="str">
        <f t="shared" ca="1" si="59"/>
        <v/>
      </c>
      <c r="AU56" s="127" t="str">
        <f t="shared" ca="1" si="59"/>
        <v/>
      </c>
    </row>
    <row r="57" spans="1:47">
      <c r="A57" s="367">
        <f>IF(ISEVEN(tblIndicators!C37),1,2)</f>
        <v>1</v>
      </c>
      <c r="B57" s="367">
        <f>tblIndiSets!B47</f>
        <v>36</v>
      </c>
      <c r="C57" s="367">
        <f>tblIndiSets!D47</f>
        <v>3</v>
      </c>
      <c r="D57" s="367">
        <f>tblCategories!AE40</f>
        <v>0</v>
      </c>
      <c r="E57" s="367" t="str">
        <f>tblIndiSets!E47</f>
        <v xml:space="preserve">   2.6.2) Digital tourist passes</v>
      </c>
      <c r="H57" s="367">
        <f t="shared" si="45"/>
        <v>0</v>
      </c>
      <c r="I57" s="13" t="str">
        <f t="shared" ca="1" si="46"/>
        <v>=8</v>
      </c>
      <c r="J57" s="13">
        <f t="shared" ca="1" si="47"/>
        <v>23</v>
      </c>
      <c r="K57" s="367">
        <f t="shared" si="4"/>
        <v>0</v>
      </c>
      <c r="L57" s="13" t="str">
        <f t="shared" ca="1" si="48"/>
        <v>=8</v>
      </c>
      <c r="M57" s="13">
        <f t="shared" ca="1" si="49"/>
        <v>23</v>
      </c>
      <c r="N57" s="367">
        <f t="shared" ca="1" si="50"/>
        <v>23.3</v>
      </c>
      <c r="O57" s="13"/>
      <c r="P57" s="13"/>
      <c r="R57" s="13"/>
      <c r="S57" s="13"/>
      <c r="U57" s="13"/>
      <c r="V57" s="13"/>
      <c r="X57" s="13"/>
      <c r="Y57" s="13"/>
      <c r="AA57" s="367" t="e">
        <f t="shared" ca="1" si="51"/>
        <v>#N/A</v>
      </c>
      <c r="AB57" s="367">
        <f ca="1">IF(ISNA(AA57),0,IF(uxb_works!$B$130=1,IF(ISEVEN(LEFT(TRIM(AD57),1)),2,1),INDEX($C$22:$C$91,AA57)))</f>
        <v>0</v>
      </c>
      <c r="AC57" s="367">
        <f t="shared" ca="1" si="52"/>
        <v>0</v>
      </c>
      <c r="AD57" s="367" t="str">
        <f t="shared" ca="1" si="53"/>
        <v/>
      </c>
      <c r="AE57" s="127" t="str">
        <f t="shared" ca="1" si="54"/>
        <v/>
      </c>
      <c r="AF57" s="127" t="str">
        <f t="shared" ca="1" si="54"/>
        <v/>
      </c>
      <c r="AH57" s="127" t="str">
        <f t="shared" ca="1" si="55"/>
        <v/>
      </c>
      <c r="AI57" s="127" t="str">
        <f t="shared" ca="1" si="55"/>
        <v/>
      </c>
      <c r="AK57" s="127" t="str">
        <f t="shared" ca="1" si="56"/>
        <v/>
      </c>
      <c r="AL57" s="127" t="str">
        <f t="shared" ca="1" si="56"/>
        <v/>
      </c>
      <c r="AN57" s="127" t="str">
        <f t="shared" ca="1" si="57"/>
        <v/>
      </c>
      <c r="AO57" s="127" t="str">
        <f t="shared" ca="1" si="57"/>
        <v/>
      </c>
      <c r="AQ57" s="127" t="str">
        <f t="shared" ca="1" si="58"/>
        <v/>
      </c>
      <c r="AR57" s="127" t="str">
        <f t="shared" ca="1" si="58"/>
        <v/>
      </c>
      <c r="AT57" s="127" t="str">
        <f t="shared" ca="1" si="59"/>
        <v/>
      </c>
      <c r="AU57" s="127" t="str">
        <f t="shared" ca="1" si="59"/>
        <v/>
      </c>
    </row>
    <row r="58" spans="1:47">
      <c r="A58" s="367">
        <f>IF(ISEVEN(tblIndicators!C38),1,2)</f>
        <v>2</v>
      </c>
      <c r="B58" s="367">
        <f>tblIndiSets!B48</f>
        <v>37</v>
      </c>
      <c r="C58" s="367">
        <f>tblIndiSets!D48</f>
        <v>1</v>
      </c>
      <c r="D58" s="367">
        <f>tblCategories!AE41</f>
        <v>1</v>
      </c>
      <c r="E58" s="367" t="str">
        <f>tblIndiSets!E48</f>
        <v xml:space="preserve"> 3) CULTURE</v>
      </c>
      <c r="H58" s="367">
        <f t="shared" si="45"/>
        <v>62.1</v>
      </c>
      <c r="I58" s="13" t="str">
        <f t="shared" ca="1" si="46"/>
        <v>15</v>
      </c>
      <c r="J58" s="13">
        <f t="shared" ca="1" si="47"/>
        <v>1</v>
      </c>
      <c r="K58" s="367">
        <f t="shared" si="4"/>
        <v>67</v>
      </c>
      <c r="L58" s="13" t="str">
        <f t="shared" ca="1" si="48"/>
        <v>7</v>
      </c>
      <c r="M58" s="13">
        <f t="shared" ca="1" si="49"/>
        <v>1</v>
      </c>
      <c r="N58" s="367">
        <f t="shared" ca="1" si="50"/>
        <v>59.2</v>
      </c>
      <c r="O58" s="13"/>
      <c r="P58" s="13"/>
      <c r="R58" s="13"/>
      <c r="S58" s="13"/>
      <c r="U58" s="13"/>
      <c r="V58" s="13"/>
      <c r="X58" s="13"/>
      <c r="Y58" s="13"/>
      <c r="AA58" s="367" t="e">
        <f t="shared" ca="1" si="51"/>
        <v>#N/A</v>
      </c>
      <c r="AB58" s="367">
        <f ca="1">IF(ISNA(AA58),0,IF(uxb_works!$B$130=1,IF(ISEVEN(LEFT(TRIM(AD58),1)),2,1),INDEX($C$22:$C$91,AA58)))</f>
        <v>0</v>
      </c>
      <c r="AC58" s="367">
        <f t="shared" ca="1" si="52"/>
        <v>0</v>
      </c>
      <c r="AD58" s="367" t="str">
        <f t="shared" ca="1" si="53"/>
        <v/>
      </c>
      <c r="AE58" s="127" t="str">
        <f t="shared" ca="1" si="54"/>
        <v/>
      </c>
      <c r="AF58" s="127" t="str">
        <f t="shared" ca="1" si="54"/>
        <v/>
      </c>
      <c r="AH58" s="127" t="str">
        <f t="shared" ca="1" si="55"/>
        <v/>
      </c>
      <c r="AI58" s="127" t="str">
        <f t="shared" ca="1" si="55"/>
        <v/>
      </c>
      <c r="AK58" s="127" t="str">
        <f t="shared" ca="1" si="56"/>
        <v/>
      </c>
      <c r="AL58" s="127" t="str">
        <f t="shared" ca="1" si="56"/>
        <v/>
      </c>
      <c r="AN58" s="127" t="str">
        <f t="shared" ca="1" si="57"/>
        <v/>
      </c>
      <c r="AO58" s="127" t="str">
        <f t="shared" ca="1" si="57"/>
        <v/>
      </c>
      <c r="AQ58" s="127" t="str">
        <f t="shared" ca="1" si="58"/>
        <v/>
      </c>
      <c r="AR58" s="127" t="str">
        <f t="shared" ca="1" si="58"/>
        <v/>
      </c>
      <c r="AT58" s="127" t="str">
        <f t="shared" ca="1" si="59"/>
        <v/>
      </c>
      <c r="AU58" s="127" t="str">
        <f t="shared" ca="1" si="59"/>
        <v/>
      </c>
    </row>
    <row r="59" spans="1:47">
      <c r="A59" s="367">
        <f>IF(ISEVEN(tblIndicators!C39),1,2)</f>
        <v>2</v>
      </c>
      <c r="B59" s="367">
        <f>tblIndiSets!B49</f>
        <v>38</v>
      </c>
      <c r="C59" s="367">
        <f>tblIndiSets!D49</f>
        <v>2</v>
      </c>
      <c r="D59" s="367">
        <f>tblCategories!AE42</f>
        <v>1</v>
      </c>
      <c r="E59" s="367" t="str">
        <f>tblIndiSets!E49</f>
        <v xml:space="preserve">  3.1) Digital inclusion</v>
      </c>
      <c r="H59" s="367">
        <f t="shared" si="45"/>
        <v>65.8</v>
      </c>
      <c r="I59" s="13" t="str">
        <f t="shared" ca="1" si="46"/>
        <v>22</v>
      </c>
      <c r="J59" s="13">
        <f t="shared" ca="1" si="47"/>
        <v>1</v>
      </c>
      <c r="K59" s="367">
        <f t="shared" si="4"/>
        <v>69.400000000000006</v>
      </c>
      <c r="L59" s="13" t="str">
        <f t="shared" ca="1" si="48"/>
        <v>17</v>
      </c>
      <c r="M59" s="13">
        <f t="shared" ca="1" si="49"/>
        <v>1</v>
      </c>
      <c r="N59" s="367">
        <f t="shared" ca="1" si="50"/>
        <v>69.5</v>
      </c>
      <c r="O59" s="13"/>
      <c r="P59" s="13"/>
      <c r="R59" s="13"/>
      <c r="S59" s="13"/>
      <c r="U59" s="13"/>
      <c r="V59" s="13"/>
      <c r="X59" s="13"/>
      <c r="Y59" s="13"/>
      <c r="AA59" s="367" t="e">
        <f t="shared" ca="1" si="51"/>
        <v>#N/A</v>
      </c>
      <c r="AB59" s="367">
        <f ca="1">IF(ISNA(AA59),0,IF(uxb_works!$B$130=1,IF(ISEVEN(LEFT(TRIM(AD59),1)),2,1),INDEX($C$22:$C$91,AA59)))</f>
        <v>0</v>
      </c>
      <c r="AC59" s="367">
        <f t="shared" ca="1" si="52"/>
        <v>0</v>
      </c>
      <c r="AD59" s="367" t="str">
        <f t="shared" ca="1" si="53"/>
        <v/>
      </c>
      <c r="AE59" s="127" t="str">
        <f t="shared" ca="1" si="54"/>
        <v/>
      </c>
      <c r="AF59" s="127" t="str">
        <f t="shared" ca="1" si="54"/>
        <v/>
      </c>
      <c r="AH59" s="127" t="str">
        <f t="shared" ca="1" si="55"/>
        <v/>
      </c>
      <c r="AI59" s="127" t="str">
        <f t="shared" ca="1" si="55"/>
        <v/>
      </c>
      <c r="AK59" s="127" t="str">
        <f t="shared" ca="1" si="56"/>
        <v/>
      </c>
      <c r="AL59" s="127" t="str">
        <f t="shared" ca="1" si="56"/>
        <v/>
      </c>
      <c r="AN59" s="127" t="str">
        <f t="shared" ca="1" si="57"/>
        <v/>
      </c>
      <c r="AO59" s="127" t="str">
        <f t="shared" ca="1" si="57"/>
        <v/>
      </c>
      <c r="AQ59" s="127" t="str">
        <f t="shared" ca="1" si="58"/>
        <v/>
      </c>
      <c r="AR59" s="127" t="str">
        <f t="shared" ca="1" si="58"/>
        <v/>
      </c>
      <c r="AT59" s="127" t="str">
        <f t="shared" ca="1" si="59"/>
        <v/>
      </c>
      <c r="AU59" s="127" t="str">
        <f t="shared" ca="1" si="59"/>
        <v/>
      </c>
    </row>
    <row r="60" spans="1:47">
      <c r="A60" s="367">
        <f>IF(ISEVEN(tblIndicators!C40),1,2)</f>
        <v>2</v>
      </c>
      <c r="B60" s="367">
        <f>tblIndiSets!B50</f>
        <v>39</v>
      </c>
      <c r="C60" s="367">
        <f>tblIndiSets!D50</f>
        <v>3</v>
      </c>
      <c r="D60" s="367">
        <f>tblCategories!AE43</f>
        <v>0</v>
      </c>
      <c r="E60" s="367" t="str">
        <f>tblIndiSets!E50</f>
        <v xml:space="preserve">   3.1.1) Internet usage</v>
      </c>
      <c r="H60" s="367">
        <f t="shared" si="45"/>
        <v>87</v>
      </c>
      <c r="I60" s="13" t="str">
        <f t="shared" ca="1" si="46"/>
        <v>9</v>
      </c>
      <c r="J60" s="13">
        <f t="shared" ca="1" si="47"/>
        <v>1</v>
      </c>
      <c r="K60" s="367">
        <f t="shared" si="4"/>
        <v>85.2</v>
      </c>
      <c r="L60" s="13" t="str">
        <f t="shared" ca="1" si="48"/>
        <v>11</v>
      </c>
      <c r="M60" s="13">
        <f t="shared" ca="1" si="49"/>
        <v>1</v>
      </c>
      <c r="N60" s="367">
        <f t="shared" ca="1" si="50"/>
        <v>76.2</v>
      </c>
      <c r="O60" s="13"/>
      <c r="P60" s="13"/>
      <c r="R60" s="13"/>
      <c r="S60" s="13"/>
      <c r="U60" s="13"/>
      <c r="V60" s="13"/>
      <c r="X60" s="13"/>
      <c r="Y60" s="13"/>
      <c r="AA60" s="367" t="e">
        <f t="shared" ca="1" si="51"/>
        <v>#N/A</v>
      </c>
      <c r="AB60" s="367">
        <f ca="1">IF(ISNA(AA60),0,IF(uxb_works!$B$130=1,IF(ISEVEN(LEFT(TRIM(AD60),1)),2,1),INDEX($C$22:$C$91,AA60)))</f>
        <v>0</v>
      </c>
      <c r="AC60" s="367">
        <f t="shared" ca="1" si="52"/>
        <v>0</v>
      </c>
      <c r="AD60" s="367" t="str">
        <f t="shared" ca="1" si="53"/>
        <v/>
      </c>
      <c r="AE60" s="127" t="str">
        <f t="shared" ca="1" si="54"/>
        <v/>
      </c>
      <c r="AF60" s="127" t="str">
        <f t="shared" ca="1" si="54"/>
        <v/>
      </c>
      <c r="AH60" s="127" t="str">
        <f t="shared" ca="1" si="55"/>
        <v/>
      </c>
      <c r="AI60" s="127" t="str">
        <f t="shared" ca="1" si="55"/>
        <v/>
      </c>
      <c r="AK60" s="127" t="str">
        <f t="shared" ca="1" si="56"/>
        <v/>
      </c>
      <c r="AL60" s="127" t="str">
        <f t="shared" ca="1" si="56"/>
        <v/>
      </c>
      <c r="AN60" s="127" t="str">
        <f t="shared" ca="1" si="57"/>
        <v/>
      </c>
      <c r="AO60" s="127" t="str">
        <f t="shared" ca="1" si="57"/>
        <v/>
      </c>
      <c r="AQ60" s="127" t="str">
        <f t="shared" ca="1" si="58"/>
        <v/>
      </c>
      <c r="AR60" s="127" t="str">
        <f t="shared" ca="1" si="58"/>
        <v/>
      </c>
      <c r="AT60" s="127" t="str">
        <f t="shared" ca="1" si="59"/>
        <v/>
      </c>
      <c r="AU60" s="127" t="str">
        <f t="shared" ca="1" si="59"/>
        <v/>
      </c>
    </row>
    <row r="61" spans="1:47">
      <c r="A61" s="367">
        <f>IF(ISEVEN(tblIndicators!C41),1,2)</f>
        <v>2</v>
      </c>
      <c r="B61" s="367">
        <f>tblIndiSets!B51</f>
        <v>40</v>
      </c>
      <c r="C61" s="367">
        <f>tblIndiSets!D51</f>
        <v>3</v>
      </c>
      <c r="D61" s="367">
        <f>tblCategories!AE44</f>
        <v>0</v>
      </c>
      <c r="E61" s="367" t="str">
        <f>tblIndiSets!E51</f>
        <v xml:space="preserve">   3.1.2) Gap between female and male access to the internet</v>
      </c>
      <c r="H61" s="367">
        <f t="shared" si="45"/>
        <v>94</v>
      </c>
      <c r="I61" s="13" t="str">
        <f t="shared" ca="1" si="46"/>
        <v>=23</v>
      </c>
      <c r="J61" s="13">
        <f t="shared" ca="1" si="47"/>
        <v>2</v>
      </c>
      <c r="K61" s="367">
        <f t="shared" si="4"/>
        <v>96.9</v>
      </c>
      <c r="L61" s="13" t="str">
        <f t="shared" ca="1" si="48"/>
        <v>16</v>
      </c>
      <c r="M61" s="13">
        <f t="shared" ca="1" si="49"/>
        <v>1</v>
      </c>
      <c r="N61" s="367">
        <f t="shared" ca="1" si="50"/>
        <v>93.2</v>
      </c>
      <c r="O61" s="13"/>
      <c r="P61" s="13"/>
      <c r="R61" s="13"/>
      <c r="S61" s="13"/>
      <c r="U61" s="13"/>
      <c r="V61" s="13"/>
      <c r="X61" s="13"/>
      <c r="Y61" s="13"/>
      <c r="AA61" s="367" t="e">
        <f t="shared" ca="1" si="51"/>
        <v>#N/A</v>
      </c>
      <c r="AB61" s="367">
        <f ca="1">IF(ISNA(AA61),0,IF(uxb_works!$B$130=1,IF(ISEVEN(LEFT(TRIM(AD61),1)),2,1),INDEX($C$22:$C$91,AA61)))</f>
        <v>0</v>
      </c>
      <c r="AC61" s="367">
        <f t="shared" ca="1" si="52"/>
        <v>0</v>
      </c>
      <c r="AD61" s="367" t="str">
        <f t="shared" ca="1" si="53"/>
        <v/>
      </c>
      <c r="AE61" s="127" t="str">
        <f t="shared" ca="1" si="54"/>
        <v/>
      </c>
      <c r="AF61" s="127" t="str">
        <f t="shared" ca="1" si="54"/>
        <v/>
      </c>
      <c r="AH61" s="127" t="str">
        <f t="shared" ca="1" si="55"/>
        <v/>
      </c>
      <c r="AI61" s="127" t="str">
        <f t="shared" ca="1" si="55"/>
        <v/>
      </c>
      <c r="AK61" s="127" t="str">
        <f t="shared" ca="1" si="56"/>
        <v/>
      </c>
      <c r="AL61" s="127" t="str">
        <f t="shared" ca="1" si="56"/>
        <v/>
      </c>
      <c r="AN61" s="127" t="str">
        <f t="shared" ca="1" si="57"/>
        <v/>
      </c>
      <c r="AO61" s="127" t="str">
        <f t="shared" ca="1" si="57"/>
        <v/>
      </c>
      <c r="AQ61" s="127" t="str">
        <f t="shared" ca="1" si="58"/>
        <v/>
      </c>
      <c r="AR61" s="127" t="str">
        <f t="shared" ca="1" si="58"/>
        <v/>
      </c>
      <c r="AT61" s="127" t="str">
        <f t="shared" ca="1" si="59"/>
        <v/>
      </c>
      <c r="AU61" s="127" t="str">
        <f t="shared" ca="1" si="59"/>
        <v/>
      </c>
    </row>
    <row r="62" spans="1:47">
      <c r="A62" s="367">
        <f>IF(ISEVEN(tblIndicators!C42),1,2)</f>
        <v>2</v>
      </c>
      <c r="B62" s="367">
        <f>tblIndiSets!B52</f>
        <v>41</v>
      </c>
      <c r="C62" s="367">
        <f>tblIndiSets!D52</f>
        <v>3</v>
      </c>
      <c r="D62" s="367">
        <f>tblCategories!AE45</f>
        <v>0</v>
      </c>
      <c r="E62" s="367" t="str">
        <f>tblIndiSets!E52</f>
        <v xml:space="preserve">   3.1.3) Digital skills</v>
      </c>
      <c r="H62" s="367">
        <f t="shared" si="45"/>
        <v>12.8</v>
      </c>
      <c r="I62" s="13" t="str">
        <f t="shared" ca="1" si="46"/>
        <v>27</v>
      </c>
      <c r="J62" s="13">
        <f t="shared" ca="1" si="47"/>
        <v>1</v>
      </c>
      <c r="K62" s="367">
        <f t="shared" si="4"/>
        <v>23.3</v>
      </c>
      <c r="L62" s="13" t="str">
        <f t="shared" ca="1" si="48"/>
        <v>20</v>
      </c>
      <c r="M62" s="13">
        <f t="shared" ca="1" si="49"/>
        <v>1</v>
      </c>
      <c r="N62" s="367">
        <f t="shared" ca="1" si="50"/>
        <v>38.1</v>
      </c>
      <c r="O62" s="13"/>
      <c r="P62" s="13"/>
      <c r="R62" s="13"/>
      <c r="S62" s="13"/>
      <c r="U62" s="13"/>
      <c r="V62" s="13"/>
      <c r="X62" s="13"/>
      <c r="Y62" s="13"/>
      <c r="AA62" s="367" t="e">
        <f t="shared" ca="1" si="51"/>
        <v>#N/A</v>
      </c>
      <c r="AB62" s="367">
        <f ca="1">IF(ISNA(AA62),0,IF(uxb_works!$B$130=1,IF(ISEVEN(LEFT(TRIM(AD62),1)),2,1),INDEX($C$22:$C$91,AA62)))</f>
        <v>0</v>
      </c>
      <c r="AC62" s="367">
        <f t="shared" ca="1" si="52"/>
        <v>0</v>
      </c>
      <c r="AD62" s="367" t="str">
        <f t="shared" ca="1" si="53"/>
        <v/>
      </c>
      <c r="AE62" s="127" t="str">
        <f t="shared" ca="1" si="54"/>
        <v/>
      </c>
      <c r="AF62" s="127" t="str">
        <f t="shared" ca="1" si="54"/>
        <v/>
      </c>
      <c r="AH62" s="127" t="str">
        <f t="shared" ca="1" si="55"/>
        <v/>
      </c>
      <c r="AI62" s="127" t="str">
        <f t="shared" ca="1" si="55"/>
        <v/>
      </c>
      <c r="AK62" s="127" t="str">
        <f t="shared" ca="1" si="56"/>
        <v/>
      </c>
      <c r="AL62" s="127" t="str">
        <f t="shared" ca="1" si="56"/>
        <v/>
      </c>
      <c r="AN62" s="127" t="str">
        <f t="shared" ca="1" si="57"/>
        <v/>
      </c>
      <c r="AO62" s="127" t="str">
        <f t="shared" ca="1" si="57"/>
        <v/>
      </c>
      <c r="AQ62" s="127" t="str">
        <f t="shared" ca="1" si="58"/>
        <v/>
      </c>
      <c r="AR62" s="127" t="str">
        <f t="shared" ca="1" si="58"/>
        <v/>
      </c>
      <c r="AT62" s="127" t="str">
        <f t="shared" ca="1" si="59"/>
        <v/>
      </c>
      <c r="AU62" s="127" t="str">
        <f t="shared" ca="1" si="59"/>
        <v/>
      </c>
    </row>
    <row r="63" spans="1:47">
      <c r="A63" s="367">
        <f>IF(ISEVEN(tblIndicators!C43),1,2)</f>
        <v>2</v>
      </c>
      <c r="B63" s="367">
        <f>tblIndiSets!B53</f>
        <v>42</v>
      </c>
      <c r="C63" s="367">
        <f>tblIndiSets!D53</f>
        <v>2</v>
      </c>
      <c r="D63" s="367">
        <f>tblCategories!AE46</f>
        <v>1</v>
      </c>
      <c r="E63" s="367" t="str">
        <f>tblIndiSets!E53</f>
        <v xml:space="preserve">  3.2) Government support</v>
      </c>
      <c r="H63" s="367">
        <f t="shared" si="45"/>
        <v>76</v>
      </c>
      <c r="I63" s="13" t="str">
        <f t="shared" ca="1" si="46"/>
        <v>15</v>
      </c>
      <c r="J63" s="13">
        <f t="shared" ca="1" si="47"/>
        <v>1</v>
      </c>
      <c r="K63" s="367">
        <f t="shared" si="4"/>
        <v>81.099999999999994</v>
      </c>
      <c r="L63" s="13" t="str">
        <f t="shared" ca="1" si="48"/>
        <v>8</v>
      </c>
      <c r="M63" s="13">
        <f t="shared" ca="1" si="49"/>
        <v>1</v>
      </c>
      <c r="N63" s="367">
        <f t="shared" ca="1" si="50"/>
        <v>71.7</v>
      </c>
      <c r="O63" s="13"/>
      <c r="P63" s="13"/>
      <c r="R63" s="13"/>
      <c r="S63" s="13"/>
      <c r="U63" s="13"/>
      <c r="V63" s="13"/>
      <c r="X63" s="13"/>
      <c r="Y63" s="13"/>
      <c r="AA63" s="367" t="e">
        <f t="shared" ca="1" si="51"/>
        <v>#N/A</v>
      </c>
      <c r="AB63" s="367">
        <f ca="1">IF(ISNA(AA63),0,IF(uxb_works!$B$130=1,IF(ISEVEN(LEFT(TRIM(AD63),1)),2,1),INDEX($C$22:$C$91,AA63)))</f>
        <v>0</v>
      </c>
      <c r="AC63" s="367">
        <f t="shared" ca="1" si="52"/>
        <v>0</v>
      </c>
      <c r="AD63" s="367" t="str">
        <f t="shared" ca="1" si="53"/>
        <v/>
      </c>
      <c r="AE63" s="127" t="str">
        <f t="shared" ca="1" si="54"/>
        <v/>
      </c>
      <c r="AF63" s="127" t="str">
        <f t="shared" ca="1" si="54"/>
        <v/>
      </c>
      <c r="AH63" s="127" t="str">
        <f t="shared" ca="1" si="55"/>
        <v/>
      </c>
      <c r="AI63" s="127" t="str">
        <f t="shared" ca="1" si="55"/>
        <v/>
      </c>
      <c r="AK63" s="127" t="str">
        <f t="shared" ca="1" si="56"/>
        <v/>
      </c>
      <c r="AL63" s="127" t="str">
        <f t="shared" ca="1" si="56"/>
        <v/>
      </c>
      <c r="AN63" s="127" t="str">
        <f t="shared" ca="1" si="57"/>
        <v/>
      </c>
      <c r="AO63" s="127" t="str">
        <f t="shared" ca="1" si="57"/>
        <v/>
      </c>
      <c r="AQ63" s="127" t="str">
        <f t="shared" ca="1" si="58"/>
        <v/>
      </c>
      <c r="AR63" s="127" t="str">
        <f t="shared" ca="1" si="58"/>
        <v/>
      </c>
      <c r="AT63" s="127" t="str">
        <f t="shared" ca="1" si="59"/>
        <v/>
      </c>
      <c r="AU63" s="127" t="str">
        <f t="shared" ca="1" si="59"/>
        <v/>
      </c>
    </row>
    <row r="64" spans="1:47">
      <c r="A64" s="367">
        <f>IF(ISEVEN(tblIndicators!C44),1,2)</f>
        <v>2</v>
      </c>
      <c r="B64" s="367">
        <f>tblIndiSets!B54</f>
        <v>43</v>
      </c>
      <c r="C64" s="367">
        <f>tblIndiSets!D54</f>
        <v>3</v>
      </c>
      <c r="D64" s="367">
        <f>tblCategories!AE47</f>
        <v>0</v>
      </c>
      <c r="E64" s="367" t="str">
        <f>tblIndiSets!E54</f>
        <v xml:space="preserve">   3.2.1) Data protection law</v>
      </c>
      <c r="H64" s="367">
        <f t="shared" si="45"/>
        <v>100</v>
      </c>
      <c r="I64" s="13" t="str">
        <f t="shared" ca="1" si="46"/>
        <v>=1</v>
      </c>
      <c r="J64" s="13">
        <f t="shared" ca="1" si="47"/>
        <v>24</v>
      </c>
      <c r="K64" s="367">
        <f t="shared" si="4"/>
        <v>100</v>
      </c>
      <c r="L64" s="13" t="str">
        <f t="shared" ca="1" si="48"/>
        <v>=1</v>
      </c>
      <c r="M64" s="13">
        <f t="shared" ca="1" si="49"/>
        <v>24</v>
      </c>
      <c r="N64" s="367">
        <f t="shared" ca="1" si="50"/>
        <v>90</v>
      </c>
      <c r="O64" s="13"/>
      <c r="P64" s="13"/>
      <c r="R64" s="13"/>
      <c r="S64" s="13"/>
      <c r="U64" s="13"/>
      <c r="V64" s="13"/>
      <c r="X64" s="13"/>
      <c r="Y64" s="13"/>
      <c r="AA64" s="367" t="e">
        <f t="shared" ca="1" si="51"/>
        <v>#N/A</v>
      </c>
      <c r="AB64" s="367">
        <f ca="1">IF(ISNA(AA64),0,IF(uxb_works!$B$130=1,IF(ISEVEN(LEFT(TRIM(AD64),1)),2,1),INDEX($C$22:$C$91,AA64)))</f>
        <v>0</v>
      </c>
      <c r="AC64" s="367">
        <f t="shared" ca="1" si="52"/>
        <v>0</v>
      </c>
      <c r="AD64" s="367" t="str">
        <f t="shared" ca="1" si="53"/>
        <v/>
      </c>
      <c r="AE64" s="127" t="str">
        <f t="shared" ca="1" si="54"/>
        <v/>
      </c>
      <c r="AF64" s="127" t="str">
        <f t="shared" ca="1" si="54"/>
        <v/>
      </c>
      <c r="AH64" s="127" t="str">
        <f t="shared" ca="1" si="55"/>
        <v/>
      </c>
      <c r="AI64" s="127" t="str">
        <f t="shared" ca="1" si="55"/>
        <v/>
      </c>
      <c r="AK64" s="127" t="str">
        <f t="shared" ca="1" si="56"/>
        <v/>
      </c>
      <c r="AL64" s="127" t="str">
        <f t="shared" ca="1" si="56"/>
        <v/>
      </c>
      <c r="AN64" s="127" t="str">
        <f t="shared" ca="1" si="57"/>
        <v/>
      </c>
      <c r="AO64" s="127" t="str">
        <f t="shared" ca="1" si="57"/>
        <v/>
      </c>
      <c r="AQ64" s="127" t="str">
        <f t="shared" ca="1" si="58"/>
        <v/>
      </c>
      <c r="AR64" s="127" t="str">
        <f t="shared" ca="1" si="58"/>
        <v/>
      </c>
      <c r="AT64" s="127" t="str">
        <f t="shared" ca="1" si="59"/>
        <v/>
      </c>
      <c r="AU64" s="127" t="str">
        <f t="shared" ca="1" si="59"/>
        <v/>
      </c>
    </row>
    <row r="65" spans="1:47">
      <c r="A65" s="367">
        <f>IF(ISEVEN(tblIndicators!C45),1,2)</f>
        <v>2</v>
      </c>
      <c r="B65" s="367">
        <f>tblIndiSets!B55</f>
        <v>44</v>
      </c>
      <c r="C65" s="367">
        <f>tblIndiSets!D55</f>
        <v>3</v>
      </c>
      <c r="D65" s="367">
        <f>tblCategories!AE48</f>
        <v>0</v>
      </c>
      <c r="E65" s="367" t="str">
        <f>tblIndiSets!E55</f>
        <v xml:space="preserve">   3.2.2) Cyber security preparedness</v>
      </c>
      <c r="H65" s="367">
        <f t="shared" si="45"/>
        <v>75</v>
      </c>
      <c r="I65" s="13" t="str">
        <f t="shared" ca="1" si="46"/>
        <v>=10</v>
      </c>
      <c r="J65" s="13">
        <f t="shared" ca="1" si="47"/>
        <v>15</v>
      </c>
      <c r="K65" s="367">
        <f t="shared" si="4"/>
        <v>100</v>
      </c>
      <c r="L65" s="13" t="str">
        <f t="shared" ca="1" si="48"/>
        <v>=1</v>
      </c>
      <c r="M65" s="13">
        <f t="shared" ca="1" si="49"/>
        <v>9</v>
      </c>
      <c r="N65" s="367">
        <f t="shared" ca="1" si="50"/>
        <v>77.5</v>
      </c>
      <c r="O65" s="13"/>
      <c r="P65" s="13"/>
      <c r="R65" s="13"/>
      <c r="S65" s="13"/>
      <c r="U65" s="13"/>
      <c r="V65" s="13"/>
      <c r="X65" s="13"/>
      <c r="Y65" s="13"/>
      <c r="AA65" s="367" t="e">
        <f t="shared" ca="1" si="51"/>
        <v>#N/A</v>
      </c>
      <c r="AB65" s="367">
        <f ca="1">IF(ISNA(AA65),0,IF(uxb_works!$B$130=1,IF(ISEVEN(LEFT(TRIM(AD65),1)),2,1),INDEX($C$22:$C$91,AA65)))</f>
        <v>0</v>
      </c>
      <c r="AC65" s="367">
        <f t="shared" ca="1" si="52"/>
        <v>0</v>
      </c>
      <c r="AD65" s="367" t="str">
        <f t="shared" ca="1" si="53"/>
        <v/>
      </c>
      <c r="AE65" s="127" t="str">
        <f t="shared" ca="1" si="54"/>
        <v/>
      </c>
      <c r="AF65" s="127" t="str">
        <f t="shared" ca="1" si="54"/>
        <v/>
      </c>
      <c r="AH65" s="127" t="str">
        <f t="shared" ca="1" si="55"/>
        <v/>
      </c>
      <c r="AI65" s="127" t="str">
        <f t="shared" ca="1" si="55"/>
        <v/>
      </c>
      <c r="AK65" s="127" t="str">
        <f t="shared" ca="1" si="56"/>
        <v/>
      </c>
      <c r="AL65" s="127" t="str">
        <f t="shared" ca="1" si="56"/>
        <v/>
      </c>
      <c r="AN65" s="127" t="str">
        <f t="shared" ca="1" si="57"/>
        <v/>
      </c>
      <c r="AO65" s="127" t="str">
        <f t="shared" ca="1" si="57"/>
        <v/>
      </c>
      <c r="AQ65" s="127" t="str">
        <f t="shared" ca="1" si="58"/>
        <v/>
      </c>
      <c r="AR65" s="127" t="str">
        <f t="shared" ca="1" si="58"/>
        <v/>
      </c>
      <c r="AT65" s="127" t="str">
        <f t="shared" ca="1" si="59"/>
        <v/>
      </c>
      <c r="AU65" s="127" t="str">
        <f t="shared" ca="1" si="59"/>
        <v/>
      </c>
    </row>
    <row r="66" spans="1:47">
      <c r="A66" s="367">
        <f>IF(ISEVEN(tblIndicators!C46),1,2)</f>
        <v>2</v>
      </c>
      <c r="B66" s="367">
        <f>tblIndiSets!B56</f>
        <v>45</v>
      </c>
      <c r="C66" s="367">
        <f>tblIndiSets!D56</f>
        <v>3</v>
      </c>
      <c r="D66" s="367">
        <f>tblCategories!AE49</f>
        <v>0</v>
      </c>
      <c r="E66" s="367" t="str">
        <f>tblIndiSets!E56</f>
        <v xml:space="preserve">   3.2.3) Cyber security risk awareness</v>
      </c>
      <c r="H66" s="367">
        <f t="shared" si="45"/>
        <v>50</v>
      </c>
      <c r="I66" s="13" t="str">
        <f t="shared" ca="1" si="46"/>
        <v>=19</v>
      </c>
      <c r="J66" s="13">
        <f t="shared" ca="1" si="47"/>
        <v>11</v>
      </c>
      <c r="K66" s="367">
        <f t="shared" si="4"/>
        <v>50</v>
      </c>
      <c r="L66" s="13" t="str">
        <f t="shared" ca="1" si="48"/>
        <v>=19</v>
      </c>
      <c r="M66" s="13">
        <f t="shared" ca="1" si="49"/>
        <v>11</v>
      </c>
      <c r="N66" s="367">
        <f t="shared" ca="1" si="50"/>
        <v>65.8</v>
      </c>
      <c r="O66" s="13"/>
      <c r="P66" s="13"/>
      <c r="R66" s="13"/>
      <c r="S66" s="13"/>
      <c r="U66" s="13"/>
      <c r="V66" s="13"/>
      <c r="X66" s="13"/>
      <c r="Y66" s="13"/>
      <c r="AA66" s="367" t="e">
        <f t="shared" ca="1" si="51"/>
        <v>#N/A</v>
      </c>
      <c r="AB66" s="367">
        <f ca="1">IF(ISNA(AA66),0,IF(uxb_works!$B$130=1,IF(ISEVEN(LEFT(TRIM(AD66),1)),2,1),INDEX($C$22:$C$91,AA66)))</f>
        <v>0</v>
      </c>
      <c r="AC66" s="367">
        <f t="shared" ca="1" si="52"/>
        <v>0</v>
      </c>
      <c r="AD66" s="367" t="str">
        <f t="shared" ca="1" si="53"/>
        <v/>
      </c>
      <c r="AE66" s="127" t="str">
        <f t="shared" ca="1" si="54"/>
        <v/>
      </c>
      <c r="AF66" s="127" t="str">
        <f t="shared" ca="1" si="54"/>
        <v/>
      </c>
      <c r="AH66" s="127" t="str">
        <f t="shared" ca="1" si="55"/>
        <v/>
      </c>
      <c r="AI66" s="127" t="str">
        <f t="shared" ca="1" si="55"/>
        <v/>
      </c>
      <c r="AK66" s="127" t="str">
        <f t="shared" ca="1" si="56"/>
        <v/>
      </c>
      <c r="AL66" s="127" t="str">
        <f t="shared" ca="1" si="56"/>
        <v/>
      </c>
      <c r="AN66" s="127" t="str">
        <f t="shared" ca="1" si="57"/>
        <v/>
      </c>
      <c r="AO66" s="127" t="str">
        <f t="shared" ca="1" si="57"/>
        <v/>
      </c>
      <c r="AQ66" s="127" t="str">
        <f t="shared" ca="1" si="58"/>
        <v/>
      </c>
      <c r="AR66" s="127" t="str">
        <f t="shared" ca="1" si="58"/>
        <v/>
      </c>
      <c r="AT66" s="127" t="str">
        <f t="shared" ca="1" si="59"/>
        <v/>
      </c>
      <c r="AU66" s="127" t="str">
        <f t="shared" ca="1" si="59"/>
        <v/>
      </c>
    </row>
    <row r="67" spans="1:47">
      <c r="A67" s="367">
        <f>IF(ISEVEN(tblIndicators!C47),1,2)</f>
        <v>2</v>
      </c>
      <c r="B67" s="367">
        <f>tblIndiSets!B57</f>
        <v>46</v>
      </c>
      <c r="C67" s="367">
        <f>tblIndiSets!D57</f>
        <v>3</v>
      </c>
      <c r="D67" s="367">
        <f>tblCategories!AE50</f>
        <v>0</v>
      </c>
      <c r="E67" s="367" t="str">
        <f>tblIndiSets!E57</f>
        <v xml:space="preserve">   3.2.4) Open data access and use</v>
      </c>
      <c r="H67" s="367">
        <f t="shared" si="45"/>
        <v>68.8</v>
      </c>
      <c r="I67" s="13" t="str">
        <f t="shared" ca="1" si="46"/>
        <v>=10</v>
      </c>
      <c r="J67" s="13">
        <f t="shared" ca="1" si="47"/>
        <v>2</v>
      </c>
      <c r="K67" s="367">
        <f t="shared" si="4"/>
        <v>73.8</v>
      </c>
      <c r="L67" s="13" t="str">
        <f t="shared" ca="1" si="48"/>
        <v>9</v>
      </c>
      <c r="M67" s="13">
        <f t="shared" ca="1" si="49"/>
        <v>1</v>
      </c>
      <c r="N67" s="367">
        <f t="shared" ca="1" si="50"/>
        <v>54.3</v>
      </c>
      <c r="O67" s="13"/>
      <c r="P67" s="13"/>
      <c r="R67" s="13"/>
      <c r="S67" s="13"/>
      <c r="U67" s="13"/>
      <c r="V67" s="13"/>
      <c r="X67" s="13"/>
      <c r="Y67" s="13"/>
      <c r="AA67" s="367" t="e">
        <f t="shared" ca="1" si="51"/>
        <v>#N/A</v>
      </c>
      <c r="AB67" s="367">
        <f ca="1">IF(ISNA(AA67),0,IF(uxb_works!$B$130=1,IF(ISEVEN(LEFT(TRIM(AD67),1)),2,1),INDEX($C$22:$C$91,AA67)))</f>
        <v>0</v>
      </c>
      <c r="AC67" s="367">
        <f t="shared" ca="1" si="52"/>
        <v>0</v>
      </c>
      <c r="AD67" s="367" t="str">
        <f t="shared" ca="1" si="53"/>
        <v/>
      </c>
      <c r="AE67" s="127" t="str">
        <f t="shared" ca="1" si="54"/>
        <v/>
      </c>
      <c r="AF67" s="127" t="str">
        <f t="shared" ca="1" si="54"/>
        <v/>
      </c>
      <c r="AH67" s="127" t="str">
        <f t="shared" ca="1" si="55"/>
        <v/>
      </c>
      <c r="AI67" s="127" t="str">
        <f t="shared" ca="1" si="55"/>
        <v/>
      </c>
      <c r="AK67" s="127" t="str">
        <f t="shared" ca="1" si="56"/>
        <v/>
      </c>
      <c r="AL67" s="127" t="str">
        <f t="shared" ca="1" si="56"/>
        <v/>
      </c>
      <c r="AN67" s="127" t="str">
        <f t="shared" ca="1" si="57"/>
        <v/>
      </c>
      <c r="AO67" s="127" t="str">
        <f t="shared" ca="1" si="57"/>
        <v/>
      </c>
      <c r="AQ67" s="127" t="str">
        <f t="shared" ca="1" si="58"/>
        <v/>
      </c>
      <c r="AR67" s="127" t="str">
        <f t="shared" ca="1" si="58"/>
        <v/>
      </c>
      <c r="AT67" s="127" t="str">
        <f t="shared" ca="1" si="59"/>
        <v/>
      </c>
      <c r="AU67" s="127" t="str">
        <f t="shared" ca="1" si="59"/>
        <v/>
      </c>
    </row>
    <row r="68" spans="1:47">
      <c r="A68" s="367">
        <f>IF(ISEVEN(tblIndicators!C48),1,2)</f>
        <v>2</v>
      </c>
      <c r="B68" s="367">
        <f>tblIndiSets!B58</f>
        <v>47</v>
      </c>
      <c r="C68" s="367">
        <f>tblIndiSets!D58</f>
        <v>3</v>
      </c>
      <c r="D68" s="367">
        <f>tblCategories!AE51</f>
        <v>0</v>
      </c>
      <c r="E68" s="367" t="str">
        <f>tblIndiSets!E58</f>
        <v xml:space="preserve">   3.2.5) Internet freedom</v>
      </c>
      <c r="H68" s="367">
        <f t="shared" si="45"/>
        <v>86.4</v>
      </c>
      <c r="I68" s="13" t="str">
        <f t="shared" ca="1" si="46"/>
        <v>=5</v>
      </c>
      <c r="J68" s="13">
        <f t="shared" ca="1" si="47"/>
        <v>2</v>
      </c>
      <c r="K68" s="367">
        <f t="shared" si="4"/>
        <v>82</v>
      </c>
      <c r="L68" s="13" t="str">
        <f t="shared" ca="1" si="48"/>
        <v>=11</v>
      </c>
      <c r="M68" s="13">
        <f t="shared" ca="1" si="49"/>
        <v>5</v>
      </c>
      <c r="N68" s="367">
        <f t="shared" ca="1" si="50"/>
        <v>70.7</v>
      </c>
      <c r="O68" s="13"/>
      <c r="P68" s="13"/>
      <c r="R68" s="13"/>
      <c r="S68" s="13"/>
      <c r="U68" s="13"/>
      <c r="V68" s="13"/>
      <c r="X68" s="13"/>
      <c r="Y68" s="13"/>
      <c r="AA68" s="367" t="e">
        <f t="shared" ca="1" si="51"/>
        <v>#N/A</v>
      </c>
      <c r="AB68" s="367">
        <f ca="1">IF(ISNA(AA68),0,IF(uxb_works!$B$130=1,IF(ISEVEN(LEFT(TRIM(AD68),1)),2,1),INDEX($C$22:$C$91,AA68)))</f>
        <v>0</v>
      </c>
      <c r="AC68" s="367">
        <f t="shared" ca="1" si="52"/>
        <v>0</v>
      </c>
      <c r="AD68" s="367" t="str">
        <f t="shared" ca="1" si="53"/>
        <v/>
      </c>
      <c r="AE68" s="127" t="str">
        <f t="shared" ca="1" si="54"/>
        <v/>
      </c>
      <c r="AF68" s="127" t="str">
        <f t="shared" ca="1" si="54"/>
        <v/>
      </c>
      <c r="AH68" s="127" t="str">
        <f t="shared" ca="1" si="55"/>
        <v/>
      </c>
      <c r="AI68" s="127" t="str">
        <f t="shared" ca="1" si="55"/>
        <v/>
      </c>
      <c r="AK68" s="127" t="str">
        <f t="shared" ca="1" si="56"/>
        <v/>
      </c>
      <c r="AL68" s="127" t="str">
        <f t="shared" ca="1" si="56"/>
        <v/>
      </c>
      <c r="AN68" s="127" t="str">
        <f t="shared" ca="1" si="57"/>
        <v/>
      </c>
      <c r="AO68" s="127" t="str">
        <f t="shared" ca="1" si="57"/>
        <v/>
      </c>
      <c r="AQ68" s="127" t="str">
        <f t="shared" ca="1" si="58"/>
        <v/>
      </c>
      <c r="AR68" s="127" t="str">
        <f t="shared" ca="1" si="58"/>
        <v/>
      </c>
      <c r="AT68" s="127" t="str">
        <f t="shared" ca="1" si="59"/>
        <v/>
      </c>
      <c r="AU68" s="127" t="str">
        <f t="shared" ca="1" si="59"/>
        <v/>
      </c>
    </row>
    <row r="69" spans="1:47">
      <c r="A69" s="367">
        <f>IF(ISEVEN(tblIndicators!C49),1,2)</f>
        <v>2</v>
      </c>
      <c r="B69" s="367">
        <f>tblIndiSets!B59</f>
        <v>48</v>
      </c>
      <c r="C69" s="367">
        <f>tblIndiSets!D59</f>
        <v>2</v>
      </c>
      <c r="D69" s="367">
        <f>tblCategories!AE52</f>
        <v>1</v>
      </c>
      <c r="E69" s="367" t="str">
        <f>tblIndiSets!E59</f>
        <v xml:space="preserve">  3.3) Innovation ecosystem</v>
      </c>
      <c r="H69" s="367">
        <f t="shared" si="45"/>
        <v>62</v>
      </c>
      <c r="I69" s="13" t="str">
        <f t="shared" ca="1" si="46"/>
        <v>9</v>
      </c>
      <c r="J69" s="13">
        <f t="shared" ca="1" si="47"/>
        <v>1</v>
      </c>
      <c r="K69" s="367">
        <f t="shared" si="4"/>
        <v>49.1</v>
      </c>
      <c r="L69" s="13" t="str">
        <f t="shared" ca="1" si="48"/>
        <v>18</v>
      </c>
      <c r="M69" s="13">
        <f t="shared" ca="1" si="49"/>
        <v>1</v>
      </c>
      <c r="N69" s="367">
        <f t="shared" ca="1" si="50"/>
        <v>49.1</v>
      </c>
      <c r="O69" s="13"/>
      <c r="P69" s="13"/>
      <c r="R69" s="13"/>
      <c r="S69" s="13"/>
      <c r="U69" s="13"/>
      <c r="V69" s="13"/>
      <c r="X69" s="13"/>
      <c r="Y69" s="13"/>
      <c r="AA69" s="367" t="e">
        <f t="shared" ca="1" si="51"/>
        <v>#N/A</v>
      </c>
      <c r="AB69" s="367">
        <f ca="1">IF(ISNA(AA69),0,IF(uxb_works!$B$130=1,IF(ISEVEN(LEFT(TRIM(AD69),1)),2,1),INDEX($C$22:$C$91,AA69)))</f>
        <v>0</v>
      </c>
      <c r="AC69" s="367">
        <f t="shared" ca="1" si="52"/>
        <v>0</v>
      </c>
      <c r="AD69" s="367" t="str">
        <f t="shared" ca="1" si="53"/>
        <v/>
      </c>
      <c r="AE69" s="127" t="str">
        <f t="shared" ca="1" si="54"/>
        <v/>
      </c>
      <c r="AF69" s="127" t="str">
        <f t="shared" ca="1" si="54"/>
        <v/>
      </c>
      <c r="AH69" s="127" t="str">
        <f t="shared" ca="1" si="55"/>
        <v/>
      </c>
      <c r="AI69" s="127" t="str">
        <f t="shared" ca="1" si="55"/>
        <v/>
      </c>
      <c r="AK69" s="127" t="str">
        <f t="shared" ca="1" si="56"/>
        <v/>
      </c>
      <c r="AL69" s="127" t="str">
        <f t="shared" ca="1" si="56"/>
        <v/>
      </c>
      <c r="AN69" s="127" t="str">
        <f t="shared" ca="1" si="57"/>
        <v/>
      </c>
      <c r="AO69" s="127" t="str">
        <f t="shared" ca="1" si="57"/>
        <v/>
      </c>
      <c r="AQ69" s="127" t="str">
        <f t="shared" ca="1" si="58"/>
        <v/>
      </c>
      <c r="AR69" s="127" t="str">
        <f t="shared" ca="1" si="58"/>
        <v/>
      </c>
      <c r="AT69" s="127" t="str">
        <f t="shared" ca="1" si="59"/>
        <v/>
      </c>
      <c r="AU69" s="127" t="str">
        <f t="shared" ca="1" si="59"/>
        <v/>
      </c>
    </row>
    <row r="70" spans="1:47">
      <c r="A70" s="367">
        <f>IF(ISEVEN(tblIndicators!C50),1,2)</f>
        <v>2</v>
      </c>
      <c r="B70" s="367">
        <f>tblIndiSets!B60</f>
        <v>49</v>
      </c>
      <c r="C70" s="367">
        <f>tblIndiSets!D60</f>
        <v>3</v>
      </c>
      <c r="D70" s="367">
        <f>tblCategories!AE53</f>
        <v>0</v>
      </c>
      <c r="E70" s="367" t="str">
        <f>tblIndiSets!E60</f>
        <v xml:space="preserve">   3.3.1) AI readiness of government</v>
      </c>
      <c r="H70" s="367">
        <f t="shared" si="45"/>
        <v>76.099999999999994</v>
      </c>
      <c r="I70" s="13" t="str">
        <f t="shared" ca="1" si="46"/>
        <v>10</v>
      </c>
      <c r="J70" s="13">
        <f t="shared" ca="1" si="47"/>
        <v>1</v>
      </c>
      <c r="K70" s="367">
        <f t="shared" si="4"/>
        <v>59.2</v>
      </c>
      <c r="L70" s="13" t="str">
        <f t="shared" ca="1" si="48"/>
        <v>19</v>
      </c>
      <c r="M70" s="13">
        <f t="shared" ca="1" si="49"/>
        <v>1</v>
      </c>
      <c r="N70" s="367">
        <f t="shared" ca="1" si="50"/>
        <v>59.8</v>
      </c>
      <c r="O70" s="13"/>
      <c r="P70" s="13"/>
      <c r="R70" s="13"/>
      <c r="S70" s="13"/>
      <c r="U70" s="13"/>
      <c r="V70" s="13"/>
      <c r="X70" s="13"/>
      <c r="Y70" s="13"/>
      <c r="AA70" s="367" t="e">
        <f t="shared" ca="1" si="51"/>
        <v>#N/A</v>
      </c>
      <c r="AB70" s="367">
        <f ca="1">IF(ISNA(AA70),0,IF(uxb_works!$B$130=1,IF(ISEVEN(LEFT(TRIM(AD70),1)),2,1),INDEX($C$22:$C$91,AA70)))</f>
        <v>0</v>
      </c>
      <c r="AC70" s="367">
        <f t="shared" ca="1" si="52"/>
        <v>0</v>
      </c>
      <c r="AD70" s="367" t="str">
        <f t="shared" ca="1" si="53"/>
        <v/>
      </c>
      <c r="AE70" s="127" t="str">
        <f t="shared" ca="1" si="54"/>
        <v/>
      </c>
      <c r="AF70" s="127" t="str">
        <f t="shared" ca="1" si="54"/>
        <v/>
      </c>
      <c r="AH70" s="127" t="str">
        <f t="shared" ca="1" si="55"/>
        <v/>
      </c>
      <c r="AI70" s="127" t="str">
        <f t="shared" ca="1" si="55"/>
        <v/>
      </c>
      <c r="AK70" s="127" t="str">
        <f t="shared" ca="1" si="56"/>
        <v/>
      </c>
      <c r="AL70" s="127" t="str">
        <f t="shared" ca="1" si="56"/>
        <v/>
      </c>
      <c r="AN70" s="127" t="str">
        <f t="shared" ca="1" si="57"/>
        <v/>
      </c>
      <c r="AO70" s="127" t="str">
        <f t="shared" ca="1" si="57"/>
        <v/>
      </c>
      <c r="AQ70" s="127" t="str">
        <f t="shared" ca="1" si="58"/>
        <v/>
      </c>
      <c r="AR70" s="127" t="str">
        <f t="shared" ca="1" si="58"/>
        <v/>
      </c>
      <c r="AT70" s="127" t="str">
        <f t="shared" ca="1" si="59"/>
        <v/>
      </c>
      <c r="AU70" s="127" t="str">
        <f t="shared" ca="1" si="59"/>
        <v/>
      </c>
    </row>
    <row r="71" spans="1:47">
      <c r="A71" s="367">
        <f>IF(ISEVEN(tblIndicators!C51),1,2)</f>
        <v>2</v>
      </c>
      <c r="B71" s="367">
        <f>tblIndiSets!B61</f>
        <v>50</v>
      </c>
      <c r="C71" s="367">
        <f>tblIndiSets!D61</f>
        <v>3</v>
      </c>
      <c r="D71" s="367">
        <f>tblCategories!AE54</f>
        <v>0</v>
      </c>
      <c r="E71" s="367" t="str">
        <f>tblIndiSets!E61</f>
        <v xml:space="preserve">   3.3.2) Blockchain technology strategy</v>
      </c>
      <c r="H71" s="367">
        <f t="shared" si="45"/>
        <v>33.299999999999997</v>
      </c>
      <c r="I71" s="13" t="str">
        <f t="shared" ca="1" si="46"/>
        <v>=12</v>
      </c>
      <c r="J71" s="13">
        <f t="shared" ca="1" si="47"/>
        <v>4</v>
      </c>
      <c r="K71" s="367">
        <f t="shared" si="4"/>
        <v>0</v>
      </c>
      <c r="L71" s="13" t="str">
        <f t="shared" ca="1" si="48"/>
        <v>=16</v>
      </c>
      <c r="M71" s="13">
        <f t="shared" ca="1" si="49"/>
        <v>15</v>
      </c>
      <c r="N71" s="367">
        <f t="shared" ca="1" si="50"/>
        <v>35.6</v>
      </c>
      <c r="O71" s="13"/>
      <c r="P71" s="13"/>
      <c r="R71" s="13"/>
      <c r="S71" s="13"/>
      <c r="U71" s="13"/>
      <c r="V71" s="13"/>
      <c r="X71" s="13"/>
      <c r="Y71" s="13"/>
      <c r="AA71" s="367" t="e">
        <f t="shared" ca="1" si="51"/>
        <v>#N/A</v>
      </c>
      <c r="AB71" s="367">
        <f ca="1">IF(ISNA(AA71),0,IF(uxb_works!$B$130=1,IF(ISEVEN(LEFT(TRIM(AD71),1)),2,1),INDEX($C$22:$C$91,AA71)))</f>
        <v>0</v>
      </c>
      <c r="AC71" s="367">
        <f t="shared" ca="1" si="52"/>
        <v>0</v>
      </c>
      <c r="AD71" s="367" t="str">
        <f t="shared" ca="1" si="53"/>
        <v/>
      </c>
      <c r="AE71" s="127" t="str">
        <f t="shared" ca="1" si="54"/>
        <v/>
      </c>
      <c r="AF71" s="127" t="str">
        <f t="shared" ca="1" si="54"/>
        <v/>
      </c>
      <c r="AH71" s="127" t="str">
        <f t="shared" ca="1" si="55"/>
        <v/>
      </c>
      <c r="AI71" s="127" t="str">
        <f t="shared" ca="1" si="55"/>
        <v/>
      </c>
      <c r="AK71" s="127" t="str">
        <f t="shared" ca="1" si="56"/>
        <v/>
      </c>
      <c r="AL71" s="127" t="str">
        <f t="shared" ca="1" si="56"/>
        <v/>
      </c>
      <c r="AN71" s="127" t="str">
        <f t="shared" ca="1" si="57"/>
        <v/>
      </c>
      <c r="AO71" s="127" t="str">
        <f t="shared" ca="1" si="57"/>
        <v/>
      </c>
      <c r="AQ71" s="127" t="str">
        <f t="shared" ca="1" si="58"/>
        <v/>
      </c>
      <c r="AR71" s="127" t="str">
        <f t="shared" ca="1" si="58"/>
        <v/>
      </c>
      <c r="AT71" s="127" t="str">
        <f t="shared" ca="1" si="59"/>
        <v/>
      </c>
      <c r="AU71" s="127" t="str">
        <f t="shared" ca="1" si="59"/>
        <v/>
      </c>
    </row>
    <row r="72" spans="1:47">
      <c r="A72" s="367">
        <f>IF(ISEVEN(tblIndicators!C52),1,2)</f>
        <v>2</v>
      </c>
      <c r="B72" s="367">
        <f>tblIndiSets!B62</f>
        <v>51</v>
      </c>
      <c r="C72" s="367">
        <f>tblIndiSets!D62</f>
        <v>3</v>
      </c>
      <c r="D72" s="367">
        <f>tblCategories!AE55</f>
        <v>0</v>
      </c>
      <c r="E72" s="367" t="str">
        <f>tblIndiSets!E62</f>
        <v xml:space="preserve">   3.3.3) Tech startup ecosytem</v>
      </c>
      <c r="H72" s="367">
        <f t="shared" si="45"/>
        <v>8.6</v>
      </c>
      <c r="I72" s="13" t="str">
        <f t="shared" ca="1" si="46"/>
        <v>16</v>
      </c>
      <c r="J72" s="13">
        <f t="shared" ca="1" si="47"/>
        <v>1</v>
      </c>
      <c r="K72" s="367">
        <f t="shared" si="4"/>
        <v>0.3</v>
      </c>
      <c r="L72" s="13" t="str">
        <f t="shared" ca="1" si="48"/>
        <v>29</v>
      </c>
      <c r="M72" s="13">
        <f t="shared" ca="1" si="49"/>
        <v>1</v>
      </c>
      <c r="N72" s="367">
        <f t="shared" ca="1" si="50"/>
        <v>13.9</v>
      </c>
      <c r="O72" s="13"/>
      <c r="P72" s="13"/>
      <c r="R72" s="13"/>
      <c r="S72" s="13"/>
      <c r="U72" s="13"/>
      <c r="V72" s="13"/>
      <c r="X72" s="13"/>
      <c r="Y72" s="13"/>
      <c r="AA72" s="367" t="e">
        <f t="shared" ca="1" si="51"/>
        <v>#N/A</v>
      </c>
      <c r="AB72" s="367">
        <f ca="1">IF(ISNA(AA72),0,IF(uxb_works!$B$130=1,IF(ISEVEN(LEFT(TRIM(AD72),1)),2,1),INDEX($C$22:$C$91,AA72)))</f>
        <v>0</v>
      </c>
      <c r="AC72" s="367">
        <f t="shared" ca="1" si="52"/>
        <v>0</v>
      </c>
      <c r="AD72" s="367" t="str">
        <f t="shared" ca="1" si="53"/>
        <v/>
      </c>
      <c r="AE72" s="127" t="str">
        <f t="shared" ca="1" si="54"/>
        <v/>
      </c>
      <c r="AF72" s="127" t="str">
        <f t="shared" ca="1" si="54"/>
        <v/>
      </c>
      <c r="AH72" s="127" t="str">
        <f t="shared" ca="1" si="55"/>
        <v/>
      </c>
      <c r="AI72" s="127" t="str">
        <f t="shared" ca="1" si="55"/>
        <v/>
      </c>
      <c r="AK72" s="127" t="str">
        <f t="shared" ca="1" si="56"/>
        <v/>
      </c>
      <c r="AL72" s="127" t="str">
        <f t="shared" ca="1" si="56"/>
        <v/>
      </c>
      <c r="AN72" s="127" t="str">
        <f t="shared" ca="1" si="57"/>
        <v/>
      </c>
      <c r="AO72" s="127" t="str">
        <f t="shared" ca="1" si="57"/>
        <v/>
      </c>
      <c r="AQ72" s="127" t="str">
        <f t="shared" ca="1" si="58"/>
        <v/>
      </c>
      <c r="AR72" s="127" t="str">
        <f t="shared" ca="1" si="58"/>
        <v/>
      </c>
      <c r="AT72" s="127" t="str">
        <f t="shared" ca="1" si="59"/>
        <v/>
      </c>
      <c r="AU72" s="127" t="str">
        <f t="shared" ca="1" si="59"/>
        <v/>
      </c>
    </row>
    <row r="73" spans="1:47">
      <c r="A73" s="367">
        <f>IF(ISEVEN(tblIndicators!C53),1,2)</f>
        <v>2</v>
      </c>
      <c r="B73" s="367">
        <f>tblIndiSets!B63</f>
        <v>52</v>
      </c>
      <c r="C73" s="367">
        <f>tblIndiSets!D63</f>
        <v>3</v>
      </c>
      <c r="D73" s="367">
        <f>tblCategories!AE56</f>
        <v>0</v>
      </c>
      <c r="E73" s="367" t="str">
        <f>tblIndiSets!E63</f>
        <v xml:space="preserve">   3.3.4) Intellectual Property Rights</v>
      </c>
      <c r="H73" s="367">
        <f t="shared" si="45"/>
        <v>100</v>
      </c>
      <c r="I73" s="13" t="str">
        <f t="shared" ca="1" si="46"/>
        <v>=1</v>
      </c>
      <c r="J73" s="13">
        <f t="shared" ca="1" si="47"/>
        <v>13</v>
      </c>
      <c r="K73" s="367">
        <f t="shared" si="4"/>
        <v>75</v>
      </c>
      <c r="L73" s="13" t="str">
        <f t="shared" ca="1" si="48"/>
        <v>=14</v>
      </c>
      <c r="M73" s="13">
        <f t="shared" ca="1" si="49"/>
        <v>7</v>
      </c>
      <c r="N73" s="367">
        <f t="shared" ca="1" si="50"/>
        <v>72.5</v>
      </c>
      <c r="O73" s="13"/>
      <c r="P73" s="13"/>
      <c r="R73" s="13"/>
      <c r="S73" s="13"/>
      <c r="U73" s="13"/>
      <c r="V73" s="13"/>
      <c r="X73" s="13"/>
      <c r="Y73" s="13"/>
      <c r="AA73" s="367" t="e">
        <f t="shared" ca="1" si="51"/>
        <v>#N/A</v>
      </c>
      <c r="AB73" s="367">
        <f ca="1">IF(ISNA(AA73),0,IF(uxb_works!$B$130=1,IF(ISEVEN(LEFT(TRIM(AD73),1)),2,1),INDEX($C$22:$C$91,AA73)))</f>
        <v>0</v>
      </c>
      <c r="AC73" s="367">
        <f t="shared" ca="1" si="52"/>
        <v>0</v>
      </c>
      <c r="AD73" s="367" t="str">
        <f t="shared" ca="1" si="53"/>
        <v/>
      </c>
      <c r="AE73" s="127" t="str">
        <f t="shared" ca="1" si="54"/>
        <v/>
      </c>
      <c r="AF73" s="127" t="str">
        <f t="shared" ca="1" si="54"/>
        <v/>
      </c>
      <c r="AH73" s="127" t="str">
        <f t="shared" ca="1" si="55"/>
        <v/>
      </c>
      <c r="AI73" s="127" t="str">
        <f t="shared" ca="1" si="55"/>
        <v/>
      </c>
      <c r="AK73" s="127" t="str">
        <f t="shared" ca="1" si="56"/>
        <v/>
      </c>
      <c r="AL73" s="127" t="str">
        <f t="shared" ca="1" si="56"/>
        <v/>
      </c>
      <c r="AN73" s="127" t="str">
        <f t="shared" ca="1" si="57"/>
        <v/>
      </c>
      <c r="AO73" s="127" t="str">
        <f t="shared" ca="1" si="57"/>
        <v/>
      </c>
      <c r="AQ73" s="127" t="str">
        <f t="shared" ca="1" si="58"/>
        <v/>
      </c>
      <c r="AR73" s="127" t="str">
        <f t="shared" ca="1" si="58"/>
        <v/>
      </c>
      <c r="AT73" s="127" t="str">
        <f t="shared" ca="1" si="59"/>
        <v/>
      </c>
      <c r="AU73" s="127" t="str">
        <f t="shared" ca="1" si="59"/>
        <v/>
      </c>
    </row>
    <row r="74" spans="1:47">
      <c r="A74" s="367">
        <f>IF(ISEVEN(tblIndicators!C54),1,2)</f>
        <v>2</v>
      </c>
      <c r="B74" s="367">
        <f>tblIndiSets!B64</f>
        <v>53</v>
      </c>
      <c r="C74" s="367">
        <f>tblIndiSets!D64</f>
        <v>3</v>
      </c>
      <c r="D74" s="367">
        <f>tblCategories!AE57</f>
        <v>0</v>
      </c>
      <c r="E74" s="367" t="str">
        <f>tblIndiSets!E64</f>
        <v xml:space="preserve">   3.3.5) Business environment</v>
      </c>
      <c r="H74" s="367">
        <f t="shared" si="45"/>
        <v>88.9</v>
      </c>
      <c r="I74" s="13" t="str">
        <f t="shared" ca="1" si="46"/>
        <v>=7</v>
      </c>
      <c r="J74" s="13">
        <f t="shared" ca="1" si="47"/>
        <v>2</v>
      </c>
      <c r="K74" s="367">
        <f t="shared" si="4"/>
        <v>96.2</v>
      </c>
      <c r="L74" s="13" t="str">
        <f t="shared" ca="1" si="48"/>
        <v>=4</v>
      </c>
      <c r="M74" s="13">
        <f t="shared" ca="1" si="49"/>
        <v>3</v>
      </c>
      <c r="N74" s="367">
        <f t="shared" ca="1" si="50"/>
        <v>63.8</v>
      </c>
      <c r="O74" s="13"/>
      <c r="P74" s="13"/>
      <c r="R74" s="13"/>
      <c r="S74" s="13"/>
      <c r="U74" s="13"/>
      <c r="V74" s="13"/>
      <c r="X74" s="13"/>
      <c r="Y74" s="13"/>
      <c r="AA74" s="367" t="e">
        <f t="shared" ca="1" si="51"/>
        <v>#N/A</v>
      </c>
      <c r="AB74" s="367">
        <f ca="1">IF(ISNA(AA74),0,IF(uxb_works!$B$130=1,IF(ISEVEN(LEFT(TRIM(AD74),1)),2,1),INDEX($C$22:$C$91,AA74)))</f>
        <v>0</v>
      </c>
      <c r="AC74" s="367">
        <f t="shared" ca="1" si="52"/>
        <v>0</v>
      </c>
      <c r="AD74" s="367" t="str">
        <f t="shared" ca="1" si="53"/>
        <v/>
      </c>
      <c r="AE74" s="127" t="str">
        <f t="shared" ca="1" si="54"/>
        <v/>
      </c>
      <c r="AF74" s="127" t="str">
        <f t="shared" ca="1" si="54"/>
        <v/>
      </c>
      <c r="AH74" s="127" t="str">
        <f t="shared" ca="1" si="55"/>
        <v/>
      </c>
      <c r="AI74" s="127" t="str">
        <f t="shared" ca="1" si="55"/>
        <v/>
      </c>
      <c r="AK74" s="127" t="str">
        <f t="shared" ca="1" si="56"/>
        <v/>
      </c>
      <c r="AL74" s="127" t="str">
        <f t="shared" ca="1" si="56"/>
        <v/>
      </c>
      <c r="AN74" s="127" t="str">
        <f t="shared" ca="1" si="57"/>
        <v/>
      </c>
      <c r="AO74" s="127" t="str">
        <f t="shared" ca="1" si="57"/>
        <v/>
      </c>
      <c r="AQ74" s="127" t="str">
        <f t="shared" ca="1" si="58"/>
        <v/>
      </c>
      <c r="AR74" s="127" t="str">
        <f t="shared" ca="1" si="58"/>
        <v/>
      </c>
      <c r="AT74" s="127" t="str">
        <f t="shared" ca="1" si="59"/>
        <v/>
      </c>
      <c r="AU74" s="127" t="str">
        <f t="shared" ca="1" si="59"/>
        <v/>
      </c>
    </row>
    <row r="75" spans="1:47">
      <c r="A75" s="367">
        <f>IF(ISEVEN(tblIndicators!C55),1,2)</f>
        <v>2</v>
      </c>
      <c r="B75" s="367">
        <f>tblIndiSets!B65</f>
        <v>54</v>
      </c>
      <c r="C75" s="367">
        <f>tblIndiSets!D65</f>
        <v>2</v>
      </c>
      <c r="D75" s="367">
        <f>tblCategories!AE58</f>
        <v>1</v>
      </c>
      <c r="E75" s="367" t="str">
        <f>tblIndiSets!E65</f>
        <v xml:space="preserve">  3.4) Public attitude and engagement</v>
      </c>
      <c r="H75" s="367">
        <f t="shared" si="45"/>
        <v>35.1</v>
      </c>
      <c r="I75" s="13" t="str">
        <f t="shared" ca="1" si="46"/>
        <v>20</v>
      </c>
      <c r="J75" s="13">
        <f t="shared" ca="1" si="47"/>
        <v>1</v>
      </c>
      <c r="K75" s="367">
        <f t="shared" si="4"/>
        <v>70.8</v>
      </c>
      <c r="L75" s="13" t="str">
        <f t="shared" ca="1" si="48"/>
        <v>5</v>
      </c>
      <c r="M75" s="13">
        <f t="shared" ca="1" si="49"/>
        <v>1</v>
      </c>
      <c r="N75" s="367">
        <f t="shared" ca="1" si="50"/>
        <v>44.9</v>
      </c>
      <c r="O75" s="13"/>
      <c r="P75" s="13"/>
      <c r="R75" s="13"/>
      <c r="S75" s="13"/>
      <c r="U75" s="13"/>
      <c r="V75" s="13"/>
      <c r="X75" s="13"/>
      <c r="Y75" s="13"/>
      <c r="AA75" s="367" t="e">
        <f t="shared" ca="1" si="51"/>
        <v>#N/A</v>
      </c>
      <c r="AB75" s="367">
        <f ca="1">IF(ISNA(AA75),0,IF(uxb_works!$B$130=1,IF(ISEVEN(LEFT(TRIM(AD75),1)),2,1),INDEX($C$22:$C$91,AA75)))</f>
        <v>0</v>
      </c>
      <c r="AC75" s="367">
        <f t="shared" ca="1" si="52"/>
        <v>0</v>
      </c>
      <c r="AD75" s="367" t="str">
        <f t="shared" ca="1" si="53"/>
        <v/>
      </c>
      <c r="AE75" s="127" t="str">
        <f t="shared" ca="1" si="54"/>
        <v/>
      </c>
      <c r="AF75" s="127" t="str">
        <f t="shared" ca="1" si="54"/>
        <v/>
      </c>
      <c r="AH75" s="127" t="str">
        <f t="shared" ca="1" si="55"/>
        <v/>
      </c>
      <c r="AI75" s="127" t="str">
        <f t="shared" ca="1" si="55"/>
        <v/>
      </c>
      <c r="AK75" s="127" t="str">
        <f t="shared" ca="1" si="56"/>
        <v/>
      </c>
      <c r="AL75" s="127" t="str">
        <f t="shared" ca="1" si="56"/>
        <v/>
      </c>
      <c r="AN75" s="127" t="str">
        <f t="shared" ca="1" si="57"/>
        <v/>
      </c>
      <c r="AO75" s="127" t="str">
        <f t="shared" ca="1" si="57"/>
        <v/>
      </c>
      <c r="AQ75" s="127" t="str">
        <f t="shared" ca="1" si="58"/>
        <v/>
      </c>
      <c r="AR75" s="127" t="str">
        <f t="shared" ca="1" si="58"/>
        <v/>
      </c>
      <c r="AT75" s="127" t="str">
        <f t="shared" ca="1" si="59"/>
        <v/>
      </c>
      <c r="AU75" s="127" t="str">
        <f t="shared" ca="1" si="59"/>
        <v/>
      </c>
    </row>
    <row r="76" spans="1:47">
      <c r="A76" s="367">
        <f>IF(ISEVEN(tblIndicators!C56),1,2)</f>
        <v>2</v>
      </c>
      <c r="B76" s="367">
        <f>tblIndiSets!B66</f>
        <v>55</v>
      </c>
      <c r="C76" s="367">
        <f>tblIndiSets!D66</f>
        <v>3</v>
      </c>
      <c r="D76" s="367">
        <f>tblCategories!AE59</f>
        <v>0</v>
      </c>
      <c r="E76" s="367" t="str">
        <f>tblIndiSets!E66</f>
        <v xml:space="preserve">   3.4.1) Online public comfort</v>
      </c>
      <c r="H76" s="367">
        <f t="shared" si="45"/>
        <v>41.2</v>
      </c>
      <c r="I76" s="13" t="str">
        <f t="shared" ca="1" si="46"/>
        <v>=13</v>
      </c>
      <c r="J76" s="13">
        <f t="shared" ca="1" si="47"/>
        <v>12</v>
      </c>
      <c r="K76" s="367">
        <f t="shared" si="4"/>
        <v>100</v>
      </c>
      <c r="L76" s="13" t="str">
        <f t="shared" ca="1" si="48"/>
        <v>1</v>
      </c>
      <c r="M76" s="13">
        <f t="shared" ca="1" si="49"/>
        <v>1</v>
      </c>
      <c r="N76" s="367">
        <f t="shared" ca="1" si="50"/>
        <v>47.6</v>
      </c>
      <c r="O76" s="13"/>
      <c r="P76" s="13"/>
      <c r="R76" s="13"/>
      <c r="S76" s="13"/>
      <c r="U76" s="13"/>
      <c r="V76" s="13"/>
      <c r="X76" s="13"/>
      <c r="Y76" s="13"/>
      <c r="AA76" s="367" t="e">
        <f t="shared" ca="1" si="51"/>
        <v>#N/A</v>
      </c>
      <c r="AB76" s="367">
        <f ca="1">IF(ISNA(AA76),0,IF(uxb_works!$B$130=1,IF(ISEVEN(LEFT(TRIM(AD76),1)),2,1),INDEX($C$22:$C$91,AA76)))</f>
        <v>0</v>
      </c>
      <c r="AC76" s="367">
        <f t="shared" ca="1" si="52"/>
        <v>0</v>
      </c>
      <c r="AD76" s="367" t="str">
        <f t="shared" ca="1" si="53"/>
        <v/>
      </c>
      <c r="AE76" s="127" t="str">
        <f t="shared" ca="1" si="54"/>
        <v/>
      </c>
      <c r="AF76" s="127" t="str">
        <f t="shared" ca="1" si="54"/>
        <v/>
      </c>
      <c r="AH76" s="127" t="str">
        <f t="shared" ca="1" si="55"/>
        <v/>
      </c>
      <c r="AI76" s="127" t="str">
        <f t="shared" ca="1" si="55"/>
        <v/>
      </c>
      <c r="AK76" s="127" t="str">
        <f t="shared" ca="1" si="56"/>
        <v/>
      </c>
      <c r="AL76" s="127" t="str">
        <f t="shared" ca="1" si="56"/>
        <v/>
      </c>
      <c r="AN76" s="127" t="str">
        <f t="shared" ca="1" si="57"/>
        <v/>
      </c>
      <c r="AO76" s="127" t="str">
        <f t="shared" ca="1" si="57"/>
        <v/>
      </c>
      <c r="AQ76" s="127" t="str">
        <f t="shared" ca="1" si="58"/>
        <v/>
      </c>
      <c r="AR76" s="127" t="str">
        <f t="shared" ca="1" si="58"/>
        <v/>
      </c>
      <c r="AT76" s="127" t="str">
        <f t="shared" ca="1" si="59"/>
        <v/>
      </c>
      <c r="AU76" s="127" t="str">
        <f t="shared" ca="1" si="59"/>
        <v/>
      </c>
    </row>
    <row r="77" spans="1:47">
      <c r="A77" s="367">
        <f>IF(ISEVEN(tblIndicators!C57),1,2)</f>
        <v>2</v>
      </c>
      <c r="B77" s="367">
        <f>tblIndiSets!B67</f>
        <v>56</v>
      </c>
      <c r="C77" s="367">
        <f>tblIndiSets!D67</f>
        <v>3</v>
      </c>
      <c r="D77" s="367">
        <f>tblCategories!AE60</f>
        <v>0</v>
      </c>
      <c r="E77" s="367" t="str">
        <f>tblIndiSets!E67</f>
        <v xml:space="preserve">   3.4.2) E-participation on government portals</v>
      </c>
      <c r="H77" s="367">
        <f t="shared" si="45"/>
        <v>29.1</v>
      </c>
      <c r="I77" s="13" t="str">
        <f t="shared" ca="1" si="46"/>
        <v>=22</v>
      </c>
      <c r="J77" s="13">
        <f t="shared" ca="1" si="47"/>
        <v>2</v>
      </c>
      <c r="K77" s="367">
        <f t="shared" si="4"/>
        <v>41.5</v>
      </c>
      <c r="L77" s="13" t="str">
        <f t="shared" ca="1" si="48"/>
        <v>14</v>
      </c>
      <c r="M77" s="13">
        <f t="shared" ca="1" si="49"/>
        <v>1</v>
      </c>
      <c r="N77" s="367">
        <f t="shared" ca="1" si="50"/>
        <v>42.3</v>
      </c>
      <c r="O77" s="13"/>
      <c r="P77" s="13"/>
      <c r="R77" s="13"/>
      <c r="S77" s="13"/>
      <c r="U77" s="13"/>
      <c r="V77" s="13"/>
      <c r="X77" s="13"/>
      <c r="Y77" s="13"/>
      <c r="AA77" s="367" t="e">
        <f t="shared" ca="1" si="51"/>
        <v>#N/A</v>
      </c>
      <c r="AB77" s="367">
        <f ca="1">IF(ISNA(AA77),0,IF(uxb_works!$B$130=1,IF(ISEVEN(LEFT(TRIM(AD77),1)),2,1),INDEX($C$22:$C$91,AA77)))</f>
        <v>0</v>
      </c>
      <c r="AC77" s="367">
        <f t="shared" ca="1" si="52"/>
        <v>0</v>
      </c>
      <c r="AD77" s="367" t="str">
        <f t="shared" ca="1" si="53"/>
        <v/>
      </c>
      <c r="AE77" s="127" t="str">
        <f t="shared" ca="1" si="54"/>
        <v/>
      </c>
      <c r="AF77" s="127" t="str">
        <f t="shared" ca="1" si="54"/>
        <v/>
      </c>
      <c r="AH77" s="127" t="str">
        <f t="shared" ca="1" si="55"/>
        <v/>
      </c>
      <c r="AI77" s="127" t="str">
        <f t="shared" ca="1" si="55"/>
        <v/>
      </c>
      <c r="AK77" s="127" t="str">
        <f t="shared" ca="1" si="56"/>
        <v/>
      </c>
      <c r="AL77" s="127" t="str">
        <f t="shared" ca="1" si="56"/>
        <v/>
      </c>
      <c r="AN77" s="127" t="str">
        <f t="shared" ca="1" si="57"/>
        <v/>
      </c>
      <c r="AO77" s="127" t="str">
        <f t="shared" ca="1" si="57"/>
        <v/>
      </c>
      <c r="AQ77" s="127" t="str">
        <f t="shared" ca="1" si="58"/>
        <v/>
      </c>
      <c r="AR77" s="127" t="str">
        <f t="shared" ca="1" si="58"/>
        <v/>
      </c>
      <c r="AT77" s="127" t="str">
        <f t="shared" ca="1" si="59"/>
        <v/>
      </c>
      <c r="AU77" s="127" t="str">
        <f t="shared" ca="1" si="59"/>
        <v/>
      </c>
    </row>
    <row r="78" spans="1:47">
      <c r="A78" s="367">
        <f>IF(ISEVEN(tblIndicators!C58),1,2)</f>
        <v>1</v>
      </c>
      <c r="B78" s="367">
        <f>tblIndiSets!B68</f>
        <v>57</v>
      </c>
      <c r="C78" s="367">
        <f>tblIndiSets!D68</f>
        <v>1</v>
      </c>
      <c r="D78" s="367">
        <f>tblCategories!AE61</f>
        <v>1</v>
      </c>
      <c r="E78" s="367" t="str">
        <f>tblIndiSets!E68</f>
        <v xml:space="preserve"> 4) SUSTAINABILITY</v>
      </c>
      <c r="H78" s="367">
        <f t="shared" si="45"/>
        <v>85.4</v>
      </c>
      <c r="I78" s="13" t="str">
        <f t="shared" ca="1" si="46"/>
        <v>6</v>
      </c>
      <c r="J78" s="13">
        <f t="shared" ca="1" si="47"/>
        <v>1</v>
      </c>
      <c r="K78" s="367">
        <f t="shared" si="4"/>
        <v>68.099999999999994</v>
      </c>
      <c r="L78" s="13" t="str">
        <f t="shared" ca="1" si="48"/>
        <v>17</v>
      </c>
      <c r="M78" s="13">
        <f t="shared" ca="1" si="49"/>
        <v>1</v>
      </c>
      <c r="N78" s="367">
        <f t="shared" ca="1" si="50"/>
        <v>66.3</v>
      </c>
      <c r="O78" s="13"/>
      <c r="P78" s="13"/>
      <c r="R78" s="13"/>
      <c r="S78" s="13"/>
      <c r="U78" s="13"/>
      <c r="V78" s="13"/>
      <c r="X78" s="13"/>
      <c r="Y78" s="13"/>
      <c r="AA78" s="367" t="e">
        <f t="shared" ca="1" si="51"/>
        <v>#N/A</v>
      </c>
      <c r="AB78" s="367">
        <f ca="1">IF(ISNA(AA78),0,IF(uxb_works!$B$130=1,IF(ISEVEN(LEFT(TRIM(AD78),1)),2,1),INDEX($C$22:$C$91,AA78)))</f>
        <v>0</v>
      </c>
      <c r="AC78" s="367">
        <f t="shared" ca="1" si="52"/>
        <v>0</v>
      </c>
      <c r="AD78" s="367" t="str">
        <f t="shared" ca="1" si="53"/>
        <v/>
      </c>
      <c r="AE78" s="127" t="str">
        <f t="shared" ca="1" si="54"/>
        <v/>
      </c>
      <c r="AF78" s="127" t="str">
        <f t="shared" ca="1" si="54"/>
        <v/>
      </c>
      <c r="AH78" s="127" t="str">
        <f t="shared" ca="1" si="55"/>
        <v/>
      </c>
      <c r="AI78" s="127" t="str">
        <f t="shared" ca="1" si="55"/>
        <v/>
      </c>
      <c r="AK78" s="127" t="str">
        <f t="shared" ca="1" si="56"/>
        <v/>
      </c>
      <c r="AL78" s="127" t="str">
        <f t="shared" ca="1" si="56"/>
        <v/>
      </c>
      <c r="AN78" s="127" t="str">
        <f t="shared" ca="1" si="57"/>
        <v/>
      </c>
      <c r="AO78" s="127" t="str">
        <f t="shared" ca="1" si="57"/>
        <v/>
      </c>
      <c r="AQ78" s="127" t="str">
        <f t="shared" ca="1" si="58"/>
        <v/>
      </c>
      <c r="AR78" s="127" t="str">
        <f t="shared" ca="1" si="58"/>
        <v/>
      </c>
      <c r="AT78" s="127" t="str">
        <f t="shared" ca="1" si="59"/>
        <v/>
      </c>
      <c r="AU78" s="127" t="str">
        <f t="shared" ca="1" si="59"/>
        <v/>
      </c>
    </row>
    <row r="79" spans="1:47">
      <c r="A79" s="367">
        <f>IF(ISEVEN(tblIndicators!C59),1,2)</f>
        <v>1</v>
      </c>
      <c r="B79" s="367">
        <f>tblIndiSets!B69</f>
        <v>58</v>
      </c>
      <c r="C79" s="367">
        <f>tblIndiSets!D69</f>
        <v>2</v>
      </c>
      <c r="D79" s="367">
        <f>tblCategories!AE62</f>
        <v>1</v>
      </c>
      <c r="E79" s="367" t="str">
        <f>tblIndiSets!E69</f>
        <v xml:space="preserve">  4.1) Efficient resource management</v>
      </c>
      <c r="H79" s="367">
        <f t="shared" si="45"/>
        <v>87.5</v>
      </c>
      <c r="I79" s="13" t="str">
        <f t="shared" ca="1" si="46"/>
        <v>=11</v>
      </c>
      <c r="J79" s="13">
        <f t="shared" ca="1" si="47"/>
        <v>7</v>
      </c>
      <c r="K79" s="367">
        <f t="shared" si="4"/>
        <v>87.5</v>
      </c>
      <c r="L79" s="13" t="str">
        <f t="shared" ca="1" si="48"/>
        <v>=11</v>
      </c>
      <c r="M79" s="13">
        <f t="shared" ca="1" si="49"/>
        <v>7</v>
      </c>
      <c r="N79" s="367">
        <f t="shared" ca="1" si="50"/>
        <v>76</v>
      </c>
      <c r="O79" s="13"/>
      <c r="P79" s="13"/>
      <c r="R79" s="13"/>
      <c r="S79" s="13"/>
      <c r="U79" s="13"/>
      <c r="V79" s="13"/>
      <c r="X79" s="13"/>
      <c r="Y79" s="13"/>
      <c r="AA79" s="367" t="e">
        <f t="shared" ca="1" si="51"/>
        <v>#N/A</v>
      </c>
      <c r="AB79" s="367">
        <f ca="1">IF(ISNA(AA79),0,IF(uxb_works!$B$130=1,IF(ISEVEN(LEFT(TRIM(AD79),1)),2,1),INDEX($C$22:$C$91,AA79)))</f>
        <v>0</v>
      </c>
      <c r="AC79" s="367">
        <f t="shared" ca="1" si="52"/>
        <v>0</v>
      </c>
      <c r="AD79" s="367" t="str">
        <f t="shared" ca="1" si="53"/>
        <v/>
      </c>
      <c r="AE79" s="127" t="str">
        <f t="shared" ca="1" si="54"/>
        <v/>
      </c>
      <c r="AF79" s="127" t="str">
        <f t="shared" ca="1" si="54"/>
        <v/>
      </c>
      <c r="AH79" s="127" t="str">
        <f t="shared" ca="1" si="55"/>
        <v/>
      </c>
      <c r="AI79" s="127" t="str">
        <f t="shared" ca="1" si="55"/>
        <v/>
      </c>
      <c r="AK79" s="127" t="str">
        <f t="shared" ca="1" si="56"/>
        <v/>
      </c>
      <c r="AL79" s="127" t="str">
        <f t="shared" ca="1" si="56"/>
        <v/>
      </c>
      <c r="AN79" s="127" t="str">
        <f t="shared" ca="1" si="57"/>
        <v/>
      </c>
      <c r="AO79" s="127" t="str">
        <f t="shared" ca="1" si="57"/>
        <v/>
      </c>
      <c r="AQ79" s="127" t="str">
        <f t="shared" ca="1" si="58"/>
        <v/>
      </c>
      <c r="AR79" s="127" t="str">
        <f t="shared" ca="1" si="58"/>
        <v/>
      </c>
      <c r="AT79" s="127" t="str">
        <f t="shared" ca="1" si="59"/>
        <v/>
      </c>
      <c r="AU79" s="127" t="str">
        <f t="shared" ca="1" si="59"/>
        <v/>
      </c>
    </row>
    <row r="80" spans="1:47">
      <c r="A80" s="367">
        <f>IF(ISEVEN(tblIndicators!C60),1,2)</f>
        <v>1</v>
      </c>
      <c r="B80" s="367">
        <f>tblIndiSets!B70</f>
        <v>59</v>
      </c>
      <c r="C80" s="367">
        <f>tblIndiSets!D70</f>
        <v>3</v>
      </c>
      <c r="D80" s="367">
        <f>tblCategories!AE63</f>
        <v>0</v>
      </c>
      <c r="E80" s="367" t="str">
        <f>tblIndiSets!E70</f>
        <v xml:space="preserve">   4.1.1) Smart utility management</v>
      </c>
      <c r="H80" s="367">
        <f t="shared" si="45"/>
        <v>75</v>
      </c>
      <c r="I80" s="13" t="str">
        <f t="shared" ca="1" si="46"/>
        <v>=11</v>
      </c>
      <c r="J80" s="13">
        <f t="shared" ca="1" si="47"/>
        <v>12</v>
      </c>
      <c r="K80" s="367">
        <f t="shared" si="4"/>
        <v>75</v>
      </c>
      <c r="L80" s="13" t="str">
        <f t="shared" ca="1" si="48"/>
        <v>=11</v>
      </c>
      <c r="M80" s="13">
        <f t="shared" ca="1" si="49"/>
        <v>12</v>
      </c>
      <c r="N80" s="367">
        <f t="shared" ca="1" si="50"/>
        <v>73.3</v>
      </c>
      <c r="O80" s="13"/>
      <c r="P80" s="13"/>
      <c r="R80" s="13"/>
      <c r="S80" s="13"/>
      <c r="U80" s="13"/>
      <c r="V80" s="13"/>
      <c r="X80" s="13"/>
      <c r="Y80" s="13"/>
      <c r="AA80" s="367" t="e">
        <f t="shared" ca="1" si="51"/>
        <v>#N/A</v>
      </c>
      <c r="AB80" s="367">
        <f ca="1">IF(ISNA(AA80),0,IF(uxb_works!$B$130=1,IF(ISEVEN(LEFT(TRIM(AD80),1)),2,1),INDEX($C$22:$C$91,AA80)))</f>
        <v>0</v>
      </c>
      <c r="AC80" s="367">
        <f t="shared" ca="1" si="52"/>
        <v>0</v>
      </c>
      <c r="AD80" s="367" t="str">
        <f t="shared" ca="1" si="53"/>
        <v/>
      </c>
      <c r="AE80" s="127" t="str">
        <f t="shared" ca="1" si="54"/>
        <v/>
      </c>
      <c r="AF80" s="127" t="str">
        <f t="shared" ca="1" si="54"/>
        <v/>
      </c>
      <c r="AH80" s="127" t="str">
        <f t="shared" ca="1" si="55"/>
        <v/>
      </c>
      <c r="AI80" s="127" t="str">
        <f t="shared" ca="1" si="55"/>
        <v/>
      </c>
      <c r="AK80" s="127" t="str">
        <f t="shared" ca="1" si="56"/>
        <v/>
      </c>
      <c r="AL80" s="127" t="str">
        <f t="shared" ca="1" si="56"/>
        <v/>
      </c>
      <c r="AN80" s="127" t="str">
        <f t="shared" ca="1" si="57"/>
        <v/>
      </c>
      <c r="AO80" s="127" t="str">
        <f t="shared" ca="1" si="57"/>
        <v/>
      </c>
      <c r="AQ80" s="127" t="str">
        <f t="shared" ca="1" si="58"/>
        <v/>
      </c>
      <c r="AR80" s="127" t="str">
        <f t="shared" ca="1" si="58"/>
        <v/>
      </c>
      <c r="AT80" s="127" t="str">
        <f t="shared" ca="1" si="59"/>
        <v/>
      </c>
      <c r="AU80" s="127" t="str">
        <f t="shared" ca="1" si="59"/>
        <v/>
      </c>
    </row>
    <row r="81" spans="1:47">
      <c r="A81" s="367">
        <f>IF(ISEVEN(tblIndicators!C61),1,2)</f>
        <v>1</v>
      </c>
      <c r="B81" s="367">
        <f>tblIndiSets!B71</f>
        <v>60</v>
      </c>
      <c r="C81" s="367">
        <f>tblIndiSets!D71</f>
        <v>3</v>
      </c>
      <c r="D81" s="367">
        <f>tblCategories!AE64</f>
        <v>0</v>
      </c>
      <c r="E81" s="367" t="str">
        <f>tblIndiSets!E71</f>
        <v xml:space="preserve">   4.1.2) Smart urban agriculture</v>
      </c>
      <c r="H81" s="367">
        <f t="shared" si="45"/>
        <v>100</v>
      </c>
      <c r="I81" s="13" t="str">
        <f t="shared" ca="1" si="46"/>
        <v>=1</v>
      </c>
      <c r="J81" s="13">
        <f t="shared" ca="1" si="47"/>
        <v>23</v>
      </c>
      <c r="K81" s="367">
        <f t="shared" si="4"/>
        <v>100</v>
      </c>
      <c r="L81" s="13" t="str">
        <f t="shared" ca="1" si="48"/>
        <v>=1</v>
      </c>
      <c r="M81" s="13">
        <f t="shared" ca="1" si="49"/>
        <v>23</v>
      </c>
      <c r="N81" s="367">
        <f t="shared" ca="1" si="50"/>
        <v>76.7</v>
      </c>
      <c r="O81" s="13"/>
      <c r="P81" s="13"/>
      <c r="R81" s="13"/>
      <c r="S81" s="13"/>
      <c r="U81" s="13"/>
      <c r="V81" s="13"/>
      <c r="X81" s="13"/>
      <c r="Y81" s="13"/>
      <c r="AA81" s="367" t="e">
        <f t="shared" ca="1" si="51"/>
        <v>#N/A</v>
      </c>
      <c r="AB81" s="367">
        <f ca="1">IF(ISNA(AA81),0,IF(uxb_works!$B$130=1,IF(ISEVEN(LEFT(TRIM(AD81),1)),2,1),INDEX($C$22:$C$91,AA81)))</f>
        <v>0</v>
      </c>
      <c r="AC81" s="367">
        <f t="shared" ca="1" si="52"/>
        <v>0</v>
      </c>
      <c r="AD81" s="367" t="str">
        <f t="shared" ca="1" si="53"/>
        <v/>
      </c>
      <c r="AE81" s="127" t="str">
        <f t="shared" ca="1" si="54"/>
        <v/>
      </c>
      <c r="AF81" s="127" t="str">
        <f t="shared" ca="1" si="54"/>
        <v/>
      </c>
      <c r="AH81" s="127" t="str">
        <f t="shared" ca="1" si="55"/>
        <v/>
      </c>
      <c r="AI81" s="127" t="str">
        <f t="shared" ca="1" si="55"/>
        <v/>
      </c>
      <c r="AK81" s="127" t="str">
        <f t="shared" ca="1" si="56"/>
        <v/>
      </c>
      <c r="AL81" s="127" t="str">
        <f t="shared" ca="1" si="56"/>
        <v/>
      </c>
      <c r="AN81" s="127" t="str">
        <f t="shared" ca="1" si="57"/>
        <v/>
      </c>
      <c r="AO81" s="127" t="str">
        <f t="shared" ca="1" si="57"/>
        <v/>
      </c>
      <c r="AQ81" s="127" t="str">
        <f t="shared" ca="1" si="58"/>
        <v/>
      </c>
      <c r="AR81" s="127" t="str">
        <f t="shared" ca="1" si="58"/>
        <v/>
      </c>
      <c r="AT81" s="127" t="str">
        <f t="shared" ca="1" si="59"/>
        <v/>
      </c>
      <c r="AU81" s="127" t="str">
        <f t="shared" ca="1" si="59"/>
        <v/>
      </c>
    </row>
    <row r="82" spans="1:47">
      <c r="A82" s="367">
        <f>IF(ISEVEN(tblIndicators!C62),1,2)</f>
        <v>1</v>
      </c>
      <c r="B82" s="367">
        <f>tblIndiSets!B72</f>
        <v>61</v>
      </c>
      <c r="C82" s="367">
        <f>tblIndiSets!D72</f>
        <v>3</v>
      </c>
      <c r="D82" s="367">
        <f>tblCategories!AE65</f>
        <v>0</v>
      </c>
      <c r="E82" s="367" t="str">
        <f>tblIndiSets!E72</f>
        <v xml:space="preserve">   4.1.3) Smart construction</v>
      </c>
      <c r="H82" s="367">
        <f t="shared" si="45"/>
        <v>100</v>
      </c>
      <c r="I82" s="13" t="str">
        <f t="shared" ca="1" si="46"/>
        <v>=1</v>
      </c>
      <c r="J82" s="13">
        <f t="shared" ca="1" si="47"/>
        <v>24</v>
      </c>
      <c r="K82" s="367">
        <f t="shared" si="4"/>
        <v>100</v>
      </c>
      <c r="L82" s="13" t="str">
        <f t="shared" ca="1" si="48"/>
        <v>=1</v>
      </c>
      <c r="M82" s="13">
        <f t="shared" ca="1" si="49"/>
        <v>24</v>
      </c>
      <c r="N82" s="367">
        <f t="shared" ca="1" si="50"/>
        <v>80</v>
      </c>
      <c r="O82" s="13"/>
      <c r="P82" s="13"/>
      <c r="R82" s="13"/>
      <c r="S82" s="13"/>
      <c r="U82" s="13"/>
      <c r="V82" s="13"/>
      <c r="X82" s="13"/>
      <c r="Y82" s="13"/>
      <c r="AA82" s="367" t="e">
        <f t="shared" ca="1" si="51"/>
        <v>#N/A</v>
      </c>
      <c r="AB82" s="367">
        <f ca="1">IF(ISNA(AA82),0,IF(uxb_works!$B$130=1,IF(ISEVEN(LEFT(TRIM(AD82),1)),2,1),INDEX($C$22:$C$91,AA82)))</f>
        <v>0</v>
      </c>
      <c r="AC82" s="367">
        <f t="shared" ca="1" si="52"/>
        <v>0</v>
      </c>
      <c r="AD82" s="367" t="str">
        <f t="shared" ca="1" si="53"/>
        <v/>
      </c>
      <c r="AE82" s="127" t="str">
        <f t="shared" ca="1" si="54"/>
        <v/>
      </c>
      <c r="AF82" s="127" t="str">
        <f t="shared" ca="1" si="54"/>
        <v/>
      </c>
      <c r="AH82" s="127" t="str">
        <f t="shared" ca="1" si="55"/>
        <v/>
      </c>
      <c r="AI82" s="127" t="str">
        <f t="shared" ca="1" si="55"/>
        <v/>
      </c>
      <c r="AK82" s="127" t="str">
        <f t="shared" ca="1" si="56"/>
        <v/>
      </c>
      <c r="AL82" s="127" t="str">
        <f t="shared" ca="1" si="56"/>
        <v/>
      </c>
      <c r="AN82" s="127" t="str">
        <f t="shared" ca="1" si="57"/>
        <v/>
      </c>
      <c r="AO82" s="127" t="str">
        <f t="shared" ca="1" si="57"/>
        <v/>
      </c>
      <c r="AQ82" s="127" t="str">
        <f t="shared" ca="1" si="58"/>
        <v/>
      </c>
      <c r="AR82" s="127" t="str">
        <f t="shared" ca="1" si="58"/>
        <v/>
      </c>
      <c r="AT82" s="127" t="str">
        <f t="shared" ca="1" si="59"/>
        <v/>
      </c>
      <c r="AU82" s="127" t="str">
        <f t="shared" ca="1" si="59"/>
        <v/>
      </c>
    </row>
    <row r="83" spans="1:47">
      <c r="A83" s="367">
        <f>IF(ISEVEN(tblIndicators!C63),1,2)</f>
        <v>1</v>
      </c>
      <c r="B83" s="367">
        <f>tblIndiSets!B73</f>
        <v>62</v>
      </c>
      <c r="C83" s="367">
        <f>tblIndiSets!D73</f>
        <v>2</v>
      </c>
      <c r="D83" s="367">
        <f>tblCategories!AE66</f>
        <v>1</v>
      </c>
      <c r="E83" s="367" t="str">
        <f>tblIndiSets!E73</f>
        <v xml:space="preserve">  4.2) Emissions reduction</v>
      </c>
      <c r="H83" s="367">
        <f t="shared" si="45"/>
        <v>100</v>
      </c>
      <c r="I83" s="13" t="str">
        <f t="shared" ca="1" si="46"/>
        <v>=1</v>
      </c>
      <c r="J83" s="13">
        <f t="shared" ca="1" si="47"/>
        <v>5</v>
      </c>
      <c r="K83" s="367">
        <f t="shared" si="4"/>
        <v>77.599999999999994</v>
      </c>
      <c r="L83" s="13" t="str">
        <f t="shared" ca="1" si="48"/>
        <v>=19</v>
      </c>
      <c r="M83" s="13">
        <f t="shared" ca="1" si="49"/>
        <v>3</v>
      </c>
      <c r="N83" s="367">
        <f t="shared" ca="1" si="50"/>
        <v>78</v>
      </c>
      <c r="O83" s="13"/>
      <c r="P83" s="13"/>
      <c r="R83" s="13"/>
      <c r="S83" s="13"/>
      <c r="U83" s="13"/>
      <c r="V83" s="13"/>
      <c r="X83" s="13"/>
      <c r="Y83" s="13"/>
      <c r="AA83" s="367" t="e">
        <f t="shared" ca="1" si="51"/>
        <v>#N/A</v>
      </c>
      <c r="AB83" s="367">
        <f ca="1">IF(ISNA(AA83),0,IF(uxb_works!$B$130=1,IF(ISEVEN(LEFT(TRIM(AD83),1)),2,1),INDEX($C$22:$C$91,AA83)))</f>
        <v>0</v>
      </c>
      <c r="AC83" s="367">
        <f t="shared" ca="1" si="52"/>
        <v>0</v>
      </c>
      <c r="AD83" s="367" t="str">
        <f t="shared" ca="1" si="53"/>
        <v/>
      </c>
      <c r="AE83" s="127" t="str">
        <f t="shared" ca="1" si="54"/>
        <v/>
      </c>
      <c r="AF83" s="127" t="str">
        <f t="shared" ca="1" si="54"/>
        <v/>
      </c>
      <c r="AH83" s="127" t="str">
        <f t="shared" ca="1" si="55"/>
        <v/>
      </c>
      <c r="AI83" s="127" t="str">
        <f t="shared" ca="1" si="55"/>
        <v/>
      </c>
      <c r="AK83" s="127" t="str">
        <f t="shared" ca="1" si="56"/>
        <v/>
      </c>
      <c r="AL83" s="127" t="str">
        <f t="shared" ca="1" si="56"/>
        <v/>
      </c>
      <c r="AN83" s="127" t="str">
        <f t="shared" ca="1" si="57"/>
        <v/>
      </c>
      <c r="AO83" s="127" t="str">
        <f t="shared" ca="1" si="57"/>
        <v/>
      </c>
      <c r="AQ83" s="127" t="str">
        <f t="shared" ca="1" si="58"/>
        <v/>
      </c>
      <c r="AR83" s="127" t="str">
        <f t="shared" ca="1" si="58"/>
        <v/>
      </c>
      <c r="AT83" s="127" t="str">
        <f t="shared" ca="1" si="59"/>
        <v/>
      </c>
      <c r="AU83" s="127" t="str">
        <f t="shared" ca="1" si="59"/>
        <v/>
      </c>
    </row>
    <row r="84" spans="1:47">
      <c r="A84" s="367">
        <f>IF(ISEVEN(tblIndicators!C64),1,2)</f>
        <v>1</v>
      </c>
      <c r="B84" s="367">
        <f>tblIndiSets!B74</f>
        <v>63</v>
      </c>
      <c r="C84" s="367">
        <f>tblIndiSets!D74</f>
        <v>3</v>
      </c>
      <c r="D84" s="367">
        <f>tblCategories!AE67</f>
        <v>0</v>
      </c>
      <c r="E84" s="367" t="str">
        <f>tblIndiSets!E74</f>
        <v xml:space="preserve">   4.2.1) Net-zero emission</v>
      </c>
      <c r="H84" s="367">
        <f t="shared" si="45"/>
        <v>100</v>
      </c>
      <c r="I84" s="13" t="str">
        <f t="shared" ca="1" si="46"/>
        <v>=1</v>
      </c>
      <c r="J84" s="13">
        <f t="shared" ca="1" si="47"/>
        <v>22</v>
      </c>
      <c r="K84" s="367">
        <f t="shared" si="4"/>
        <v>100</v>
      </c>
      <c r="L84" s="13" t="str">
        <f t="shared" ca="1" si="48"/>
        <v>=1</v>
      </c>
      <c r="M84" s="13">
        <f t="shared" ca="1" si="49"/>
        <v>22</v>
      </c>
      <c r="N84" s="367">
        <f t="shared" ca="1" si="50"/>
        <v>81.7</v>
      </c>
      <c r="O84" s="13"/>
      <c r="P84" s="13"/>
      <c r="R84" s="13"/>
      <c r="S84" s="13"/>
      <c r="U84" s="13"/>
      <c r="V84" s="13"/>
      <c r="X84" s="13"/>
      <c r="Y84" s="13"/>
      <c r="AA84" s="367" t="e">
        <f t="shared" ca="1" si="51"/>
        <v>#N/A</v>
      </c>
      <c r="AB84" s="367">
        <f ca="1">IF(ISNA(AA84),0,IF(uxb_works!$B$130=1,IF(ISEVEN(LEFT(TRIM(AD84),1)),2,1),INDEX($C$22:$C$91,AA84)))</f>
        <v>0</v>
      </c>
      <c r="AC84" s="367">
        <f t="shared" ca="1" si="52"/>
        <v>0</v>
      </c>
      <c r="AD84" s="367" t="str">
        <f t="shared" ca="1" si="53"/>
        <v/>
      </c>
      <c r="AE84" s="127" t="str">
        <f t="shared" ca="1" si="54"/>
        <v/>
      </c>
      <c r="AF84" s="127" t="str">
        <f t="shared" ca="1" si="54"/>
        <v/>
      </c>
      <c r="AH84" s="127" t="str">
        <f t="shared" ca="1" si="55"/>
        <v/>
      </c>
      <c r="AI84" s="127" t="str">
        <f t="shared" ca="1" si="55"/>
        <v/>
      </c>
      <c r="AK84" s="127" t="str">
        <f t="shared" ca="1" si="56"/>
        <v/>
      </c>
      <c r="AL84" s="127" t="str">
        <f t="shared" ca="1" si="56"/>
        <v/>
      </c>
      <c r="AN84" s="127" t="str">
        <f t="shared" ca="1" si="57"/>
        <v/>
      </c>
      <c r="AO84" s="127" t="str">
        <f t="shared" ca="1" si="57"/>
        <v/>
      </c>
      <c r="AQ84" s="127" t="str">
        <f t="shared" ca="1" si="58"/>
        <v/>
      </c>
      <c r="AR84" s="127" t="str">
        <f t="shared" ca="1" si="58"/>
        <v/>
      </c>
      <c r="AT84" s="127" t="str">
        <f t="shared" ca="1" si="59"/>
        <v/>
      </c>
      <c r="AU84" s="127" t="str">
        <f t="shared" ca="1" si="59"/>
        <v/>
      </c>
    </row>
    <row r="85" spans="1:47">
      <c r="A85" s="367">
        <f>IF(ISEVEN(tblIndicators!C65),1,2)</f>
        <v>1</v>
      </c>
      <c r="B85" s="367">
        <f>tblIndiSets!B75</f>
        <v>64</v>
      </c>
      <c r="C85" s="367">
        <f>tblIndiSets!D75</f>
        <v>3</v>
      </c>
      <c r="D85" s="367">
        <f>tblCategories!AE68</f>
        <v>0</v>
      </c>
      <c r="E85" s="367" t="str">
        <f>tblIndiSets!E75</f>
        <v xml:space="preserve">   4.2.2) Traffic management </v>
      </c>
      <c r="H85" s="367">
        <f t="shared" si="45"/>
        <v>100</v>
      </c>
      <c r="I85" s="13" t="str">
        <f t="shared" ca="1" si="46"/>
        <v>=1</v>
      </c>
      <c r="J85" s="13">
        <f t="shared" ca="1" si="47"/>
        <v>6</v>
      </c>
      <c r="K85" s="367">
        <f t="shared" si="4"/>
        <v>80</v>
      </c>
      <c r="L85" s="13" t="str">
        <f t="shared" ca="1" si="48"/>
        <v>=7</v>
      </c>
      <c r="M85" s="13">
        <f t="shared" ca="1" si="49"/>
        <v>15</v>
      </c>
      <c r="N85" s="367">
        <f t="shared" ca="1" si="50"/>
        <v>73.3</v>
      </c>
      <c r="O85" s="13"/>
      <c r="P85" s="13"/>
      <c r="R85" s="13"/>
      <c r="S85" s="13"/>
      <c r="U85" s="13"/>
      <c r="V85" s="13"/>
      <c r="X85" s="13"/>
      <c r="Y85" s="13"/>
      <c r="AA85" s="367" t="e">
        <f t="shared" ca="1" si="51"/>
        <v>#N/A</v>
      </c>
      <c r="AB85" s="367">
        <f ca="1">IF(ISNA(AA85),0,IF(uxb_works!$B$130=1,IF(ISEVEN(LEFT(TRIM(AD85),1)),2,1),INDEX($C$22:$C$91,AA85)))</f>
        <v>0</v>
      </c>
      <c r="AC85" s="367">
        <f t="shared" ca="1" si="52"/>
        <v>0</v>
      </c>
      <c r="AD85" s="367" t="str">
        <f t="shared" ca="1" si="53"/>
        <v/>
      </c>
      <c r="AE85" s="127" t="str">
        <f t="shared" ca="1" si="54"/>
        <v/>
      </c>
      <c r="AF85" s="127" t="str">
        <f t="shared" ca="1" si="54"/>
        <v/>
      </c>
      <c r="AH85" s="127" t="str">
        <f t="shared" ca="1" si="55"/>
        <v/>
      </c>
      <c r="AI85" s="127" t="str">
        <f t="shared" ca="1" si="55"/>
        <v/>
      </c>
      <c r="AK85" s="127" t="str">
        <f t="shared" ca="1" si="56"/>
        <v/>
      </c>
      <c r="AL85" s="127" t="str">
        <f t="shared" ca="1" si="56"/>
        <v/>
      </c>
      <c r="AN85" s="127" t="str">
        <f t="shared" ca="1" si="57"/>
        <v/>
      </c>
      <c r="AO85" s="127" t="str">
        <f t="shared" ca="1" si="57"/>
        <v/>
      </c>
      <c r="AQ85" s="127" t="str">
        <f t="shared" ca="1" si="58"/>
        <v/>
      </c>
      <c r="AR85" s="127" t="str">
        <f t="shared" ca="1" si="58"/>
        <v/>
      </c>
      <c r="AT85" s="127" t="str">
        <f t="shared" ca="1" si="59"/>
        <v/>
      </c>
      <c r="AU85" s="127" t="str">
        <f t="shared" ca="1" si="59"/>
        <v/>
      </c>
    </row>
    <row r="86" spans="1:47">
      <c r="A86" s="367">
        <f>IF(ISEVEN(tblIndicators!C66),1,2)</f>
        <v>1</v>
      </c>
      <c r="B86" s="367">
        <f>tblIndiSets!B76</f>
        <v>65</v>
      </c>
      <c r="C86" s="367">
        <f>tblIndiSets!D76</f>
        <v>3</v>
      </c>
      <c r="D86" s="367">
        <f>tblCategories!AE69</f>
        <v>0</v>
      </c>
      <c r="E86" s="367" t="str">
        <f>tblIndiSets!E76</f>
        <v xml:space="preserve">   4.2.3) Support for autonomous vehicles</v>
      </c>
      <c r="H86" s="367">
        <f t="shared" si="45"/>
        <v>100</v>
      </c>
      <c r="I86" s="13" t="str">
        <f t="shared" ca="1" si="46"/>
        <v>=1</v>
      </c>
      <c r="J86" s="13">
        <f t="shared" ca="1" si="47"/>
        <v>21</v>
      </c>
      <c r="K86" s="367">
        <f t="shared" si="4"/>
        <v>50</v>
      </c>
      <c r="L86" s="13" t="str">
        <f t="shared" ca="1" si="48"/>
        <v>=22</v>
      </c>
      <c r="M86" s="13">
        <f t="shared" ca="1" si="49"/>
        <v>6</v>
      </c>
      <c r="N86" s="367">
        <f t="shared" ca="1" si="50"/>
        <v>80</v>
      </c>
      <c r="O86" s="13"/>
      <c r="P86" s="13"/>
      <c r="R86" s="13"/>
      <c r="S86" s="13"/>
      <c r="U86" s="13"/>
      <c r="V86" s="13"/>
      <c r="X86" s="13"/>
      <c r="Y86" s="13"/>
      <c r="AA86" s="367" t="e">
        <f t="shared" ca="1" si="51"/>
        <v>#N/A</v>
      </c>
      <c r="AB86" s="367">
        <f ca="1">IF(ISNA(AA86),0,IF(uxb_works!$B$130=1,IF(ISEVEN(LEFT(TRIM(AD86),1)),2,1),INDEX($C$22:$C$91,AA86)))</f>
        <v>0</v>
      </c>
      <c r="AC86" s="367">
        <f t="shared" ca="1" si="52"/>
        <v>0</v>
      </c>
      <c r="AD86" s="367" t="str">
        <f t="shared" ca="1" si="53"/>
        <v/>
      </c>
      <c r="AE86" s="127" t="str">
        <f t="shared" ca="1" si="54"/>
        <v/>
      </c>
      <c r="AF86" s="127" t="str">
        <f t="shared" ca="1" si="54"/>
        <v/>
      </c>
      <c r="AH86" s="127" t="str">
        <f t="shared" ca="1" si="55"/>
        <v/>
      </c>
      <c r="AI86" s="127" t="str">
        <f t="shared" ca="1" si="55"/>
        <v/>
      </c>
      <c r="AK86" s="127" t="str">
        <f t="shared" ca="1" si="56"/>
        <v/>
      </c>
      <c r="AL86" s="127" t="str">
        <f t="shared" ca="1" si="56"/>
        <v/>
      </c>
      <c r="AN86" s="127" t="str">
        <f t="shared" ca="1" si="57"/>
        <v/>
      </c>
      <c r="AO86" s="127" t="str">
        <f t="shared" ca="1" si="57"/>
        <v/>
      </c>
      <c r="AQ86" s="127" t="str">
        <f t="shared" ca="1" si="58"/>
        <v/>
      </c>
      <c r="AR86" s="127" t="str">
        <f t="shared" ca="1" si="58"/>
        <v/>
      </c>
      <c r="AT86" s="127" t="str">
        <f t="shared" ca="1" si="59"/>
        <v/>
      </c>
      <c r="AU86" s="127" t="str">
        <f t="shared" ca="1" si="59"/>
        <v/>
      </c>
    </row>
    <row r="87" spans="1:47">
      <c r="A87" s="367">
        <f>IF(ISEVEN(tblIndicators!C67),1,2)</f>
        <v>1</v>
      </c>
      <c r="B87" s="367">
        <f>tblIndiSets!B77</f>
        <v>66</v>
      </c>
      <c r="C87" s="367">
        <f>tblIndiSets!D77</f>
        <v>2</v>
      </c>
      <c r="D87" s="367">
        <f>tblCategories!AE70</f>
        <v>1</v>
      </c>
      <c r="E87" s="367" t="str">
        <f>tblIndiSets!E77</f>
        <v xml:space="preserve">  4.3) Pollution</v>
      </c>
      <c r="H87" s="367">
        <f t="shared" si="45"/>
        <v>50</v>
      </c>
      <c r="I87" s="13" t="str">
        <f t="shared" ca="1" si="46"/>
        <v>=15</v>
      </c>
      <c r="J87" s="13">
        <f t="shared" ca="1" si="47"/>
        <v>13</v>
      </c>
      <c r="K87" s="367">
        <f t="shared" si="4"/>
        <v>100</v>
      </c>
      <c r="L87" s="13" t="str">
        <f t="shared" ca="1" si="48"/>
        <v>1</v>
      </c>
      <c r="M87" s="13">
        <f t="shared" ca="1" si="49"/>
        <v>1</v>
      </c>
      <c r="N87" s="367">
        <f t="shared" ca="1" si="50"/>
        <v>57.8</v>
      </c>
      <c r="O87" s="13"/>
      <c r="P87" s="13"/>
      <c r="R87" s="13"/>
      <c r="S87" s="13"/>
      <c r="U87" s="13"/>
      <c r="V87" s="13"/>
      <c r="X87" s="13"/>
      <c r="Y87" s="13"/>
      <c r="AA87" s="367" t="e">
        <f t="shared" ca="1" si="51"/>
        <v>#N/A</v>
      </c>
      <c r="AB87" s="367">
        <f ca="1">IF(ISNA(AA87),0,IF(uxb_works!$B$130=1,IF(ISEVEN(LEFT(TRIM(AD87),1)),2,1),INDEX($C$22:$C$91,AA87)))</f>
        <v>0</v>
      </c>
      <c r="AC87" s="367">
        <f t="shared" ca="1" si="52"/>
        <v>0</v>
      </c>
      <c r="AD87" s="367" t="str">
        <f t="shared" ca="1" si="53"/>
        <v/>
      </c>
      <c r="AE87" s="127" t="str">
        <f t="shared" ca="1" si="54"/>
        <v/>
      </c>
      <c r="AF87" s="127" t="str">
        <f t="shared" ca="1" si="54"/>
        <v/>
      </c>
      <c r="AH87" s="127" t="str">
        <f t="shared" ca="1" si="55"/>
        <v/>
      </c>
      <c r="AI87" s="127" t="str">
        <f t="shared" ca="1" si="55"/>
        <v/>
      </c>
      <c r="AK87" s="127" t="str">
        <f t="shared" ca="1" si="56"/>
        <v/>
      </c>
      <c r="AL87" s="127" t="str">
        <f t="shared" ca="1" si="56"/>
        <v/>
      </c>
      <c r="AN87" s="127" t="str">
        <f t="shared" ca="1" si="57"/>
        <v/>
      </c>
      <c r="AO87" s="127" t="str">
        <f t="shared" ca="1" si="57"/>
        <v/>
      </c>
      <c r="AQ87" s="127" t="str">
        <f t="shared" ca="1" si="58"/>
        <v/>
      </c>
      <c r="AR87" s="127" t="str">
        <f t="shared" ca="1" si="58"/>
        <v/>
      </c>
      <c r="AT87" s="127" t="str">
        <f t="shared" ca="1" si="59"/>
        <v/>
      </c>
      <c r="AU87" s="127" t="str">
        <f t="shared" ca="1" si="59"/>
        <v/>
      </c>
    </row>
    <row r="88" spans="1:47">
      <c r="A88" s="367">
        <f>IF(ISEVEN(tblIndicators!C68),1,2)</f>
        <v>1</v>
      </c>
      <c r="B88" s="367">
        <f>tblIndiSets!B78</f>
        <v>67</v>
      </c>
      <c r="C88" s="367">
        <f>tblIndiSets!D78</f>
        <v>3</v>
      </c>
      <c r="D88" s="367">
        <f>tblCategories!AE71</f>
        <v>0</v>
      </c>
      <c r="E88" s="367" t="str">
        <f>tblIndiSets!E78</f>
        <v xml:space="preserve">   4.3.1) Air pollution</v>
      </c>
      <c r="H88" s="367">
        <f t="shared" si="45"/>
        <v>50</v>
      </c>
      <c r="I88" s="13" t="str">
        <f t="shared" ca="1" si="46"/>
        <v>=15</v>
      </c>
      <c r="J88" s="13">
        <f t="shared" ca="1" si="47"/>
        <v>13</v>
      </c>
      <c r="K88" s="367">
        <f t="shared" si="4"/>
        <v>100</v>
      </c>
      <c r="L88" s="13" t="str">
        <f t="shared" ca="1" si="48"/>
        <v>1</v>
      </c>
      <c r="M88" s="13">
        <f t="shared" ca="1" si="49"/>
        <v>1</v>
      </c>
      <c r="N88" s="367">
        <f t="shared" ca="1" si="50"/>
        <v>57.8</v>
      </c>
      <c r="O88" s="13"/>
      <c r="P88" s="13"/>
      <c r="R88" s="13"/>
      <c r="S88" s="13"/>
      <c r="U88" s="13"/>
      <c r="V88" s="13"/>
      <c r="X88" s="13"/>
      <c r="Y88" s="13"/>
      <c r="AA88" s="367" t="e">
        <f t="shared" ca="1" si="51"/>
        <v>#N/A</v>
      </c>
      <c r="AB88" s="367">
        <f ca="1">IF(ISNA(AA88),0,IF(uxb_works!$B$130=1,IF(ISEVEN(LEFT(TRIM(AD88),1)),2,1),INDEX($C$22:$C$91,AA88)))</f>
        <v>0</v>
      </c>
      <c r="AC88" s="367">
        <f t="shared" ca="1" si="52"/>
        <v>0</v>
      </c>
      <c r="AD88" s="367" t="str">
        <f t="shared" ca="1" si="53"/>
        <v/>
      </c>
      <c r="AE88" s="127" t="str">
        <f t="shared" ca="1" si="54"/>
        <v/>
      </c>
      <c r="AF88" s="127" t="str">
        <f t="shared" ca="1" si="54"/>
        <v/>
      </c>
      <c r="AH88" s="127" t="str">
        <f t="shared" ca="1" si="55"/>
        <v/>
      </c>
      <c r="AI88" s="127" t="str">
        <f t="shared" ca="1" si="55"/>
        <v/>
      </c>
      <c r="AK88" s="127" t="str">
        <f t="shared" ca="1" si="56"/>
        <v/>
      </c>
      <c r="AL88" s="127" t="str">
        <f t="shared" ca="1" si="56"/>
        <v/>
      </c>
      <c r="AN88" s="127" t="str">
        <f t="shared" ca="1" si="57"/>
        <v/>
      </c>
      <c r="AO88" s="127" t="str">
        <f t="shared" ca="1" si="57"/>
        <v/>
      </c>
      <c r="AQ88" s="127" t="str">
        <f t="shared" ca="1" si="58"/>
        <v/>
      </c>
      <c r="AR88" s="127" t="str">
        <f t="shared" ca="1" si="58"/>
        <v/>
      </c>
      <c r="AT88" s="127" t="str">
        <f t="shared" ca="1" si="59"/>
        <v/>
      </c>
      <c r="AU88" s="127" t="str">
        <f t="shared" ca="1" si="59"/>
        <v/>
      </c>
    </row>
    <row r="89" spans="1:47">
      <c r="A89" s="367">
        <f>IF(ISEVEN(tblIndicators!C69),1,2)</f>
        <v>1</v>
      </c>
      <c r="B89" s="367">
        <f>tblIndiSets!B79</f>
        <v>68</v>
      </c>
      <c r="C89" s="367">
        <f>tblIndiSets!D79</f>
        <v>2</v>
      </c>
      <c r="D89" s="367">
        <f>tblCategories!AE72</f>
        <v>1</v>
      </c>
      <c r="E89" s="367" t="str">
        <f>tblIndiSets!E79</f>
        <v xml:space="preserve">  4.4) Circular economy</v>
      </c>
      <c r="H89" s="367">
        <f t="shared" si="45"/>
        <v>100</v>
      </c>
      <c r="I89" s="13" t="str">
        <f t="shared" ca="1" si="46"/>
        <v>=1</v>
      </c>
      <c r="J89" s="13">
        <f t="shared" ca="1" si="47"/>
        <v>6</v>
      </c>
      <c r="K89" s="367">
        <f t="shared" si="4"/>
        <v>0</v>
      </c>
      <c r="L89" s="13" t="str">
        <f t="shared" ca="1" si="48"/>
        <v>=26</v>
      </c>
      <c r="M89" s="13">
        <f t="shared" ca="1" si="49"/>
        <v>5</v>
      </c>
      <c r="N89" s="367">
        <f t="shared" ca="1" si="50"/>
        <v>48</v>
      </c>
      <c r="O89" s="13"/>
      <c r="P89" s="13"/>
      <c r="R89" s="13"/>
      <c r="S89" s="13"/>
      <c r="U89" s="13"/>
      <c r="V89" s="13"/>
      <c r="X89" s="13"/>
      <c r="Y89" s="13"/>
      <c r="AA89" s="367" t="e">
        <f t="shared" ca="1" si="51"/>
        <v>#N/A</v>
      </c>
      <c r="AB89" s="367">
        <f ca="1">IF(ISNA(AA89),0,IF(uxb_works!$B$130=1,IF(ISEVEN(LEFT(TRIM(AD89),1)),2,1),INDEX($C$22:$C$91,AA89)))</f>
        <v>0</v>
      </c>
      <c r="AC89" s="367">
        <f t="shared" ca="1" si="52"/>
        <v>0</v>
      </c>
      <c r="AD89" s="367" t="str">
        <f t="shared" ca="1" si="53"/>
        <v/>
      </c>
      <c r="AE89" s="127" t="str">
        <f t="shared" ca="1" si="54"/>
        <v/>
      </c>
      <c r="AF89" s="127" t="str">
        <f t="shared" ca="1" si="54"/>
        <v/>
      </c>
      <c r="AH89" s="127" t="str">
        <f t="shared" ca="1" si="55"/>
        <v/>
      </c>
      <c r="AI89" s="127" t="str">
        <f t="shared" ca="1" si="55"/>
        <v/>
      </c>
      <c r="AK89" s="127" t="str">
        <f t="shared" ca="1" si="56"/>
        <v/>
      </c>
      <c r="AL89" s="127" t="str">
        <f t="shared" ca="1" si="56"/>
        <v/>
      </c>
      <c r="AN89" s="127" t="str">
        <f t="shared" ca="1" si="57"/>
        <v/>
      </c>
      <c r="AO89" s="127" t="str">
        <f t="shared" ca="1" si="57"/>
        <v/>
      </c>
      <c r="AQ89" s="127" t="str">
        <f t="shared" ca="1" si="58"/>
        <v/>
      </c>
      <c r="AR89" s="127" t="str">
        <f t="shared" ca="1" si="58"/>
        <v/>
      </c>
      <c r="AT89" s="127" t="str">
        <f t="shared" ca="1" si="59"/>
        <v/>
      </c>
      <c r="AU89" s="127" t="str">
        <f t="shared" ca="1" si="59"/>
        <v/>
      </c>
    </row>
    <row r="90" spans="1:47">
      <c r="A90" s="367">
        <f>IF(ISEVEN(tblIndicators!C70),1,2)</f>
        <v>1</v>
      </c>
      <c r="B90" s="367">
        <f>tblIndiSets!B80</f>
        <v>69</v>
      </c>
      <c r="C90" s="367">
        <f>tblIndiSets!D80</f>
        <v>3</v>
      </c>
      <c r="D90" s="367">
        <f>tblCategories!AE73</f>
        <v>0</v>
      </c>
      <c r="E90" s="367" t="str">
        <f>tblIndiSets!E80</f>
        <v xml:space="preserve">   4.4.1) Development of sharing economy </v>
      </c>
      <c r="H90" s="367">
        <f t="shared" si="45"/>
        <v>100</v>
      </c>
      <c r="I90" s="13" t="str">
        <f t="shared" ca="1" si="46"/>
        <v>=1</v>
      </c>
      <c r="J90" s="13">
        <f t="shared" ca="1" si="47"/>
        <v>7</v>
      </c>
      <c r="K90" s="367">
        <f t="shared" si="4"/>
        <v>0</v>
      </c>
      <c r="L90" s="13" t="str">
        <f t="shared" ca="1" si="48"/>
        <v>=11</v>
      </c>
      <c r="M90" s="13">
        <f t="shared" ca="1" si="49"/>
        <v>20</v>
      </c>
      <c r="N90" s="367">
        <f t="shared" ca="1" si="50"/>
        <v>28.3</v>
      </c>
      <c r="O90" s="13"/>
      <c r="P90" s="13"/>
      <c r="R90" s="13"/>
      <c r="S90" s="13"/>
      <c r="U90" s="13"/>
      <c r="V90" s="13"/>
      <c r="X90" s="13"/>
      <c r="Y90" s="13"/>
      <c r="AA90" s="367" t="e">
        <f t="shared" ca="1" si="51"/>
        <v>#N/A</v>
      </c>
      <c r="AB90" s="367">
        <f ca="1">IF(ISNA(AA90),0,IF(uxb_works!$B$130=1,IF(ISEVEN(LEFT(TRIM(AD90),1)),2,1),INDEX($C$22:$C$91,AA90)))</f>
        <v>0</v>
      </c>
      <c r="AC90" s="367">
        <f t="shared" ca="1" si="52"/>
        <v>0</v>
      </c>
      <c r="AD90" s="367" t="str">
        <f t="shared" ca="1" si="53"/>
        <v/>
      </c>
      <c r="AE90" s="127" t="str">
        <f t="shared" ca="1" si="54"/>
        <v/>
      </c>
      <c r="AF90" s="127" t="str">
        <f t="shared" ca="1" si="54"/>
        <v/>
      </c>
      <c r="AH90" s="127" t="str">
        <f t="shared" ca="1" si="55"/>
        <v/>
      </c>
      <c r="AI90" s="127" t="str">
        <f t="shared" ca="1" si="55"/>
        <v/>
      </c>
      <c r="AK90" s="127" t="str">
        <f t="shared" ca="1" si="56"/>
        <v/>
      </c>
      <c r="AL90" s="127" t="str">
        <f t="shared" ca="1" si="56"/>
        <v/>
      </c>
      <c r="AN90" s="127" t="str">
        <f t="shared" ca="1" si="57"/>
        <v/>
      </c>
      <c r="AO90" s="127" t="str">
        <f t="shared" ca="1" si="57"/>
        <v/>
      </c>
      <c r="AQ90" s="127" t="str">
        <f t="shared" ca="1" si="58"/>
        <v/>
      </c>
      <c r="AR90" s="127" t="str">
        <f t="shared" ca="1" si="58"/>
        <v/>
      </c>
      <c r="AT90" s="127" t="str">
        <f t="shared" ca="1" si="59"/>
        <v/>
      </c>
      <c r="AU90" s="127" t="str">
        <f t="shared" ca="1" si="59"/>
        <v/>
      </c>
    </row>
    <row r="91" spans="1:47">
      <c r="A91" s="367">
        <f>IF(ISEVEN(tblIndicators!C71),1,2)</f>
        <v>1</v>
      </c>
      <c r="B91" s="367">
        <f>tblIndiSets!B81</f>
        <v>70</v>
      </c>
      <c r="C91" s="367">
        <f>tblIndiSets!D81</f>
        <v>3</v>
      </c>
      <c r="D91" s="367">
        <f>tblCategories!AE74</f>
        <v>0</v>
      </c>
      <c r="E91" s="367" t="str">
        <f>tblIndiSets!E81</f>
        <v xml:space="preserve">   4.4.2) E-waste management</v>
      </c>
      <c r="H91" s="367">
        <f t="shared" si="45"/>
        <v>100</v>
      </c>
      <c r="I91" s="13" t="str">
        <f t="shared" ca="1" si="46"/>
        <v>=1</v>
      </c>
      <c r="J91" s="13">
        <f t="shared" ca="1" si="47"/>
        <v>24</v>
      </c>
      <c r="K91" s="367">
        <f t="shared" ref="K91" si="60">IF($B$3=0,"",IF($B91="","",INDEX(aScoresRounded,$B91,$B$3)))</f>
        <v>0</v>
      </c>
      <c r="L91" s="13" t="str">
        <f t="shared" ca="1" si="48"/>
        <v>=25</v>
      </c>
      <c r="M91" s="13">
        <f t="shared" ca="1" si="49"/>
        <v>6</v>
      </c>
      <c r="N91" s="367">
        <f t="shared" ca="1" si="50"/>
        <v>80</v>
      </c>
      <c r="O91" s="13"/>
      <c r="P91" s="13"/>
      <c r="R91" s="13"/>
      <c r="S91" s="13"/>
      <c r="U91" s="13"/>
      <c r="V91" s="13"/>
      <c r="X91" s="13"/>
      <c r="Y91" s="13"/>
      <c r="AA91" s="367" t="e">
        <f t="shared" ca="1" si="51"/>
        <v>#N/A</v>
      </c>
      <c r="AB91" s="367">
        <f ca="1">IF(ISNA(AA91),0,IF(uxb_works!$B$130=1,IF(ISEVEN(LEFT(TRIM(AD91),1)),2,1),INDEX($C$22:$C$91,AA91)))</f>
        <v>0</v>
      </c>
      <c r="AC91" s="367">
        <f t="shared" ca="1" si="52"/>
        <v>0</v>
      </c>
      <c r="AD91" s="367" t="str">
        <f t="shared" ca="1" si="53"/>
        <v/>
      </c>
      <c r="AE91" s="127" t="str">
        <f t="shared" ca="1" si="54"/>
        <v/>
      </c>
      <c r="AF91" s="127" t="str">
        <f t="shared" ca="1" si="54"/>
        <v/>
      </c>
      <c r="AH91" s="127" t="str">
        <f t="shared" ca="1" si="55"/>
        <v/>
      </c>
      <c r="AI91" s="127" t="str">
        <f t="shared" ca="1" si="55"/>
        <v/>
      </c>
      <c r="AK91" s="127" t="str">
        <f t="shared" ca="1" si="56"/>
        <v/>
      </c>
      <c r="AL91" s="127" t="str">
        <f t="shared" ca="1" si="56"/>
        <v/>
      </c>
      <c r="AN91" s="127" t="str">
        <f t="shared" ca="1" si="57"/>
        <v/>
      </c>
      <c r="AO91" s="127" t="str">
        <f t="shared" ca="1" si="57"/>
        <v/>
      </c>
      <c r="AQ91" s="127" t="str">
        <f t="shared" ca="1" si="58"/>
        <v/>
      </c>
      <c r="AR91" s="127" t="str">
        <f t="shared" ca="1" si="58"/>
        <v/>
      </c>
      <c r="AT91" s="127" t="str">
        <f t="shared" ca="1" si="59"/>
        <v/>
      </c>
      <c r="AU91" s="127" t="str">
        <f t="shared" ca="1" si="59"/>
        <v/>
      </c>
    </row>
  </sheetData>
  <mergeCells count="6">
    <mergeCell ref="W20:X20"/>
    <mergeCell ref="H20:I20"/>
    <mergeCell ref="K20:L20"/>
    <mergeCell ref="N20:O20"/>
    <mergeCell ref="Q20:R20"/>
    <mergeCell ref="T20:U20"/>
  </mergeCells>
  <pageMargins left="0.55118110236220474" right="0.55118110236220474" top="0.59055118110236227" bottom="0.78740157480314965" header="0.51181102362204722" footer="0.51181102362204722"/>
  <pageSetup paperSize="9" scale="35" orientation="landscape" r:id="rId1"/>
  <headerFooter alignWithMargins="0">
    <oddHeader>&amp;RCity Water Optimization Index: 2020</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0000"/>
    <pageSetUpPr fitToPage="1"/>
  </sheetPr>
  <dimension ref="A1:Z83"/>
  <sheetViews>
    <sheetView showRowColHeaders="0" topLeftCell="A51" zoomScaleNormal="100" workbookViewId="0">
      <selection activeCell="E60" sqref="E60"/>
    </sheetView>
  </sheetViews>
  <sheetFormatPr defaultColWidth="9.1796875" defaultRowHeight="14.5"/>
  <cols>
    <col min="1" max="1" width="18.453125" style="367" customWidth="1"/>
    <col min="2" max="2" width="9.1796875" style="367" customWidth="1"/>
    <col min="3" max="3" width="13.1796875" style="367" bestFit="1" customWidth="1"/>
    <col min="4" max="4" width="10.26953125" style="367" bestFit="1" customWidth="1"/>
    <col min="5" max="5" width="9.1796875" style="367" customWidth="1"/>
    <col min="6" max="6" width="23.453125" style="367" customWidth="1"/>
    <col min="7" max="17" width="9.1796875" style="367" customWidth="1"/>
    <col min="18" max="18" width="4.26953125" style="367" customWidth="1"/>
    <col min="19" max="19" width="4.453125" style="367" customWidth="1"/>
    <col min="20" max="21" width="9.453125" style="367" bestFit="1" customWidth="1"/>
    <col min="22" max="22" width="9.1796875" style="367"/>
    <col min="23" max="23" width="9.453125" style="367" bestFit="1" customWidth="1"/>
    <col min="24" max="24" width="11.1796875" style="367" bestFit="1" customWidth="1"/>
    <col min="25" max="25" width="9.1796875" style="367"/>
    <col min="26" max="27" width="9.453125" style="367" bestFit="1" customWidth="1"/>
    <col min="28" max="16384" width="9.1796875" style="367"/>
  </cols>
  <sheetData>
    <row r="1" spans="2:2" ht="22.5" customHeight="1">
      <c r="B1" s="11"/>
    </row>
    <row r="2" spans="2:2" ht="63" customHeight="1">
      <c r="B2" s="11"/>
    </row>
    <row r="3" spans="2:2" hidden="1">
      <c r="B3" s="11"/>
    </row>
    <row r="4" spans="2:2" hidden="1">
      <c r="B4" s="11"/>
    </row>
    <row r="5" spans="2:2" hidden="1">
      <c r="B5" s="11"/>
    </row>
    <row r="6" spans="2:2" hidden="1"/>
    <row r="7" spans="2:2" hidden="1"/>
    <row r="8" spans="2:2" hidden="1"/>
    <row r="9" spans="2:2" hidden="1"/>
    <row r="10" spans="2:2" hidden="1"/>
    <row r="11" spans="2:2" hidden="1"/>
    <row r="12" spans="2:2" hidden="1"/>
    <row r="13" spans="2:2" hidden="1"/>
    <row r="14" spans="2:2" hidden="1"/>
    <row r="15" spans="2:2" hidden="1"/>
    <row r="16" spans="2:2" hidden="1"/>
    <row r="17" spans="3:26" hidden="1">
      <c r="M17" s="655"/>
      <c r="S17" s="655"/>
      <c r="W17" s="655"/>
      <c r="Z17" s="655"/>
    </row>
    <row r="18" spans="3:26" hidden="1">
      <c r="C18" s="13"/>
      <c r="D18" s="13"/>
      <c r="E18" s="13"/>
      <c r="G18" s="13"/>
      <c r="H18" s="13"/>
      <c r="J18" s="13"/>
      <c r="K18" s="13"/>
      <c r="O18" s="17"/>
    </row>
    <row r="19" spans="3:26" hidden="1">
      <c r="W19" s="654"/>
      <c r="X19" s="654"/>
    </row>
    <row r="20" spans="3:26" hidden="1">
      <c r="W20" s="654"/>
      <c r="X20" s="654"/>
    </row>
    <row r="21" spans="3:26" hidden="1">
      <c r="M21" s="655"/>
      <c r="W21" s="654"/>
      <c r="X21" s="654"/>
    </row>
    <row r="22" spans="3:26" hidden="1">
      <c r="O22" s="17"/>
      <c r="W22" s="654"/>
      <c r="X22" s="654"/>
    </row>
    <row r="23" spans="3:26" hidden="1">
      <c r="W23" s="654"/>
      <c r="X23" s="654"/>
    </row>
    <row r="24" spans="3:26" hidden="1">
      <c r="W24" s="654"/>
      <c r="X24" s="654"/>
    </row>
    <row r="25" spans="3:26" hidden="1">
      <c r="M25" s="655"/>
      <c r="O25" s="17"/>
      <c r="W25" s="654"/>
      <c r="X25" s="654"/>
    </row>
    <row r="26" spans="3:26" hidden="1">
      <c r="O26" s="17"/>
      <c r="W26" s="654"/>
      <c r="X26" s="654"/>
    </row>
    <row r="27" spans="3:26" hidden="1">
      <c r="W27" s="654"/>
      <c r="X27" s="654"/>
    </row>
    <row r="28" spans="3:26" hidden="1">
      <c r="W28" s="654"/>
      <c r="X28" s="654"/>
    </row>
    <row r="29" spans="3:26" hidden="1">
      <c r="W29" s="654"/>
      <c r="X29" s="654"/>
    </row>
    <row r="30" spans="3:26" hidden="1">
      <c r="W30" s="654"/>
      <c r="X30" s="654"/>
    </row>
    <row r="31" spans="3:26" hidden="1">
      <c r="W31" s="654"/>
      <c r="X31" s="654"/>
    </row>
    <row r="32" spans="3:26" hidden="1">
      <c r="W32" s="654"/>
      <c r="X32" s="654"/>
    </row>
    <row r="33" spans="2:24" hidden="1">
      <c r="W33" s="654"/>
      <c r="X33" s="654"/>
    </row>
    <row r="34" spans="2:24" hidden="1">
      <c r="W34" s="654"/>
      <c r="X34" s="654"/>
    </row>
    <row r="35" spans="2:24" hidden="1">
      <c r="B35" s="367" t="b">
        <v>1</v>
      </c>
      <c r="W35" s="654"/>
      <c r="X35" s="654"/>
    </row>
    <row r="36" spans="2:24" hidden="1">
      <c r="W36" s="654"/>
      <c r="X36" s="654"/>
    </row>
    <row r="37" spans="2:24" hidden="1">
      <c r="W37" s="654"/>
      <c r="X37" s="654"/>
    </row>
    <row r="38" spans="2:24" hidden="1">
      <c r="W38" s="654"/>
      <c r="X38" s="654"/>
    </row>
    <row r="39" spans="2:24" hidden="1">
      <c r="W39" s="654"/>
      <c r="X39" s="654"/>
    </row>
    <row r="40" spans="2:24" hidden="1">
      <c r="W40" s="654"/>
      <c r="X40" s="654"/>
    </row>
    <row r="41" spans="2:24" hidden="1">
      <c r="W41" s="654"/>
      <c r="X41" s="654"/>
    </row>
    <row r="42" spans="2:24" hidden="1">
      <c r="W42" s="654"/>
      <c r="X42" s="654"/>
    </row>
    <row r="43" spans="2:24" hidden="1">
      <c r="W43" s="654"/>
      <c r="X43" s="654"/>
    </row>
    <row r="44" spans="2:24" hidden="1">
      <c r="W44" s="654"/>
      <c r="X44" s="654"/>
    </row>
    <row r="45" spans="2:24" hidden="1">
      <c r="W45" s="654"/>
      <c r="X45" s="654"/>
    </row>
    <row r="46" spans="2:24" hidden="1">
      <c r="W46" s="654"/>
      <c r="X46" s="654"/>
    </row>
    <row r="47" spans="2:24" hidden="1">
      <c r="W47" s="654"/>
      <c r="X47" s="654"/>
    </row>
    <row r="48" spans="2:24" hidden="1">
      <c r="W48" s="654"/>
      <c r="X48" s="654"/>
    </row>
    <row r="49" spans="1:24" hidden="1">
      <c r="W49" s="654"/>
      <c r="X49" s="654"/>
    </row>
    <row r="50" spans="1:24" hidden="1">
      <c r="W50" s="654"/>
      <c r="X50" s="654"/>
    </row>
    <row r="51" spans="1:24">
      <c r="A51" s="367" t="s">
        <v>646</v>
      </c>
      <c r="B51" s="367" t="s">
        <v>126</v>
      </c>
      <c r="C51" s="367" t="str">
        <f ca="1">uxb_works!J35</f>
        <v>#,##0.0</v>
      </c>
      <c r="D51" s="367">
        <f ca="1">uxb_works!L35</f>
        <v>1</v>
      </c>
      <c r="W51" s="654"/>
      <c r="X51" s="654"/>
    </row>
    <row r="52" spans="1:24">
      <c r="B52" s="367" t="s">
        <v>292</v>
      </c>
      <c r="C52" s="367" t="str">
        <f ca="1">uxb_works!J36</f>
        <v>#,##0.0</v>
      </c>
      <c r="D52" s="367">
        <f ca="1">uxb_works!L36</f>
        <v>1</v>
      </c>
      <c r="W52" s="654"/>
      <c r="X52" s="654"/>
    </row>
    <row r="53" spans="1:24">
      <c r="D53" s="367">
        <v>0</v>
      </c>
      <c r="E53" s="367">
        <v>0</v>
      </c>
    </row>
    <row r="54" spans="1:24">
      <c r="A54" s="367" t="s">
        <v>645</v>
      </c>
      <c r="B54" s="367">
        <v>1</v>
      </c>
    </row>
    <row r="55" spans="1:24">
      <c r="C55" s="367" t="s">
        <v>616</v>
      </c>
      <c r="D55" s="695">
        <v>100</v>
      </c>
      <c r="E55" s="695">
        <v>100</v>
      </c>
    </row>
    <row r="56" spans="1:24">
      <c r="A56" s="367">
        <v>2</v>
      </c>
      <c r="C56" s="367" t="s">
        <v>615</v>
      </c>
      <c r="D56" s="695">
        <v>0</v>
      </c>
      <c r="E56" s="695">
        <v>0</v>
      </c>
    </row>
    <row r="58" spans="1:24">
      <c r="B58" s="367">
        <v>1</v>
      </c>
      <c r="C58" s="367">
        <v>4</v>
      </c>
      <c r="D58" s="367">
        <f>D55</f>
        <v>100</v>
      </c>
      <c r="E58" s="367">
        <f>E55</f>
        <v>100</v>
      </c>
      <c r="G58" s="367">
        <f t="shared" ref="G58:G60" si="0">($D$58-$D$62)/4+G59</f>
        <v>100</v>
      </c>
      <c r="H58" s="367">
        <f t="shared" ref="H58:H60" si="1">($E$58-$E$62)/4+H59</f>
        <v>100</v>
      </c>
      <c r="K58" s="367">
        <f ca="1">ROUND(CHOOSE($A$56,D58,G58),$D$51)</f>
        <v>100</v>
      </c>
      <c r="L58" s="367">
        <f ca="1">ROUND(CHOOSE($A$56,E58,H58),$D$52)</f>
        <v>100</v>
      </c>
    </row>
    <row r="59" spans="1:24">
      <c r="B59" s="367">
        <v>0.75</v>
      </c>
      <c r="C59" s="367">
        <v>3</v>
      </c>
      <c r="D59" s="367">
        <f t="array" aca="1" ref="D59" ca="1">QUARTILE(IF(ISNUMBER(iScatter!$D$19:$D$48),iScatter!$D$19:$D$48),C59)</f>
        <v>71.350000000000009</v>
      </c>
      <c r="E59" s="367" cm="1">
        <f t="array" aca="1" ref="E59" ca="1">QUARTILE(IF(ISNUMBER(iScatter!$E$19:$E$48),iScatter!$E$19:$E$48),C59)</f>
        <v>71.350000000000009</v>
      </c>
      <c r="G59" s="367">
        <f t="shared" si="0"/>
        <v>75</v>
      </c>
      <c r="H59" s="367">
        <f t="shared" si="1"/>
        <v>75</v>
      </c>
      <c r="K59" s="367">
        <f t="shared" ref="K59:K62" ca="1" si="2">ROUND(CHOOSE($A$56,D59,G59),$D$51)</f>
        <v>75</v>
      </c>
      <c r="L59" s="367">
        <f t="shared" ref="L59:L62" ca="1" si="3">ROUND(CHOOSE($A$56,E59,H59),$D$52)</f>
        <v>75</v>
      </c>
    </row>
    <row r="60" spans="1:24">
      <c r="B60" s="367">
        <v>0.5</v>
      </c>
      <c r="C60" s="367">
        <v>2</v>
      </c>
      <c r="D60" s="367">
        <f t="array" aca="1" ref="D60" ca="1">QUARTILE(IF(ISNUMBER(iScatter!$D$19:$D$48),iScatter!$D$19:$D$48),C60)</f>
        <v>68.45</v>
      </c>
      <c r="E60" s="367">
        <f t="array" aca="1" ref="E60" ca="1">QUARTILE(IF(ISNUMBER(iScatter!$E$19:$E$48),iScatter!$E$19:$E$48),C60)</f>
        <v>68.45</v>
      </c>
      <c r="G60" s="367">
        <f t="shared" si="0"/>
        <v>50</v>
      </c>
      <c r="H60" s="367">
        <f t="shared" si="1"/>
        <v>50</v>
      </c>
      <c r="K60" s="367">
        <f t="shared" ca="1" si="2"/>
        <v>50</v>
      </c>
      <c r="L60" s="367">
        <f t="shared" ca="1" si="3"/>
        <v>50</v>
      </c>
    </row>
    <row r="61" spans="1:24">
      <c r="A61" s="367">
        <v>4</v>
      </c>
      <c r="B61" s="367">
        <v>0.25</v>
      </c>
      <c r="C61" s="367">
        <v>1</v>
      </c>
      <c r="D61" s="367">
        <f t="array" aca="1" ref="D61" ca="1">QUARTILE(IF(ISNUMBER(iScatter!$D$19:$D$48),iScatter!$D$19:$D$48),C61)</f>
        <v>58.675000000000004</v>
      </c>
      <c r="E61" s="367">
        <f t="array" aca="1" ref="E61" ca="1">QUARTILE(IF(ISNUMBER(iScatter!$E$19:$E$48),iScatter!$E$19:$E$48),C61)</f>
        <v>58.675000000000004</v>
      </c>
      <c r="G61" s="367">
        <f>($D$58-$D$62)/4+G62</f>
        <v>25</v>
      </c>
      <c r="H61" s="367">
        <f>($E$58-$E$62)/4+H62</f>
        <v>25</v>
      </c>
      <c r="K61" s="367">
        <f t="shared" ca="1" si="2"/>
        <v>25</v>
      </c>
      <c r="L61" s="367">
        <f t="shared" ca="1" si="3"/>
        <v>25</v>
      </c>
    </row>
    <row r="62" spans="1:24">
      <c r="B62" s="367">
        <v>0</v>
      </c>
      <c r="C62" s="367">
        <v>0</v>
      </c>
      <c r="D62" s="367">
        <f>D56</f>
        <v>0</v>
      </c>
      <c r="E62" s="367">
        <f>E56</f>
        <v>0</v>
      </c>
      <c r="G62" s="367">
        <f>D62</f>
        <v>0</v>
      </c>
      <c r="H62" s="367">
        <f>E62</f>
        <v>0</v>
      </c>
      <c r="K62" s="367">
        <f t="shared" ca="1" si="2"/>
        <v>0</v>
      </c>
      <c r="L62" s="367">
        <f t="shared" ca="1" si="3"/>
        <v>0</v>
      </c>
    </row>
    <row r="64" spans="1:24">
      <c r="C64" s="367" t="s">
        <v>644</v>
      </c>
      <c r="D64" s="367" t="s">
        <v>643</v>
      </c>
      <c r="E64" s="367" t="s">
        <v>642</v>
      </c>
      <c r="F64" s="367" t="s">
        <v>641</v>
      </c>
    </row>
    <row r="65" spans="2:11">
      <c r="B65" s="367">
        <v>1</v>
      </c>
      <c r="C65" s="367">
        <f ca="1">$K$62</f>
        <v>0</v>
      </c>
      <c r="D65" s="367">
        <f ca="1">$K$61</f>
        <v>25</v>
      </c>
      <c r="E65" s="367">
        <f ca="1">$L$62</f>
        <v>0</v>
      </c>
      <c r="F65" s="367">
        <f ca="1">$L$61</f>
        <v>25</v>
      </c>
    </row>
    <row r="66" spans="2:11">
      <c r="B66" s="367">
        <v>2</v>
      </c>
      <c r="C66" s="367">
        <f ca="1">$K$61</f>
        <v>25</v>
      </c>
      <c r="D66" s="367">
        <f ca="1">$K$60</f>
        <v>50</v>
      </c>
      <c r="E66" s="367">
        <f t="shared" ref="E66:E68" ca="1" si="4">$L$62</f>
        <v>0</v>
      </c>
      <c r="F66" s="367">
        <f t="shared" ref="F66:F68" ca="1" si="5">$L$61</f>
        <v>25</v>
      </c>
    </row>
    <row r="67" spans="2:11">
      <c r="B67" s="367">
        <v>3</v>
      </c>
      <c r="C67" s="367">
        <f ca="1">$K$60</f>
        <v>50</v>
      </c>
      <c r="D67" s="367">
        <f ca="1">$K$59</f>
        <v>75</v>
      </c>
      <c r="E67" s="367">
        <f t="shared" ca="1" si="4"/>
        <v>0</v>
      </c>
      <c r="F67" s="367">
        <f t="shared" ca="1" si="5"/>
        <v>25</v>
      </c>
    </row>
    <row r="68" spans="2:11">
      <c r="B68" s="367">
        <v>4</v>
      </c>
      <c r="C68" s="367">
        <f ca="1">$K$59</f>
        <v>75</v>
      </c>
      <c r="D68" s="367">
        <f ca="1">$K$58</f>
        <v>100</v>
      </c>
      <c r="E68" s="367">
        <f t="shared" ca="1" si="4"/>
        <v>0</v>
      </c>
      <c r="F68" s="367">
        <f t="shared" ca="1" si="5"/>
        <v>25</v>
      </c>
    </row>
    <row r="69" spans="2:11">
      <c r="B69" s="367">
        <v>5</v>
      </c>
      <c r="C69" s="367">
        <f ca="1">$K$62</f>
        <v>0</v>
      </c>
      <c r="D69" s="367">
        <f ca="1">$K$61</f>
        <v>25</v>
      </c>
      <c r="E69" s="367">
        <f ca="1">$L$61</f>
        <v>25</v>
      </c>
      <c r="F69" s="367">
        <f ca="1">$L$60</f>
        <v>50</v>
      </c>
    </row>
    <row r="70" spans="2:11">
      <c r="B70" s="367">
        <v>6</v>
      </c>
      <c r="C70" s="367">
        <f ca="1">$K$61</f>
        <v>25</v>
      </c>
      <c r="D70" s="367">
        <f ca="1">$K$60</f>
        <v>50</v>
      </c>
      <c r="E70" s="367">
        <f t="shared" ref="E70:E72" ca="1" si="6">$L$61</f>
        <v>25</v>
      </c>
      <c r="F70" s="367">
        <f t="shared" ref="F70:F72" ca="1" si="7">$L$60</f>
        <v>50</v>
      </c>
    </row>
    <row r="71" spans="2:11">
      <c r="B71" s="367">
        <v>7</v>
      </c>
      <c r="C71" s="367">
        <f ca="1">$K$60</f>
        <v>50</v>
      </c>
      <c r="D71" s="367">
        <f ca="1">$K$59</f>
        <v>75</v>
      </c>
      <c r="E71" s="367">
        <f t="shared" ca="1" si="6"/>
        <v>25</v>
      </c>
      <c r="F71" s="367">
        <f t="shared" ca="1" si="7"/>
        <v>50</v>
      </c>
    </row>
    <row r="72" spans="2:11">
      <c r="B72" s="367">
        <v>8</v>
      </c>
      <c r="C72" s="367">
        <f ca="1">$K$59</f>
        <v>75</v>
      </c>
      <c r="D72" s="367">
        <f ca="1">$K$58</f>
        <v>100</v>
      </c>
      <c r="E72" s="367">
        <f t="shared" ca="1" si="6"/>
        <v>25</v>
      </c>
      <c r="F72" s="367">
        <f t="shared" ca="1" si="7"/>
        <v>50</v>
      </c>
    </row>
    <row r="73" spans="2:11">
      <c r="B73" s="367">
        <v>9</v>
      </c>
      <c r="C73" s="367">
        <f ca="1">$K$62</f>
        <v>0</v>
      </c>
      <c r="D73" s="367">
        <f ca="1">$K$61</f>
        <v>25</v>
      </c>
      <c r="E73" s="367">
        <f ca="1">$L$60</f>
        <v>50</v>
      </c>
      <c r="F73" s="367">
        <f ca="1">$L$59</f>
        <v>75</v>
      </c>
    </row>
    <row r="74" spans="2:11">
      <c r="B74" s="367">
        <v>10</v>
      </c>
      <c r="C74" s="367">
        <f ca="1">$K$61</f>
        <v>25</v>
      </c>
      <c r="D74" s="367">
        <f ca="1">$K$60</f>
        <v>50</v>
      </c>
      <c r="E74" s="367">
        <f t="shared" ref="E74:E76" ca="1" si="8">$L$60</f>
        <v>50</v>
      </c>
      <c r="F74" s="367">
        <f t="shared" ref="F74:F76" ca="1" si="9">$L$59</f>
        <v>75</v>
      </c>
      <c r="H74" s="367">
        <v>13</v>
      </c>
      <c r="I74" s="367">
        <v>14</v>
      </c>
      <c r="J74" s="367">
        <v>15</v>
      </c>
      <c r="K74" s="367">
        <v>16</v>
      </c>
    </row>
    <row r="75" spans="2:11">
      <c r="B75" s="367">
        <v>11</v>
      </c>
      <c r="C75" s="367">
        <f ca="1">$K$60</f>
        <v>50</v>
      </c>
      <c r="D75" s="367">
        <f ca="1">$K$59</f>
        <v>75</v>
      </c>
      <c r="E75" s="367">
        <f t="shared" ca="1" si="8"/>
        <v>50</v>
      </c>
      <c r="F75" s="367">
        <f t="shared" ca="1" si="9"/>
        <v>75</v>
      </c>
      <c r="H75" s="367">
        <v>9</v>
      </c>
      <c r="I75" s="367">
        <v>10</v>
      </c>
      <c r="J75" s="367">
        <v>11</v>
      </c>
      <c r="K75" s="367">
        <v>12</v>
      </c>
    </row>
    <row r="76" spans="2:11">
      <c r="B76" s="367">
        <v>12</v>
      </c>
      <c r="C76" s="367">
        <f ca="1">$K$59</f>
        <v>75</v>
      </c>
      <c r="D76" s="367">
        <f ca="1">$K$58</f>
        <v>100</v>
      </c>
      <c r="E76" s="367">
        <f t="shared" ca="1" si="8"/>
        <v>50</v>
      </c>
      <c r="F76" s="367">
        <f t="shared" ca="1" si="9"/>
        <v>75</v>
      </c>
      <c r="H76" s="367">
        <v>5</v>
      </c>
      <c r="I76" s="367">
        <v>6</v>
      </c>
      <c r="J76" s="367">
        <v>7</v>
      </c>
      <c r="K76" s="367">
        <v>8</v>
      </c>
    </row>
    <row r="77" spans="2:11">
      <c r="B77" s="367">
        <v>13</v>
      </c>
      <c r="C77" s="367">
        <f ca="1">$K$62</f>
        <v>0</v>
      </c>
      <c r="D77" s="367">
        <f ca="1">$K$61</f>
        <v>25</v>
      </c>
      <c r="E77" s="367">
        <f ca="1">$L$59</f>
        <v>75</v>
      </c>
      <c r="F77" s="367">
        <f ca="1">$L$58</f>
        <v>100</v>
      </c>
      <c r="H77" s="367">
        <v>1</v>
      </c>
      <c r="I77" s="367">
        <v>2</v>
      </c>
      <c r="J77" s="367">
        <v>3</v>
      </c>
      <c r="K77" s="367">
        <v>4</v>
      </c>
    </row>
    <row r="78" spans="2:11">
      <c r="B78" s="367">
        <v>14</v>
      </c>
      <c r="C78" s="367">
        <f ca="1">$K$61</f>
        <v>25</v>
      </c>
      <c r="D78" s="367">
        <f ca="1">$K$60</f>
        <v>50</v>
      </c>
      <c r="E78" s="367">
        <f t="shared" ref="E78:E80" ca="1" si="10">$L$59</f>
        <v>75</v>
      </c>
      <c r="F78" s="367">
        <f t="shared" ref="F78:F80" ca="1" si="11">$L$58</f>
        <v>100</v>
      </c>
    </row>
    <row r="79" spans="2:11">
      <c r="B79" s="367">
        <v>15</v>
      </c>
      <c r="C79" s="367">
        <f ca="1">$K$60</f>
        <v>50</v>
      </c>
      <c r="D79" s="367">
        <f ca="1">$K$59</f>
        <v>75</v>
      </c>
      <c r="E79" s="367">
        <f t="shared" ca="1" si="10"/>
        <v>75</v>
      </c>
      <c r="F79" s="367">
        <f t="shared" ca="1" si="11"/>
        <v>100</v>
      </c>
    </row>
    <row r="80" spans="2:11">
      <c r="B80" s="367">
        <v>16</v>
      </c>
      <c r="C80" s="367">
        <f ca="1">$K$59</f>
        <v>75</v>
      </c>
      <c r="D80" s="367">
        <f ca="1">$K$58</f>
        <v>100</v>
      </c>
      <c r="E80" s="367">
        <f t="shared" ca="1" si="10"/>
        <v>75</v>
      </c>
      <c r="F80" s="367">
        <f t="shared" ca="1" si="11"/>
        <v>100</v>
      </c>
    </row>
    <row r="82" spans="1:6">
      <c r="B82" s="367" t="s">
        <v>640</v>
      </c>
      <c r="C82" s="367" t="s">
        <v>202</v>
      </c>
    </row>
    <row r="83" spans="1:6">
      <c r="A83" s="367" t="s">
        <v>978</v>
      </c>
      <c r="B83" s="367" t="str">
        <f>RIGHT(A83, LEN(A83)-5)</f>
        <v>11</v>
      </c>
      <c r="C83" s="367">
        <f ca="1">ROUNDDOWN(INDEX(C65:C80,$B$83),$D$51)</f>
        <v>50</v>
      </c>
      <c r="D83" s="367">
        <f ca="1">ROUNDUP(INDEX(D65:D80,$B$83),$D$51)</f>
        <v>75</v>
      </c>
      <c r="E83" s="367">
        <f ca="1">ROUNDDOWN(INDEX(E65:E80,$B$83),$D$52)</f>
        <v>50</v>
      </c>
      <c r="F83" s="367">
        <f ca="1">ROUNDUP(INDEX(F65:F80,$B$83),$D$52)</f>
        <v>75</v>
      </c>
    </row>
  </sheetData>
  <pageMargins left="0.55118110236220474" right="0.55118110236220474" top="0.59055118110236227" bottom="0.78740157480314965" header="0.51181102362204722" footer="0.51181102362204722"/>
  <pageSetup paperSize="9" scale="88" orientation="landscape" r:id="rId1"/>
  <headerFooter alignWithMargins="0">
    <oddHeader>&amp;RPlastics Management Index: 2021</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C000"/>
    <pageSetUpPr fitToPage="1"/>
  </sheetPr>
  <dimension ref="A1:AA48"/>
  <sheetViews>
    <sheetView showRowColHeaders="0" zoomScaleNormal="100" workbookViewId="0">
      <selection activeCell="A14" sqref="A14"/>
    </sheetView>
  </sheetViews>
  <sheetFormatPr defaultColWidth="9.1796875" defaultRowHeight="14.5"/>
  <cols>
    <col min="1" max="1" width="18.453125" style="367" customWidth="1"/>
    <col min="2" max="2" width="20.26953125" style="367" customWidth="1"/>
    <col min="3" max="3" width="13.1796875" style="367" bestFit="1" customWidth="1"/>
    <col min="4" max="4" width="10.26953125" style="367" bestFit="1" customWidth="1"/>
    <col min="5" max="5" width="9.1796875" style="367" customWidth="1"/>
    <col min="6" max="6" width="23.453125" style="367" customWidth="1"/>
    <col min="7" max="17" width="9.1796875" style="367" customWidth="1"/>
    <col min="18" max="18" width="4.26953125" style="367" customWidth="1"/>
    <col min="19" max="19" width="4.453125" style="367" customWidth="1"/>
    <col min="20" max="21" width="9.453125" style="367" bestFit="1" customWidth="1"/>
    <col min="22" max="22" width="9.1796875" style="367"/>
    <col min="23" max="23" width="9.453125" style="367" bestFit="1" customWidth="1"/>
    <col min="24" max="24" width="11.1796875" style="367" bestFit="1" customWidth="1"/>
    <col min="25" max="25" width="9.1796875" style="367"/>
    <col min="26" max="27" width="9.453125" style="367" bestFit="1" customWidth="1"/>
    <col min="28" max="16384" width="9.1796875" style="367"/>
  </cols>
  <sheetData>
    <row r="1" spans="1:10" ht="22.5" customHeight="1">
      <c r="A1" s="367" t="s">
        <v>672</v>
      </c>
      <c r="B1" s="11">
        <f ca="1">uxb_works!D35</f>
        <v>1</v>
      </c>
      <c r="C1" s="367" t="str">
        <f ca="1">INDEX(tblIndicators!$F$2:$F$157,B1)</f>
        <v>OVERALL SCORE</v>
      </c>
      <c r="D1" s="367">
        <f>uxb_works!B35</f>
        <v>1</v>
      </c>
      <c r="E1" s="367">
        <f>uxb_works!E35</f>
        <v>24</v>
      </c>
      <c r="F1" s="367" t="str">
        <f ca="1">uxb_works!F35</f>
        <v>OVERALL SCORE</v>
      </c>
      <c r="G1" s="367" t="str">
        <f ca="1">uxb_works!G35</f>
        <v>OVERALL SCORE</v>
      </c>
      <c r="H1" s="367" t="str">
        <f ca="1">IF(uxb_works!K35="","","("&amp;uxb_works!K35&amp;")")</f>
        <v/>
      </c>
      <c r="J1" s="367">
        <f ca="1">B7</f>
        <v>0</v>
      </c>
    </row>
    <row r="2" spans="1:10" ht="63" customHeight="1">
      <c r="A2" s="367" t="s">
        <v>671</v>
      </c>
      <c r="B2" s="11">
        <f ca="1">uxb_works!D36</f>
        <v>1</v>
      </c>
      <c r="C2" s="367" t="str">
        <f ca="1">INDEX(tblIndicators!$F$2:$F$84,B2)</f>
        <v>OVERALL SCORE</v>
      </c>
      <c r="D2" s="367">
        <f>uxb_works!B36</f>
        <v>1</v>
      </c>
      <c r="E2" s="367">
        <f>uxb_works!E36</f>
        <v>24</v>
      </c>
      <c r="F2" s="367" t="str">
        <f ca="1">uxb_works!F36</f>
        <v>OVERALL SCORE</v>
      </c>
      <c r="G2" s="367" t="str">
        <f ca="1">uxb_works!G36</f>
        <v>OVERALL SCORE</v>
      </c>
      <c r="H2" s="367" t="str">
        <f ca="1">IF(uxb_works!K36="","","("&amp;uxb_works!K36&amp;")")</f>
        <v/>
      </c>
      <c r="J2" s="367">
        <f ca="1">C7</f>
        <v>0</v>
      </c>
    </row>
    <row r="3" spans="1:10">
      <c r="A3" s="367" t="s">
        <v>670</v>
      </c>
      <c r="B3" s="11">
        <f>uxb_works!B7</f>
        <v>0</v>
      </c>
    </row>
    <row r="4" spans="1:10">
      <c r="A4" s="367" t="s">
        <v>50</v>
      </c>
      <c r="B4" s="11" t="b">
        <f>uxb_works!B38</f>
        <v>0</v>
      </c>
    </row>
    <row r="5" spans="1:10">
      <c r="A5" s="367" t="s">
        <v>49</v>
      </c>
      <c r="B5" s="11" t="b">
        <f>uxb_works!B39</f>
        <v>0</v>
      </c>
    </row>
    <row r="6" spans="1:10">
      <c r="B6" s="367" t="s">
        <v>2</v>
      </c>
      <c r="C6" s="367" t="s">
        <v>1</v>
      </c>
    </row>
    <row r="7" spans="1:10">
      <c r="A7" s="367" t="s">
        <v>682</v>
      </c>
      <c r="B7" s="367">
        <f ca="1">INDEX(tblIndicators!$B$2:$B$157,B1)</f>
        <v>0</v>
      </c>
      <c r="C7" s="367">
        <f ca="1">INDEX(tblIndicators!$B$2:$B$84,B2)</f>
        <v>0</v>
      </c>
    </row>
    <row r="8" spans="1:10">
      <c r="A8" s="367" t="s">
        <v>48</v>
      </c>
    </row>
    <row r="9" spans="1:10">
      <c r="A9" s="367" t="s">
        <v>669</v>
      </c>
      <c r="B9" s="367" t="str">
        <f ca="1">F1&amp;" "&amp;H1</f>
        <v xml:space="preserve">OVERALL SCORE </v>
      </c>
    </row>
    <row r="10" spans="1:10">
      <c r="A10" s="367" t="s">
        <v>668</v>
      </c>
      <c r="B10" s="367" t="str">
        <f ca="1">F2&amp;" "&amp;H2</f>
        <v xml:space="preserve">OVERALL SCORE </v>
      </c>
    </row>
    <row r="12" spans="1:10">
      <c r="A12" s="367" t="s">
        <v>667</v>
      </c>
      <c r="B12" s="367">
        <f ca="1">SLOPE(H19:H48,G19:G48)</f>
        <v>1</v>
      </c>
    </row>
    <row r="13" spans="1:10">
      <c r="A13" s="367" t="s">
        <v>666</v>
      </c>
      <c r="B13" s="367">
        <f ca="1">INTERCEPT(H19:H48,G19:G48)</f>
        <v>0</v>
      </c>
    </row>
    <row r="14" spans="1:10">
      <c r="A14" s="367" t="s">
        <v>665</v>
      </c>
      <c r="B14" s="367">
        <f ca="1">CORREL(G19:G48,H19:H48)</f>
        <v>1.0000000000000002</v>
      </c>
      <c r="G14" s="367">
        <f ca="1">uxb_works!L35</f>
        <v>1</v>
      </c>
      <c r="H14" s="367">
        <f ca="1">uxb_works!L36</f>
        <v>1</v>
      </c>
    </row>
    <row r="15" spans="1:10">
      <c r="A15" s="367" t="s">
        <v>664</v>
      </c>
      <c r="B15" s="367" t="b">
        <f ca="1">IF(ISERROR(B14),FALSE,TRUE)</f>
        <v>1</v>
      </c>
      <c r="D15" s="367" t="e">
        <f t="shared" ref="D15" si="0">IF($C15=0,NA(),CHOOSE($B$7+1,IF(INDEX(aScoresRounded,$B$1,$A15)=-100,"",INDEX(aScoresRounded,$B$1,$A15)),INDEX(aData,$B$1,$A15)))</f>
        <v>#N/A</v>
      </c>
      <c r="E15" s="367" t="e">
        <f t="shared" ref="E15" si="1">IF($C15=0,NA(),CHOOSE($C$7+1,IF(INDEX(aScoresRounded,$B$2,$A15)=-100,"",INDEX(aScoresRounded,$B$2,$A15)),INDEX(aData,$B$2,$A15)))</f>
        <v>#N/A</v>
      </c>
    </row>
    <row r="17" spans="1:27">
      <c r="D17" s="367" t="s">
        <v>663</v>
      </c>
      <c r="F17" s="367" t="s">
        <v>662</v>
      </c>
      <c r="G17" s="367" t="s">
        <v>661</v>
      </c>
      <c r="J17" s="367" t="s">
        <v>660</v>
      </c>
      <c r="M17" s="655" t="s">
        <v>659</v>
      </c>
      <c r="S17" s="655" t="s">
        <v>658</v>
      </c>
      <c r="W17" s="655" t="s">
        <v>657</v>
      </c>
      <c r="Z17" s="655" t="s">
        <v>656</v>
      </c>
    </row>
    <row r="18" spans="1:27">
      <c r="A18" s="367" t="s">
        <v>655</v>
      </c>
      <c r="B18" s="367" t="s">
        <v>115</v>
      </c>
      <c r="C18" s="13" t="s">
        <v>654</v>
      </c>
      <c r="D18" s="13" t="s">
        <v>2</v>
      </c>
      <c r="E18" s="13" t="s">
        <v>1</v>
      </c>
      <c r="G18" s="13" t="s">
        <v>2</v>
      </c>
      <c r="H18" s="13" t="s">
        <v>1</v>
      </c>
      <c r="J18" s="13" t="s">
        <v>1</v>
      </c>
      <c r="K18" s="13" t="s">
        <v>653</v>
      </c>
      <c r="N18" s="367" t="s">
        <v>648</v>
      </c>
      <c r="O18" s="17" t="s">
        <v>647</v>
      </c>
      <c r="P18" s="367" t="s">
        <v>2</v>
      </c>
      <c r="Q18" s="367" t="s">
        <v>1</v>
      </c>
      <c r="S18" s="367" t="s">
        <v>652</v>
      </c>
      <c r="T18" s="367" t="s">
        <v>2</v>
      </c>
      <c r="U18" s="367" t="s">
        <v>1</v>
      </c>
      <c r="W18" s="367" t="s">
        <v>2</v>
      </c>
      <c r="X18" s="367" t="s">
        <v>1</v>
      </c>
      <c r="Z18" s="367" t="s">
        <v>2</v>
      </c>
      <c r="AA18" s="367" t="s">
        <v>1</v>
      </c>
    </row>
    <row r="19" spans="1:27">
      <c r="A19" s="367">
        <v>1</v>
      </c>
      <c r="B19" s="367" t="str">
        <f>tblTerritories!C3</f>
        <v>Amsterdam</v>
      </c>
      <c r="C19" s="367">
        <f>IF(tblTerritories!F3="",0,tblTerritories!F3)</f>
        <v>1</v>
      </c>
      <c r="D19" s="367">
        <f t="shared" ref="D19:D48" ca="1" si="2">IF($C19=0,NA(),CHOOSE($B$7+1,IF(INDEX(aScoresRounded,$B$1,$A19)=-100,"",INDEX(aScoresRounded,$B$1,$A19)),INDEX(aData,$B$1,$A19)))</f>
        <v>74.599999999999994</v>
      </c>
      <c r="E19" s="367">
        <f t="shared" ref="E19:E48" ca="1" si="3">IF($C19=0,NA(),CHOOSE($C$7+1,IF(INDEX(aScoresRounded,$B$2,$A19)=-100,"",INDEX(aScoresRounded,$B$2,$A19)),INDEX(aData,$B$2,$A19)))</f>
        <v>74.599999999999994</v>
      </c>
      <c r="F19" s="367" t="b">
        <f ca="1">AND(ISNUMBER(D19),ISNUMBER(E19))</f>
        <v>1</v>
      </c>
      <c r="G19" s="367">
        <f ca="1">IF($F19,ROUND(D19,$G$14),"")</f>
        <v>74.599999999999994</v>
      </c>
      <c r="H19" s="367">
        <f ca="1">IF($F19,ROUND(E19,$H$14),"")</f>
        <v>74.599999999999994</v>
      </c>
      <c r="J19" s="367">
        <f ca="1">IF(G19="","",(G19*$B$12)+$B$13)</f>
        <v>74.599999999999994</v>
      </c>
      <c r="K19" s="367">
        <f ca="1">IF(J19="","",H19-J19)</f>
        <v>0</v>
      </c>
      <c r="N19" s="367">
        <f>B3</f>
        <v>0</v>
      </c>
      <c r="O19" s="367" t="str">
        <f>IF($B$3=0,"&lt;none&gt;",INDEX(LuCountry,$B$3))</f>
        <v>&lt;none&gt;</v>
      </c>
      <c r="P19" s="367" t="e">
        <f>IF($B$3=0,NA(),IF(INDEX(G19:G48,$B$3)="",NA(),INDEX(G19:G48,$B$3)))</f>
        <v>#N/A</v>
      </c>
      <c r="Q19" s="367" t="e">
        <f>IF($B$3=0,NA(),IF(INDEX(H19:H48,$B$3)="",NA(),INDEX(H19:H48,$B$3)))</f>
        <v>#N/A</v>
      </c>
      <c r="S19" s="367">
        <f t="shared" ref="S19:S42" si="4">IF(NOT($B$4),0,IF(OR(A19=$N$19,A19=$N$23,A19=$N$27),0,IF(AND(C19&lt;3,F19),1,0)))</f>
        <v>0</v>
      </c>
      <c r="T19" s="367" t="e">
        <f t="shared" ref="T19:U34" si="5">IF($S19=0,NA(),G19)</f>
        <v>#N/A</v>
      </c>
      <c r="U19" s="367" t="e">
        <f t="shared" si="5"/>
        <v>#N/A</v>
      </c>
      <c r="W19" s="654">
        <f t="shared" ref="W19:X34" ca="1" si="6">IF(AND($C19&gt;0,$F19),G19,NA())</f>
        <v>74.599999999999994</v>
      </c>
      <c r="X19" s="654">
        <f t="shared" ca="1" si="6"/>
        <v>74.599999999999994</v>
      </c>
      <c r="Z19" s="367" t="e">
        <f t="shared" ref="Z19:AA34" ca="1" si="7">IF(AND($C19=2,$F19),G19,NA())</f>
        <v>#N/A</v>
      </c>
      <c r="AA19" s="367" t="e">
        <f t="shared" ca="1" si="7"/>
        <v>#N/A</v>
      </c>
    </row>
    <row r="20" spans="1:27">
      <c r="A20" s="367">
        <f>1+A19</f>
        <v>2</v>
      </c>
      <c r="B20" s="367" t="str">
        <f>tblTerritories!C4</f>
        <v>Auckland</v>
      </c>
      <c r="C20" s="367">
        <f>IF(tblTerritories!F4="",0,tblTerritories!F4)</f>
        <v>1</v>
      </c>
      <c r="D20" s="367">
        <f t="shared" ca="1" si="2"/>
        <v>60.1</v>
      </c>
      <c r="E20" s="367">
        <f t="shared" ca="1" si="3"/>
        <v>60.1</v>
      </c>
      <c r="F20" s="367" t="b">
        <f t="shared" ref="F20:F42" ca="1" si="8">AND(ISNUMBER(D20),ISNUMBER(E20))</f>
        <v>1</v>
      </c>
      <c r="G20" s="367">
        <f t="shared" ref="G20:G42" ca="1" si="9">IF($F20,ROUND(D20,$G$14),"")</f>
        <v>60.1</v>
      </c>
      <c r="H20" s="367">
        <f t="shared" ref="H20:H42" ca="1" si="10">IF($F20,ROUND(E20,$H$14),"")</f>
        <v>60.1</v>
      </c>
      <c r="J20" s="367">
        <f t="shared" ref="J20:J42" ca="1" si="11">IF(G20="","",(G20*$B$12)+$B$13)</f>
        <v>60.1</v>
      </c>
      <c r="K20" s="367">
        <f t="shared" ref="K20:K42" ca="1" si="12">IF(J20="","",H20-J20)</f>
        <v>0</v>
      </c>
      <c r="S20" s="367">
        <f t="shared" si="4"/>
        <v>0</v>
      </c>
      <c r="T20" s="367" t="e">
        <f t="shared" si="5"/>
        <v>#N/A</v>
      </c>
      <c r="U20" s="367" t="e">
        <f t="shared" si="5"/>
        <v>#N/A</v>
      </c>
      <c r="W20" s="654">
        <f t="shared" ca="1" si="6"/>
        <v>60.1</v>
      </c>
      <c r="X20" s="654">
        <f t="shared" ca="1" si="6"/>
        <v>60.1</v>
      </c>
      <c r="Z20" s="367" t="e">
        <f t="shared" ca="1" si="7"/>
        <v>#N/A</v>
      </c>
      <c r="AA20" s="367" t="e">
        <f t="shared" ca="1" si="7"/>
        <v>#N/A</v>
      </c>
    </row>
    <row r="21" spans="1:27">
      <c r="A21" s="367">
        <f t="shared" ref="A21:A48" si="13">1+A20</f>
        <v>3</v>
      </c>
      <c r="B21" s="367" t="str">
        <f>tblTerritories!C5</f>
        <v>Bangkok</v>
      </c>
      <c r="C21" s="367">
        <f>IF(tblTerritories!F5="",0,tblTerritories!F5)</f>
        <v>1</v>
      </c>
      <c r="D21" s="367">
        <f t="shared" ca="1" si="2"/>
        <v>49.1</v>
      </c>
      <c r="E21" s="367">
        <f t="shared" ca="1" si="3"/>
        <v>49.1</v>
      </c>
      <c r="F21" s="367" t="b">
        <f t="shared" ca="1" si="8"/>
        <v>1</v>
      </c>
      <c r="G21" s="367">
        <f t="shared" ca="1" si="9"/>
        <v>49.1</v>
      </c>
      <c r="H21" s="367">
        <f t="shared" ca="1" si="10"/>
        <v>49.1</v>
      </c>
      <c r="J21" s="367">
        <f t="shared" ca="1" si="11"/>
        <v>49.1</v>
      </c>
      <c r="K21" s="367">
        <f t="shared" ca="1" si="12"/>
        <v>0</v>
      </c>
      <c r="M21" s="655" t="s">
        <v>651</v>
      </c>
      <c r="S21" s="367">
        <f t="shared" si="4"/>
        <v>0</v>
      </c>
      <c r="T21" s="367" t="e">
        <f t="shared" si="5"/>
        <v>#N/A</v>
      </c>
      <c r="U21" s="367" t="e">
        <f t="shared" si="5"/>
        <v>#N/A</v>
      </c>
      <c r="W21" s="654">
        <f t="shared" ca="1" si="6"/>
        <v>49.1</v>
      </c>
      <c r="X21" s="654">
        <f t="shared" ca="1" si="6"/>
        <v>49.1</v>
      </c>
      <c r="Z21" s="367" t="e">
        <f t="shared" ca="1" si="7"/>
        <v>#N/A</v>
      </c>
      <c r="AA21" s="367" t="e">
        <f t="shared" ca="1" si="7"/>
        <v>#N/A</v>
      </c>
    </row>
    <row r="22" spans="1:27">
      <c r="A22" s="367">
        <f t="shared" si="13"/>
        <v>4</v>
      </c>
      <c r="B22" s="367" t="str">
        <f>tblTerritories!C6</f>
        <v>Barcelona</v>
      </c>
      <c r="C22" s="367">
        <f>IF(tblTerritories!F6="",0,tblTerritories!F6)</f>
        <v>1</v>
      </c>
      <c r="D22" s="367">
        <f t="shared" ca="1" si="2"/>
        <v>69.7</v>
      </c>
      <c r="E22" s="367">
        <f t="shared" ca="1" si="3"/>
        <v>69.7</v>
      </c>
      <c r="F22" s="367" t="b">
        <f t="shared" ca="1" si="8"/>
        <v>1</v>
      </c>
      <c r="G22" s="367">
        <f t="shared" ca="1" si="9"/>
        <v>69.7</v>
      </c>
      <c r="H22" s="367">
        <f t="shared" ca="1" si="10"/>
        <v>69.7</v>
      </c>
      <c r="J22" s="367">
        <f t="shared" ca="1" si="11"/>
        <v>69.7</v>
      </c>
      <c r="K22" s="367">
        <f t="shared" ca="1" si="12"/>
        <v>0</v>
      </c>
      <c r="M22" s="367" t="s">
        <v>649</v>
      </c>
      <c r="N22" s="367" t="s">
        <v>648</v>
      </c>
      <c r="O22" s="17" t="s">
        <v>647</v>
      </c>
      <c r="P22" s="367" t="s">
        <v>2</v>
      </c>
      <c r="Q22" s="367" t="s">
        <v>1</v>
      </c>
      <c r="S22" s="367">
        <f t="shared" si="4"/>
        <v>0</v>
      </c>
      <c r="T22" s="367" t="e">
        <f t="shared" si="5"/>
        <v>#N/A</v>
      </c>
      <c r="U22" s="367" t="e">
        <f t="shared" si="5"/>
        <v>#N/A</v>
      </c>
      <c r="W22" s="654">
        <f t="shared" ca="1" si="6"/>
        <v>69.7</v>
      </c>
      <c r="X22" s="654">
        <f t="shared" ca="1" si="6"/>
        <v>69.7</v>
      </c>
      <c r="Z22" s="367" t="e">
        <f t="shared" ca="1" si="7"/>
        <v>#N/A</v>
      </c>
      <c r="AA22" s="367" t="e">
        <f t="shared" ca="1" si="7"/>
        <v>#N/A</v>
      </c>
    </row>
    <row r="23" spans="1:27">
      <c r="A23" s="367">
        <f t="shared" si="13"/>
        <v>5</v>
      </c>
      <c r="B23" s="367" t="str">
        <f>tblTerritories!C7</f>
        <v>Beijing</v>
      </c>
      <c r="C23" s="367">
        <f>IF(tblTerritories!F7="",0,tblTerritories!F7)</f>
        <v>1</v>
      </c>
      <c r="D23" s="367">
        <f t="shared" ca="1" si="2"/>
        <v>73.7</v>
      </c>
      <c r="E23" s="367">
        <f t="shared" ca="1" si="3"/>
        <v>73.7</v>
      </c>
      <c r="F23" s="367" t="b">
        <f t="shared" ca="1" si="8"/>
        <v>1</v>
      </c>
      <c r="G23" s="367">
        <f t="shared" ca="1" si="9"/>
        <v>73.7</v>
      </c>
      <c r="H23" s="367">
        <f t="shared" ca="1" si="10"/>
        <v>73.7</v>
      </c>
      <c r="J23" s="367">
        <f t="shared" ca="1" si="11"/>
        <v>73.7</v>
      </c>
      <c r="K23" s="367">
        <f t="shared" ca="1" si="12"/>
        <v>0</v>
      </c>
      <c r="M23" s="367">
        <f ca="1">MAX(K19:K48)</f>
        <v>0</v>
      </c>
      <c r="N23" s="367">
        <f ca="1">IF(B15,IF($B$5,MATCH(M23,K19:K48,0),0),0)</f>
        <v>0</v>
      </c>
      <c r="O23" s="367" t="e">
        <f ca="1">IF(AND($B$15,$B$5,N23&lt;&gt;N19),INDEX(B19:B48,$N23),NA())</f>
        <v>#N/A</v>
      </c>
      <c r="P23" s="367" t="e">
        <f ca="1">IF(AND($B$15,$B$5,N23&lt;&gt;N19),INDEX(G19:G48,$N23),NA())</f>
        <v>#N/A</v>
      </c>
      <c r="Q23" s="367" t="e">
        <f ca="1">IF(AND($B$15,$B$5,N23&lt;&gt;N19),INDEX(H19:H48,$N23),NA())</f>
        <v>#N/A</v>
      </c>
      <c r="S23" s="367">
        <f t="shared" si="4"/>
        <v>0</v>
      </c>
      <c r="T23" s="367" t="e">
        <f t="shared" si="5"/>
        <v>#N/A</v>
      </c>
      <c r="U23" s="367" t="e">
        <f t="shared" si="5"/>
        <v>#N/A</v>
      </c>
      <c r="W23" s="654">
        <f t="shared" ca="1" si="6"/>
        <v>73.7</v>
      </c>
      <c r="X23" s="654">
        <f t="shared" ca="1" si="6"/>
        <v>73.7</v>
      </c>
      <c r="Z23" s="367" t="e">
        <f t="shared" ca="1" si="7"/>
        <v>#N/A</v>
      </c>
      <c r="AA23" s="367" t="e">
        <f t="shared" ca="1" si="7"/>
        <v>#N/A</v>
      </c>
    </row>
    <row r="24" spans="1:27">
      <c r="A24" s="367">
        <f t="shared" si="13"/>
        <v>6</v>
      </c>
      <c r="B24" s="367" t="str">
        <f>tblTerritories!C8</f>
        <v>Berlin</v>
      </c>
      <c r="C24" s="367">
        <f>IF(tblTerritories!F8="",0,tblTerritories!F8)</f>
        <v>1</v>
      </c>
      <c r="D24" s="367">
        <f t="shared" ca="1" si="2"/>
        <v>68.2</v>
      </c>
      <c r="E24" s="367">
        <f t="shared" ca="1" si="3"/>
        <v>68.2</v>
      </c>
      <c r="F24" s="367" t="b">
        <f t="shared" ca="1" si="8"/>
        <v>1</v>
      </c>
      <c r="G24" s="367">
        <f t="shared" ca="1" si="9"/>
        <v>68.2</v>
      </c>
      <c r="H24" s="367">
        <f t="shared" ca="1" si="10"/>
        <v>68.2</v>
      </c>
      <c r="J24" s="367">
        <f t="shared" ca="1" si="11"/>
        <v>68.2</v>
      </c>
      <c r="K24" s="367">
        <f t="shared" ca="1" si="12"/>
        <v>0</v>
      </c>
      <c r="S24" s="367">
        <f t="shared" si="4"/>
        <v>0</v>
      </c>
      <c r="T24" s="367" t="e">
        <f t="shared" si="5"/>
        <v>#N/A</v>
      </c>
      <c r="U24" s="367" t="e">
        <f t="shared" si="5"/>
        <v>#N/A</v>
      </c>
      <c r="W24" s="654">
        <f t="shared" ca="1" si="6"/>
        <v>68.2</v>
      </c>
      <c r="X24" s="654">
        <f t="shared" ca="1" si="6"/>
        <v>68.2</v>
      </c>
      <c r="Z24" s="367" t="e">
        <f t="shared" ca="1" si="7"/>
        <v>#N/A</v>
      </c>
      <c r="AA24" s="367" t="e">
        <f t="shared" ca="1" si="7"/>
        <v>#N/A</v>
      </c>
    </row>
    <row r="25" spans="1:27">
      <c r="A25" s="367">
        <f t="shared" si="13"/>
        <v>7</v>
      </c>
      <c r="B25" s="367" t="str">
        <f>tblTerritories!C9</f>
        <v>Buenos Aires</v>
      </c>
      <c r="C25" s="367">
        <f>IF(tblTerritories!F9="",0,tblTerritories!F9)</f>
        <v>1</v>
      </c>
      <c r="D25" s="367">
        <f t="shared" ca="1" si="2"/>
        <v>45.1</v>
      </c>
      <c r="E25" s="367">
        <f t="shared" ca="1" si="3"/>
        <v>45.1</v>
      </c>
      <c r="F25" s="367" t="b">
        <f t="shared" ca="1" si="8"/>
        <v>1</v>
      </c>
      <c r="G25" s="367">
        <f t="shared" ca="1" si="9"/>
        <v>45.1</v>
      </c>
      <c r="H25" s="367">
        <f t="shared" ca="1" si="10"/>
        <v>45.1</v>
      </c>
      <c r="J25" s="367">
        <f t="shared" ca="1" si="11"/>
        <v>45.1</v>
      </c>
      <c r="K25" s="367">
        <f t="shared" ca="1" si="12"/>
        <v>0</v>
      </c>
      <c r="M25" s="655" t="s">
        <v>650</v>
      </c>
      <c r="O25" s="17"/>
      <c r="S25" s="367">
        <f t="shared" si="4"/>
        <v>0</v>
      </c>
      <c r="T25" s="367" t="e">
        <f t="shared" si="5"/>
        <v>#N/A</v>
      </c>
      <c r="U25" s="367" t="e">
        <f t="shared" si="5"/>
        <v>#N/A</v>
      </c>
      <c r="W25" s="654">
        <f t="shared" ca="1" si="6"/>
        <v>45.1</v>
      </c>
      <c r="X25" s="654">
        <f t="shared" ca="1" si="6"/>
        <v>45.1</v>
      </c>
      <c r="Z25" s="367" t="e">
        <f t="shared" ca="1" si="7"/>
        <v>#N/A</v>
      </c>
      <c r="AA25" s="367" t="e">
        <f t="shared" ca="1" si="7"/>
        <v>#N/A</v>
      </c>
    </row>
    <row r="26" spans="1:27">
      <c r="A26" s="367">
        <f t="shared" si="13"/>
        <v>8</v>
      </c>
      <c r="B26" s="367" t="str">
        <f>tblTerritories!C10</f>
        <v>Copenhagen</v>
      </c>
      <c r="C26" s="367">
        <f>IF(tblTerritories!F10="",0,tblTerritories!F10)</f>
        <v>1</v>
      </c>
      <c r="D26" s="367">
        <f t="shared" ca="1" si="2"/>
        <v>81.5</v>
      </c>
      <c r="E26" s="367">
        <f t="shared" ca="1" si="3"/>
        <v>81.5</v>
      </c>
      <c r="F26" s="367" t="b">
        <f t="shared" ca="1" si="8"/>
        <v>1</v>
      </c>
      <c r="G26" s="367">
        <f t="shared" ca="1" si="9"/>
        <v>81.5</v>
      </c>
      <c r="H26" s="367">
        <f t="shared" ca="1" si="10"/>
        <v>81.5</v>
      </c>
      <c r="J26" s="367">
        <f t="shared" ca="1" si="11"/>
        <v>81.5</v>
      </c>
      <c r="K26" s="367">
        <f t="shared" ca="1" si="12"/>
        <v>0</v>
      </c>
      <c r="M26" s="367" t="s">
        <v>649</v>
      </c>
      <c r="N26" s="367" t="s">
        <v>648</v>
      </c>
      <c r="O26" s="17" t="s">
        <v>647</v>
      </c>
      <c r="P26" s="367" t="s">
        <v>2</v>
      </c>
      <c r="Q26" s="367" t="s">
        <v>1</v>
      </c>
      <c r="S26" s="367">
        <f t="shared" si="4"/>
        <v>0</v>
      </c>
      <c r="T26" s="367" t="e">
        <f t="shared" si="5"/>
        <v>#N/A</v>
      </c>
      <c r="U26" s="367" t="e">
        <f t="shared" si="5"/>
        <v>#N/A</v>
      </c>
      <c r="W26" s="654">
        <f t="shared" ca="1" si="6"/>
        <v>81.5</v>
      </c>
      <c r="X26" s="654">
        <f t="shared" ca="1" si="6"/>
        <v>81.5</v>
      </c>
      <c r="Z26" s="367" t="e">
        <f t="shared" ca="1" si="7"/>
        <v>#N/A</v>
      </c>
      <c r="AA26" s="367" t="e">
        <f t="shared" ca="1" si="7"/>
        <v>#N/A</v>
      </c>
    </row>
    <row r="27" spans="1:27">
      <c r="A27" s="367">
        <f t="shared" si="13"/>
        <v>9</v>
      </c>
      <c r="B27" s="367" t="str">
        <f>tblTerritories!C11</f>
        <v>Dallas</v>
      </c>
      <c r="C27" s="367">
        <f>IF(tblTerritories!F11="",0,tblTerritories!F11)</f>
        <v>1</v>
      </c>
      <c r="D27" s="367">
        <f t="shared" ca="1" si="2"/>
        <v>68.7</v>
      </c>
      <c r="E27" s="367">
        <f t="shared" ca="1" si="3"/>
        <v>68.7</v>
      </c>
      <c r="F27" s="367" t="b">
        <f t="shared" ca="1" si="8"/>
        <v>1</v>
      </c>
      <c r="G27" s="367">
        <f t="shared" ca="1" si="9"/>
        <v>68.7</v>
      </c>
      <c r="H27" s="367">
        <f t="shared" ca="1" si="10"/>
        <v>68.7</v>
      </c>
      <c r="J27" s="367">
        <f t="shared" ca="1" si="11"/>
        <v>68.7</v>
      </c>
      <c r="K27" s="367">
        <f t="shared" ca="1" si="12"/>
        <v>0</v>
      </c>
      <c r="M27" s="367">
        <f ca="1">MIN(K19:K48)</f>
        <v>0</v>
      </c>
      <c r="N27" s="367">
        <f ca="1">IF(B15,IF($B$5,MATCH(M27,K19:K48,0),0),0)</f>
        <v>0</v>
      </c>
      <c r="O27" s="367" t="e">
        <f ca="1">IF(AND($B$15,$B$5,N27&lt;&gt;N19),INDEX(B19:B48,$N27),NA())</f>
        <v>#N/A</v>
      </c>
      <c r="P27" s="367" t="e">
        <f ca="1">IF(AND($B$5,$B$15,N27&lt;&gt;N19),INDEX(G19:G48,$N27),NA())</f>
        <v>#N/A</v>
      </c>
      <c r="Q27" s="367" t="e">
        <f ca="1">IF(AND($B$5,$B$15,N27&lt;&gt;N19),INDEX(H19:H48,$N27),NA())</f>
        <v>#N/A</v>
      </c>
      <c r="S27" s="367">
        <f t="shared" si="4"/>
        <v>0</v>
      </c>
      <c r="T27" s="367" t="e">
        <f t="shared" si="5"/>
        <v>#N/A</v>
      </c>
      <c r="U27" s="367" t="e">
        <f t="shared" si="5"/>
        <v>#N/A</v>
      </c>
      <c r="W27" s="654">
        <f t="shared" ca="1" si="6"/>
        <v>68.7</v>
      </c>
      <c r="X27" s="654">
        <f t="shared" ca="1" si="6"/>
        <v>68.7</v>
      </c>
      <c r="Z27" s="367" t="e">
        <f t="shared" ca="1" si="7"/>
        <v>#N/A</v>
      </c>
      <c r="AA27" s="367" t="e">
        <f t="shared" ca="1" si="7"/>
        <v>#N/A</v>
      </c>
    </row>
    <row r="28" spans="1:27">
      <c r="A28" s="367">
        <f t="shared" si="13"/>
        <v>10</v>
      </c>
      <c r="B28" s="367" t="str">
        <f>tblTerritories!C12</f>
        <v>Dubai</v>
      </c>
      <c r="C28" s="367">
        <f>IF(tblTerritories!F12="",0,tblTerritories!F12)</f>
        <v>1</v>
      </c>
      <c r="D28" s="367">
        <f t="shared" ca="1" si="2"/>
        <v>63.8</v>
      </c>
      <c r="E28" s="367">
        <f t="shared" ca="1" si="3"/>
        <v>63.8</v>
      </c>
      <c r="F28" s="367" t="b">
        <f t="shared" ca="1" si="8"/>
        <v>1</v>
      </c>
      <c r="G28" s="367">
        <f t="shared" ca="1" si="9"/>
        <v>63.8</v>
      </c>
      <c r="H28" s="367">
        <f t="shared" ca="1" si="10"/>
        <v>63.8</v>
      </c>
      <c r="J28" s="367">
        <f t="shared" ca="1" si="11"/>
        <v>63.8</v>
      </c>
      <c r="K28" s="367">
        <f t="shared" ca="1" si="12"/>
        <v>0</v>
      </c>
      <c r="S28" s="367">
        <f t="shared" si="4"/>
        <v>0</v>
      </c>
      <c r="T28" s="367" t="e">
        <f t="shared" si="5"/>
        <v>#N/A</v>
      </c>
      <c r="U28" s="367" t="e">
        <f t="shared" si="5"/>
        <v>#N/A</v>
      </c>
      <c r="W28" s="654">
        <f t="shared" ca="1" si="6"/>
        <v>63.8</v>
      </c>
      <c r="X28" s="654">
        <f t="shared" ca="1" si="6"/>
        <v>63.8</v>
      </c>
      <c r="Z28" s="367" t="e">
        <f t="shared" ca="1" si="7"/>
        <v>#N/A</v>
      </c>
      <c r="AA28" s="367" t="e">
        <f t="shared" ca="1" si="7"/>
        <v>#N/A</v>
      </c>
    </row>
    <row r="29" spans="1:27">
      <c r="A29" s="367">
        <f t="shared" si="13"/>
        <v>11</v>
      </c>
      <c r="B29" s="367" t="str">
        <f>tblTerritories!C13</f>
        <v>Frankfurt</v>
      </c>
      <c r="C29" s="367">
        <f>IF(tblTerritories!F13="",0,tblTerritories!F13)</f>
        <v>1</v>
      </c>
      <c r="D29" s="367">
        <f t="shared" ca="1" si="2"/>
        <v>69.099999999999994</v>
      </c>
      <c r="E29" s="367">
        <f t="shared" ca="1" si="3"/>
        <v>69.099999999999994</v>
      </c>
      <c r="F29" s="367" t="b">
        <f t="shared" ca="1" si="8"/>
        <v>1</v>
      </c>
      <c r="G29" s="367">
        <f t="shared" ca="1" si="9"/>
        <v>69.099999999999994</v>
      </c>
      <c r="H29" s="367">
        <f t="shared" ca="1" si="10"/>
        <v>69.099999999999994</v>
      </c>
      <c r="J29" s="367">
        <f t="shared" ca="1" si="11"/>
        <v>69.099999999999994</v>
      </c>
      <c r="K29" s="367">
        <f t="shared" ca="1" si="12"/>
        <v>0</v>
      </c>
      <c r="S29" s="367">
        <f t="shared" si="4"/>
        <v>0</v>
      </c>
      <c r="T29" s="367" t="e">
        <f t="shared" si="5"/>
        <v>#N/A</v>
      </c>
      <c r="U29" s="367" t="e">
        <f t="shared" si="5"/>
        <v>#N/A</v>
      </c>
      <c r="W29" s="654">
        <f t="shared" ca="1" si="6"/>
        <v>69.099999999999994</v>
      </c>
      <c r="X29" s="654">
        <f t="shared" ca="1" si="6"/>
        <v>69.099999999999994</v>
      </c>
      <c r="Z29" s="367" t="e">
        <f t="shared" ca="1" si="7"/>
        <v>#N/A</v>
      </c>
      <c r="AA29" s="367" t="e">
        <f t="shared" ca="1" si="7"/>
        <v>#N/A</v>
      </c>
    </row>
    <row r="30" spans="1:27">
      <c r="A30" s="367">
        <f t="shared" si="13"/>
        <v>12</v>
      </c>
      <c r="B30" s="367" t="str">
        <f>tblTerritories!C14</f>
        <v>Hong Kong</v>
      </c>
      <c r="C30" s="367">
        <f>IF(tblTerritories!F14="",0,tblTerritories!F14)</f>
        <v>1</v>
      </c>
      <c r="D30" s="367">
        <f t="shared" ca="1" si="2"/>
        <v>68</v>
      </c>
      <c r="E30" s="367">
        <f t="shared" ca="1" si="3"/>
        <v>68</v>
      </c>
      <c r="F30" s="367" t="b">
        <f t="shared" ca="1" si="8"/>
        <v>1</v>
      </c>
      <c r="G30" s="367">
        <f t="shared" ca="1" si="9"/>
        <v>68</v>
      </c>
      <c r="H30" s="367">
        <f t="shared" ca="1" si="10"/>
        <v>68</v>
      </c>
      <c r="J30" s="367">
        <f t="shared" ca="1" si="11"/>
        <v>68</v>
      </c>
      <c r="K30" s="367">
        <f t="shared" ca="1" si="12"/>
        <v>0</v>
      </c>
      <c r="S30" s="367">
        <f t="shared" si="4"/>
        <v>0</v>
      </c>
      <c r="T30" s="367" t="e">
        <f t="shared" si="5"/>
        <v>#N/A</v>
      </c>
      <c r="U30" s="367" t="e">
        <f t="shared" si="5"/>
        <v>#N/A</v>
      </c>
      <c r="W30" s="654">
        <f t="shared" ca="1" si="6"/>
        <v>68</v>
      </c>
      <c r="X30" s="654">
        <f t="shared" ca="1" si="6"/>
        <v>68</v>
      </c>
      <c r="Z30" s="367" t="e">
        <f t="shared" ca="1" si="7"/>
        <v>#N/A</v>
      </c>
      <c r="AA30" s="367" t="e">
        <f t="shared" ca="1" si="7"/>
        <v>#N/A</v>
      </c>
    </row>
    <row r="31" spans="1:27">
      <c r="A31" s="367">
        <f t="shared" si="13"/>
        <v>13</v>
      </c>
      <c r="B31" s="367" t="str">
        <f>tblTerritories!C15</f>
        <v>Jakarta</v>
      </c>
      <c r="C31" s="367">
        <f>IF(tblTerritories!F15="",0,tblTerritories!F15)</f>
        <v>1</v>
      </c>
      <c r="D31" s="367">
        <f t="shared" ca="1" si="2"/>
        <v>43.5</v>
      </c>
      <c r="E31" s="367">
        <f t="shared" ca="1" si="3"/>
        <v>43.5</v>
      </c>
      <c r="F31" s="367" t="b">
        <f t="shared" ca="1" si="8"/>
        <v>1</v>
      </c>
      <c r="G31" s="367">
        <f t="shared" ca="1" si="9"/>
        <v>43.5</v>
      </c>
      <c r="H31" s="367">
        <f t="shared" ca="1" si="10"/>
        <v>43.5</v>
      </c>
      <c r="J31" s="367">
        <f t="shared" ca="1" si="11"/>
        <v>43.5</v>
      </c>
      <c r="K31" s="367">
        <f t="shared" ca="1" si="12"/>
        <v>0</v>
      </c>
      <c r="S31" s="367">
        <f t="shared" si="4"/>
        <v>0</v>
      </c>
      <c r="T31" s="367" t="e">
        <f t="shared" si="5"/>
        <v>#N/A</v>
      </c>
      <c r="U31" s="367" t="e">
        <f t="shared" si="5"/>
        <v>#N/A</v>
      </c>
      <c r="W31" s="654">
        <f t="shared" ca="1" si="6"/>
        <v>43.5</v>
      </c>
      <c r="X31" s="654">
        <f t="shared" ca="1" si="6"/>
        <v>43.5</v>
      </c>
      <c r="Z31" s="367" t="e">
        <f t="shared" ca="1" si="7"/>
        <v>#N/A</v>
      </c>
      <c r="AA31" s="367" t="e">
        <f t="shared" ca="1" si="7"/>
        <v>#N/A</v>
      </c>
    </row>
    <row r="32" spans="1:27">
      <c r="A32" s="367">
        <f t="shared" si="13"/>
        <v>14</v>
      </c>
      <c r="B32" s="367" t="str">
        <f>tblTerritories!C16</f>
        <v>Kuala Lumpur</v>
      </c>
      <c r="C32" s="367">
        <f>IF(tblTerritories!F16="",0,tblTerritories!F16)</f>
        <v>1</v>
      </c>
      <c r="D32" s="367">
        <f t="shared" ca="1" si="2"/>
        <v>58.2</v>
      </c>
      <c r="E32" s="367">
        <f t="shared" ca="1" si="3"/>
        <v>58.2</v>
      </c>
      <c r="F32" s="367" t="b">
        <f t="shared" ca="1" si="8"/>
        <v>1</v>
      </c>
      <c r="G32" s="367">
        <f t="shared" ca="1" si="9"/>
        <v>58.2</v>
      </c>
      <c r="H32" s="367">
        <f t="shared" ca="1" si="10"/>
        <v>58.2</v>
      </c>
      <c r="J32" s="367">
        <f t="shared" ca="1" si="11"/>
        <v>58.2</v>
      </c>
      <c r="K32" s="367">
        <f t="shared" ca="1" si="12"/>
        <v>0</v>
      </c>
      <c r="S32" s="367">
        <f t="shared" si="4"/>
        <v>0</v>
      </c>
      <c r="T32" s="367" t="e">
        <f t="shared" si="5"/>
        <v>#N/A</v>
      </c>
      <c r="U32" s="367" t="e">
        <f t="shared" si="5"/>
        <v>#N/A</v>
      </c>
      <c r="W32" s="654">
        <f t="shared" ca="1" si="6"/>
        <v>58.2</v>
      </c>
      <c r="X32" s="654">
        <f t="shared" ca="1" si="6"/>
        <v>58.2</v>
      </c>
      <c r="Z32" s="367" t="e">
        <f t="shared" ca="1" si="7"/>
        <v>#N/A</v>
      </c>
      <c r="AA32" s="367" t="e">
        <f t="shared" ca="1" si="7"/>
        <v>#N/A</v>
      </c>
    </row>
    <row r="33" spans="1:27">
      <c r="A33" s="367">
        <f t="shared" si="13"/>
        <v>15</v>
      </c>
      <c r="B33" s="367" t="str">
        <f>tblTerritories!C17</f>
        <v>London</v>
      </c>
      <c r="C33" s="367">
        <f>IF(tblTerritories!F17="",0,tblTerritories!F17)</f>
        <v>1</v>
      </c>
      <c r="D33" s="367">
        <f t="shared" ca="1" si="2"/>
        <v>73.599999999999994</v>
      </c>
      <c r="E33" s="367">
        <f t="shared" ca="1" si="3"/>
        <v>73.599999999999994</v>
      </c>
      <c r="F33" s="367" t="b">
        <f t="shared" ca="1" si="8"/>
        <v>1</v>
      </c>
      <c r="G33" s="367">
        <f t="shared" ca="1" si="9"/>
        <v>73.599999999999994</v>
      </c>
      <c r="H33" s="367">
        <f t="shared" ca="1" si="10"/>
        <v>73.599999999999994</v>
      </c>
      <c r="J33" s="367">
        <f t="shared" ca="1" si="11"/>
        <v>73.599999999999994</v>
      </c>
      <c r="K33" s="367">
        <f t="shared" ca="1" si="12"/>
        <v>0</v>
      </c>
      <c r="S33" s="367">
        <f t="shared" si="4"/>
        <v>0</v>
      </c>
      <c r="T33" s="367" t="e">
        <f t="shared" si="5"/>
        <v>#N/A</v>
      </c>
      <c r="U33" s="367" t="e">
        <f t="shared" si="5"/>
        <v>#N/A</v>
      </c>
      <c r="W33" s="654">
        <f t="shared" ca="1" si="6"/>
        <v>73.599999999999994</v>
      </c>
      <c r="X33" s="654">
        <f t="shared" ca="1" si="6"/>
        <v>73.599999999999994</v>
      </c>
      <c r="Z33" s="367" t="e">
        <f t="shared" ca="1" si="7"/>
        <v>#N/A</v>
      </c>
      <c r="AA33" s="367" t="e">
        <f t="shared" ca="1" si="7"/>
        <v>#N/A</v>
      </c>
    </row>
    <row r="34" spans="1:27">
      <c r="A34" s="367">
        <f t="shared" si="13"/>
        <v>16</v>
      </c>
      <c r="B34" s="367" t="str">
        <f>tblTerritories!C18</f>
        <v>Madrid</v>
      </c>
      <c r="C34" s="367">
        <f>IF(tblTerritories!F18="",0,tblTerritories!F18)</f>
        <v>1</v>
      </c>
      <c r="D34" s="367">
        <f t="shared" ca="1" si="2"/>
        <v>63.2</v>
      </c>
      <c r="E34" s="367">
        <f t="shared" ca="1" si="3"/>
        <v>63.2</v>
      </c>
      <c r="F34" s="367" t="b">
        <f t="shared" ca="1" si="8"/>
        <v>1</v>
      </c>
      <c r="G34" s="367">
        <f t="shared" ca="1" si="9"/>
        <v>63.2</v>
      </c>
      <c r="H34" s="367">
        <f t="shared" ca="1" si="10"/>
        <v>63.2</v>
      </c>
      <c r="J34" s="367">
        <f t="shared" ca="1" si="11"/>
        <v>63.2</v>
      </c>
      <c r="K34" s="367">
        <f t="shared" ca="1" si="12"/>
        <v>0</v>
      </c>
      <c r="S34" s="367">
        <f t="shared" si="4"/>
        <v>0</v>
      </c>
      <c r="T34" s="367" t="e">
        <f t="shared" si="5"/>
        <v>#N/A</v>
      </c>
      <c r="U34" s="367" t="e">
        <f t="shared" si="5"/>
        <v>#N/A</v>
      </c>
      <c r="W34" s="654">
        <f t="shared" ca="1" si="6"/>
        <v>63.2</v>
      </c>
      <c r="X34" s="654">
        <f t="shared" ca="1" si="6"/>
        <v>63.2</v>
      </c>
      <c r="Z34" s="367" t="e">
        <f t="shared" ca="1" si="7"/>
        <v>#N/A</v>
      </c>
      <c r="AA34" s="367" t="e">
        <f t="shared" ca="1" si="7"/>
        <v>#N/A</v>
      </c>
    </row>
    <row r="35" spans="1:27">
      <c r="A35" s="367">
        <f t="shared" si="13"/>
        <v>17</v>
      </c>
      <c r="B35" s="367" t="str">
        <f>tblTerritories!C19</f>
        <v>Manila</v>
      </c>
      <c r="C35" s="367">
        <f>IF(tblTerritories!F19="",0,tblTerritories!F19)</f>
        <v>1</v>
      </c>
      <c r="D35" s="367">
        <f t="shared" ca="1" si="2"/>
        <v>39.1</v>
      </c>
      <c r="E35" s="367">
        <f t="shared" ca="1" si="3"/>
        <v>39.1</v>
      </c>
      <c r="F35" s="367" t="b">
        <f t="shared" ca="1" si="8"/>
        <v>1</v>
      </c>
      <c r="G35" s="367">
        <f t="shared" ca="1" si="9"/>
        <v>39.1</v>
      </c>
      <c r="H35" s="367">
        <f t="shared" ca="1" si="10"/>
        <v>39.1</v>
      </c>
      <c r="J35" s="367">
        <f t="shared" ca="1" si="11"/>
        <v>39.1</v>
      </c>
      <c r="K35" s="367">
        <f t="shared" ca="1" si="12"/>
        <v>0</v>
      </c>
      <c r="S35" s="367">
        <f t="shared" si="4"/>
        <v>0</v>
      </c>
      <c r="T35" s="367" t="e">
        <f t="shared" ref="T35:U42" si="14">IF($S35=0,NA(),G35)</f>
        <v>#N/A</v>
      </c>
      <c r="U35" s="367" t="e">
        <f t="shared" si="14"/>
        <v>#N/A</v>
      </c>
      <c r="W35" s="654">
        <f t="shared" ref="W35:X42" ca="1" si="15">IF(AND($C35&gt;0,$F35),G35,NA())</f>
        <v>39.1</v>
      </c>
      <c r="X35" s="654">
        <f t="shared" ca="1" si="15"/>
        <v>39.1</v>
      </c>
      <c r="Z35" s="367" t="e">
        <f t="shared" ref="Z35:AA42" ca="1" si="16">IF(AND($C35=2,$F35),G35,NA())</f>
        <v>#N/A</v>
      </c>
      <c r="AA35" s="367" t="e">
        <f t="shared" ca="1" si="16"/>
        <v>#N/A</v>
      </c>
    </row>
    <row r="36" spans="1:27">
      <c r="A36" s="367">
        <f t="shared" si="13"/>
        <v>18</v>
      </c>
      <c r="B36" s="367" t="str">
        <f>tblTerritories!C20</f>
        <v>Mexico City</v>
      </c>
      <c r="C36" s="367">
        <f>IF(tblTerritories!F20="",0,tblTerritories!F20)</f>
        <v>1</v>
      </c>
      <c r="D36" s="367">
        <f t="shared" ca="1" si="2"/>
        <v>42.6</v>
      </c>
      <c r="E36" s="367">
        <f t="shared" ca="1" si="3"/>
        <v>42.6</v>
      </c>
      <c r="F36" s="367" t="b">
        <f t="shared" ca="1" si="8"/>
        <v>1</v>
      </c>
      <c r="G36" s="367">
        <f t="shared" ca="1" si="9"/>
        <v>42.6</v>
      </c>
      <c r="H36" s="367">
        <f t="shared" ca="1" si="10"/>
        <v>42.6</v>
      </c>
      <c r="J36" s="367">
        <f t="shared" ca="1" si="11"/>
        <v>42.6</v>
      </c>
      <c r="K36" s="367">
        <f t="shared" ca="1" si="12"/>
        <v>0</v>
      </c>
      <c r="S36" s="367">
        <f t="shared" si="4"/>
        <v>0</v>
      </c>
      <c r="T36" s="367" t="e">
        <f t="shared" si="14"/>
        <v>#N/A</v>
      </c>
      <c r="U36" s="367" t="e">
        <f t="shared" si="14"/>
        <v>#N/A</v>
      </c>
      <c r="W36" s="654">
        <f t="shared" ca="1" si="15"/>
        <v>42.6</v>
      </c>
      <c r="X36" s="654">
        <f t="shared" ca="1" si="15"/>
        <v>42.6</v>
      </c>
      <c r="Z36" s="367" t="e">
        <f t="shared" ca="1" si="16"/>
        <v>#N/A</v>
      </c>
      <c r="AA36" s="367" t="e">
        <f t="shared" ca="1" si="16"/>
        <v>#N/A</v>
      </c>
    </row>
    <row r="37" spans="1:27">
      <c r="A37" s="367">
        <f t="shared" si="13"/>
        <v>19</v>
      </c>
      <c r="B37" s="367" t="str">
        <f>tblTerritories!C21</f>
        <v>New Delhi</v>
      </c>
      <c r="C37" s="367">
        <f>IF(tblTerritories!F21="",0,tblTerritories!F21)</f>
        <v>1</v>
      </c>
      <c r="D37" s="367">
        <f t="shared" ca="1" si="2"/>
        <v>40.299999999999997</v>
      </c>
      <c r="E37" s="367">
        <f t="shared" ca="1" si="3"/>
        <v>40.299999999999997</v>
      </c>
      <c r="F37" s="367" t="b">
        <f t="shared" ca="1" si="8"/>
        <v>1</v>
      </c>
      <c r="G37" s="367">
        <f t="shared" ca="1" si="9"/>
        <v>40.299999999999997</v>
      </c>
      <c r="H37" s="367">
        <f t="shared" ca="1" si="10"/>
        <v>40.299999999999997</v>
      </c>
      <c r="J37" s="367">
        <f t="shared" ca="1" si="11"/>
        <v>40.299999999999997</v>
      </c>
      <c r="K37" s="367">
        <f t="shared" ca="1" si="12"/>
        <v>0</v>
      </c>
      <c r="S37" s="367">
        <f t="shared" si="4"/>
        <v>0</v>
      </c>
      <c r="T37" s="367" t="e">
        <f t="shared" si="14"/>
        <v>#N/A</v>
      </c>
      <c r="U37" s="367" t="e">
        <f t="shared" si="14"/>
        <v>#N/A</v>
      </c>
      <c r="W37" s="654">
        <f t="shared" ca="1" si="15"/>
        <v>40.299999999999997</v>
      </c>
      <c r="X37" s="654">
        <f t="shared" ca="1" si="15"/>
        <v>40.299999999999997</v>
      </c>
      <c r="Z37" s="367" t="e">
        <f t="shared" ca="1" si="16"/>
        <v>#N/A</v>
      </c>
      <c r="AA37" s="367" t="e">
        <f t="shared" ca="1" si="16"/>
        <v>#N/A</v>
      </c>
    </row>
    <row r="38" spans="1:27">
      <c r="A38" s="367">
        <f t="shared" si="13"/>
        <v>20</v>
      </c>
      <c r="B38" s="367" t="str">
        <f>tblTerritories!C22</f>
        <v>New York</v>
      </c>
      <c r="C38" s="367">
        <f>IF(tblTerritories!F22="",0,tblTerritories!F22)</f>
        <v>1</v>
      </c>
      <c r="D38" s="367">
        <f t="shared" ca="1" si="2"/>
        <v>73.3</v>
      </c>
      <c r="E38" s="367">
        <f t="shared" ca="1" si="3"/>
        <v>73.3</v>
      </c>
      <c r="F38" s="367" t="b">
        <f t="shared" ca="1" si="8"/>
        <v>1</v>
      </c>
      <c r="G38" s="367">
        <f t="shared" ca="1" si="9"/>
        <v>73.3</v>
      </c>
      <c r="H38" s="367">
        <f t="shared" ca="1" si="10"/>
        <v>73.3</v>
      </c>
      <c r="J38" s="367">
        <f t="shared" ca="1" si="11"/>
        <v>73.3</v>
      </c>
      <c r="K38" s="367">
        <f t="shared" ca="1" si="12"/>
        <v>0</v>
      </c>
      <c r="S38" s="367">
        <f t="shared" si="4"/>
        <v>0</v>
      </c>
      <c r="T38" s="367" t="e">
        <f t="shared" si="14"/>
        <v>#N/A</v>
      </c>
      <c r="U38" s="367" t="e">
        <f t="shared" si="14"/>
        <v>#N/A</v>
      </c>
      <c r="W38" s="654">
        <f t="shared" ca="1" si="15"/>
        <v>73.3</v>
      </c>
      <c r="X38" s="654">
        <f t="shared" ca="1" si="15"/>
        <v>73.3</v>
      </c>
      <c r="Z38" s="367" t="e">
        <f t="shared" ca="1" si="16"/>
        <v>#N/A</v>
      </c>
      <c r="AA38" s="367" t="e">
        <f t="shared" ca="1" si="16"/>
        <v>#N/A</v>
      </c>
    </row>
    <row r="39" spans="1:27">
      <c r="A39" s="367">
        <f t="shared" si="13"/>
        <v>21</v>
      </c>
      <c r="B39" s="367" t="str">
        <f>tblTerritories!C23</f>
        <v>Paris</v>
      </c>
      <c r="C39" s="367">
        <f>IF(tblTerritories!F23="",0,tblTerritories!F23)</f>
        <v>1</v>
      </c>
      <c r="D39" s="367">
        <f t="shared" ca="1" si="2"/>
        <v>70.2</v>
      </c>
      <c r="E39" s="367">
        <f t="shared" ca="1" si="3"/>
        <v>70.2</v>
      </c>
      <c r="F39" s="367" t="b">
        <f t="shared" ca="1" si="8"/>
        <v>1</v>
      </c>
      <c r="G39" s="367">
        <f t="shared" ca="1" si="9"/>
        <v>70.2</v>
      </c>
      <c r="H39" s="367">
        <f t="shared" ca="1" si="10"/>
        <v>70.2</v>
      </c>
      <c r="J39" s="367">
        <f t="shared" ca="1" si="11"/>
        <v>70.2</v>
      </c>
      <c r="K39" s="367">
        <f t="shared" ca="1" si="12"/>
        <v>0</v>
      </c>
      <c r="S39" s="367">
        <f t="shared" si="4"/>
        <v>0</v>
      </c>
      <c r="T39" s="367" t="e">
        <f t="shared" si="14"/>
        <v>#N/A</v>
      </c>
      <c r="U39" s="367" t="e">
        <f t="shared" si="14"/>
        <v>#N/A</v>
      </c>
      <c r="W39" s="654">
        <f t="shared" ca="1" si="15"/>
        <v>70.2</v>
      </c>
      <c r="X39" s="654">
        <f t="shared" ca="1" si="15"/>
        <v>70.2</v>
      </c>
      <c r="Z39" s="367" t="e">
        <f t="shared" ca="1" si="16"/>
        <v>#N/A</v>
      </c>
      <c r="AA39" s="367" t="e">
        <f t="shared" ca="1" si="16"/>
        <v>#N/A</v>
      </c>
    </row>
    <row r="40" spans="1:27">
      <c r="A40" s="367">
        <f t="shared" si="13"/>
        <v>22</v>
      </c>
      <c r="B40" s="367" t="str">
        <f>tblTerritories!C24</f>
        <v>Rome</v>
      </c>
      <c r="C40" s="367">
        <f>IF(tblTerritories!F24="",0,tblTerritories!F24)</f>
        <v>1</v>
      </c>
      <c r="D40" s="367">
        <f t="shared" ca="1" si="2"/>
        <v>61.2</v>
      </c>
      <c r="E40" s="367">
        <f t="shared" ca="1" si="3"/>
        <v>61.2</v>
      </c>
      <c r="F40" s="367" t="b">
        <f t="shared" ca="1" si="8"/>
        <v>1</v>
      </c>
      <c r="G40" s="367">
        <f t="shared" ca="1" si="9"/>
        <v>61.2</v>
      </c>
      <c r="H40" s="367">
        <f t="shared" ca="1" si="10"/>
        <v>61.2</v>
      </c>
      <c r="J40" s="367">
        <f t="shared" ca="1" si="11"/>
        <v>61.2</v>
      </c>
      <c r="K40" s="367">
        <f t="shared" ca="1" si="12"/>
        <v>0</v>
      </c>
      <c r="S40" s="367">
        <f t="shared" si="4"/>
        <v>0</v>
      </c>
      <c r="T40" s="367" t="e">
        <f t="shared" si="14"/>
        <v>#N/A</v>
      </c>
      <c r="U40" s="367" t="e">
        <f t="shared" si="14"/>
        <v>#N/A</v>
      </c>
      <c r="W40" s="654">
        <f t="shared" ca="1" si="15"/>
        <v>61.2</v>
      </c>
      <c r="X40" s="654">
        <f t="shared" ca="1" si="15"/>
        <v>61.2</v>
      </c>
      <c r="Z40" s="367" t="e">
        <f t="shared" ca="1" si="16"/>
        <v>#N/A</v>
      </c>
      <c r="AA40" s="367" t="e">
        <f t="shared" ca="1" si="16"/>
        <v>#N/A</v>
      </c>
    </row>
    <row r="41" spans="1:27">
      <c r="A41" s="367">
        <f t="shared" si="13"/>
        <v>23</v>
      </c>
      <c r="B41" s="367" t="str">
        <f>tblTerritories!C25</f>
        <v>Sao Paulo</v>
      </c>
      <c r="C41" s="367">
        <f>IF(tblTerritories!F25="",0,tblTerritories!F25)</f>
        <v>1</v>
      </c>
      <c r="D41" s="367">
        <f t="shared" ca="1" si="2"/>
        <v>50.7</v>
      </c>
      <c r="E41" s="367">
        <f t="shared" ca="1" si="3"/>
        <v>50.7</v>
      </c>
      <c r="F41" s="367" t="b">
        <f t="shared" ca="1" si="8"/>
        <v>1</v>
      </c>
      <c r="G41" s="367">
        <f t="shared" ca="1" si="9"/>
        <v>50.7</v>
      </c>
      <c r="H41" s="367">
        <f t="shared" ca="1" si="10"/>
        <v>50.7</v>
      </c>
      <c r="J41" s="367">
        <f t="shared" ca="1" si="11"/>
        <v>50.7</v>
      </c>
      <c r="K41" s="367">
        <f t="shared" ca="1" si="12"/>
        <v>0</v>
      </c>
      <c r="S41" s="367">
        <f t="shared" si="4"/>
        <v>0</v>
      </c>
      <c r="T41" s="367" t="e">
        <f t="shared" si="14"/>
        <v>#N/A</v>
      </c>
      <c r="U41" s="367" t="e">
        <f t="shared" si="14"/>
        <v>#N/A</v>
      </c>
      <c r="W41" s="654">
        <f t="shared" ca="1" si="15"/>
        <v>50.7</v>
      </c>
      <c r="X41" s="654">
        <f t="shared" ca="1" si="15"/>
        <v>50.7</v>
      </c>
      <c r="Z41" s="367" t="e">
        <f t="shared" ca="1" si="16"/>
        <v>#N/A</v>
      </c>
      <c r="AA41" s="367" t="e">
        <f t="shared" ca="1" si="16"/>
        <v>#N/A</v>
      </c>
    </row>
    <row r="42" spans="1:27">
      <c r="A42" s="367">
        <f t="shared" si="13"/>
        <v>24</v>
      </c>
      <c r="B42" s="367" t="str">
        <f>tblTerritories!C26</f>
        <v>Seoul</v>
      </c>
      <c r="C42" s="367">
        <f>IF(tblTerritories!F26="",0,tblTerritories!F26)</f>
        <v>1</v>
      </c>
      <c r="D42" s="367">
        <f t="shared" ca="1" si="2"/>
        <v>73.599999999999994</v>
      </c>
      <c r="E42" s="367">
        <f t="shared" ca="1" si="3"/>
        <v>73.599999999999994</v>
      </c>
      <c r="F42" s="367" t="b">
        <f t="shared" ca="1" si="8"/>
        <v>1</v>
      </c>
      <c r="G42" s="367">
        <f t="shared" ca="1" si="9"/>
        <v>73.599999999999994</v>
      </c>
      <c r="H42" s="367">
        <f t="shared" ca="1" si="10"/>
        <v>73.599999999999994</v>
      </c>
      <c r="J42" s="367">
        <f t="shared" ca="1" si="11"/>
        <v>73.599999999999994</v>
      </c>
      <c r="K42" s="367">
        <f t="shared" ca="1" si="12"/>
        <v>0</v>
      </c>
      <c r="S42" s="367">
        <f t="shared" si="4"/>
        <v>0</v>
      </c>
      <c r="T42" s="367" t="e">
        <f t="shared" si="14"/>
        <v>#N/A</v>
      </c>
      <c r="U42" s="367" t="e">
        <f t="shared" si="14"/>
        <v>#N/A</v>
      </c>
      <c r="W42" s="654">
        <f t="shared" ca="1" si="15"/>
        <v>73.599999999999994</v>
      </c>
      <c r="X42" s="654">
        <f t="shared" ca="1" si="15"/>
        <v>73.599999999999994</v>
      </c>
      <c r="Z42" s="367" t="e">
        <f t="shared" ca="1" si="16"/>
        <v>#N/A</v>
      </c>
      <c r="AA42" s="367" t="e">
        <f t="shared" ca="1" si="16"/>
        <v>#N/A</v>
      </c>
    </row>
    <row r="43" spans="1:27">
      <c r="A43" s="367">
        <f t="shared" si="13"/>
        <v>25</v>
      </c>
      <c r="B43" s="367" t="str">
        <f>tblTerritories!C27</f>
        <v>Singapore</v>
      </c>
      <c r="C43" s="367">
        <f>IF(tblTerritories!F27="",0,tblTerritories!F27)</f>
        <v>1</v>
      </c>
      <c r="D43" s="367">
        <f t="shared" ca="1" si="2"/>
        <v>71.400000000000006</v>
      </c>
      <c r="E43" s="367">
        <f t="shared" ca="1" si="3"/>
        <v>71.400000000000006</v>
      </c>
      <c r="F43" s="367" t="b">
        <f t="shared" ref="F43:F48" ca="1" si="17">AND(ISNUMBER(D43),ISNUMBER(E43))</f>
        <v>1</v>
      </c>
      <c r="G43" s="367">
        <f t="shared" ref="G43:G48" ca="1" si="18">IF($F43,ROUND(D43,$G$14),"")</f>
        <v>71.400000000000006</v>
      </c>
      <c r="H43" s="367">
        <f t="shared" ref="H43:H48" ca="1" si="19">IF($F43,ROUND(E43,$H$14),"")</f>
        <v>71.400000000000006</v>
      </c>
      <c r="J43" s="367">
        <f t="shared" ref="J43:J48" ca="1" si="20">IF(G43="","",(G43*$B$12)+$B$13)</f>
        <v>71.400000000000006</v>
      </c>
      <c r="K43" s="367">
        <f t="shared" ref="K43:K48" ca="1" si="21">IF(J43="","",H43-J43)</f>
        <v>0</v>
      </c>
      <c r="S43" s="367">
        <f t="shared" ref="S43:S48" si="22">IF(NOT($B$4),0,IF(OR(A43=$N$19,A43=$N$23,A43=$N$27),0,IF(AND(C43&lt;3,F43),1,0)))</f>
        <v>0</v>
      </c>
      <c r="T43" s="367" t="e">
        <f t="shared" ref="T43:T48" si="23">IF($S43=0,NA(),G43)</f>
        <v>#N/A</v>
      </c>
      <c r="U43" s="367" t="e">
        <f t="shared" ref="U43:U48" si="24">IF($S43=0,NA(),H43)</f>
        <v>#N/A</v>
      </c>
      <c r="W43" s="654">
        <f t="shared" ref="W43:W48" ca="1" si="25">IF(AND($C43&gt;0,$F43),G43,NA())</f>
        <v>71.400000000000006</v>
      </c>
      <c r="X43" s="654">
        <f t="shared" ref="X43:X48" ca="1" si="26">IF(AND($C43&gt;0,$F43),H43,NA())</f>
        <v>71.400000000000006</v>
      </c>
      <c r="Z43" s="367" t="e">
        <f t="shared" ref="Z43:Z48" ca="1" si="27">IF(AND($C43=2,$F43),G43,NA())</f>
        <v>#N/A</v>
      </c>
      <c r="AA43" s="367" t="e">
        <f t="shared" ref="AA43:AA48" ca="1" si="28">IF(AND($C43=2,$F43),H43,NA())</f>
        <v>#N/A</v>
      </c>
    </row>
    <row r="44" spans="1:27">
      <c r="A44" s="367">
        <f t="shared" si="13"/>
        <v>26</v>
      </c>
      <c r="B44" s="367" t="str">
        <f>tblTerritories!C28</f>
        <v>Sydney</v>
      </c>
      <c r="C44" s="367">
        <f>IF(tblTerritories!F28="",0,tblTerritories!F28)</f>
        <v>1</v>
      </c>
      <c r="D44" s="367">
        <f t="shared" ca="1" si="2"/>
        <v>72.599999999999994</v>
      </c>
      <c r="E44" s="367">
        <f t="shared" ca="1" si="3"/>
        <v>72.599999999999994</v>
      </c>
      <c r="F44" s="367" t="b">
        <f t="shared" ca="1" si="17"/>
        <v>1</v>
      </c>
      <c r="G44" s="367">
        <f t="shared" ca="1" si="18"/>
        <v>72.599999999999994</v>
      </c>
      <c r="H44" s="367">
        <f t="shared" ca="1" si="19"/>
        <v>72.599999999999994</v>
      </c>
      <c r="J44" s="367">
        <f t="shared" ca="1" si="20"/>
        <v>72.599999999999994</v>
      </c>
      <c r="K44" s="367">
        <f t="shared" ca="1" si="21"/>
        <v>0</v>
      </c>
      <c r="S44" s="367">
        <f t="shared" si="22"/>
        <v>0</v>
      </c>
      <c r="T44" s="367" t="e">
        <f t="shared" si="23"/>
        <v>#N/A</v>
      </c>
      <c r="U44" s="367" t="e">
        <f t="shared" si="24"/>
        <v>#N/A</v>
      </c>
      <c r="W44" s="654">
        <f t="shared" ca="1" si="25"/>
        <v>72.599999999999994</v>
      </c>
      <c r="X44" s="654">
        <f t="shared" ca="1" si="26"/>
        <v>72.599999999999994</v>
      </c>
      <c r="Z44" s="367" t="e">
        <f t="shared" ca="1" si="27"/>
        <v>#N/A</v>
      </c>
      <c r="AA44" s="367" t="e">
        <f t="shared" ca="1" si="28"/>
        <v>#N/A</v>
      </c>
    </row>
    <row r="45" spans="1:27">
      <c r="A45" s="367">
        <f t="shared" si="13"/>
        <v>27</v>
      </c>
      <c r="B45" s="367" t="str">
        <f>tblTerritories!C29</f>
        <v>Tokyo</v>
      </c>
      <c r="C45" s="367">
        <f>IF(tblTerritories!F29="",0,tblTerritories!F29)</f>
        <v>1</v>
      </c>
      <c r="D45" s="367">
        <f t="shared" ca="1" si="2"/>
        <v>63</v>
      </c>
      <c r="E45" s="367">
        <f t="shared" ca="1" si="3"/>
        <v>63</v>
      </c>
      <c r="F45" s="367" t="b">
        <f t="shared" ca="1" si="17"/>
        <v>1</v>
      </c>
      <c r="G45" s="367">
        <f t="shared" ca="1" si="18"/>
        <v>63</v>
      </c>
      <c r="H45" s="367">
        <f t="shared" ca="1" si="19"/>
        <v>63</v>
      </c>
      <c r="J45" s="367">
        <f t="shared" ca="1" si="20"/>
        <v>63</v>
      </c>
      <c r="K45" s="367">
        <f t="shared" ca="1" si="21"/>
        <v>0</v>
      </c>
      <c r="S45" s="367">
        <f t="shared" si="22"/>
        <v>0</v>
      </c>
      <c r="T45" s="367" t="e">
        <f t="shared" si="23"/>
        <v>#N/A</v>
      </c>
      <c r="U45" s="367" t="e">
        <f t="shared" si="24"/>
        <v>#N/A</v>
      </c>
      <c r="W45" s="654">
        <f t="shared" ca="1" si="25"/>
        <v>63</v>
      </c>
      <c r="X45" s="654">
        <f t="shared" ca="1" si="26"/>
        <v>63</v>
      </c>
      <c r="Z45" s="367" t="e">
        <f t="shared" ca="1" si="27"/>
        <v>#N/A</v>
      </c>
      <c r="AA45" s="367" t="e">
        <f t="shared" ca="1" si="28"/>
        <v>#N/A</v>
      </c>
    </row>
    <row r="46" spans="1:27">
      <c r="A46" s="367">
        <f t="shared" si="13"/>
        <v>28</v>
      </c>
      <c r="B46" s="367" t="str">
        <f>tblTerritories!C30</f>
        <v>Toronto</v>
      </c>
      <c r="C46" s="367">
        <f>IF(tblTerritories!F30="",0,tblTerritories!F30)</f>
        <v>1</v>
      </c>
      <c r="D46" s="367">
        <f t="shared" ca="1" si="2"/>
        <v>70.099999999999994</v>
      </c>
      <c r="E46" s="367">
        <f t="shared" ca="1" si="3"/>
        <v>70.099999999999994</v>
      </c>
      <c r="F46" s="367" t="b">
        <f t="shared" ca="1" si="17"/>
        <v>1</v>
      </c>
      <c r="G46" s="367">
        <f t="shared" ca="1" si="18"/>
        <v>70.099999999999994</v>
      </c>
      <c r="H46" s="367">
        <f t="shared" ca="1" si="19"/>
        <v>70.099999999999994</v>
      </c>
      <c r="J46" s="367">
        <f t="shared" ca="1" si="20"/>
        <v>70.099999999999994</v>
      </c>
      <c r="K46" s="367">
        <f t="shared" ca="1" si="21"/>
        <v>0</v>
      </c>
      <c r="S46" s="367">
        <f t="shared" si="22"/>
        <v>0</v>
      </c>
      <c r="T46" s="367" t="e">
        <f t="shared" si="23"/>
        <v>#N/A</v>
      </c>
      <c r="U46" s="367" t="e">
        <f t="shared" si="24"/>
        <v>#N/A</v>
      </c>
      <c r="W46" s="654">
        <f t="shared" ca="1" si="25"/>
        <v>70.099999999999994</v>
      </c>
      <c r="X46" s="654">
        <f t="shared" ca="1" si="26"/>
        <v>70.099999999999994</v>
      </c>
      <c r="Z46" s="367" t="e">
        <f t="shared" ca="1" si="27"/>
        <v>#N/A</v>
      </c>
      <c r="AA46" s="367" t="e">
        <f t="shared" ca="1" si="28"/>
        <v>#N/A</v>
      </c>
    </row>
    <row r="47" spans="1:27">
      <c r="A47" s="367">
        <f t="shared" si="13"/>
        <v>29</v>
      </c>
      <c r="B47" s="367" t="str">
        <f>tblTerritories!C31</f>
        <v>Washington DC</v>
      </c>
      <c r="C47" s="367">
        <f>IF(tblTerritories!F31="",0,tblTerritories!F31)</f>
        <v>1</v>
      </c>
      <c r="D47" s="367">
        <f t="shared" ca="1" si="2"/>
        <v>71.2</v>
      </c>
      <c r="E47" s="367">
        <f t="shared" ca="1" si="3"/>
        <v>71.2</v>
      </c>
      <c r="F47" s="367" t="b">
        <f t="shared" ca="1" si="17"/>
        <v>1</v>
      </c>
      <c r="G47" s="367">
        <f t="shared" ca="1" si="18"/>
        <v>71.2</v>
      </c>
      <c r="H47" s="367">
        <f t="shared" ca="1" si="19"/>
        <v>71.2</v>
      </c>
      <c r="J47" s="367">
        <f t="shared" ca="1" si="20"/>
        <v>71.2</v>
      </c>
      <c r="K47" s="367">
        <f t="shared" ca="1" si="21"/>
        <v>0</v>
      </c>
      <c r="S47" s="367">
        <f t="shared" si="22"/>
        <v>0</v>
      </c>
      <c r="T47" s="367" t="e">
        <f t="shared" si="23"/>
        <v>#N/A</v>
      </c>
      <c r="U47" s="367" t="e">
        <f t="shared" si="24"/>
        <v>#N/A</v>
      </c>
      <c r="W47" s="654">
        <f t="shared" ca="1" si="25"/>
        <v>71.2</v>
      </c>
      <c r="X47" s="654">
        <f t="shared" ca="1" si="26"/>
        <v>71.2</v>
      </c>
      <c r="Z47" s="367" t="e">
        <f t="shared" ca="1" si="27"/>
        <v>#N/A</v>
      </c>
      <c r="AA47" s="367" t="e">
        <f t="shared" ca="1" si="28"/>
        <v>#N/A</v>
      </c>
    </row>
    <row r="48" spans="1:27">
      <c r="A48" s="367">
        <f t="shared" si="13"/>
        <v>30</v>
      </c>
      <c r="B48" s="367" t="str">
        <f>tblTerritories!C32</f>
        <v>Zurich</v>
      </c>
      <c r="C48" s="367">
        <f>IF(tblTerritories!F32="",0,tblTerritories!F32)</f>
        <v>1</v>
      </c>
      <c r="D48" s="367">
        <f t="shared" ca="1" si="2"/>
        <v>70.099999999999994</v>
      </c>
      <c r="E48" s="367">
        <f t="shared" ca="1" si="3"/>
        <v>70.099999999999994</v>
      </c>
      <c r="F48" s="367" t="b">
        <f t="shared" ca="1" si="17"/>
        <v>1</v>
      </c>
      <c r="G48" s="367">
        <f t="shared" ca="1" si="18"/>
        <v>70.099999999999994</v>
      </c>
      <c r="H48" s="367">
        <f t="shared" ca="1" si="19"/>
        <v>70.099999999999994</v>
      </c>
      <c r="J48" s="367">
        <f t="shared" ca="1" si="20"/>
        <v>70.099999999999994</v>
      </c>
      <c r="K48" s="367">
        <f t="shared" ca="1" si="21"/>
        <v>0</v>
      </c>
      <c r="S48" s="367">
        <f t="shared" si="22"/>
        <v>0</v>
      </c>
      <c r="T48" s="367" t="e">
        <f t="shared" si="23"/>
        <v>#N/A</v>
      </c>
      <c r="U48" s="367" t="e">
        <f t="shared" si="24"/>
        <v>#N/A</v>
      </c>
      <c r="W48" s="654">
        <f t="shared" ca="1" si="25"/>
        <v>70.099999999999994</v>
      </c>
      <c r="X48" s="654">
        <f t="shared" ca="1" si="26"/>
        <v>70.099999999999994</v>
      </c>
      <c r="Z48" s="367" t="e">
        <f t="shared" ca="1" si="27"/>
        <v>#N/A</v>
      </c>
      <c r="AA48" s="367" t="e">
        <f t="shared" ca="1" si="28"/>
        <v>#N/A</v>
      </c>
    </row>
  </sheetData>
  <pageMargins left="0.55118110236220474" right="0.55118110236220474" top="0.59055118110236227" bottom="0.78740157480314965" header="0.51181102362204722" footer="0.51181102362204722"/>
  <pageSetup paperSize="9" scale="48" orientation="landscape" r:id="rId1"/>
  <headerFooter alignWithMargins="0">
    <oddHeader>&amp;RPlastics Management Index: 2021</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C000"/>
    <pageSetUpPr fitToPage="1"/>
  </sheetPr>
  <dimension ref="A1:BD34"/>
  <sheetViews>
    <sheetView showRowColHeaders="0" zoomScaleNormal="100" workbookViewId="0">
      <pane xSplit="3" ySplit="4" topLeftCell="D6" activePane="bottomRight" state="frozen"/>
      <selection pane="topRight"/>
      <selection pane="bottomLeft"/>
      <selection pane="bottomRight" activeCell="A11" sqref="A11"/>
    </sheetView>
  </sheetViews>
  <sheetFormatPr defaultColWidth="9.1796875" defaultRowHeight="14.5"/>
  <cols>
    <col min="1" max="1" width="7.453125" style="367" customWidth="1"/>
    <col min="2" max="2" width="6.453125" style="367" customWidth="1"/>
    <col min="3" max="3" width="18.7265625" style="367" customWidth="1"/>
    <col min="4" max="4" width="3.7265625" style="367" customWidth="1"/>
    <col min="5" max="6" width="6.7265625" style="367" customWidth="1"/>
    <col min="7" max="7" width="9.1796875" style="367"/>
    <col min="8" max="8" width="5.453125" style="367" customWidth="1"/>
    <col min="9" max="14" width="9.1796875" style="367"/>
    <col min="15" max="15" width="27.26953125" style="367" customWidth="1"/>
    <col min="16" max="20" width="7.26953125" style="367" customWidth="1"/>
    <col min="21" max="21" width="10.453125" style="367" customWidth="1"/>
    <col min="22" max="23" width="7.26953125" style="367" customWidth="1"/>
    <col min="24" max="25" width="3" style="367" customWidth="1"/>
    <col min="26" max="56" width="9.26953125" style="367" customWidth="1"/>
    <col min="57" max="16384" width="9.1796875" style="367"/>
  </cols>
  <sheetData>
    <row r="1" spans="1:56" ht="22.5" customHeight="1">
      <c r="A1" s="367" t="s">
        <v>679</v>
      </c>
      <c r="B1" s="367">
        <f>uxb_works!$B$35</f>
        <v>1</v>
      </c>
      <c r="C1" s="367">
        <f>uxb_works!B1</f>
        <v>30</v>
      </c>
      <c r="D1" s="367">
        <v>0</v>
      </c>
      <c r="L1" s="367" t="s">
        <v>678</v>
      </c>
      <c r="N1" s="367">
        <v>0.9</v>
      </c>
      <c r="O1" s="367">
        <v>4</v>
      </c>
      <c r="R1" s="367" t="s">
        <v>678</v>
      </c>
      <c r="T1" s="367">
        <v>-0.9</v>
      </c>
      <c r="U1" s="367">
        <v>4</v>
      </c>
    </row>
    <row r="2" spans="1:56" ht="63" customHeight="1">
      <c r="A2" s="367" t="str">
        <f>uxb_works!A1</f>
        <v>TERRITORY_COUNT</v>
      </c>
      <c r="B2" s="367">
        <f>uxb_works!B1</f>
        <v>30</v>
      </c>
      <c r="N2" s="367">
        <v>0.8</v>
      </c>
      <c r="O2" s="367">
        <v>3</v>
      </c>
      <c r="T2" s="367">
        <v>-0.8</v>
      </c>
      <c r="U2" s="367">
        <v>3</v>
      </c>
    </row>
    <row r="3" spans="1:56" ht="15" thickBot="1">
      <c r="L3" s="367">
        <v>0</v>
      </c>
      <c r="N3" s="367">
        <v>0.7</v>
      </c>
      <c r="O3" s="367">
        <v>2</v>
      </c>
      <c r="R3" s="367">
        <v>1</v>
      </c>
      <c r="T3" s="367">
        <v>-0.7</v>
      </c>
      <c r="U3" s="367">
        <v>2</v>
      </c>
      <c r="Z3" s="367">
        <v>0</v>
      </c>
      <c r="AA3" s="696">
        <f>Z3+1</f>
        <v>1</v>
      </c>
      <c r="AB3" s="367">
        <f>AA3+1</f>
        <v>2</v>
      </c>
      <c r="AC3" s="367">
        <f t="shared" ref="AC3:AX3" si="0">AB3+1</f>
        <v>3</v>
      </c>
      <c r="AD3" s="367">
        <f t="shared" si="0"/>
        <v>4</v>
      </c>
      <c r="AE3" s="367">
        <f t="shared" si="0"/>
        <v>5</v>
      </c>
      <c r="AF3" s="367">
        <f t="shared" si="0"/>
        <v>6</v>
      </c>
      <c r="AG3" s="367">
        <f t="shared" si="0"/>
        <v>7</v>
      </c>
      <c r="AH3" s="367">
        <f t="shared" si="0"/>
        <v>8</v>
      </c>
      <c r="AI3" s="367">
        <f t="shared" si="0"/>
        <v>9</v>
      </c>
      <c r="AJ3" s="367">
        <f t="shared" si="0"/>
        <v>10</v>
      </c>
      <c r="AK3" s="367">
        <f t="shared" si="0"/>
        <v>11</v>
      </c>
      <c r="AL3" s="367">
        <f t="shared" si="0"/>
        <v>12</v>
      </c>
      <c r="AM3" s="367">
        <f t="shared" si="0"/>
        <v>13</v>
      </c>
      <c r="AN3" s="367">
        <f t="shared" si="0"/>
        <v>14</v>
      </c>
      <c r="AO3" s="367">
        <f t="shared" si="0"/>
        <v>15</v>
      </c>
      <c r="AP3" s="367">
        <f t="shared" si="0"/>
        <v>16</v>
      </c>
      <c r="AQ3" s="367">
        <f t="shared" si="0"/>
        <v>17</v>
      </c>
      <c r="AR3" s="367">
        <f t="shared" si="0"/>
        <v>18</v>
      </c>
      <c r="AS3" s="367">
        <f t="shared" si="0"/>
        <v>19</v>
      </c>
      <c r="AT3" s="367">
        <f t="shared" si="0"/>
        <v>20</v>
      </c>
      <c r="AU3" s="367">
        <f t="shared" si="0"/>
        <v>21</v>
      </c>
      <c r="AV3" s="367">
        <f t="shared" si="0"/>
        <v>22</v>
      </c>
      <c r="AW3" s="367">
        <f t="shared" si="0"/>
        <v>23</v>
      </c>
      <c r="AX3" s="367">
        <f t="shared" si="0"/>
        <v>24</v>
      </c>
      <c r="AY3" s="367">
        <f t="shared" ref="AY3" si="1">AX3+1</f>
        <v>25</v>
      </c>
      <c r="AZ3" s="367">
        <f t="shared" ref="AZ3" si="2">AY3+1</f>
        <v>26</v>
      </c>
      <c r="BA3" s="367">
        <f t="shared" ref="BA3" si="3">AZ3+1</f>
        <v>27</v>
      </c>
      <c r="BB3" s="367">
        <f t="shared" ref="BB3" si="4">BA3+1</f>
        <v>28</v>
      </c>
      <c r="BC3" s="367">
        <f t="shared" ref="BC3" si="5">BB3+1</f>
        <v>29</v>
      </c>
      <c r="BD3" s="367">
        <f t="shared" ref="BD3" si="6">BC3+1</f>
        <v>30</v>
      </c>
    </row>
    <row r="4" spans="1:56" ht="15" thickBot="1">
      <c r="B4" s="367">
        <f>uxb_works!$B$3</f>
        <v>1</v>
      </c>
      <c r="C4" s="367">
        <v>1</v>
      </c>
      <c r="G4" s="367" t="s">
        <v>677</v>
      </c>
      <c r="I4" s="367" t="s">
        <v>676</v>
      </c>
      <c r="J4" s="367" t="s">
        <v>675</v>
      </c>
      <c r="Z4" s="697">
        <f>COUNT(AA4:BD4)</f>
        <v>30</v>
      </c>
      <c r="AA4" s="696">
        <f>INDEX(tblTerritories!$V$3:$V$32,iCorrel1!AA$3)</f>
        <v>1</v>
      </c>
      <c r="AB4" s="696">
        <f>INDEX(tblTerritories!$V$3:$V$32,iCorrel1!AB$3)</f>
        <v>2</v>
      </c>
      <c r="AC4" s="696">
        <f>INDEX(tblTerritories!$V$3:$V$32,iCorrel1!AC$3)</f>
        <v>3</v>
      </c>
      <c r="AD4" s="696">
        <f>INDEX(tblTerritories!$V$3:$V$32,iCorrel1!AD$3)</f>
        <v>4</v>
      </c>
      <c r="AE4" s="696">
        <f>INDEX(tblTerritories!$V$3:$V$32,iCorrel1!AE$3)</f>
        <v>5</v>
      </c>
      <c r="AF4" s="696">
        <f>INDEX(tblTerritories!$V$3:$V$32,iCorrel1!AF$3)</f>
        <v>6</v>
      </c>
      <c r="AG4" s="696">
        <f>INDEX(tblTerritories!$V$3:$V$32,iCorrel1!AG$3)</f>
        <v>7</v>
      </c>
      <c r="AH4" s="696">
        <f>INDEX(tblTerritories!$V$3:$V$32,iCorrel1!AH$3)</f>
        <v>8</v>
      </c>
      <c r="AI4" s="696">
        <f>INDEX(tblTerritories!$V$3:$V$32,iCorrel1!AI$3)</f>
        <v>9</v>
      </c>
      <c r="AJ4" s="696">
        <f>INDEX(tblTerritories!$V$3:$V$32,iCorrel1!AJ$3)</f>
        <v>10</v>
      </c>
      <c r="AK4" s="696">
        <f>INDEX(tblTerritories!$V$3:$V$32,iCorrel1!AK$3)</f>
        <v>11</v>
      </c>
      <c r="AL4" s="696">
        <f>INDEX(tblTerritories!$V$3:$V$32,iCorrel1!AL$3)</f>
        <v>12</v>
      </c>
      <c r="AM4" s="696">
        <f>INDEX(tblTerritories!$V$3:$V$32,iCorrel1!AM$3)</f>
        <v>13</v>
      </c>
      <c r="AN4" s="696">
        <f>INDEX(tblTerritories!$V$3:$V$32,iCorrel1!AN$3)</f>
        <v>14</v>
      </c>
      <c r="AO4" s="696">
        <f>INDEX(tblTerritories!$V$3:$V$32,iCorrel1!AO$3)</f>
        <v>15</v>
      </c>
      <c r="AP4" s="696">
        <f>INDEX(tblTerritories!$V$3:$V$32,iCorrel1!AP$3)</f>
        <v>16</v>
      </c>
      <c r="AQ4" s="696">
        <f>INDEX(tblTerritories!$V$3:$V$32,iCorrel1!AQ$3)</f>
        <v>17</v>
      </c>
      <c r="AR4" s="696">
        <f>INDEX(tblTerritories!$V$3:$V$32,iCorrel1!AR$3)</f>
        <v>18</v>
      </c>
      <c r="AS4" s="696">
        <f>INDEX(tblTerritories!$V$3:$V$32,iCorrel1!AS$3)</f>
        <v>19</v>
      </c>
      <c r="AT4" s="696">
        <f>INDEX(tblTerritories!$V$3:$V$32,iCorrel1!AT$3)</f>
        <v>20</v>
      </c>
      <c r="AU4" s="696">
        <f>INDEX(tblTerritories!$V$3:$V$32,iCorrel1!AU$3)</f>
        <v>21</v>
      </c>
      <c r="AV4" s="696">
        <f>INDEX(tblTerritories!$V$3:$V$32,iCorrel1!AV$3)</f>
        <v>22</v>
      </c>
      <c r="AW4" s="696">
        <f>INDEX(tblTerritories!$V$3:$V$32,iCorrel1!AW$3)</f>
        <v>23</v>
      </c>
      <c r="AX4" s="696">
        <f>INDEX(tblTerritories!$V$3:$V$32,iCorrel1!AX$3)</f>
        <v>24</v>
      </c>
      <c r="AY4" s="696">
        <f>INDEX(tblTerritories!$V$3:$V$32,iCorrel1!AY$3)</f>
        <v>25</v>
      </c>
      <c r="AZ4" s="696">
        <f>INDEX(tblTerritories!$V$3:$V$32,iCorrel1!AZ$3)</f>
        <v>26</v>
      </c>
      <c r="BA4" s="696">
        <f>INDEX(tblTerritories!$V$3:$V$32,iCorrel1!BA$3)</f>
        <v>27</v>
      </c>
      <c r="BB4" s="696">
        <f>INDEX(tblTerritories!$V$3:$V$32,iCorrel1!BB$3)</f>
        <v>28</v>
      </c>
      <c r="BC4" s="696">
        <f>INDEX(tblTerritories!$V$3:$V$32,iCorrel1!BC$3)</f>
        <v>29</v>
      </c>
      <c r="BD4" s="696">
        <f>INDEX(tblTerritories!$V$3:$V$32,iCorrel1!BD$3)</f>
        <v>30</v>
      </c>
    </row>
    <row r="5" spans="1:56">
      <c r="AA5" s="696"/>
    </row>
    <row r="6" spans="1:56">
      <c r="B6" s="367">
        <f>INDEX(B$8:B$34,$B$1)</f>
        <v>1</v>
      </c>
      <c r="C6" s="367" t="str">
        <f>INDEX(C$8:C$34,$B$1)</f>
        <v>OVERALL SCORE</v>
      </c>
      <c r="AA6" s="698">
        <f t="shared" ref="AA6:BD6" si="7">IF(AA$4="","",INDEX(aScoresRounded,$B$6,AA$4))</f>
        <v>74.599999999999994</v>
      </c>
      <c r="AB6" s="698">
        <f t="shared" si="7"/>
        <v>60.1</v>
      </c>
      <c r="AC6" s="698">
        <f t="shared" si="7"/>
        <v>49.1</v>
      </c>
      <c r="AD6" s="698">
        <f t="shared" si="7"/>
        <v>69.7</v>
      </c>
      <c r="AE6" s="698">
        <f t="shared" si="7"/>
        <v>73.7</v>
      </c>
      <c r="AF6" s="698">
        <f t="shared" si="7"/>
        <v>68.2</v>
      </c>
      <c r="AG6" s="698">
        <f t="shared" si="7"/>
        <v>45.1</v>
      </c>
      <c r="AH6" s="698">
        <f t="shared" si="7"/>
        <v>81.5</v>
      </c>
      <c r="AI6" s="698">
        <f t="shared" si="7"/>
        <v>68.7</v>
      </c>
      <c r="AJ6" s="698">
        <f t="shared" si="7"/>
        <v>63.8</v>
      </c>
      <c r="AK6" s="698">
        <f t="shared" si="7"/>
        <v>69.099999999999994</v>
      </c>
      <c r="AL6" s="698">
        <f t="shared" si="7"/>
        <v>68</v>
      </c>
      <c r="AM6" s="698">
        <f t="shared" si="7"/>
        <v>43.5</v>
      </c>
      <c r="AN6" s="698">
        <f t="shared" si="7"/>
        <v>58.2</v>
      </c>
      <c r="AO6" s="698">
        <f t="shared" si="7"/>
        <v>73.599999999999994</v>
      </c>
      <c r="AP6" s="698">
        <f t="shared" si="7"/>
        <v>63.2</v>
      </c>
      <c r="AQ6" s="698">
        <f t="shared" si="7"/>
        <v>39.1</v>
      </c>
      <c r="AR6" s="698">
        <f t="shared" si="7"/>
        <v>42.6</v>
      </c>
      <c r="AS6" s="698">
        <f t="shared" si="7"/>
        <v>40.299999999999997</v>
      </c>
      <c r="AT6" s="698">
        <f t="shared" si="7"/>
        <v>73.3</v>
      </c>
      <c r="AU6" s="698">
        <f t="shared" si="7"/>
        <v>70.2</v>
      </c>
      <c r="AV6" s="698">
        <f t="shared" si="7"/>
        <v>61.2</v>
      </c>
      <c r="AW6" s="698">
        <f t="shared" si="7"/>
        <v>50.7</v>
      </c>
      <c r="AX6" s="698">
        <f t="shared" si="7"/>
        <v>73.599999999999994</v>
      </c>
      <c r="AY6" s="698">
        <f t="shared" si="7"/>
        <v>71.400000000000006</v>
      </c>
      <c r="AZ6" s="698">
        <f t="shared" si="7"/>
        <v>72.599999999999994</v>
      </c>
      <c r="BA6" s="698">
        <f t="shared" si="7"/>
        <v>63</v>
      </c>
      <c r="BB6" s="698">
        <f t="shared" si="7"/>
        <v>70.099999999999994</v>
      </c>
      <c r="BC6" s="698">
        <f t="shared" si="7"/>
        <v>71.2</v>
      </c>
      <c r="BD6" s="698">
        <f t="shared" si="7"/>
        <v>70.099999999999994</v>
      </c>
    </row>
    <row r="7" spans="1:56">
      <c r="H7" s="367">
        <v>0</v>
      </c>
      <c r="L7" s="3" t="s">
        <v>32</v>
      </c>
      <c r="M7" s="3" t="s">
        <v>33</v>
      </c>
      <c r="R7" s="3" t="s">
        <v>32</v>
      </c>
      <c r="S7" s="3" t="s">
        <v>33</v>
      </c>
      <c r="AA7" s="696"/>
    </row>
    <row r="8" spans="1:56">
      <c r="B8" s="367">
        <f>tblIndiSets!B296</f>
        <v>1</v>
      </c>
      <c r="C8" s="367" t="str">
        <f>tblIndiSets!E296</f>
        <v>OVERALL SCORE</v>
      </c>
      <c r="H8" s="367">
        <f>H7+1</f>
        <v>1</v>
      </c>
      <c r="I8" s="367">
        <f>IF(H8=$B$1,0,1)</f>
        <v>0</v>
      </c>
      <c r="J8" s="367" t="str">
        <f t="shared" ref="J8:J10" ca="1" si="8">IFERROR(Z8,"")</f>
        <v/>
      </c>
      <c r="K8" s="295" t="str">
        <f t="shared" ref="K8:K9" ca="1" si="9">IF(I8=0,"",IF(G8,"",ROUND(CORREL(OFFSET(aScoresRounded,$B$6-1,0,1,$C$1),OFFSET(aScoresRounded,$B8-1,0,1,$C$1)),2)))</f>
        <v/>
      </c>
      <c r="L8" s="3" t="str">
        <f ca="1">IF(OR(I8=0,J8&lt;0),"",RANK(J8,J$8:J$34,$L$3)+COUNTIF(J$8:J8,J8)-1)</f>
        <v/>
      </c>
      <c r="M8" s="3">
        <f t="shared" ref="M8:M11" ca="1" si="10">IF(ISERROR(MATCH($H8,L$8:L$34,0)),"",MATCH($H8,L$8:L$34,0))</f>
        <v>18</v>
      </c>
      <c r="N8" s="367">
        <f t="shared" ref="N8:N10" ca="1" si="11">IF(M8="",0,IF(P8&gt;=$N$1,$O$1,IF(P8&gt;=$N$2,$O$2,IF(P8&gt;=$N$3,$O$3,1))))</f>
        <v>4</v>
      </c>
      <c r="O8" s="367" t="str">
        <f t="shared" ref="O8:O11" ca="1" si="12">IF(M8="","",INDEX($C$8:$C$34,$M8))</f>
        <v xml:space="preserve"> 4) SUSTAINABILITY</v>
      </c>
      <c r="P8" s="695">
        <f t="shared" ref="P8:P11" ca="1" si="13">IF(M8="","",INDEX($J$8:$J$34,$M8))</f>
        <v>0.92</v>
      </c>
      <c r="R8" s="3" t="str">
        <f ca="1">IF(OR(I8=0,J8&gt;=0),"",RANK(J8,J$8:J$34,$R$3)+COUNTIF(J$8:J8,J8)-1)</f>
        <v/>
      </c>
      <c r="S8" s="3">
        <f t="shared" ref="S8:S11" ca="1" si="14">IF(ISERROR(MATCH($H8,R$8:R$34,0)),"",MATCH($H8,R$8:R$34,0))</f>
        <v>26</v>
      </c>
      <c r="T8" s="367">
        <f t="shared" ref="T8:T10" ca="1" si="15">IF(S8="",0,IF(V8&lt;=$T$1,$O$1,IF(V8&lt;=$T$2,$O$2,IF(V8&lt;=$T$3,$O$3,1))))</f>
        <v>3</v>
      </c>
      <c r="U8" s="367" t="str">
        <f t="shared" ref="U8:U11" ca="1" si="16">IF(S8="","",INDEX($C$8:$C$34,$S8))</f>
        <v xml:space="preserve">   BG_1.4) Gender Inequality Index</v>
      </c>
      <c r="V8" s="695">
        <f t="shared" ref="V8:V11" ca="1" si="17">IF(S8="","",INDEX($J$8:$J$34,$S8))</f>
        <v>-0.85</v>
      </c>
      <c r="Z8" s="367" t="str">
        <f t="shared" ref="Z8:Z10" ca="1" si="18">IF(I8=0,"",ROUND(CORREL(OFFSET($AA$6:$BD$6,0,0,1,$Z$4),OFFSET($AA8:$BD8,0,0,1,$Z$4)),2))</f>
        <v/>
      </c>
      <c r="AA8" s="696">
        <f t="shared" ref="AA8:AP23" si="19">IF(AA$4="","",IF(INDEX(aScoresRounded,$B8,AA$4)=-100,"",INDEX(aScoresRounded,$B8,AA$4)))</f>
        <v>74.599999999999994</v>
      </c>
      <c r="AB8" s="696">
        <f t="shared" si="19"/>
        <v>60.1</v>
      </c>
      <c r="AC8" s="696">
        <f t="shared" si="19"/>
        <v>49.1</v>
      </c>
      <c r="AD8" s="696">
        <f t="shared" si="19"/>
        <v>69.7</v>
      </c>
      <c r="AE8" s="696">
        <f t="shared" si="19"/>
        <v>73.7</v>
      </c>
      <c r="AF8" s="696">
        <f t="shared" si="19"/>
        <v>68.2</v>
      </c>
      <c r="AG8" s="696">
        <f t="shared" si="19"/>
        <v>45.1</v>
      </c>
      <c r="AH8" s="696">
        <f t="shared" si="19"/>
        <v>81.5</v>
      </c>
      <c r="AI8" s="696">
        <f t="shared" si="19"/>
        <v>68.7</v>
      </c>
      <c r="AJ8" s="696">
        <f t="shared" si="19"/>
        <v>63.8</v>
      </c>
      <c r="AK8" s="696">
        <f t="shared" si="19"/>
        <v>69.099999999999994</v>
      </c>
      <c r="AL8" s="696">
        <f t="shared" si="19"/>
        <v>68</v>
      </c>
      <c r="AM8" s="696">
        <f t="shared" si="19"/>
        <v>43.5</v>
      </c>
      <c r="AN8" s="696">
        <f t="shared" si="19"/>
        <v>58.2</v>
      </c>
      <c r="AO8" s="696">
        <f t="shared" si="19"/>
        <v>73.599999999999994</v>
      </c>
      <c r="AP8" s="696">
        <f t="shared" si="19"/>
        <v>63.2</v>
      </c>
      <c r="AQ8" s="696">
        <f t="shared" ref="AQ8:BD8" si="20">IF(AQ$4="","",IF(INDEX(aScoresRounded,$B8,AQ$4)=-100,"",INDEX(aScoresRounded,$B8,AQ$4)))</f>
        <v>39.1</v>
      </c>
      <c r="AR8" s="696">
        <f t="shared" si="20"/>
        <v>42.6</v>
      </c>
      <c r="AS8" s="696">
        <f t="shared" si="20"/>
        <v>40.299999999999997</v>
      </c>
      <c r="AT8" s="696">
        <f t="shared" si="20"/>
        <v>73.3</v>
      </c>
      <c r="AU8" s="696">
        <f t="shared" si="20"/>
        <v>70.2</v>
      </c>
      <c r="AV8" s="696">
        <f t="shared" si="20"/>
        <v>61.2</v>
      </c>
      <c r="AW8" s="696">
        <f t="shared" si="20"/>
        <v>50.7</v>
      </c>
      <c r="AX8" s="696">
        <f t="shared" si="20"/>
        <v>73.599999999999994</v>
      </c>
      <c r="AY8" s="696">
        <f t="shared" si="20"/>
        <v>71.400000000000006</v>
      </c>
      <c r="AZ8" s="696">
        <f t="shared" si="20"/>
        <v>72.599999999999994</v>
      </c>
      <c r="BA8" s="696">
        <f t="shared" si="20"/>
        <v>63</v>
      </c>
      <c r="BB8" s="696">
        <f t="shared" si="20"/>
        <v>70.099999999999994</v>
      </c>
      <c r="BC8" s="696">
        <f t="shared" si="20"/>
        <v>71.2</v>
      </c>
      <c r="BD8" s="696">
        <f t="shared" si="20"/>
        <v>70.099999999999994</v>
      </c>
    </row>
    <row r="9" spans="1:56">
      <c r="A9" s="367">
        <f>INDEX(tblIndicators!$B$2:$B$84,B9)</f>
        <v>0</v>
      </c>
      <c r="B9" s="367">
        <f>tblIndiSets!B297</f>
        <v>2</v>
      </c>
      <c r="C9" s="367" t="str">
        <f>tblIndiSets!E297</f>
        <v xml:space="preserve"> 1) CONNECTIVITY</v>
      </c>
      <c r="G9" s="367" t="b">
        <f t="shared" ref="G9:G34" ca="1" si="21">COUNTIF(OFFSET(aScoresRounded,$B9-1,0,1,$C$1),INDEX(aScoresRounded,$B9,1))=$B$2</f>
        <v>0</v>
      </c>
      <c r="H9" s="367">
        <f>H8+1</f>
        <v>2</v>
      </c>
      <c r="I9" s="367">
        <f>IF(H9=$B$1,0,1)</f>
        <v>1</v>
      </c>
      <c r="J9" s="367">
        <f t="shared" ca="1" si="8"/>
        <v>0.91</v>
      </c>
      <c r="K9" s="295">
        <f t="shared" ca="1" si="9"/>
        <v>0.91</v>
      </c>
      <c r="L9" s="3">
        <f ca="1">IF(OR(I9=0,J9&lt;0),"",RANK(J9,J$8:J$34,$L$3)+COUNTIF(J$8:J9,J9)-1)</f>
        <v>2</v>
      </c>
      <c r="M9" s="3">
        <f t="shared" ca="1" si="10"/>
        <v>2</v>
      </c>
      <c r="N9" s="367">
        <f t="shared" ca="1" si="11"/>
        <v>4</v>
      </c>
      <c r="O9" s="367" t="str">
        <f t="shared" ca="1" si="12"/>
        <v xml:space="preserve"> 1) CONNECTIVITY</v>
      </c>
      <c r="P9" s="695">
        <f t="shared" ca="1" si="13"/>
        <v>0.91</v>
      </c>
      <c r="R9" s="3" t="str">
        <f ca="1">IF(OR(I9=0,J9&gt;=0),"",RANK(J9,J$8:J$34,$R$3)+COUNTIF(J$8:J9,J9)-1)</f>
        <v/>
      </c>
      <c r="S9" s="3">
        <f t="shared" ca="1" si="14"/>
        <v>24</v>
      </c>
      <c r="T9" s="367">
        <f t="shared" ca="1" si="15"/>
        <v>2</v>
      </c>
      <c r="U9" s="367" t="str">
        <f t="shared" ca="1" si="16"/>
        <v xml:space="preserve">   BG_1.2) Corruption</v>
      </c>
      <c r="V9" s="695">
        <f t="shared" ca="1" si="17"/>
        <v>-0.78</v>
      </c>
      <c r="Z9" s="367">
        <f t="shared" ca="1" si="18"/>
        <v>0.91</v>
      </c>
      <c r="AA9" s="696">
        <f>IF(AA$4="","",IF(INDEX(aScoresRounded,$B9,AA$4)=-100,"",INDEX(aScoresRounded,$B9,AA$4)))</f>
        <v>77</v>
      </c>
      <c r="AB9" s="696">
        <f t="shared" si="19"/>
        <v>59.7</v>
      </c>
      <c r="AC9" s="696">
        <f t="shared" si="19"/>
        <v>55.3</v>
      </c>
      <c r="AD9" s="696">
        <f t="shared" ref="AD9:BD9" si="22">IF(AD$4="","",IF(INDEX(aScoresRounded,$B9,AD$4)=-100,"",INDEX(aScoresRounded,$B9,AD$4)))</f>
        <v>61.6</v>
      </c>
      <c r="AE9" s="696">
        <f t="shared" si="22"/>
        <v>80.7</v>
      </c>
      <c r="AF9" s="696">
        <f t="shared" si="22"/>
        <v>65.900000000000006</v>
      </c>
      <c r="AG9" s="696">
        <f t="shared" si="22"/>
        <v>40.799999999999997</v>
      </c>
      <c r="AH9" s="696">
        <f t="shared" si="22"/>
        <v>85.4</v>
      </c>
      <c r="AI9" s="696">
        <f t="shared" si="22"/>
        <v>74.2</v>
      </c>
      <c r="AJ9" s="696">
        <f t="shared" si="22"/>
        <v>63.5</v>
      </c>
      <c r="AK9" s="696">
        <f t="shared" si="22"/>
        <v>71.2</v>
      </c>
      <c r="AL9" s="696">
        <f t="shared" si="22"/>
        <v>76.599999999999994</v>
      </c>
      <c r="AM9" s="696">
        <f t="shared" si="22"/>
        <v>48.1</v>
      </c>
      <c r="AN9" s="696">
        <f t="shared" si="22"/>
        <v>58.9</v>
      </c>
      <c r="AO9" s="696">
        <f t="shared" si="22"/>
        <v>71.3</v>
      </c>
      <c r="AP9" s="696">
        <f t="shared" si="22"/>
        <v>64.599999999999994</v>
      </c>
      <c r="AQ9" s="696">
        <f t="shared" si="22"/>
        <v>43.8</v>
      </c>
      <c r="AR9" s="696">
        <f t="shared" si="22"/>
        <v>53</v>
      </c>
      <c r="AS9" s="696">
        <f t="shared" si="22"/>
        <v>28.4</v>
      </c>
      <c r="AT9" s="696">
        <f t="shared" si="22"/>
        <v>76.2</v>
      </c>
      <c r="AU9" s="696">
        <f t="shared" si="22"/>
        <v>71.900000000000006</v>
      </c>
      <c r="AV9" s="696">
        <f t="shared" si="22"/>
        <v>64.900000000000006</v>
      </c>
      <c r="AW9" s="696">
        <f t="shared" si="22"/>
        <v>56.5</v>
      </c>
      <c r="AX9" s="696">
        <f t="shared" si="22"/>
        <v>75.3</v>
      </c>
      <c r="AY9" s="696">
        <f t="shared" si="22"/>
        <v>83.1</v>
      </c>
      <c r="AZ9" s="696">
        <f t="shared" si="22"/>
        <v>78</v>
      </c>
      <c r="BA9" s="696">
        <f t="shared" si="22"/>
        <v>71.3</v>
      </c>
      <c r="BB9" s="696">
        <f t="shared" si="22"/>
        <v>62.8</v>
      </c>
      <c r="BC9" s="696">
        <f t="shared" si="22"/>
        <v>75.599999999999994</v>
      </c>
      <c r="BD9" s="696">
        <f t="shared" si="22"/>
        <v>81</v>
      </c>
    </row>
    <row r="10" spans="1:56">
      <c r="A10" s="367">
        <f>INDEX(tblIndicators!$B$2:$B$84,B10)</f>
        <v>0</v>
      </c>
      <c r="B10" s="367">
        <f>tblIndiSets!B298</f>
        <v>3</v>
      </c>
      <c r="C10" s="367" t="str">
        <f>tblIndiSets!E298</f>
        <v xml:space="preserve">  1.1) Digital infrastructure</v>
      </c>
      <c r="G10" s="367" t="b">
        <f t="shared" ca="1" si="21"/>
        <v>0</v>
      </c>
      <c r="H10" s="367">
        <f t="shared" ref="H10:H34" si="23">H9+1</f>
        <v>3</v>
      </c>
      <c r="I10" s="367">
        <f t="shared" ref="I10" si="24">IF(H10=$B$1,0,1)</f>
        <v>1</v>
      </c>
      <c r="J10" s="367">
        <f t="shared" ca="1" si="8"/>
        <v>0.82</v>
      </c>
      <c r="K10" s="295">
        <f t="shared" ref="K10" ca="1" si="25">IF(I10=0,"",IF(G10,"",ROUND(CORREL(OFFSET(aScoresRounded,$B$6-1,0,1,$C$1),OFFSET(aScoresRounded,$B10-1,0,1,$C$1)),2)))</f>
        <v>0.82</v>
      </c>
      <c r="L10" s="3">
        <f ca="1">IF(OR(I10=0,J10&lt;0),"",RANK(J10,J$8:J$34,$L$3)+COUNTIF(J$8:J10,J10)-1)</f>
        <v>7</v>
      </c>
      <c r="M10" s="3">
        <f t="shared" ca="1" si="10"/>
        <v>25</v>
      </c>
      <c r="N10" s="367">
        <f t="shared" ca="1" si="11"/>
        <v>4</v>
      </c>
      <c r="O10" s="367" t="str">
        <f t="shared" ca="1" si="12"/>
        <v xml:space="preserve">   BG_1.3) Human Development Index</v>
      </c>
      <c r="P10" s="695">
        <f t="shared" ca="1" si="13"/>
        <v>0.9</v>
      </c>
      <c r="R10" s="3" t="str">
        <f ca="1">IF(OR(I10=0,J10&gt;=0),"",RANK(J10,J$8:J$34,$R$3)+COUNTIF(J$8:J10,J10)-1)</f>
        <v/>
      </c>
      <c r="S10" s="3">
        <f t="shared" ca="1" si="14"/>
        <v>17</v>
      </c>
      <c r="T10" s="367">
        <f t="shared" ca="1" si="15"/>
        <v>1</v>
      </c>
      <c r="U10" s="367" t="str">
        <f t="shared" ca="1" si="16"/>
        <v xml:space="preserve">  3.4) Public attitude and engagement</v>
      </c>
      <c r="V10" s="695">
        <f t="shared" ca="1" si="17"/>
        <v>-0.41</v>
      </c>
      <c r="Z10" s="367">
        <f t="shared" ca="1" si="18"/>
        <v>0.82</v>
      </c>
      <c r="AA10" s="696">
        <f t="shared" si="19"/>
        <v>84</v>
      </c>
      <c r="AB10" s="696">
        <f t="shared" si="19"/>
        <v>77.3</v>
      </c>
      <c r="AC10" s="696">
        <f t="shared" si="19"/>
        <v>59</v>
      </c>
      <c r="AD10" s="696">
        <f t="shared" si="19"/>
        <v>74.7</v>
      </c>
      <c r="AE10" s="696">
        <f t="shared" si="19"/>
        <v>73.3</v>
      </c>
      <c r="AF10" s="696">
        <f t="shared" si="19"/>
        <v>76.599999999999994</v>
      </c>
      <c r="AG10" s="696">
        <f t="shared" si="19"/>
        <v>63.9</v>
      </c>
      <c r="AH10" s="696">
        <f t="shared" si="19"/>
        <v>86.4</v>
      </c>
      <c r="AI10" s="696">
        <f t="shared" si="19"/>
        <v>84.8</v>
      </c>
      <c r="AJ10" s="696">
        <f t="shared" si="19"/>
        <v>93.1</v>
      </c>
      <c r="AK10" s="696">
        <f t="shared" si="19"/>
        <v>76.599999999999994</v>
      </c>
      <c r="AL10" s="696">
        <f t="shared" si="19"/>
        <v>84.4</v>
      </c>
      <c r="AM10" s="696">
        <f t="shared" si="19"/>
        <v>57</v>
      </c>
      <c r="AN10" s="696">
        <f t="shared" si="19"/>
        <v>67.2</v>
      </c>
      <c r="AO10" s="696">
        <f t="shared" si="19"/>
        <v>79.400000000000006</v>
      </c>
      <c r="AP10" s="696">
        <f t="shared" si="19"/>
        <v>74.7</v>
      </c>
      <c r="AQ10" s="696">
        <f t="shared" ref="AQ10:BD23" si="26">IF(AQ$4="","",IF(INDEX(aScoresRounded,$B10,AQ$4)=-100,"",INDEX(aScoresRounded,$B10,AQ$4)))</f>
        <v>53.4</v>
      </c>
      <c r="AR10" s="696">
        <f t="shared" si="26"/>
        <v>60.7</v>
      </c>
      <c r="AS10" s="696">
        <f t="shared" si="26"/>
        <v>34.4</v>
      </c>
      <c r="AT10" s="696">
        <f t="shared" si="26"/>
        <v>84.8</v>
      </c>
      <c r="AU10" s="696">
        <f t="shared" si="26"/>
        <v>80.400000000000006</v>
      </c>
      <c r="AV10" s="696">
        <f t="shared" si="26"/>
        <v>70.400000000000006</v>
      </c>
      <c r="AW10" s="696">
        <f t="shared" si="26"/>
        <v>63.8</v>
      </c>
      <c r="AX10" s="696">
        <f t="shared" si="26"/>
        <v>82.1</v>
      </c>
      <c r="AY10" s="696">
        <f t="shared" si="26"/>
        <v>78.7</v>
      </c>
      <c r="AZ10" s="696">
        <f t="shared" si="26"/>
        <v>80.2</v>
      </c>
      <c r="BA10" s="696">
        <f t="shared" si="26"/>
        <v>93.9</v>
      </c>
      <c r="BB10" s="696">
        <f t="shared" si="26"/>
        <v>74.3</v>
      </c>
      <c r="BC10" s="696">
        <f t="shared" si="26"/>
        <v>84.8</v>
      </c>
      <c r="BD10" s="696">
        <f t="shared" si="26"/>
        <v>81.400000000000006</v>
      </c>
    </row>
    <row r="11" spans="1:56">
      <c r="A11" s="367">
        <f>INDEX(tblIndicators!$B$2:$B$84,B11)</f>
        <v>0</v>
      </c>
      <c r="B11" s="367">
        <f>tblIndiSets!B299</f>
        <v>8</v>
      </c>
      <c r="C11" s="367" t="str">
        <f>tblIndiSets!E299</f>
        <v xml:space="preserve">  1.2) Quality</v>
      </c>
      <c r="G11" s="367" t="b">
        <f t="shared" ca="1" si="21"/>
        <v>0</v>
      </c>
      <c r="H11" s="367">
        <f t="shared" si="23"/>
        <v>4</v>
      </c>
      <c r="I11" s="367">
        <f t="shared" ref="I11" si="27">IF(H11=$B$1,0,1)</f>
        <v>1</v>
      </c>
      <c r="J11" s="367">
        <f t="shared" ref="J11" ca="1" si="28">IFERROR(Z11,"")</f>
        <v>0.43</v>
      </c>
      <c r="K11" s="295">
        <f t="shared" ref="K11" ca="1" si="29">IF(I11=0,"",IF(G11,"",ROUND(CORREL(OFFSET(aScoresRounded,$B$6-1,0,1,$C$1),OFFSET(aScoresRounded,$B11-1,0,1,$C$1)),2)))</f>
        <v>0.43</v>
      </c>
      <c r="L11" s="3">
        <f ca="1">IF(OR(I11=0,J11&lt;0),"",RANK(J11,J$8:J$34,$L$3)+COUNTIF(J$8:J11,J11)-1)</f>
        <v>19</v>
      </c>
      <c r="M11" s="3">
        <f t="shared" ca="1" si="10"/>
        <v>6</v>
      </c>
      <c r="N11" s="367">
        <f t="shared" ref="N11" ca="1" si="30">IF(M11="",0,IF(P11&gt;=$N$1,$O$1,IF(P11&gt;=$N$2,$O$2,IF(P11&gt;=$N$3,$O$3,1))))</f>
        <v>3</v>
      </c>
      <c r="O11" s="367" t="str">
        <f t="shared" ca="1" si="12"/>
        <v xml:space="preserve"> 2) SERVICES</v>
      </c>
      <c r="P11" s="695">
        <f t="shared" ca="1" si="13"/>
        <v>0.89</v>
      </c>
      <c r="R11" s="3" t="str">
        <f ca="1">IF(OR(I11=0,J11&gt;=0),"",RANK(J11,J$8:J$34,$R$3)+COUNTIF(J$8:J11,J11)-1)</f>
        <v/>
      </c>
      <c r="S11" s="3">
        <f t="shared" ca="1" si="14"/>
        <v>23</v>
      </c>
      <c r="T11" s="367">
        <f t="shared" ref="T11" ca="1" si="31">IF(S11="",0,IF(V11&lt;=$T$1,$O$1,IF(V11&lt;=$T$2,$O$2,IF(V11&lt;=$T$3,$O$3,1))))</f>
        <v>1</v>
      </c>
      <c r="U11" s="367" t="str">
        <f t="shared" ca="1" si="16"/>
        <v xml:space="preserve">   BG_1.1) Real GDP growth</v>
      </c>
      <c r="V11" s="695">
        <f t="shared" ca="1" si="17"/>
        <v>-0.14000000000000001</v>
      </c>
      <c r="Z11" s="367">
        <f t="shared" ref="Z11" ca="1" si="32">IF(I11=0,"",ROUND(CORREL(OFFSET($AA$6:$BD$6,0,0,1,$Z$4),OFFSET($AA11:$BD11,0,0,1,$Z$4)),2))</f>
        <v>0.43</v>
      </c>
      <c r="AA11" s="696">
        <f t="shared" si="19"/>
        <v>66.7</v>
      </c>
      <c r="AB11" s="696">
        <f t="shared" si="19"/>
        <v>44.1</v>
      </c>
      <c r="AC11" s="696">
        <f t="shared" si="19"/>
        <v>50.9</v>
      </c>
      <c r="AD11" s="696">
        <f t="shared" si="19"/>
        <v>22.6</v>
      </c>
      <c r="AE11" s="696">
        <f t="shared" si="19"/>
        <v>75</v>
      </c>
      <c r="AF11" s="696">
        <f t="shared" si="19"/>
        <v>36.4</v>
      </c>
      <c r="AG11" s="696">
        <f t="shared" si="19"/>
        <v>17.899999999999999</v>
      </c>
      <c r="AH11" s="696">
        <f t="shared" si="19"/>
        <v>70.900000000000006</v>
      </c>
      <c r="AI11" s="696">
        <f t="shared" si="19"/>
        <v>29.9</v>
      </c>
      <c r="AJ11" s="696">
        <f t="shared" si="19"/>
        <v>99.1</v>
      </c>
      <c r="AK11" s="696">
        <f t="shared" ref="AK11:AP11" si="33">IF(AK$4="","",IF(INDEX(aScoresRounded,$B11,AK$4)=-100,"",INDEX(aScoresRounded,$B11,AK$4)))</f>
        <v>36.4</v>
      </c>
      <c r="AL11" s="696">
        <f t="shared" si="33"/>
        <v>58.1</v>
      </c>
      <c r="AM11" s="696">
        <f t="shared" si="33"/>
        <v>33.799999999999997</v>
      </c>
      <c r="AN11" s="696">
        <f t="shared" si="33"/>
        <v>32.9</v>
      </c>
      <c r="AO11" s="696">
        <f t="shared" si="33"/>
        <v>21</v>
      </c>
      <c r="AP11" s="696">
        <f t="shared" si="33"/>
        <v>22.6</v>
      </c>
      <c r="AQ11" s="696">
        <f t="shared" si="26"/>
        <v>34.700000000000003</v>
      </c>
      <c r="AR11" s="696">
        <f t="shared" si="26"/>
        <v>22.9</v>
      </c>
      <c r="AS11" s="696">
        <f t="shared" si="26"/>
        <v>19.3</v>
      </c>
      <c r="AT11" s="696">
        <f t="shared" si="26"/>
        <v>29.9</v>
      </c>
      <c r="AU11" s="696">
        <f t="shared" si="26"/>
        <v>31.1</v>
      </c>
      <c r="AV11" s="696">
        <f t="shared" si="26"/>
        <v>19.600000000000001</v>
      </c>
      <c r="AW11" s="696">
        <f t="shared" si="26"/>
        <v>37.1</v>
      </c>
      <c r="AX11" s="696">
        <f t="shared" si="26"/>
        <v>74.8</v>
      </c>
      <c r="AY11" s="696">
        <f t="shared" si="26"/>
        <v>77.599999999999994</v>
      </c>
      <c r="AZ11" s="696">
        <f t="shared" si="26"/>
        <v>58.3</v>
      </c>
      <c r="BA11" s="696">
        <f t="shared" si="26"/>
        <v>25.5</v>
      </c>
      <c r="BB11" s="696">
        <f t="shared" si="26"/>
        <v>48</v>
      </c>
      <c r="BC11" s="696">
        <f t="shared" si="26"/>
        <v>29.9</v>
      </c>
      <c r="BD11" s="696">
        <f t="shared" si="26"/>
        <v>76.5</v>
      </c>
    </row>
    <row r="12" spans="1:56">
      <c r="A12" s="367">
        <f>INDEX(tblIndicators!$B$2:$B$84,B12)</f>
        <v>0</v>
      </c>
      <c r="B12" s="367">
        <f>tblIndiSets!B300</f>
        <v>13</v>
      </c>
      <c r="C12" s="367" t="str">
        <f>tblIndiSets!E300</f>
        <v xml:space="preserve">  1.3) Affordability</v>
      </c>
      <c r="G12" s="367" t="b">
        <f t="shared" ca="1" si="21"/>
        <v>0</v>
      </c>
      <c r="H12" s="367">
        <f t="shared" si="23"/>
        <v>5</v>
      </c>
      <c r="I12" s="367">
        <f t="shared" ref="I12:I34" si="34">IF(H12=$B$1,0,1)</f>
        <v>1</v>
      </c>
      <c r="J12" s="367">
        <f t="shared" ref="J12:J34" ca="1" si="35">IFERROR(Z12,"")</f>
        <v>0.69</v>
      </c>
      <c r="K12" s="295">
        <f t="shared" ref="K12:K34" ca="1" si="36">IF(I12=0,"",IF(G12,"",ROUND(CORREL(OFFSET(aScoresRounded,$B$6-1,0,1,$C$1),OFFSET(aScoresRounded,$B12-1,0,1,$C$1)),2)))</f>
        <v>0.69</v>
      </c>
      <c r="L12" s="3">
        <f ca="1">IF(OR(I12=0,J12&lt;0),"",RANK(J12,J$8:J$34,$L$3)+COUNTIF(J$8:J12,J12)-1)</f>
        <v>10</v>
      </c>
      <c r="M12" s="3">
        <f t="shared" ref="M12:M34" ca="1" si="37">IF(ISERROR(MATCH($H12,L$8:L$34,0)),"",MATCH($H12,L$8:L$34,0))</f>
        <v>16</v>
      </c>
      <c r="N12" s="367">
        <f t="shared" ref="N12:N34" ca="1" si="38">IF(M12="",0,IF(P12&gt;=$N$1,$O$1,IF(P12&gt;=$N$2,$O$2,IF(P12&gt;=$N$3,$O$3,1))))</f>
        <v>3</v>
      </c>
      <c r="O12" s="367" t="str">
        <f t="shared" ref="O12:O34" ca="1" si="39">IF(M12="","",INDEX($C$8:$C$34,$M12))</f>
        <v xml:space="preserve">  3.3) Innovation ecosystem</v>
      </c>
      <c r="P12" s="695">
        <f t="shared" ref="P12:P34" ca="1" si="40">IF(M12="","",INDEX($J$8:$J$34,$M12))</f>
        <v>0.88</v>
      </c>
      <c r="R12" s="3" t="str">
        <f ca="1">IF(OR(I12=0,J12&gt;=0),"",RANK(J12,J$8:J$34,$R$3)+COUNTIF(J$8:J12,J12)-1)</f>
        <v/>
      </c>
      <c r="S12" s="3" t="str">
        <f t="shared" ref="S12:S34" ca="1" si="41">IF(ISERROR(MATCH($H12,R$8:R$34,0)),"",MATCH($H12,R$8:R$34,0))</f>
        <v/>
      </c>
      <c r="T12" s="367">
        <f t="shared" ref="T12:T34" ca="1" si="42">IF(S12="",0,IF(V12&lt;=$T$1,$O$1,IF(V12&lt;=$T$2,$O$2,IF(V12&lt;=$T$3,$O$3,1))))</f>
        <v>0</v>
      </c>
      <c r="U12" s="367" t="str">
        <f t="shared" ref="U12:U34" ca="1" si="43">IF(S12="","",INDEX($C$8:$C$34,$S12))</f>
        <v/>
      </c>
      <c r="V12" s="695" t="str">
        <f t="shared" ref="V12:V34" ca="1" si="44">IF(S12="","",INDEX($J$8:$J$34,$S12))</f>
        <v/>
      </c>
      <c r="Z12" s="367">
        <f t="shared" ref="Z12:Z34" ca="1" si="45">IF(I12=0,"",ROUND(CORREL(OFFSET($AA$6:$BD$6,0,0,1,$Z$4),OFFSET($AA12:$BD12,0,0,1,$Z$4)),2))</f>
        <v>0.69</v>
      </c>
      <c r="AA12" s="696">
        <f t="shared" si="19"/>
        <v>74.599999999999994</v>
      </c>
      <c r="AB12" s="696">
        <f t="shared" si="19"/>
        <v>46.8</v>
      </c>
      <c r="AC12" s="696">
        <f t="shared" si="19"/>
        <v>53.4</v>
      </c>
      <c r="AD12" s="696">
        <f t="shared" si="19"/>
        <v>70.2</v>
      </c>
      <c r="AE12" s="696">
        <f t="shared" si="19"/>
        <v>94.4</v>
      </c>
      <c r="AF12" s="696">
        <f t="shared" si="19"/>
        <v>71.3</v>
      </c>
      <c r="AG12" s="696">
        <f t="shared" si="19"/>
        <v>25.1</v>
      </c>
      <c r="AH12" s="696">
        <f t="shared" si="19"/>
        <v>93.9</v>
      </c>
      <c r="AI12" s="696">
        <f t="shared" si="19"/>
        <v>89.8</v>
      </c>
      <c r="AJ12" s="696">
        <f t="shared" si="19"/>
        <v>0.4</v>
      </c>
      <c r="AK12" s="696">
        <f t="shared" si="19"/>
        <v>87.1</v>
      </c>
      <c r="AL12" s="696">
        <f t="shared" si="19"/>
        <v>78.5</v>
      </c>
      <c r="AM12" s="696">
        <f t="shared" si="19"/>
        <v>45.8</v>
      </c>
      <c r="AN12" s="696">
        <f t="shared" si="19"/>
        <v>65.099999999999994</v>
      </c>
      <c r="AO12" s="696">
        <f t="shared" si="19"/>
        <v>93.9</v>
      </c>
      <c r="AP12" s="696">
        <f t="shared" si="19"/>
        <v>79.2</v>
      </c>
      <c r="AQ12" s="696">
        <f t="shared" si="26"/>
        <v>37.1</v>
      </c>
      <c r="AR12" s="696">
        <f t="shared" si="26"/>
        <v>63</v>
      </c>
      <c r="AS12" s="696">
        <f t="shared" si="26"/>
        <v>26.5</v>
      </c>
      <c r="AT12" s="696">
        <f t="shared" si="26"/>
        <v>95.7</v>
      </c>
      <c r="AU12" s="696">
        <f t="shared" si="26"/>
        <v>87.7</v>
      </c>
      <c r="AV12" s="696">
        <f t="shared" si="26"/>
        <v>87.8</v>
      </c>
      <c r="AW12" s="696">
        <f t="shared" si="26"/>
        <v>59.7</v>
      </c>
      <c r="AX12" s="696">
        <f t="shared" si="26"/>
        <v>66.599999999999994</v>
      </c>
      <c r="AY12" s="696">
        <f t="shared" si="26"/>
        <v>92.5</v>
      </c>
      <c r="AZ12" s="696">
        <f t="shared" si="26"/>
        <v>88.2</v>
      </c>
      <c r="BA12" s="696">
        <f t="shared" si="26"/>
        <v>71.5</v>
      </c>
      <c r="BB12" s="696">
        <f t="shared" si="26"/>
        <v>57.2</v>
      </c>
      <c r="BC12" s="696">
        <f t="shared" si="26"/>
        <v>93.8</v>
      </c>
      <c r="BD12" s="696">
        <f t="shared" si="26"/>
        <v>83.5</v>
      </c>
    </row>
    <row r="13" spans="1:56">
      <c r="A13" s="367">
        <f>INDEX(tblIndicators!$B$2:$B$84,B13)</f>
        <v>0</v>
      </c>
      <c r="B13" s="367">
        <f>tblIndiSets!B301</f>
        <v>16</v>
      </c>
      <c r="C13" s="367" t="str">
        <f>tblIndiSets!E301</f>
        <v xml:space="preserve"> 2) SERVICES</v>
      </c>
      <c r="G13" s="367" t="b">
        <f t="shared" ca="1" si="21"/>
        <v>0</v>
      </c>
      <c r="H13" s="367">
        <f t="shared" si="23"/>
        <v>6</v>
      </c>
      <c r="I13" s="367">
        <f t="shared" si="34"/>
        <v>1</v>
      </c>
      <c r="J13" s="367">
        <f t="shared" ca="1" si="35"/>
        <v>0.89</v>
      </c>
      <c r="K13" s="295">
        <f t="shared" ca="1" si="36"/>
        <v>0.89</v>
      </c>
      <c r="L13" s="3">
        <f ca="1">IF(OR(I13=0,J13&lt;0),"",RANK(J13,J$8:J$34,$L$3)+COUNTIF(J$8:J13,J13)-1)</f>
        <v>4</v>
      </c>
      <c r="M13" s="3">
        <f t="shared" ca="1" si="37"/>
        <v>19</v>
      </c>
      <c r="N13" s="367">
        <f t="shared" ca="1" si="38"/>
        <v>3</v>
      </c>
      <c r="O13" s="367" t="str">
        <f t="shared" ca="1" si="39"/>
        <v xml:space="preserve">  4.1) Efficient resource management</v>
      </c>
      <c r="P13" s="695">
        <f t="shared" ca="1" si="40"/>
        <v>0.84</v>
      </c>
      <c r="R13" s="3" t="str">
        <f ca="1">IF(OR(I13=0,J13&gt;=0),"",RANK(J13,J$8:J$34,$R$3)+COUNTIF(J$8:J13,J13)-1)</f>
        <v/>
      </c>
      <c r="S13" s="3" t="str">
        <f t="shared" ca="1" si="41"/>
        <v/>
      </c>
      <c r="T13" s="367">
        <f t="shared" ca="1" si="42"/>
        <v>0</v>
      </c>
      <c r="U13" s="367" t="str">
        <f t="shared" ca="1" si="43"/>
        <v/>
      </c>
      <c r="V13" s="695" t="str">
        <f t="shared" ca="1" si="44"/>
        <v/>
      </c>
      <c r="Z13" s="367">
        <f t="shared" ca="1" si="45"/>
        <v>0.89</v>
      </c>
      <c r="AA13" s="696">
        <f t="shared" si="19"/>
        <v>73.2</v>
      </c>
      <c r="AB13" s="696">
        <f t="shared" si="19"/>
        <v>49.5</v>
      </c>
      <c r="AC13" s="696">
        <f t="shared" si="19"/>
        <v>52.6</v>
      </c>
      <c r="AD13" s="696">
        <f t="shared" si="19"/>
        <v>72</v>
      </c>
      <c r="AE13" s="696">
        <f t="shared" si="19"/>
        <v>68.3</v>
      </c>
      <c r="AF13" s="696">
        <f t="shared" si="19"/>
        <v>73.8</v>
      </c>
      <c r="AG13" s="696">
        <f t="shared" si="19"/>
        <v>42.2</v>
      </c>
      <c r="AH13" s="696">
        <f t="shared" si="19"/>
        <v>79.3</v>
      </c>
      <c r="AI13" s="696">
        <f t="shared" si="19"/>
        <v>67.5</v>
      </c>
      <c r="AJ13" s="696">
        <f t="shared" si="19"/>
        <v>69.8</v>
      </c>
      <c r="AK13" s="696">
        <f t="shared" si="19"/>
        <v>69.900000000000006</v>
      </c>
      <c r="AL13" s="696">
        <f t="shared" si="19"/>
        <v>70.2</v>
      </c>
      <c r="AM13" s="696">
        <f t="shared" si="19"/>
        <v>42.5</v>
      </c>
      <c r="AN13" s="696">
        <f t="shared" si="19"/>
        <v>52.6</v>
      </c>
      <c r="AO13" s="696">
        <f t="shared" si="19"/>
        <v>73.5</v>
      </c>
      <c r="AP13" s="696">
        <f t="shared" si="19"/>
        <v>61.5</v>
      </c>
      <c r="AQ13" s="696">
        <f t="shared" si="26"/>
        <v>36.5</v>
      </c>
      <c r="AR13" s="696">
        <f t="shared" si="26"/>
        <v>34.4</v>
      </c>
      <c r="AS13" s="696">
        <f t="shared" si="26"/>
        <v>54.3</v>
      </c>
      <c r="AT13" s="696">
        <f t="shared" si="26"/>
        <v>67.2</v>
      </c>
      <c r="AU13" s="696">
        <f t="shared" si="26"/>
        <v>72.5</v>
      </c>
      <c r="AV13" s="696">
        <f t="shared" si="26"/>
        <v>65.3</v>
      </c>
      <c r="AW13" s="696">
        <f t="shared" si="26"/>
        <v>41.3</v>
      </c>
      <c r="AX13" s="696">
        <f t="shared" si="26"/>
        <v>62.5</v>
      </c>
      <c r="AY13" s="696">
        <f t="shared" si="26"/>
        <v>72.7</v>
      </c>
      <c r="AZ13" s="696">
        <f t="shared" si="26"/>
        <v>70.8</v>
      </c>
      <c r="BA13" s="696">
        <f t="shared" si="26"/>
        <v>52.8</v>
      </c>
      <c r="BB13" s="696">
        <f t="shared" si="26"/>
        <v>64</v>
      </c>
      <c r="BC13" s="696">
        <f t="shared" si="26"/>
        <v>64.900000000000006</v>
      </c>
      <c r="BD13" s="696">
        <f t="shared" si="26"/>
        <v>65.7</v>
      </c>
    </row>
    <row r="14" spans="1:56">
      <c r="A14" s="367">
        <f>INDEX(tblIndicators!$B$2:$B$84,B14)</f>
        <v>0</v>
      </c>
      <c r="B14" s="367">
        <f>tblIndiSets!B302</f>
        <v>17</v>
      </c>
      <c r="C14" s="367" t="str">
        <f>tblIndiSets!E302</f>
        <v xml:space="preserve">  2.1) E-gov services for residents &amp; businesses</v>
      </c>
      <c r="G14" s="367" t="b">
        <f t="shared" ca="1" si="21"/>
        <v>0</v>
      </c>
      <c r="H14" s="367">
        <f t="shared" si="23"/>
        <v>7</v>
      </c>
      <c r="I14" s="367">
        <f t="shared" si="34"/>
        <v>1</v>
      </c>
      <c r="J14" s="367">
        <f t="shared" ca="1" si="35"/>
        <v>0.05</v>
      </c>
      <c r="K14" s="295">
        <f t="shared" ca="1" si="36"/>
        <v>0.05</v>
      </c>
      <c r="L14" s="3">
        <f ca="1">IF(OR(I14=0,J14&lt;0),"",RANK(J14,J$8:J$34,$L$3)+COUNTIF(J$8:J14,J14)-1)</f>
        <v>22</v>
      </c>
      <c r="M14" s="3">
        <f t="shared" ca="1" si="37"/>
        <v>3</v>
      </c>
      <c r="N14" s="367">
        <f t="shared" ca="1" si="38"/>
        <v>3</v>
      </c>
      <c r="O14" s="367" t="str">
        <f t="shared" ca="1" si="39"/>
        <v xml:space="preserve">  1.1) Digital infrastructure</v>
      </c>
      <c r="P14" s="695">
        <f t="shared" ca="1" si="40"/>
        <v>0.82</v>
      </c>
      <c r="R14" s="3" t="str">
        <f ca="1">IF(OR(I14=0,J14&gt;=0),"",RANK(J14,J$8:J$34,$R$3)+COUNTIF(J$8:J14,J14)-1)</f>
        <v/>
      </c>
      <c r="S14" s="3" t="str">
        <f t="shared" ca="1" si="41"/>
        <v/>
      </c>
      <c r="T14" s="367">
        <f t="shared" ca="1" si="42"/>
        <v>0</v>
      </c>
      <c r="U14" s="367" t="str">
        <f t="shared" ca="1" si="43"/>
        <v/>
      </c>
      <c r="V14" s="695" t="str">
        <f t="shared" ca="1" si="44"/>
        <v/>
      </c>
      <c r="Z14" s="367">
        <f t="shared" ca="1" si="45"/>
        <v>0.05</v>
      </c>
      <c r="AA14" s="696">
        <f t="shared" si="19"/>
        <v>48.6</v>
      </c>
      <c r="AB14" s="696">
        <f t="shared" si="19"/>
        <v>65.400000000000006</v>
      </c>
      <c r="AC14" s="696">
        <f t="shared" si="19"/>
        <v>60.4</v>
      </c>
      <c r="AD14" s="696">
        <f t="shared" si="19"/>
        <v>63.9</v>
      </c>
      <c r="AE14" s="696">
        <f t="shared" si="19"/>
        <v>64.599999999999994</v>
      </c>
      <c r="AF14" s="696">
        <f t="shared" si="19"/>
        <v>90.7</v>
      </c>
      <c r="AG14" s="696">
        <f t="shared" si="19"/>
        <v>46.4</v>
      </c>
      <c r="AH14" s="696">
        <f t="shared" si="19"/>
        <v>66.8</v>
      </c>
      <c r="AI14" s="696">
        <f t="shared" si="19"/>
        <v>66.099999999999994</v>
      </c>
      <c r="AJ14" s="696">
        <f t="shared" si="19"/>
        <v>64.3</v>
      </c>
      <c r="AK14" s="696">
        <f t="shared" si="19"/>
        <v>90.7</v>
      </c>
      <c r="AL14" s="696">
        <f t="shared" si="19"/>
        <v>65.7</v>
      </c>
      <c r="AM14" s="696">
        <f t="shared" si="19"/>
        <v>56.4</v>
      </c>
      <c r="AN14" s="696">
        <f t="shared" si="19"/>
        <v>62.5</v>
      </c>
      <c r="AO14" s="696">
        <f t="shared" si="19"/>
        <v>66.400000000000006</v>
      </c>
      <c r="AP14" s="696">
        <f t="shared" si="19"/>
        <v>63.9</v>
      </c>
      <c r="AQ14" s="696">
        <f t="shared" si="26"/>
        <v>58.2</v>
      </c>
      <c r="AR14" s="696">
        <f t="shared" si="26"/>
        <v>61.4</v>
      </c>
      <c r="AS14" s="696">
        <f t="shared" si="26"/>
        <v>94.6</v>
      </c>
      <c r="AT14" s="696">
        <f t="shared" si="26"/>
        <v>66.099999999999994</v>
      </c>
      <c r="AU14" s="696">
        <f t="shared" si="26"/>
        <v>63.6</v>
      </c>
      <c r="AV14" s="696">
        <f t="shared" si="26"/>
        <v>61.8</v>
      </c>
      <c r="AW14" s="696">
        <f t="shared" si="26"/>
        <v>95.4</v>
      </c>
      <c r="AX14" s="696">
        <f t="shared" si="26"/>
        <v>51.8</v>
      </c>
      <c r="AY14" s="696">
        <f t="shared" si="26"/>
        <v>98.6</v>
      </c>
      <c r="AZ14" s="696">
        <f t="shared" si="26"/>
        <v>66.099999999999994</v>
      </c>
      <c r="BA14" s="696">
        <f t="shared" si="26"/>
        <v>64.599999999999994</v>
      </c>
      <c r="BB14" s="696">
        <f t="shared" si="26"/>
        <v>94.3</v>
      </c>
      <c r="BC14" s="696">
        <f t="shared" si="26"/>
        <v>66.099999999999994</v>
      </c>
      <c r="BD14" s="696">
        <f t="shared" si="26"/>
        <v>61.8</v>
      </c>
    </row>
    <row r="15" spans="1:56">
      <c r="A15" s="367">
        <f>INDEX(tblIndicators!$B$2:$B$84,B15)</f>
        <v>0</v>
      </c>
      <c r="B15" s="367">
        <f>tblIndiSets!B303</f>
        <v>21</v>
      </c>
      <c r="C15" s="367" t="str">
        <f>tblIndiSets!E303</f>
        <v xml:space="preserve">  2.2) Digital finance</v>
      </c>
      <c r="G15" s="367" t="b">
        <f t="shared" ca="1" si="21"/>
        <v>0</v>
      </c>
      <c r="H15" s="367">
        <f t="shared" si="23"/>
        <v>8</v>
      </c>
      <c r="I15" s="367">
        <f t="shared" si="34"/>
        <v>1</v>
      </c>
      <c r="J15" s="367">
        <f t="shared" ca="1" si="35"/>
        <v>0.38</v>
      </c>
      <c r="K15" s="295">
        <f t="shared" ca="1" si="36"/>
        <v>0.38</v>
      </c>
      <c r="L15" s="3">
        <f ca="1">IF(OR(I15=0,J15&lt;0),"",RANK(J15,J$8:J$34,$L$3)+COUNTIF(J$8:J15,J15)-1)</f>
        <v>20</v>
      </c>
      <c r="M15" s="3">
        <f t="shared" ca="1" si="37"/>
        <v>20</v>
      </c>
      <c r="N15" s="367">
        <f t="shared" ca="1" si="38"/>
        <v>3</v>
      </c>
      <c r="O15" s="367" t="str">
        <f t="shared" ca="1" si="39"/>
        <v xml:space="preserve">  4.2) Emissions reduction</v>
      </c>
      <c r="P15" s="695">
        <f t="shared" ca="1" si="40"/>
        <v>0.82</v>
      </c>
      <c r="R15" s="3" t="str">
        <f ca="1">IF(OR(I15=0,J15&gt;=0),"",RANK(J15,J$8:J$34,$R$3)+COUNTIF(J$8:J15,J15)-1)</f>
        <v/>
      </c>
      <c r="S15" s="3" t="str">
        <f t="shared" ca="1" si="41"/>
        <v/>
      </c>
      <c r="T15" s="367">
        <f t="shared" ca="1" si="42"/>
        <v>0</v>
      </c>
      <c r="U15" s="367" t="str">
        <f t="shared" ca="1" si="43"/>
        <v/>
      </c>
      <c r="V15" s="695" t="str">
        <f t="shared" ca="1" si="44"/>
        <v/>
      </c>
      <c r="Z15" s="367">
        <f t="shared" ca="1" si="45"/>
        <v>0.38</v>
      </c>
      <c r="AA15" s="696">
        <f t="shared" si="19"/>
        <v>58.5</v>
      </c>
      <c r="AB15" s="696">
        <f t="shared" si="19"/>
        <v>65.599999999999994</v>
      </c>
      <c r="AC15" s="696">
        <f t="shared" si="19"/>
        <v>51.1</v>
      </c>
      <c r="AD15" s="696">
        <f t="shared" si="19"/>
        <v>37.799999999999997</v>
      </c>
      <c r="AE15" s="696">
        <f t="shared" si="19"/>
        <v>87.4</v>
      </c>
      <c r="AF15" s="696">
        <f t="shared" si="19"/>
        <v>29.6</v>
      </c>
      <c r="AG15" s="696">
        <f t="shared" si="19"/>
        <v>39.299999999999997</v>
      </c>
      <c r="AH15" s="696">
        <f t="shared" si="19"/>
        <v>66.2</v>
      </c>
      <c r="AI15" s="696">
        <f t="shared" si="19"/>
        <v>57.3</v>
      </c>
      <c r="AJ15" s="696">
        <f t="shared" si="19"/>
        <v>60.5</v>
      </c>
      <c r="AK15" s="696">
        <f t="shared" si="19"/>
        <v>37</v>
      </c>
      <c r="AL15" s="696">
        <f t="shared" si="19"/>
        <v>68.5</v>
      </c>
      <c r="AM15" s="696">
        <f t="shared" si="19"/>
        <v>51.6</v>
      </c>
      <c r="AN15" s="696">
        <f t="shared" si="19"/>
        <v>25.1</v>
      </c>
      <c r="AO15" s="696">
        <f t="shared" si="19"/>
        <v>46.5</v>
      </c>
      <c r="AP15" s="696">
        <f t="shared" si="19"/>
        <v>35.9</v>
      </c>
      <c r="AQ15" s="696">
        <f t="shared" si="26"/>
        <v>26</v>
      </c>
      <c r="AR15" s="696">
        <f t="shared" si="26"/>
        <v>30.7</v>
      </c>
      <c r="AS15" s="696">
        <f t="shared" si="26"/>
        <v>65.5</v>
      </c>
      <c r="AT15" s="696">
        <f t="shared" si="26"/>
        <v>57</v>
      </c>
      <c r="AU15" s="696">
        <f t="shared" si="26"/>
        <v>62.9</v>
      </c>
      <c r="AV15" s="696">
        <f t="shared" si="26"/>
        <v>37.700000000000003</v>
      </c>
      <c r="AW15" s="696">
        <f t="shared" si="26"/>
        <v>47.7</v>
      </c>
      <c r="AX15" s="696">
        <f t="shared" si="26"/>
        <v>83.3</v>
      </c>
      <c r="AY15" s="696">
        <f t="shared" si="26"/>
        <v>60.3</v>
      </c>
      <c r="AZ15" s="696">
        <f t="shared" si="26"/>
        <v>49</v>
      </c>
      <c r="BA15" s="696">
        <f t="shared" si="26"/>
        <v>6.9</v>
      </c>
      <c r="BB15" s="696">
        <f t="shared" si="26"/>
        <v>58.7</v>
      </c>
      <c r="BC15" s="696">
        <f t="shared" si="26"/>
        <v>60.8</v>
      </c>
      <c r="BD15" s="696">
        <f t="shared" si="26"/>
        <v>59</v>
      </c>
    </row>
    <row r="16" spans="1:56">
      <c r="A16" s="367">
        <f>INDEX(tblIndicators!$B$2:$B$84,B16)</f>
        <v>0</v>
      </c>
      <c r="B16" s="367">
        <f>tblIndiSets!B304</f>
        <v>25</v>
      </c>
      <c r="C16" s="367" t="str">
        <f>tblIndiSets!E304</f>
        <v xml:space="preserve">  2.3) Transportation</v>
      </c>
      <c r="G16" s="367" t="b">
        <f t="shared" ca="1" si="21"/>
        <v>0</v>
      </c>
      <c r="H16" s="367">
        <f t="shared" si="23"/>
        <v>9</v>
      </c>
      <c r="I16" s="367">
        <f t="shared" si="34"/>
        <v>1</v>
      </c>
      <c r="J16" s="367">
        <f t="shared" ca="1" si="35"/>
        <v>0.62</v>
      </c>
      <c r="K16" s="295">
        <f t="shared" ca="1" si="36"/>
        <v>0.62</v>
      </c>
      <c r="L16" s="3">
        <f ca="1">IF(OR(I16=0,J16&lt;0),"",RANK(J16,J$8:J$34,$L$3)+COUNTIF(J$8:J16,J16)-1)</f>
        <v>13</v>
      </c>
      <c r="M16" s="3">
        <f t="shared" ca="1" si="37"/>
        <v>13</v>
      </c>
      <c r="N16" s="367">
        <f t="shared" ca="1" si="38"/>
        <v>3</v>
      </c>
      <c r="O16" s="367" t="str">
        <f t="shared" ca="1" si="39"/>
        <v xml:space="preserve"> 3) CULTURE</v>
      </c>
      <c r="P16" s="695">
        <f t="shared" ca="1" si="40"/>
        <v>0.8</v>
      </c>
      <c r="R16" s="3" t="str">
        <f ca="1">IF(OR(I16=0,J16&gt;=0),"",RANK(J16,J$8:J$34,$R$3)+COUNTIF(J$8:J16,J16)-1)</f>
        <v/>
      </c>
      <c r="S16" s="3" t="str">
        <f t="shared" ca="1" si="41"/>
        <v/>
      </c>
      <c r="T16" s="367">
        <f t="shared" ca="1" si="42"/>
        <v>0</v>
      </c>
      <c r="U16" s="367" t="str">
        <f t="shared" ca="1" si="43"/>
        <v/>
      </c>
      <c r="V16" s="695" t="str">
        <f t="shared" ca="1" si="44"/>
        <v/>
      </c>
      <c r="Z16" s="367">
        <f t="shared" ca="1" si="45"/>
        <v>0.62</v>
      </c>
      <c r="AA16" s="696">
        <f t="shared" si="19"/>
        <v>100</v>
      </c>
      <c r="AB16" s="696">
        <f t="shared" si="19"/>
        <v>41</v>
      </c>
      <c r="AC16" s="696">
        <f t="shared" si="19"/>
        <v>23.1</v>
      </c>
      <c r="AD16" s="696">
        <f t="shared" si="19"/>
        <v>100</v>
      </c>
      <c r="AE16" s="696">
        <f t="shared" si="19"/>
        <v>82.1</v>
      </c>
      <c r="AF16" s="696">
        <f t="shared" si="19"/>
        <v>76.900000000000006</v>
      </c>
      <c r="AG16" s="696">
        <f t="shared" si="19"/>
        <v>59</v>
      </c>
      <c r="AH16" s="696">
        <f t="shared" si="19"/>
        <v>59</v>
      </c>
      <c r="AI16" s="696">
        <f t="shared" si="19"/>
        <v>76.900000000000006</v>
      </c>
      <c r="AJ16" s="696">
        <f t="shared" si="19"/>
        <v>100</v>
      </c>
      <c r="AK16" s="696">
        <f t="shared" si="19"/>
        <v>100</v>
      </c>
      <c r="AL16" s="696">
        <f t="shared" si="19"/>
        <v>82.1</v>
      </c>
      <c r="AM16" s="696">
        <f t="shared" si="19"/>
        <v>76.900000000000006</v>
      </c>
      <c r="AN16" s="696">
        <f t="shared" si="19"/>
        <v>82.1</v>
      </c>
      <c r="AO16" s="696">
        <f t="shared" si="19"/>
        <v>82.1</v>
      </c>
      <c r="AP16" s="696">
        <f t="shared" si="19"/>
        <v>64.099999999999994</v>
      </c>
      <c r="AQ16" s="696">
        <f t="shared" si="26"/>
        <v>23.1</v>
      </c>
      <c r="AR16" s="696">
        <f t="shared" si="26"/>
        <v>23.1</v>
      </c>
      <c r="AS16" s="696">
        <f t="shared" si="26"/>
        <v>17.899999999999999</v>
      </c>
      <c r="AT16" s="696">
        <f t="shared" si="26"/>
        <v>59</v>
      </c>
      <c r="AU16" s="696">
        <f t="shared" si="26"/>
        <v>100</v>
      </c>
      <c r="AV16" s="696">
        <f t="shared" si="26"/>
        <v>100</v>
      </c>
      <c r="AW16" s="696">
        <f t="shared" si="26"/>
        <v>0</v>
      </c>
      <c r="AX16" s="696">
        <f t="shared" si="26"/>
        <v>82.1</v>
      </c>
      <c r="AY16" s="696">
        <f t="shared" si="26"/>
        <v>82.1</v>
      </c>
      <c r="AZ16" s="696">
        <f t="shared" si="26"/>
        <v>100</v>
      </c>
      <c r="BA16" s="696">
        <f t="shared" si="26"/>
        <v>64.099999999999994</v>
      </c>
      <c r="BB16" s="696">
        <f t="shared" si="26"/>
        <v>35.9</v>
      </c>
      <c r="BC16" s="696">
        <f t="shared" si="26"/>
        <v>59</v>
      </c>
      <c r="BD16" s="696">
        <f t="shared" si="26"/>
        <v>76.900000000000006</v>
      </c>
    </row>
    <row r="17" spans="1:56">
      <c r="A17" s="367">
        <f>INDEX(tblIndicators!$B$2:$B$84,B17)</f>
        <v>0</v>
      </c>
      <c r="B17" s="367">
        <f>tblIndiSets!B305</f>
        <v>28</v>
      </c>
      <c r="C17" s="367" t="str">
        <f>tblIndiSets!E305</f>
        <v xml:space="preserve">  2.4) Healthcare</v>
      </c>
      <c r="G17" s="367" t="b">
        <f t="shared" ca="1" si="21"/>
        <v>0</v>
      </c>
      <c r="H17" s="367">
        <f t="shared" si="23"/>
        <v>10</v>
      </c>
      <c r="I17" s="367">
        <f t="shared" si="34"/>
        <v>1</v>
      </c>
      <c r="J17" s="367">
        <f t="shared" ca="1" si="35"/>
        <v>0.53</v>
      </c>
      <c r="K17" s="295">
        <f t="shared" ca="1" si="36"/>
        <v>0.53</v>
      </c>
      <c r="L17" s="3">
        <f ca="1">IF(OR(I17=0,J17&lt;0),"",RANK(J17,J$8:J$34,$L$3)+COUNTIF(J$8:J17,J17)-1)</f>
        <v>16</v>
      </c>
      <c r="M17" s="3">
        <f t="shared" ca="1" si="37"/>
        <v>5</v>
      </c>
      <c r="N17" s="367">
        <f t="shared" ca="1" si="38"/>
        <v>1</v>
      </c>
      <c r="O17" s="367" t="str">
        <f t="shared" ca="1" si="39"/>
        <v xml:space="preserve">  1.3) Affordability</v>
      </c>
      <c r="P17" s="695">
        <f t="shared" ca="1" si="40"/>
        <v>0.69</v>
      </c>
      <c r="R17" s="3" t="str">
        <f ca="1">IF(OR(I17=0,J17&gt;=0),"",RANK(J17,J$8:J$34,$R$3)+COUNTIF(J$8:J17,J17)-1)</f>
        <v/>
      </c>
      <c r="S17" s="3" t="str">
        <f t="shared" ca="1" si="41"/>
        <v/>
      </c>
      <c r="T17" s="367">
        <f t="shared" ca="1" si="42"/>
        <v>0</v>
      </c>
      <c r="U17" s="367" t="str">
        <f t="shared" ca="1" si="43"/>
        <v/>
      </c>
      <c r="V17" s="695" t="str">
        <f t="shared" ca="1" si="44"/>
        <v/>
      </c>
      <c r="Z17" s="367">
        <f t="shared" ca="1" si="45"/>
        <v>0.53</v>
      </c>
      <c r="AA17" s="696">
        <f t="shared" si="19"/>
        <v>91.6</v>
      </c>
      <c r="AB17" s="696">
        <f t="shared" si="19"/>
        <v>54.1</v>
      </c>
      <c r="AC17" s="696">
        <f t="shared" si="19"/>
        <v>59.5</v>
      </c>
      <c r="AD17" s="696">
        <f t="shared" si="19"/>
        <v>97</v>
      </c>
      <c r="AE17" s="696">
        <f t="shared" si="19"/>
        <v>97.8</v>
      </c>
      <c r="AF17" s="696">
        <f t="shared" si="19"/>
        <v>68.3</v>
      </c>
      <c r="AG17" s="696">
        <f t="shared" si="19"/>
        <v>80.400000000000006</v>
      </c>
      <c r="AH17" s="696">
        <f t="shared" si="19"/>
        <v>92.2</v>
      </c>
      <c r="AI17" s="696">
        <f t="shared" si="19"/>
        <v>73.2</v>
      </c>
      <c r="AJ17" s="696">
        <f t="shared" si="19"/>
        <v>81.599999999999994</v>
      </c>
      <c r="AK17" s="696">
        <f t="shared" si="19"/>
        <v>50</v>
      </c>
      <c r="AL17" s="696">
        <f t="shared" si="19"/>
        <v>77.2</v>
      </c>
      <c r="AM17" s="696">
        <f t="shared" si="19"/>
        <v>42.6</v>
      </c>
      <c r="AN17" s="696">
        <f t="shared" si="19"/>
        <v>79.400000000000006</v>
      </c>
      <c r="AO17" s="696">
        <f t="shared" si="19"/>
        <v>91.8</v>
      </c>
      <c r="AP17" s="696">
        <f t="shared" si="19"/>
        <v>75.7</v>
      </c>
      <c r="AQ17" s="696">
        <f t="shared" si="26"/>
        <v>59.5</v>
      </c>
      <c r="AR17" s="696">
        <f t="shared" si="26"/>
        <v>26.7</v>
      </c>
      <c r="AS17" s="696">
        <f t="shared" si="26"/>
        <v>81.400000000000006</v>
      </c>
      <c r="AT17" s="696">
        <f t="shared" si="26"/>
        <v>94.2</v>
      </c>
      <c r="AU17" s="696">
        <f t="shared" si="26"/>
        <v>75.900000000000006</v>
      </c>
      <c r="AV17" s="696">
        <f t="shared" si="26"/>
        <v>72.8</v>
      </c>
      <c r="AW17" s="696">
        <f t="shared" si="26"/>
        <v>44.5</v>
      </c>
      <c r="AX17" s="696">
        <f t="shared" si="26"/>
        <v>43.9</v>
      </c>
      <c r="AY17" s="696">
        <f t="shared" si="26"/>
        <v>75.900000000000006</v>
      </c>
      <c r="AZ17" s="696">
        <f t="shared" si="26"/>
        <v>92</v>
      </c>
      <c r="BA17" s="696">
        <f t="shared" si="26"/>
        <v>51</v>
      </c>
      <c r="BB17" s="696">
        <f t="shared" si="26"/>
        <v>70.8</v>
      </c>
      <c r="BC17" s="696">
        <f t="shared" si="26"/>
        <v>75.5</v>
      </c>
      <c r="BD17" s="696">
        <f t="shared" si="26"/>
        <v>72.8</v>
      </c>
    </row>
    <row r="18" spans="1:56">
      <c r="A18" s="367">
        <f>INDEX(tblIndicators!$B$2:$B$84,B18)</f>
        <v>0</v>
      </c>
      <c r="B18" s="367">
        <f>tblIndiSets!B306</f>
        <v>32</v>
      </c>
      <c r="C18" s="367" t="str">
        <f>tblIndiSets!E306</f>
        <v xml:space="preserve">  2.5) Education</v>
      </c>
      <c r="G18" s="367" t="b">
        <f t="shared" ca="1" si="21"/>
        <v>0</v>
      </c>
      <c r="H18" s="367">
        <f t="shared" si="23"/>
        <v>11</v>
      </c>
      <c r="I18" s="367">
        <f t="shared" si="34"/>
        <v>1</v>
      </c>
      <c r="J18" s="367">
        <f t="shared" ca="1" si="35"/>
        <v>0.67</v>
      </c>
      <c r="K18" s="295">
        <f t="shared" ca="1" si="36"/>
        <v>0.67</v>
      </c>
      <c r="L18" s="3">
        <f ca="1">IF(OR(I18=0,J18&lt;0),"",RANK(J18,J$8:J$34,$L$3)+COUNTIF(J$8:J18,J18)-1)</f>
        <v>11</v>
      </c>
      <c r="M18" s="3">
        <f t="shared" ca="1" si="37"/>
        <v>11</v>
      </c>
      <c r="N18" s="367">
        <f t="shared" ca="1" si="38"/>
        <v>1</v>
      </c>
      <c r="O18" s="367" t="str">
        <f t="shared" ca="1" si="39"/>
        <v xml:space="preserve">  2.5) Education</v>
      </c>
      <c r="P18" s="695">
        <f t="shared" ca="1" si="40"/>
        <v>0.67</v>
      </c>
      <c r="R18" s="3" t="str">
        <f ca="1">IF(OR(I18=0,J18&gt;=0),"",RANK(J18,J$8:J$34,$R$3)+COUNTIF(J$8:J18,J18)-1)</f>
        <v/>
      </c>
      <c r="S18" s="3" t="str">
        <f t="shared" ca="1" si="41"/>
        <v/>
      </c>
      <c r="T18" s="367">
        <f t="shared" ca="1" si="42"/>
        <v>0</v>
      </c>
      <c r="U18" s="367" t="str">
        <f t="shared" ca="1" si="43"/>
        <v/>
      </c>
      <c r="V18" s="695" t="str">
        <f t="shared" ca="1" si="44"/>
        <v/>
      </c>
      <c r="Z18" s="367">
        <f t="shared" ca="1" si="45"/>
        <v>0.67</v>
      </c>
      <c r="AA18" s="696">
        <f t="shared" si="19"/>
        <v>100</v>
      </c>
      <c r="AB18" s="696">
        <f t="shared" si="19"/>
        <v>50</v>
      </c>
      <c r="AC18" s="696">
        <f t="shared" si="19"/>
        <v>50</v>
      </c>
      <c r="AD18" s="696">
        <f t="shared" si="19"/>
        <v>100</v>
      </c>
      <c r="AE18" s="696">
        <f t="shared" si="19"/>
        <v>50</v>
      </c>
      <c r="AF18" s="696">
        <f t="shared" si="19"/>
        <v>100</v>
      </c>
      <c r="AG18" s="696">
        <f t="shared" si="19"/>
        <v>0</v>
      </c>
      <c r="AH18" s="696">
        <f t="shared" si="19"/>
        <v>100</v>
      </c>
      <c r="AI18" s="696">
        <f t="shared" si="19"/>
        <v>100</v>
      </c>
      <c r="AJ18" s="696">
        <f t="shared" si="19"/>
        <v>50</v>
      </c>
      <c r="AK18" s="696">
        <f t="shared" si="19"/>
        <v>100</v>
      </c>
      <c r="AL18" s="696">
        <f t="shared" si="19"/>
        <v>100</v>
      </c>
      <c r="AM18" s="696">
        <f t="shared" si="19"/>
        <v>0</v>
      </c>
      <c r="AN18" s="696">
        <f t="shared" si="19"/>
        <v>50</v>
      </c>
      <c r="AO18" s="696">
        <f t="shared" si="19"/>
        <v>100</v>
      </c>
      <c r="AP18" s="696">
        <f t="shared" si="19"/>
        <v>100</v>
      </c>
      <c r="AQ18" s="696">
        <f t="shared" si="26"/>
        <v>50</v>
      </c>
      <c r="AR18" s="696">
        <f t="shared" si="26"/>
        <v>50</v>
      </c>
      <c r="AS18" s="696">
        <f t="shared" si="26"/>
        <v>50</v>
      </c>
      <c r="AT18" s="696">
        <f t="shared" si="26"/>
        <v>100</v>
      </c>
      <c r="AU18" s="696">
        <f t="shared" si="26"/>
        <v>50</v>
      </c>
      <c r="AV18" s="696">
        <f t="shared" si="26"/>
        <v>100</v>
      </c>
      <c r="AW18" s="696">
        <f t="shared" si="26"/>
        <v>50</v>
      </c>
      <c r="AX18" s="696">
        <f t="shared" si="26"/>
        <v>50</v>
      </c>
      <c r="AY18" s="696">
        <f t="shared" si="26"/>
        <v>100</v>
      </c>
      <c r="AZ18" s="696">
        <f t="shared" si="26"/>
        <v>100</v>
      </c>
      <c r="BA18" s="696">
        <f t="shared" si="26"/>
        <v>100</v>
      </c>
      <c r="BB18" s="696">
        <f t="shared" si="26"/>
        <v>100</v>
      </c>
      <c r="BC18" s="696">
        <f t="shared" si="26"/>
        <v>100</v>
      </c>
      <c r="BD18" s="696">
        <f t="shared" si="26"/>
        <v>50</v>
      </c>
    </row>
    <row r="19" spans="1:56">
      <c r="A19" s="367">
        <f>INDEX(tblIndicators!$B$2:$B$84,B19)</f>
        <v>0</v>
      </c>
      <c r="B19" s="367">
        <f>tblIndiSets!B307</f>
        <v>34</v>
      </c>
      <c r="C19" s="367" t="str">
        <f>tblIndiSets!E307</f>
        <v xml:space="preserve">  2.6) Retail and hospitality</v>
      </c>
      <c r="G19" s="367" t="b">
        <f t="shared" ca="1" si="21"/>
        <v>0</v>
      </c>
      <c r="H19" s="367">
        <f t="shared" si="23"/>
        <v>12</v>
      </c>
      <c r="I19" s="367">
        <f t="shared" si="34"/>
        <v>1</v>
      </c>
      <c r="J19" s="367">
        <f t="shared" ca="1" si="35"/>
        <v>0.46</v>
      </c>
      <c r="K19" s="295">
        <f t="shared" ca="1" si="36"/>
        <v>0.46</v>
      </c>
      <c r="L19" s="3">
        <f ca="1">IF(OR(I19=0,J19&lt;0),"",RANK(J19,J$8:J$34,$L$3)+COUNTIF(J$8:J19,J19)-1)</f>
        <v>18</v>
      </c>
      <c r="M19" s="3">
        <f t="shared" ca="1" si="37"/>
        <v>27</v>
      </c>
      <c r="N19" s="367">
        <f t="shared" ca="1" si="38"/>
        <v>1</v>
      </c>
      <c r="O19" s="367" t="str">
        <f t="shared" ca="1" si="39"/>
        <v xml:space="preserve">   BG_1.5) Per capita income</v>
      </c>
      <c r="P19" s="695">
        <f t="shared" ca="1" si="40"/>
        <v>0.66</v>
      </c>
      <c r="R19" s="3" t="str">
        <f ca="1">IF(OR(I19=0,J19&gt;=0),"",RANK(J19,J$8:J$34,$R$3)+COUNTIF(J$8:J19,J19)-1)</f>
        <v/>
      </c>
      <c r="S19" s="3" t="str">
        <f t="shared" ca="1" si="41"/>
        <v/>
      </c>
      <c r="T19" s="367">
        <f t="shared" ca="1" si="42"/>
        <v>0</v>
      </c>
      <c r="U19" s="367" t="str">
        <f t="shared" ca="1" si="43"/>
        <v/>
      </c>
      <c r="V19" s="695" t="str">
        <f t="shared" ca="1" si="44"/>
        <v/>
      </c>
      <c r="Z19" s="367">
        <f t="shared" ca="1" si="45"/>
        <v>0.46</v>
      </c>
      <c r="AA19" s="696">
        <f t="shared" si="19"/>
        <v>40.299999999999997</v>
      </c>
      <c r="AB19" s="696">
        <f t="shared" si="19"/>
        <v>19.2</v>
      </c>
      <c r="AC19" s="696">
        <f t="shared" si="19"/>
        <v>76.7</v>
      </c>
      <c r="AD19" s="696">
        <f t="shared" si="19"/>
        <v>28.4</v>
      </c>
      <c r="AE19" s="696">
        <f t="shared" si="19"/>
        <v>25.5</v>
      </c>
      <c r="AF19" s="696">
        <f t="shared" si="19"/>
        <v>72.3</v>
      </c>
      <c r="AG19" s="696">
        <f t="shared" si="19"/>
        <v>22.9</v>
      </c>
      <c r="AH19" s="696">
        <f t="shared" si="19"/>
        <v>100</v>
      </c>
      <c r="AI19" s="696">
        <f t="shared" si="19"/>
        <v>29.2</v>
      </c>
      <c r="AJ19" s="696">
        <f t="shared" si="19"/>
        <v>56.4</v>
      </c>
      <c r="AK19" s="696">
        <f t="shared" si="19"/>
        <v>28.8</v>
      </c>
      <c r="AL19" s="696">
        <f t="shared" si="19"/>
        <v>26.2</v>
      </c>
      <c r="AM19" s="696">
        <f t="shared" si="19"/>
        <v>15.5</v>
      </c>
      <c r="AN19" s="696">
        <f t="shared" si="19"/>
        <v>7</v>
      </c>
      <c r="AO19" s="696">
        <f t="shared" si="19"/>
        <v>53.9</v>
      </c>
      <c r="AP19" s="696">
        <f t="shared" si="19"/>
        <v>28.4</v>
      </c>
      <c r="AQ19" s="696">
        <f t="shared" si="26"/>
        <v>0</v>
      </c>
      <c r="AR19" s="696">
        <f t="shared" si="26"/>
        <v>10.3</v>
      </c>
      <c r="AS19" s="696">
        <f t="shared" si="26"/>
        <v>15.5</v>
      </c>
      <c r="AT19" s="696">
        <f t="shared" si="26"/>
        <v>29.2</v>
      </c>
      <c r="AU19" s="696">
        <f t="shared" si="26"/>
        <v>78.2</v>
      </c>
      <c r="AV19" s="696">
        <f t="shared" si="26"/>
        <v>11.8</v>
      </c>
      <c r="AW19" s="696">
        <f t="shared" si="26"/>
        <v>7</v>
      </c>
      <c r="AX19" s="696">
        <f t="shared" si="26"/>
        <v>61.9</v>
      </c>
      <c r="AY19" s="696">
        <f t="shared" si="26"/>
        <v>10.3</v>
      </c>
      <c r="AZ19" s="696">
        <f t="shared" si="26"/>
        <v>11.5</v>
      </c>
      <c r="BA19" s="696">
        <f t="shared" si="26"/>
        <v>24.4</v>
      </c>
      <c r="BB19" s="696">
        <f t="shared" si="26"/>
        <v>24</v>
      </c>
      <c r="BC19" s="696">
        <f t="shared" si="26"/>
        <v>29.2</v>
      </c>
      <c r="BD19" s="696">
        <f t="shared" si="26"/>
        <v>71.900000000000006</v>
      </c>
    </row>
    <row r="20" spans="1:56">
      <c r="A20" s="367">
        <f>INDEX(tblIndicators!$B$2:$B$84,B20)</f>
        <v>0</v>
      </c>
      <c r="B20" s="367">
        <f>tblIndiSets!B308</f>
        <v>37</v>
      </c>
      <c r="C20" s="367" t="str">
        <f>tblIndiSets!E308</f>
        <v xml:space="preserve"> 3) CULTURE</v>
      </c>
      <c r="G20" s="367" t="b">
        <f t="shared" ca="1" si="21"/>
        <v>0</v>
      </c>
      <c r="H20" s="367">
        <f t="shared" si="23"/>
        <v>13</v>
      </c>
      <c r="I20" s="367">
        <f t="shared" si="34"/>
        <v>1</v>
      </c>
      <c r="J20" s="367">
        <f t="shared" ca="1" si="35"/>
        <v>0.8</v>
      </c>
      <c r="K20" s="295">
        <f t="shared" ca="1" si="36"/>
        <v>0.8</v>
      </c>
      <c r="L20" s="3">
        <f ca="1">IF(OR(I20=0,J20&lt;0),"",RANK(J20,J$8:J$34,$L$3)+COUNTIF(J$8:J20,J20)-1)</f>
        <v>9</v>
      </c>
      <c r="M20" s="3">
        <f t="shared" ca="1" si="37"/>
        <v>9</v>
      </c>
      <c r="N20" s="367">
        <f t="shared" ca="1" si="38"/>
        <v>1</v>
      </c>
      <c r="O20" s="367" t="str">
        <f t="shared" ca="1" si="39"/>
        <v xml:space="preserve">  2.3) Transportation</v>
      </c>
      <c r="P20" s="695">
        <f t="shared" ca="1" si="40"/>
        <v>0.62</v>
      </c>
      <c r="R20" s="3" t="str">
        <f ca="1">IF(OR(I20=0,J20&gt;=0),"",RANK(J20,J$8:J$34,$R$3)+COUNTIF(J$8:J20,J20)-1)</f>
        <v/>
      </c>
      <c r="S20" s="3" t="str">
        <f t="shared" ca="1" si="41"/>
        <v/>
      </c>
      <c r="T20" s="367">
        <f t="shared" ca="1" si="42"/>
        <v>0</v>
      </c>
      <c r="U20" s="367" t="str">
        <f t="shared" ca="1" si="43"/>
        <v/>
      </c>
      <c r="V20" s="695" t="str">
        <f t="shared" ca="1" si="44"/>
        <v/>
      </c>
      <c r="Z20" s="367">
        <f t="shared" ca="1" si="45"/>
        <v>0.8</v>
      </c>
      <c r="AA20" s="696">
        <f t="shared" si="19"/>
        <v>62.1</v>
      </c>
      <c r="AB20" s="696">
        <f t="shared" si="19"/>
        <v>67</v>
      </c>
      <c r="AC20" s="696">
        <f t="shared" si="19"/>
        <v>43.4</v>
      </c>
      <c r="AD20" s="696">
        <f t="shared" si="19"/>
        <v>60.6</v>
      </c>
      <c r="AE20" s="696">
        <f t="shared" si="19"/>
        <v>57.9</v>
      </c>
      <c r="AF20" s="696">
        <f t="shared" si="19"/>
        <v>62.7</v>
      </c>
      <c r="AG20" s="696">
        <f t="shared" si="19"/>
        <v>48.7</v>
      </c>
      <c r="AH20" s="696">
        <f t="shared" si="19"/>
        <v>67.900000000000006</v>
      </c>
      <c r="AI20" s="696">
        <f t="shared" si="19"/>
        <v>67.5</v>
      </c>
      <c r="AJ20" s="696">
        <f t="shared" si="19"/>
        <v>65.2</v>
      </c>
      <c r="AK20" s="696">
        <f t="shared" si="19"/>
        <v>62.7</v>
      </c>
      <c r="AL20" s="696">
        <f t="shared" si="19"/>
        <v>48.3</v>
      </c>
      <c r="AM20" s="696">
        <f t="shared" si="19"/>
        <v>47.2</v>
      </c>
      <c r="AN20" s="696">
        <f t="shared" si="19"/>
        <v>56.9</v>
      </c>
      <c r="AO20" s="696">
        <f t="shared" si="19"/>
        <v>65.400000000000006</v>
      </c>
      <c r="AP20" s="696">
        <f t="shared" si="19"/>
        <v>56.9</v>
      </c>
      <c r="AQ20" s="696">
        <f t="shared" si="26"/>
        <v>46.8</v>
      </c>
      <c r="AR20" s="696">
        <f t="shared" si="26"/>
        <v>48.3</v>
      </c>
      <c r="AS20" s="696">
        <f t="shared" si="26"/>
        <v>46.1</v>
      </c>
      <c r="AT20" s="696">
        <f t="shared" si="26"/>
        <v>73.599999999999994</v>
      </c>
      <c r="AU20" s="696">
        <f t="shared" si="26"/>
        <v>64.099999999999994</v>
      </c>
      <c r="AV20" s="696">
        <f t="shared" si="26"/>
        <v>50</v>
      </c>
      <c r="AW20" s="696">
        <f t="shared" si="26"/>
        <v>57</v>
      </c>
      <c r="AX20" s="696">
        <f t="shared" si="26"/>
        <v>67.5</v>
      </c>
      <c r="AY20" s="696">
        <f t="shared" si="26"/>
        <v>63.7</v>
      </c>
      <c r="AZ20" s="696">
        <f t="shared" si="26"/>
        <v>61.4</v>
      </c>
      <c r="BA20" s="696">
        <f t="shared" si="26"/>
        <v>55.5</v>
      </c>
      <c r="BB20" s="696">
        <f t="shared" si="26"/>
        <v>68.400000000000006</v>
      </c>
      <c r="BC20" s="696">
        <f t="shared" si="26"/>
        <v>69.2</v>
      </c>
      <c r="BD20" s="696">
        <f t="shared" si="26"/>
        <v>64</v>
      </c>
    </row>
    <row r="21" spans="1:56">
      <c r="A21" s="367">
        <f>INDEX(tblIndicators!$B$2:$B$84,B21)</f>
        <v>0</v>
      </c>
      <c r="B21" s="367">
        <f>tblIndiSets!B309</f>
        <v>38</v>
      </c>
      <c r="C21" s="367" t="str">
        <f>tblIndiSets!E309</f>
        <v xml:space="preserve">  3.1) Digital inclusion</v>
      </c>
      <c r="G21" s="367" t="b">
        <f t="shared" ca="1" si="21"/>
        <v>0</v>
      </c>
      <c r="H21" s="367">
        <f t="shared" si="23"/>
        <v>14</v>
      </c>
      <c r="I21" s="367">
        <f t="shared" si="34"/>
        <v>1</v>
      </c>
      <c r="J21" s="367">
        <f t="shared" ca="1" si="35"/>
        <v>0.11</v>
      </c>
      <c r="K21" s="295">
        <f t="shared" ca="1" si="36"/>
        <v>0.11</v>
      </c>
      <c r="L21" s="3">
        <f ca="1">IF(OR(I21=0,J21&lt;0),"",RANK(J21,J$8:J$34,$L$3)+COUNTIF(J$8:J21,J21)-1)</f>
        <v>21</v>
      </c>
      <c r="M21" s="3">
        <f t="shared" ca="1" si="37"/>
        <v>15</v>
      </c>
      <c r="N21" s="367">
        <f t="shared" ca="1" si="38"/>
        <v>1</v>
      </c>
      <c r="O21" s="367" t="str">
        <f t="shared" ca="1" si="39"/>
        <v xml:space="preserve">  3.2) Government support</v>
      </c>
      <c r="P21" s="695">
        <f t="shared" ca="1" si="40"/>
        <v>0.56000000000000005</v>
      </c>
      <c r="R21" s="3" t="str">
        <f ca="1">IF(OR(I21=0,J21&gt;=0),"",RANK(J21,J$8:J$34,$R$3)+COUNTIF(J$8:J21,J21)-1)</f>
        <v/>
      </c>
      <c r="S21" s="3" t="str">
        <f t="shared" ca="1" si="41"/>
        <v/>
      </c>
      <c r="T21" s="367">
        <f t="shared" ca="1" si="42"/>
        <v>0</v>
      </c>
      <c r="U21" s="367" t="str">
        <f t="shared" ca="1" si="43"/>
        <v/>
      </c>
      <c r="V21" s="695" t="str">
        <f t="shared" ca="1" si="44"/>
        <v/>
      </c>
      <c r="Z21" s="367">
        <f t="shared" ca="1" si="45"/>
        <v>0.11</v>
      </c>
      <c r="AA21" s="696">
        <f t="shared" si="19"/>
        <v>65.8</v>
      </c>
      <c r="AB21" s="696">
        <f t="shared" si="19"/>
        <v>69.400000000000006</v>
      </c>
      <c r="AC21" s="696">
        <f t="shared" si="19"/>
        <v>77.8</v>
      </c>
      <c r="AD21" s="696">
        <f t="shared" si="19"/>
        <v>74</v>
      </c>
      <c r="AE21" s="696">
        <f t="shared" si="19"/>
        <v>70.2</v>
      </c>
      <c r="AF21" s="696">
        <f t="shared" si="19"/>
        <v>62.2</v>
      </c>
      <c r="AG21" s="696">
        <f t="shared" si="19"/>
        <v>73.099999999999994</v>
      </c>
      <c r="AH21" s="696">
        <f t="shared" si="19"/>
        <v>76.400000000000006</v>
      </c>
      <c r="AI21" s="696">
        <f t="shared" si="19"/>
        <v>78</v>
      </c>
      <c r="AJ21" s="696">
        <f t="shared" si="19"/>
        <v>94.3</v>
      </c>
      <c r="AK21" s="696">
        <f t="shared" si="19"/>
        <v>63.7</v>
      </c>
      <c r="AL21" s="696">
        <f t="shared" si="19"/>
        <v>67.599999999999994</v>
      </c>
      <c r="AM21" s="696">
        <f t="shared" si="19"/>
        <v>75.900000000000006</v>
      </c>
      <c r="AN21" s="696">
        <f t="shared" si="19"/>
        <v>73.8</v>
      </c>
      <c r="AO21" s="696">
        <f t="shared" si="19"/>
        <v>67.5</v>
      </c>
      <c r="AP21" s="696">
        <f t="shared" si="19"/>
        <v>78.099999999999994</v>
      </c>
      <c r="AQ21" s="696">
        <f t="shared" si="26"/>
        <v>73.599999999999994</v>
      </c>
      <c r="AR21" s="696">
        <f t="shared" si="26"/>
        <v>74.8</v>
      </c>
      <c r="AS21" s="696">
        <f t="shared" si="26"/>
        <v>31.6</v>
      </c>
      <c r="AT21" s="696">
        <f t="shared" si="26"/>
        <v>76.2</v>
      </c>
      <c r="AU21" s="696">
        <f t="shared" si="26"/>
        <v>60.5</v>
      </c>
      <c r="AV21" s="696">
        <f t="shared" si="26"/>
        <v>59.8</v>
      </c>
      <c r="AW21" s="696">
        <f t="shared" si="26"/>
        <v>68.099999999999994</v>
      </c>
      <c r="AX21" s="696">
        <f t="shared" si="26"/>
        <v>76.7</v>
      </c>
      <c r="AY21" s="696">
        <f t="shared" si="26"/>
        <v>60.8</v>
      </c>
      <c r="AZ21" s="696">
        <f t="shared" si="26"/>
        <v>61</v>
      </c>
      <c r="BA21" s="696">
        <f t="shared" si="26"/>
        <v>64</v>
      </c>
      <c r="BB21" s="696">
        <f t="shared" si="26"/>
        <v>73.400000000000006</v>
      </c>
      <c r="BC21" s="696">
        <f t="shared" si="26"/>
        <v>70.599999999999994</v>
      </c>
      <c r="BD21" s="696">
        <f t="shared" si="26"/>
        <v>67.3</v>
      </c>
    </row>
    <row r="22" spans="1:56">
      <c r="A22" s="367">
        <f>INDEX(tblIndicators!$B$2:$B$84,B22)</f>
        <v>0</v>
      </c>
      <c r="B22" s="367">
        <f>tblIndiSets!B310</f>
        <v>42</v>
      </c>
      <c r="C22" s="367" t="str">
        <f>tblIndiSets!E310</f>
        <v xml:space="preserve">  3.2) Government support</v>
      </c>
      <c r="G22" s="367" t="b">
        <f t="shared" ca="1" si="21"/>
        <v>0</v>
      </c>
      <c r="H22" s="367">
        <f t="shared" si="23"/>
        <v>15</v>
      </c>
      <c r="I22" s="367">
        <f t="shared" si="34"/>
        <v>1</v>
      </c>
      <c r="J22" s="367">
        <f t="shared" ca="1" si="35"/>
        <v>0.56000000000000005</v>
      </c>
      <c r="K22" s="295">
        <f t="shared" ca="1" si="36"/>
        <v>0.56000000000000005</v>
      </c>
      <c r="L22" s="3">
        <f ca="1">IF(OR(I22=0,J22&lt;0),"",RANK(J22,J$8:J$34,$L$3)+COUNTIF(J$8:J22,J22)-1)</f>
        <v>14</v>
      </c>
      <c r="M22" s="3">
        <f t="shared" ca="1" si="37"/>
        <v>22</v>
      </c>
      <c r="N22" s="367">
        <f t="shared" ca="1" si="38"/>
        <v>1</v>
      </c>
      <c r="O22" s="367" t="str">
        <f t="shared" ca="1" si="39"/>
        <v xml:space="preserve">  4.4) Circular economy</v>
      </c>
      <c r="P22" s="695">
        <f t="shared" ca="1" si="40"/>
        <v>0.56000000000000005</v>
      </c>
      <c r="R22" s="3" t="str">
        <f ca="1">IF(OR(I22=0,J22&gt;=0),"",RANK(J22,J$8:J$34,$R$3)+COUNTIF(J$8:J22,J22)-1)</f>
        <v/>
      </c>
      <c r="S22" s="3" t="str">
        <f t="shared" ca="1" si="41"/>
        <v/>
      </c>
      <c r="T22" s="367">
        <f t="shared" ca="1" si="42"/>
        <v>0</v>
      </c>
      <c r="U22" s="367" t="str">
        <f t="shared" ca="1" si="43"/>
        <v/>
      </c>
      <c r="V22" s="695" t="str">
        <f t="shared" ca="1" si="44"/>
        <v/>
      </c>
      <c r="Z22" s="367">
        <f t="shared" ca="1" si="45"/>
        <v>0.56000000000000005</v>
      </c>
      <c r="AA22" s="696">
        <f t="shared" si="19"/>
        <v>76</v>
      </c>
      <c r="AB22" s="696">
        <f t="shared" si="19"/>
        <v>81.099999999999994</v>
      </c>
      <c r="AC22" s="696">
        <f t="shared" si="19"/>
        <v>38.6</v>
      </c>
      <c r="AD22" s="696">
        <f t="shared" si="19"/>
        <v>74.3</v>
      </c>
      <c r="AE22" s="696">
        <f t="shared" si="19"/>
        <v>50</v>
      </c>
      <c r="AF22" s="696">
        <f t="shared" si="19"/>
        <v>79.900000000000006</v>
      </c>
      <c r="AG22" s="696">
        <f t="shared" si="19"/>
        <v>64.900000000000006</v>
      </c>
      <c r="AH22" s="696">
        <f t="shared" si="19"/>
        <v>82.8</v>
      </c>
      <c r="AI22" s="696">
        <f t="shared" si="19"/>
        <v>76.900000000000006</v>
      </c>
      <c r="AJ22" s="696">
        <f t="shared" si="19"/>
        <v>40.799999999999997</v>
      </c>
      <c r="AK22" s="696">
        <f t="shared" si="19"/>
        <v>79.900000000000006</v>
      </c>
      <c r="AL22" s="696">
        <f t="shared" si="19"/>
        <v>60.1</v>
      </c>
      <c r="AM22" s="696">
        <f t="shared" si="19"/>
        <v>44.1</v>
      </c>
      <c r="AN22" s="696">
        <f t="shared" si="19"/>
        <v>69.099999999999994</v>
      </c>
      <c r="AO22" s="696">
        <f t="shared" si="19"/>
        <v>87.2</v>
      </c>
      <c r="AP22" s="696">
        <f t="shared" si="19"/>
        <v>74.3</v>
      </c>
      <c r="AQ22" s="696">
        <f t="shared" si="26"/>
        <v>67.599999999999994</v>
      </c>
      <c r="AR22" s="696">
        <f t="shared" si="26"/>
        <v>65.900000000000006</v>
      </c>
      <c r="AS22" s="696">
        <f t="shared" si="26"/>
        <v>50.6</v>
      </c>
      <c r="AT22" s="696">
        <f t="shared" si="26"/>
        <v>76.900000000000006</v>
      </c>
      <c r="AU22" s="696">
        <f t="shared" si="26"/>
        <v>83.4</v>
      </c>
      <c r="AV22" s="696">
        <f t="shared" si="26"/>
        <v>70.599999999999994</v>
      </c>
      <c r="AW22" s="696">
        <f t="shared" si="26"/>
        <v>73.400000000000006</v>
      </c>
      <c r="AX22" s="696">
        <f t="shared" si="26"/>
        <v>79.599999999999994</v>
      </c>
      <c r="AY22" s="696">
        <f t="shared" si="26"/>
        <v>74.3</v>
      </c>
      <c r="AZ22" s="696">
        <f t="shared" si="26"/>
        <v>81.599999999999994</v>
      </c>
      <c r="BA22" s="696">
        <f t="shared" si="26"/>
        <v>80.400000000000006</v>
      </c>
      <c r="BB22" s="696">
        <f t="shared" si="26"/>
        <v>96.9</v>
      </c>
      <c r="BC22" s="696">
        <f t="shared" si="26"/>
        <v>86.9</v>
      </c>
      <c r="BD22" s="696">
        <f t="shared" si="26"/>
        <v>81.8</v>
      </c>
    </row>
    <row r="23" spans="1:56">
      <c r="A23" s="367">
        <f>INDEX(tblIndicators!$B$2:$B$84,B23)</f>
        <v>0</v>
      </c>
      <c r="B23" s="367">
        <f>tblIndiSets!B311</f>
        <v>48</v>
      </c>
      <c r="C23" s="367" t="str">
        <f>tblIndiSets!E311</f>
        <v xml:space="preserve">  3.3) Innovation ecosystem</v>
      </c>
      <c r="G23" s="367" t="b">
        <f t="shared" ca="1" si="21"/>
        <v>0</v>
      </c>
      <c r="H23" s="367">
        <f t="shared" si="23"/>
        <v>16</v>
      </c>
      <c r="I23" s="367">
        <f t="shared" si="34"/>
        <v>1</v>
      </c>
      <c r="J23" s="367">
        <f t="shared" ca="1" si="35"/>
        <v>0.88</v>
      </c>
      <c r="K23" s="295">
        <f t="shared" ca="1" si="36"/>
        <v>0.88</v>
      </c>
      <c r="L23" s="3">
        <f ca="1">IF(OR(I23=0,J23&lt;0),"",RANK(J23,J$8:J$34,$L$3)+COUNTIF(J$8:J23,J23)-1)</f>
        <v>5</v>
      </c>
      <c r="M23" s="3">
        <f t="shared" ca="1" si="37"/>
        <v>10</v>
      </c>
      <c r="N23" s="367">
        <f t="shared" ca="1" si="38"/>
        <v>1</v>
      </c>
      <c r="O23" s="367" t="str">
        <f t="shared" ca="1" si="39"/>
        <v xml:space="preserve">  2.4) Healthcare</v>
      </c>
      <c r="P23" s="695">
        <f t="shared" ca="1" si="40"/>
        <v>0.53</v>
      </c>
      <c r="R23" s="3" t="str">
        <f ca="1">IF(OR(I23=0,J23&gt;=0),"",RANK(J23,J$8:J$34,$R$3)+COUNTIF(J$8:J23,J23)-1)</f>
        <v/>
      </c>
      <c r="S23" s="3" t="str">
        <f t="shared" ca="1" si="41"/>
        <v/>
      </c>
      <c r="T23" s="367">
        <f t="shared" ca="1" si="42"/>
        <v>0</v>
      </c>
      <c r="U23" s="367" t="str">
        <f t="shared" ca="1" si="43"/>
        <v/>
      </c>
      <c r="V23" s="695" t="str">
        <f t="shared" ca="1" si="44"/>
        <v/>
      </c>
      <c r="Z23" s="367">
        <f t="shared" ca="1" si="45"/>
        <v>0.88</v>
      </c>
      <c r="AA23" s="696">
        <f t="shared" si="19"/>
        <v>62</v>
      </c>
      <c r="AB23" s="696">
        <f t="shared" si="19"/>
        <v>49.1</v>
      </c>
      <c r="AC23" s="696">
        <f t="shared" si="19"/>
        <v>19</v>
      </c>
      <c r="AD23" s="696">
        <f t="shared" si="19"/>
        <v>51.3</v>
      </c>
      <c r="AE23" s="696">
        <f t="shared" si="19"/>
        <v>49.8</v>
      </c>
      <c r="AF23" s="696">
        <f t="shared" si="19"/>
        <v>67</v>
      </c>
      <c r="AG23" s="696">
        <f t="shared" si="19"/>
        <v>14.6</v>
      </c>
      <c r="AH23" s="696">
        <f t="shared" si="19"/>
        <v>60.6</v>
      </c>
      <c r="AI23" s="696">
        <f t="shared" si="19"/>
        <v>66.2</v>
      </c>
      <c r="AJ23" s="696">
        <f t="shared" si="19"/>
        <v>57.4</v>
      </c>
      <c r="AK23" s="696">
        <f t="shared" si="19"/>
        <v>62.8</v>
      </c>
      <c r="AL23" s="696">
        <f t="shared" si="19"/>
        <v>46.7</v>
      </c>
      <c r="AM23" s="696">
        <f t="shared" si="19"/>
        <v>14.5</v>
      </c>
      <c r="AN23" s="696">
        <f t="shared" si="19"/>
        <v>31.7</v>
      </c>
      <c r="AO23" s="696">
        <f t="shared" si="19"/>
        <v>70</v>
      </c>
      <c r="AP23" s="696">
        <f t="shared" si="19"/>
        <v>42.7</v>
      </c>
      <c r="AQ23" s="696">
        <f t="shared" si="26"/>
        <v>10.3</v>
      </c>
      <c r="AR23" s="696">
        <f t="shared" ref="AQ23:BD34" si="46">IF(AR$4="","",IF(INDEX(aScoresRounded,$B23,AR$4)=-100,"",INDEX(aScoresRounded,$B23,AR$4)))</f>
        <v>19.8</v>
      </c>
      <c r="AS23" s="696">
        <f t="shared" si="46"/>
        <v>30.7</v>
      </c>
      <c r="AT23" s="696">
        <f t="shared" si="46"/>
        <v>87.9</v>
      </c>
      <c r="AU23" s="696">
        <f t="shared" si="46"/>
        <v>58.1</v>
      </c>
      <c r="AV23" s="696">
        <f t="shared" si="46"/>
        <v>37.6</v>
      </c>
      <c r="AW23" s="696">
        <f t="shared" si="46"/>
        <v>36.5</v>
      </c>
      <c r="AX23" s="696">
        <f t="shared" si="46"/>
        <v>55.9</v>
      </c>
      <c r="AY23" s="696">
        <f t="shared" si="46"/>
        <v>74</v>
      </c>
      <c r="AZ23" s="696">
        <f t="shared" si="46"/>
        <v>66.3</v>
      </c>
      <c r="BA23" s="696">
        <f t="shared" si="46"/>
        <v>46.6</v>
      </c>
      <c r="BB23" s="696">
        <f t="shared" si="46"/>
        <v>59</v>
      </c>
      <c r="BC23" s="696">
        <f t="shared" si="46"/>
        <v>66.8</v>
      </c>
      <c r="BD23" s="696">
        <f t="shared" si="46"/>
        <v>58.9</v>
      </c>
    </row>
    <row r="24" spans="1:56">
      <c r="A24" s="367">
        <f>INDEX(tblIndicators!$B$2:$B$84,B24)</f>
        <v>0</v>
      </c>
      <c r="B24" s="367">
        <f>tblIndiSets!B312</f>
        <v>54</v>
      </c>
      <c r="C24" s="367" t="str">
        <f>tblIndiSets!E312</f>
        <v xml:space="preserve">  3.4) Public attitude and engagement</v>
      </c>
      <c r="G24" s="367" t="b">
        <f t="shared" ca="1" si="21"/>
        <v>0</v>
      </c>
      <c r="H24" s="367">
        <f t="shared" si="23"/>
        <v>17</v>
      </c>
      <c r="I24" s="367">
        <f t="shared" si="34"/>
        <v>1</v>
      </c>
      <c r="J24" s="367">
        <f t="shared" ca="1" si="35"/>
        <v>-0.41</v>
      </c>
      <c r="K24" s="295">
        <f t="shared" ca="1" si="36"/>
        <v>-0.41</v>
      </c>
      <c r="L24" s="3" t="str">
        <f ca="1">IF(OR(I24=0,J24&lt;0),"",RANK(J24,J$8:J$34,$L$3)+COUNTIF(J$8:J24,J24)-1)</f>
        <v/>
      </c>
      <c r="M24" s="3">
        <f t="shared" ca="1" si="37"/>
        <v>21</v>
      </c>
      <c r="N24" s="367">
        <f t="shared" ca="1" si="38"/>
        <v>1</v>
      </c>
      <c r="O24" s="367" t="str">
        <f t="shared" ca="1" si="39"/>
        <v xml:space="preserve">  4.3) Pollution</v>
      </c>
      <c r="P24" s="695">
        <f t="shared" ca="1" si="40"/>
        <v>0.48</v>
      </c>
      <c r="R24" s="3">
        <f ca="1">IF(OR(I24=0,J24&gt;=0),"",RANK(J24,J$8:J$34,$R$3)+COUNTIF(J$8:J24,J24)-1)</f>
        <v>3</v>
      </c>
      <c r="S24" s="3" t="str">
        <f t="shared" ca="1" si="41"/>
        <v/>
      </c>
      <c r="T24" s="367">
        <f t="shared" ca="1" si="42"/>
        <v>0</v>
      </c>
      <c r="U24" s="367" t="str">
        <f t="shared" ca="1" si="43"/>
        <v/>
      </c>
      <c r="V24" s="695" t="str">
        <f t="shared" ca="1" si="44"/>
        <v/>
      </c>
      <c r="Z24" s="367">
        <f t="shared" ca="1" si="45"/>
        <v>-0.41</v>
      </c>
      <c r="AA24" s="696">
        <f t="shared" ref="AA24:AP34" si="47">IF(AA$4="","",IF(INDEX(aScoresRounded,$B24,AA$4)=-100,"",INDEX(aScoresRounded,$B24,AA$4)))</f>
        <v>35.1</v>
      </c>
      <c r="AB24" s="696">
        <f t="shared" si="47"/>
        <v>70.8</v>
      </c>
      <c r="AC24" s="696">
        <f t="shared" si="47"/>
        <v>57.8</v>
      </c>
      <c r="AD24" s="696">
        <f t="shared" si="47"/>
        <v>39.9</v>
      </c>
      <c r="AE24" s="696">
        <f t="shared" si="47"/>
        <v>72.3</v>
      </c>
      <c r="AF24" s="696">
        <f t="shared" si="47"/>
        <v>27.6</v>
      </c>
      <c r="AG24" s="696">
        <f t="shared" si="47"/>
        <v>54.2</v>
      </c>
      <c r="AH24" s="696">
        <f t="shared" si="47"/>
        <v>46.9</v>
      </c>
      <c r="AI24" s="696">
        <f t="shared" si="47"/>
        <v>43.5</v>
      </c>
      <c r="AJ24" s="696">
        <f t="shared" si="47"/>
        <v>89.7</v>
      </c>
      <c r="AK24" s="696">
        <f t="shared" si="47"/>
        <v>33.1</v>
      </c>
      <c r="AL24" s="696">
        <f t="shared" si="47"/>
        <v>12.1</v>
      </c>
      <c r="AM24" s="696">
        <f t="shared" si="47"/>
        <v>78.2</v>
      </c>
      <c r="AN24" s="696">
        <f t="shared" si="47"/>
        <v>61.6</v>
      </c>
      <c r="AO24" s="696">
        <f t="shared" si="47"/>
        <v>19.399999999999999</v>
      </c>
      <c r="AP24" s="696">
        <f t="shared" si="47"/>
        <v>30.4</v>
      </c>
      <c r="AQ24" s="696">
        <f t="shared" si="46"/>
        <v>46.3</v>
      </c>
      <c r="AR24" s="696">
        <f t="shared" si="46"/>
        <v>40.200000000000003</v>
      </c>
      <c r="AS24" s="696">
        <f t="shared" si="46"/>
        <v>78.8</v>
      </c>
      <c r="AT24" s="696">
        <f t="shared" si="46"/>
        <v>41.8</v>
      </c>
      <c r="AU24" s="696">
        <f t="shared" si="46"/>
        <v>45.6</v>
      </c>
      <c r="AV24" s="696">
        <f t="shared" si="46"/>
        <v>26.8</v>
      </c>
      <c r="AW24" s="696">
        <f t="shared" si="46"/>
        <v>52.6</v>
      </c>
      <c r="AX24" s="696">
        <f t="shared" si="46"/>
        <v>57.4</v>
      </c>
      <c r="AY24" s="696">
        <f t="shared" si="46"/>
        <v>31.5</v>
      </c>
      <c r="AZ24" s="696">
        <f t="shared" si="46"/>
        <v>19.899999999999999</v>
      </c>
      <c r="BA24" s="696">
        <f t="shared" si="46"/>
        <v>20.6</v>
      </c>
      <c r="BB24" s="696">
        <f t="shared" si="46"/>
        <v>31.6</v>
      </c>
      <c r="BC24" s="696">
        <f t="shared" si="46"/>
        <v>42.5</v>
      </c>
      <c r="BD24" s="696">
        <f t="shared" si="46"/>
        <v>39.700000000000003</v>
      </c>
    </row>
    <row r="25" spans="1:56">
      <c r="A25" s="367">
        <f>INDEX(tblIndicators!$B$2:$B$84,B25)</f>
        <v>0</v>
      </c>
      <c r="B25" s="367">
        <f>tblIndiSets!B313</f>
        <v>57</v>
      </c>
      <c r="C25" s="367" t="str">
        <f>tblIndiSets!E313</f>
        <v xml:space="preserve"> 4) SUSTAINABILITY</v>
      </c>
      <c r="G25" s="367" t="b">
        <f t="shared" ca="1" si="21"/>
        <v>0</v>
      </c>
      <c r="H25" s="367">
        <f t="shared" si="23"/>
        <v>18</v>
      </c>
      <c r="I25" s="367">
        <f t="shared" si="34"/>
        <v>1</v>
      </c>
      <c r="J25" s="367">
        <f t="shared" ca="1" si="35"/>
        <v>0.92</v>
      </c>
      <c r="K25" s="295">
        <f t="shared" ca="1" si="36"/>
        <v>0.92</v>
      </c>
      <c r="L25" s="3">
        <f ca="1">IF(OR(I25=0,J25&lt;0),"",RANK(J25,J$8:J$34,$L$3)+COUNTIF(J$8:J25,J25)-1)</f>
        <v>1</v>
      </c>
      <c r="M25" s="3">
        <f t="shared" ca="1" si="37"/>
        <v>12</v>
      </c>
      <c r="N25" s="367">
        <f t="shared" ca="1" si="38"/>
        <v>1</v>
      </c>
      <c r="O25" s="367" t="str">
        <f t="shared" ca="1" si="39"/>
        <v xml:space="preserve">  2.6) Retail and hospitality</v>
      </c>
      <c r="P25" s="695">
        <f t="shared" ca="1" si="40"/>
        <v>0.46</v>
      </c>
      <c r="R25" s="3" t="str">
        <f ca="1">IF(OR(I25=0,J25&gt;=0),"",RANK(J25,J$8:J$34,$R$3)+COUNTIF(J$8:J25,J25)-1)</f>
        <v/>
      </c>
      <c r="S25" s="3" t="str">
        <f t="shared" ca="1" si="41"/>
        <v/>
      </c>
      <c r="T25" s="367">
        <f t="shared" ca="1" si="42"/>
        <v>0</v>
      </c>
      <c r="U25" s="367" t="str">
        <f t="shared" ca="1" si="43"/>
        <v/>
      </c>
      <c r="V25" s="695" t="str">
        <f t="shared" ca="1" si="44"/>
        <v/>
      </c>
      <c r="Z25" s="367">
        <f t="shared" ca="1" si="45"/>
        <v>0.92</v>
      </c>
      <c r="AA25" s="696">
        <f t="shared" si="47"/>
        <v>85.4</v>
      </c>
      <c r="AB25" s="696">
        <f t="shared" si="47"/>
        <v>68.099999999999994</v>
      </c>
      <c r="AC25" s="696">
        <f t="shared" si="47"/>
        <v>41.3</v>
      </c>
      <c r="AD25" s="696">
        <f t="shared" si="47"/>
        <v>87.3</v>
      </c>
      <c r="AE25" s="696">
        <f t="shared" si="47"/>
        <v>86.8</v>
      </c>
      <c r="AF25" s="696">
        <f t="shared" si="47"/>
        <v>69.599999999999994</v>
      </c>
      <c r="AG25" s="696">
        <f t="shared" si="47"/>
        <v>51.5</v>
      </c>
      <c r="AH25" s="696">
        <f t="shared" si="47"/>
        <v>92.6</v>
      </c>
      <c r="AI25" s="696">
        <f t="shared" si="47"/>
        <v>63.7</v>
      </c>
      <c r="AJ25" s="696">
        <f t="shared" si="47"/>
        <v>54.8</v>
      </c>
      <c r="AK25" s="696">
        <f t="shared" si="47"/>
        <v>71.7</v>
      </c>
      <c r="AL25" s="696">
        <f t="shared" si="47"/>
        <v>72.599999999999994</v>
      </c>
      <c r="AM25" s="696">
        <f t="shared" si="47"/>
        <v>34.700000000000003</v>
      </c>
      <c r="AN25" s="696">
        <f t="shared" si="47"/>
        <v>66</v>
      </c>
      <c r="AO25" s="696">
        <f t="shared" si="47"/>
        <v>85.2</v>
      </c>
      <c r="AP25" s="696">
        <f t="shared" si="47"/>
        <v>69.5</v>
      </c>
      <c r="AQ25" s="696">
        <f t="shared" si="46"/>
        <v>28</v>
      </c>
      <c r="AR25" s="696">
        <f t="shared" si="46"/>
        <v>32.799999999999997</v>
      </c>
      <c r="AS25" s="696">
        <f t="shared" si="46"/>
        <v>32.9</v>
      </c>
      <c r="AT25" s="696">
        <f t="shared" si="46"/>
        <v>76.7</v>
      </c>
      <c r="AU25" s="696">
        <f t="shared" si="46"/>
        <v>70.900000000000006</v>
      </c>
      <c r="AV25" s="696">
        <f t="shared" si="46"/>
        <v>61.7</v>
      </c>
      <c r="AW25" s="696">
        <f t="shared" si="46"/>
        <v>48.8</v>
      </c>
      <c r="AX25" s="696">
        <f t="shared" si="46"/>
        <v>92.1</v>
      </c>
      <c r="AY25" s="696">
        <f t="shared" si="46"/>
        <v>60.8</v>
      </c>
      <c r="AZ25" s="696">
        <f t="shared" si="46"/>
        <v>78.599999999999994</v>
      </c>
      <c r="BA25" s="696">
        <f t="shared" si="46"/>
        <v>72.2</v>
      </c>
      <c r="BB25" s="696">
        <f t="shared" si="46"/>
        <v>90.5</v>
      </c>
      <c r="BC25" s="696">
        <f t="shared" si="46"/>
        <v>75.400000000000006</v>
      </c>
      <c r="BD25" s="696">
        <f t="shared" si="46"/>
        <v>66.3</v>
      </c>
    </row>
    <row r="26" spans="1:56">
      <c r="A26" s="367">
        <f>INDEX(tblIndicators!$B$2:$B$84,B26)</f>
        <v>0</v>
      </c>
      <c r="B26" s="367">
        <f>tblIndiSets!B314</f>
        <v>58</v>
      </c>
      <c r="C26" s="367" t="str">
        <f>tblIndiSets!E314</f>
        <v xml:space="preserve">  4.1) Efficient resource management</v>
      </c>
      <c r="G26" s="367" t="b">
        <f t="shared" ca="1" si="21"/>
        <v>0</v>
      </c>
      <c r="H26" s="367">
        <f t="shared" si="23"/>
        <v>19</v>
      </c>
      <c r="I26" s="367">
        <f t="shared" si="34"/>
        <v>1</v>
      </c>
      <c r="J26" s="367">
        <f t="shared" ca="1" si="35"/>
        <v>0.84</v>
      </c>
      <c r="K26" s="295">
        <f t="shared" ca="1" si="36"/>
        <v>0.84</v>
      </c>
      <c r="L26" s="3">
        <f ca="1">IF(OR(I26=0,J26&lt;0),"",RANK(J26,J$8:J$34,$L$3)+COUNTIF(J$8:J26,J26)-1)</f>
        <v>6</v>
      </c>
      <c r="M26" s="3">
        <f t="shared" ca="1" si="37"/>
        <v>4</v>
      </c>
      <c r="N26" s="367">
        <f t="shared" ca="1" si="38"/>
        <v>1</v>
      </c>
      <c r="O26" s="367" t="str">
        <f t="shared" ca="1" si="39"/>
        <v xml:space="preserve">  1.2) Quality</v>
      </c>
      <c r="P26" s="695">
        <f t="shared" ca="1" si="40"/>
        <v>0.43</v>
      </c>
      <c r="R26" s="3" t="str">
        <f ca="1">IF(OR(I26=0,J26&gt;=0),"",RANK(J26,J$8:J$34,$R$3)+COUNTIF(J$8:J26,J26)-1)</f>
        <v/>
      </c>
      <c r="S26" s="3" t="str">
        <f t="shared" ca="1" si="41"/>
        <v/>
      </c>
      <c r="T26" s="367">
        <f t="shared" ca="1" si="42"/>
        <v>0</v>
      </c>
      <c r="U26" s="367" t="str">
        <f t="shared" ca="1" si="43"/>
        <v/>
      </c>
      <c r="V26" s="695" t="str">
        <f t="shared" ca="1" si="44"/>
        <v/>
      </c>
      <c r="Z26" s="367">
        <f t="shared" ca="1" si="45"/>
        <v>0.84</v>
      </c>
      <c r="AA26" s="696">
        <f t="shared" si="47"/>
        <v>87.5</v>
      </c>
      <c r="AB26" s="696">
        <f t="shared" si="47"/>
        <v>87.5</v>
      </c>
      <c r="AC26" s="696">
        <f t="shared" si="47"/>
        <v>62.5</v>
      </c>
      <c r="AD26" s="696">
        <f t="shared" si="47"/>
        <v>100</v>
      </c>
      <c r="AE26" s="696">
        <f t="shared" si="47"/>
        <v>100</v>
      </c>
      <c r="AF26" s="696">
        <f t="shared" si="47"/>
        <v>87.5</v>
      </c>
      <c r="AG26" s="696">
        <f t="shared" si="47"/>
        <v>37.5</v>
      </c>
      <c r="AH26" s="696">
        <f t="shared" si="47"/>
        <v>100</v>
      </c>
      <c r="AI26" s="696">
        <f t="shared" si="47"/>
        <v>66.400000000000006</v>
      </c>
      <c r="AJ26" s="696">
        <f t="shared" si="47"/>
        <v>100</v>
      </c>
      <c r="AK26" s="696">
        <f t="shared" si="47"/>
        <v>87.5</v>
      </c>
      <c r="AL26" s="696">
        <f t="shared" si="47"/>
        <v>100</v>
      </c>
      <c r="AM26" s="696">
        <f t="shared" si="47"/>
        <v>41.5</v>
      </c>
      <c r="AN26" s="696">
        <f t="shared" si="47"/>
        <v>41.5</v>
      </c>
      <c r="AO26" s="696">
        <f t="shared" si="47"/>
        <v>100</v>
      </c>
      <c r="AP26" s="696">
        <f t="shared" si="47"/>
        <v>66.400000000000006</v>
      </c>
      <c r="AQ26" s="696">
        <f t="shared" si="46"/>
        <v>46.1</v>
      </c>
      <c r="AR26" s="696">
        <f t="shared" si="46"/>
        <v>25</v>
      </c>
      <c r="AS26" s="696">
        <f t="shared" si="46"/>
        <v>37.5</v>
      </c>
      <c r="AT26" s="696">
        <f t="shared" si="46"/>
        <v>100</v>
      </c>
      <c r="AU26" s="696">
        <f t="shared" si="46"/>
        <v>100</v>
      </c>
      <c r="AV26" s="696">
        <f t="shared" si="46"/>
        <v>46.1</v>
      </c>
      <c r="AW26" s="696">
        <f t="shared" si="46"/>
        <v>58.5</v>
      </c>
      <c r="AX26" s="696">
        <f t="shared" si="46"/>
        <v>100</v>
      </c>
      <c r="AY26" s="696">
        <f t="shared" si="46"/>
        <v>75</v>
      </c>
      <c r="AZ26" s="696">
        <f t="shared" si="46"/>
        <v>87.5</v>
      </c>
      <c r="BA26" s="696">
        <f t="shared" si="46"/>
        <v>87.5</v>
      </c>
      <c r="BB26" s="696">
        <f t="shared" si="46"/>
        <v>100</v>
      </c>
      <c r="BC26" s="696">
        <f t="shared" si="46"/>
        <v>87.5</v>
      </c>
      <c r="BD26" s="696">
        <f t="shared" si="46"/>
        <v>62.5</v>
      </c>
    </row>
    <row r="27" spans="1:56">
      <c r="A27" s="367">
        <f>INDEX(tblIndicators!$B$2:$B$84,B27)</f>
        <v>0</v>
      </c>
      <c r="B27" s="367">
        <f>tblIndiSets!B315</f>
        <v>62</v>
      </c>
      <c r="C27" s="367" t="str">
        <f>tblIndiSets!E315</f>
        <v xml:space="preserve">  4.2) Emissions reduction</v>
      </c>
      <c r="G27" s="367" t="b">
        <f t="shared" ca="1" si="21"/>
        <v>0</v>
      </c>
      <c r="H27" s="367">
        <f t="shared" si="23"/>
        <v>20</v>
      </c>
      <c r="I27" s="367">
        <f t="shared" si="34"/>
        <v>1</v>
      </c>
      <c r="J27" s="367">
        <f t="shared" ca="1" si="35"/>
        <v>0.82</v>
      </c>
      <c r="K27" s="295">
        <f t="shared" ca="1" si="36"/>
        <v>0.82</v>
      </c>
      <c r="L27" s="3">
        <f ca="1">IF(OR(I27=0,J27&lt;0),"",RANK(J27,J$8:J$34,$L$3)+COUNTIF(J$8:J27,J27)-1)</f>
        <v>8</v>
      </c>
      <c r="M27" s="3">
        <f t="shared" ca="1" si="37"/>
        <v>8</v>
      </c>
      <c r="N27" s="367">
        <f t="shared" ca="1" si="38"/>
        <v>1</v>
      </c>
      <c r="O27" s="367" t="str">
        <f t="shared" ca="1" si="39"/>
        <v xml:space="preserve">  2.2) Digital finance</v>
      </c>
      <c r="P27" s="695">
        <f t="shared" ca="1" si="40"/>
        <v>0.38</v>
      </c>
      <c r="R27" s="3" t="str">
        <f ca="1">IF(OR(I27=0,J27&gt;=0),"",RANK(J27,J$8:J$34,$R$3)+COUNTIF(J$8:J27,J27)-1)</f>
        <v/>
      </c>
      <c r="S27" s="3" t="str">
        <f t="shared" ca="1" si="41"/>
        <v/>
      </c>
      <c r="T27" s="367">
        <f t="shared" ca="1" si="42"/>
        <v>0</v>
      </c>
      <c r="U27" s="367" t="str">
        <f t="shared" ca="1" si="43"/>
        <v/>
      </c>
      <c r="V27" s="695" t="str">
        <f t="shared" ca="1" si="44"/>
        <v/>
      </c>
      <c r="Z27" s="367">
        <f t="shared" ca="1" si="45"/>
        <v>0.82</v>
      </c>
      <c r="AA27" s="696">
        <f t="shared" si="47"/>
        <v>100</v>
      </c>
      <c r="AB27" s="696">
        <f t="shared" si="47"/>
        <v>77.599999999999994</v>
      </c>
      <c r="AC27" s="696">
        <f t="shared" si="47"/>
        <v>46.2</v>
      </c>
      <c r="AD27" s="696">
        <f t="shared" si="47"/>
        <v>92.4</v>
      </c>
      <c r="AE27" s="696">
        <f t="shared" si="47"/>
        <v>92.4</v>
      </c>
      <c r="AF27" s="696">
        <f t="shared" si="47"/>
        <v>92.4</v>
      </c>
      <c r="AG27" s="696">
        <f t="shared" si="47"/>
        <v>77.599999999999994</v>
      </c>
      <c r="AH27" s="696">
        <f t="shared" si="47"/>
        <v>100</v>
      </c>
      <c r="AI27" s="696">
        <f t="shared" si="47"/>
        <v>92.4</v>
      </c>
      <c r="AJ27" s="696">
        <f t="shared" si="47"/>
        <v>83.8</v>
      </c>
      <c r="AK27" s="696">
        <f t="shared" si="47"/>
        <v>100</v>
      </c>
      <c r="AL27" s="696">
        <f t="shared" si="47"/>
        <v>77.599999999999994</v>
      </c>
      <c r="AM27" s="696">
        <f t="shared" si="47"/>
        <v>70</v>
      </c>
      <c r="AN27" s="696">
        <f t="shared" si="47"/>
        <v>76.2</v>
      </c>
      <c r="AO27" s="696">
        <f t="shared" si="47"/>
        <v>84.9</v>
      </c>
      <c r="AP27" s="696">
        <f t="shared" si="47"/>
        <v>100</v>
      </c>
      <c r="AQ27" s="696">
        <f t="shared" si="46"/>
        <v>14.9</v>
      </c>
      <c r="AR27" s="696">
        <f t="shared" si="46"/>
        <v>22.7</v>
      </c>
      <c r="AS27" s="696">
        <f t="shared" si="46"/>
        <v>23.8</v>
      </c>
      <c r="AT27" s="696">
        <f t="shared" si="46"/>
        <v>92.4</v>
      </c>
      <c r="AU27" s="696">
        <f t="shared" si="46"/>
        <v>84.9</v>
      </c>
      <c r="AV27" s="696">
        <f t="shared" si="46"/>
        <v>92.4</v>
      </c>
      <c r="AW27" s="696">
        <f t="shared" si="46"/>
        <v>46.5</v>
      </c>
      <c r="AX27" s="696">
        <f t="shared" si="46"/>
        <v>84.9</v>
      </c>
      <c r="AY27" s="696">
        <f t="shared" si="46"/>
        <v>60</v>
      </c>
      <c r="AZ27" s="696">
        <f t="shared" si="46"/>
        <v>92.4</v>
      </c>
      <c r="BA27" s="696">
        <f t="shared" si="46"/>
        <v>77.3</v>
      </c>
      <c r="BB27" s="696">
        <f t="shared" si="46"/>
        <v>92.4</v>
      </c>
      <c r="BC27" s="696">
        <f t="shared" si="46"/>
        <v>100</v>
      </c>
      <c r="BD27" s="696">
        <f t="shared" si="46"/>
        <v>92.4</v>
      </c>
    </row>
    <row r="28" spans="1:56">
      <c r="A28" s="367">
        <f>INDEX(tblIndicators!$B$2:$B$84,B28)</f>
        <v>0</v>
      </c>
      <c r="B28" s="367">
        <f>tblIndiSets!B316</f>
        <v>66</v>
      </c>
      <c r="C28" s="367" t="str">
        <f>tblIndiSets!E316</f>
        <v xml:space="preserve">  4.3) Pollution</v>
      </c>
      <c r="G28" s="367" t="b">
        <f t="shared" ca="1" si="21"/>
        <v>0</v>
      </c>
      <c r="H28" s="367">
        <f t="shared" si="23"/>
        <v>21</v>
      </c>
      <c r="I28" s="367">
        <f t="shared" si="34"/>
        <v>1</v>
      </c>
      <c r="J28" s="367">
        <f t="shared" ca="1" si="35"/>
        <v>0.48</v>
      </c>
      <c r="K28" s="295">
        <f t="shared" ca="1" si="36"/>
        <v>0.48</v>
      </c>
      <c r="L28" s="3">
        <f ca="1">IF(OR(I28=0,J28&lt;0),"",RANK(J28,J$8:J$34,$L$3)+COUNTIF(J$8:J28,J28)-1)</f>
        <v>17</v>
      </c>
      <c r="M28" s="3">
        <f t="shared" ca="1" si="37"/>
        <v>14</v>
      </c>
      <c r="N28" s="367">
        <f t="shared" ca="1" si="38"/>
        <v>1</v>
      </c>
      <c r="O28" s="367" t="str">
        <f t="shared" ca="1" si="39"/>
        <v xml:space="preserve">  3.1) Digital inclusion</v>
      </c>
      <c r="P28" s="695">
        <f t="shared" ca="1" si="40"/>
        <v>0.11</v>
      </c>
      <c r="R28" s="3" t="str">
        <f ca="1">IF(OR(I28=0,J28&gt;=0),"",RANK(J28,J$8:J$34,$R$3)+COUNTIF(J$8:J28,J28)-1)</f>
        <v/>
      </c>
      <c r="S28" s="3" t="str">
        <f t="shared" ca="1" si="41"/>
        <v/>
      </c>
      <c r="T28" s="367">
        <f t="shared" ca="1" si="42"/>
        <v>0</v>
      </c>
      <c r="U28" s="367" t="str">
        <f t="shared" ca="1" si="43"/>
        <v/>
      </c>
      <c r="V28" s="695" t="str">
        <f t="shared" ca="1" si="44"/>
        <v/>
      </c>
      <c r="Z28" s="367">
        <f t="shared" ca="1" si="45"/>
        <v>0.48</v>
      </c>
      <c r="AA28" s="696">
        <f t="shared" si="47"/>
        <v>50</v>
      </c>
      <c r="AB28" s="696">
        <f t="shared" si="47"/>
        <v>100</v>
      </c>
      <c r="AC28" s="696">
        <f t="shared" si="47"/>
        <v>50</v>
      </c>
      <c r="AD28" s="696">
        <f t="shared" si="47"/>
        <v>83.3</v>
      </c>
      <c r="AE28" s="696">
        <f t="shared" si="47"/>
        <v>50</v>
      </c>
      <c r="AF28" s="696">
        <f t="shared" si="47"/>
        <v>50</v>
      </c>
      <c r="AG28" s="696">
        <f t="shared" si="47"/>
        <v>50</v>
      </c>
      <c r="AH28" s="696">
        <f t="shared" si="47"/>
        <v>66.7</v>
      </c>
      <c r="AI28" s="696">
        <f t="shared" si="47"/>
        <v>50</v>
      </c>
      <c r="AJ28" s="696">
        <f t="shared" si="47"/>
        <v>16.7</v>
      </c>
      <c r="AK28" s="696">
        <f t="shared" si="47"/>
        <v>50</v>
      </c>
      <c r="AL28" s="696">
        <f t="shared" si="47"/>
        <v>66.7</v>
      </c>
      <c r="AM28" s="696">
        <f t="shared" si="47"/>
        <v>16.7</v>
      </c>
      <c r="AN28" s="696">
        <f t="shared" si="47"/>
        <v>50</v>
      </c>
      <c r="AO28" s="696">
        <f t="shared" si="47"/>
        <v>83.3</v>
      </c>
      <c r="AP28" s="696">
        <f t="shared" si="47"/>
        <v>66.7</v>
      </c>
      <c r="AQ28" s="696">
        <f t="shared" si="46"/>
        <v>50</v>
      </c>
      <c r="AR28" s="696">
        <f t="shared" si="46"/>
        <v>50</v>
      </c>
      <c r="AS28" s="696">
        <f t="shared" si="46"/>
        <v>33.299999999999997</v>
      </c>
      <c r="AT28" s="696">
        <f t="shared" si="46"/>
        <v>66.7</v>
      </c>
      <c r="AU28" s="696">
        <f t="shared" si="46"/>
        <v>50</v>
      </c>
      <c r="AV28" s="696">
        <f t="shared" si="46"/>
        <v>66.7</v>
      </c>
      <c r="AW28" s="696">
        <f t="shared" si="46"/>
        <v>50</v>
      </c>
      <c r="AX28" s="696">
        <f t="shared" si="46"/>
        <v>83.3</v>
      </c>
      <c r="AY28" s="696">
        <f t="shared" si="46"/>
        <v>66.7</v>
      </c>
      <c r="AZ28" s="696">
        <f t="shared" si="46"/>
        <v>66.7</v>
      </c>
      <c r="BA28" s="696">
        <f t="shared" si="46"/>
        <v>50</v>
      </c>
      <c r="BB28" s="696">
        <f t="shared" si="46"/>
        <v>66.7</v>
      </c>
      <c r="BC28" s="696">
        <f t="shared" si="46"/>
        <v>66.7</v>
      </c>
      <c r="BD28" s="696">
        <f t="shared" si="46"/>
        <v>66.7</v>
      </c>
    </row>
    <row r="29" spans="1:56">
      <c r="A29" s="367">
        <f>INDEX(tblIndicators!$B$2:$B$84,B29)</f>
        <v>0</v>
      </c>
      <c r="B29" s="367">
        <f>tblIndiSets!B317</f>
        <v>68</v>
      </c>
      <c r="C29" s="367" t="str">
        <f>tblIndiSets!E317</f>
        <v xml:space="preserve">  4.4) Circular economy</v>
      </c>
      <c r="G29" s="367" t="b">
        <f t="shared" ca="1" si="21"/>
        <v>0</v>
      </c>
      <c r="H29" s="367">
        <f t="shared" si="23"/>
        <v>22</v>
      </c>
      <c r="I29" s="367">
        <f t="shared" si="34"/>
        <v>1</v>
      </c>
      <c r="J29" s="367">
        <f t="shared" ca="1" si="35"/>
        <v>0.56000000000000005</v>
      </c>
      <c r="K29" s="295">
        <f t="shared" ca="1" si="36"/>
        <v>0.56000000000000005</v>
      </c>
      <c r="L29" s="3">
        <f ca="1">IF(OR(I29=0,J29&lt;0),"",RANK(J29,J$8:J$34,$L$3)+COUNTIF(J$8:J29,J29)-1)</f>
        <v>15</v>
      </c>
      <c r="M29" s="3">
        <f t="shared" ca="1" si="37"/>
        <v>7</v>
      </c>
      <c r="N29" s="367">
        <f t="shared" ca="1" si="38"/>
        <v>1</v>
      </c>
      <c r="O29" s="367" t="str">
        <f t="shared" ca="1" si="39"/>
        <v xml:space="preserve">  2.1) E-gov services for residents &amp; businesses</v>
      </c>
      <c r="P29" s="695">
        <f t="shared" ca="1" si="40"/>
        <v>0.05</v>
      </c>
      <c r="R29" s="3" t="str">
        <f ca="1">IF(OR(I29=0,J29&gt;=0),"",RANK(J29,J$8:J$34,$R$3)+COUNTIF(J$8:J29,J29)-1)</f>
        <v/>
      </c>
      <c r="S29" s="3" t="str">
        <f t="shared" ca="1" si="41"/>
        <v/>
      </c>
      <c r="T29" s="367">
        <f t="shared" ca="1" si="42"/>
        <v>0</v>
      </c>
      <c r="U29" s="367" t="str">
        <f t="shared" ca="1" si="43"/>
        <v/>
      </c>
      <c r="V29" s="695" t="str">
        <f t="shared" ca="1" si="44"/>
        <v/>
      </c>
      <c r="Z29" s="367">
        <f t="shared" ca="1" si="45"/>
        <v>0.56000000000000005</v>
      </c>
      <c r="AA29" s="696">
        <f t="shared" si="47"/>
        <v>100</v>
      </c>
      <c r="AB29" s="696">
        <f t="shared" si="47"/>
        <v>0</v>
      </c>
      <c r="AC29" s="696">
        <f t="shared" si="47"/>
        <v>0</v>
      </c>
      <c r="AD29" s="696">
        <f t="shared" si="47"/>
        <v>69</v>
      </c>
      <c r="AE29" s="696">
        <f t="shared" si="47"/>
        <v>100</v>
      </c>
      <c r="AF29" s="696">
        <f t="shared" si="47"/>
        <v>38.1</v>
      </c>
      <c r="AG29" s="696">
        <f t="shared" si="47"/>
        <v>38.1</v>
      </c>
      <c r="AH29" s="696">
        <f t="shared" si="47"/>
        <v>100</v>
      </c>
      <c r="AI29" s="696">
        <f t="shared" si="47"/>
        <v>38.1</v>
      </c>
      <c r="AJ29" s="696">
        <f t="shared" si="47"/>
        <v>0</v>
      </c>
      <c r="AK29" s="696">
        <f t="shared" si="47"/>
        <v>38.1</v>
      </c>
      <c r="AL29" s="696">
        <f t="shared" si="47"/>
        <v>38.1</v>
      </c>
      <c r="AM29" s="696">
        <f t="shared" si="47"/>
        <v>0</v>
      </c>
      <c r="AN29" s="696">
        <f t="shared" si="47"/>
        <v>100</v>
      </c>
      <c r="AO29" s="696">
        <f t="shared" si="47"/>
        <v>69</v>
      </c>
      <c r="AP29" s="696">
        <f t="shared" si="47"/>
        <v>38.1</v>
      </c>
      <c r="AQ29" s="696">
        <f t="shared" si="46"/>
        <v>0</v>
      </c>
      <c r="AR29" s="696">
        <f t="shared" si="46"/>
        <v>38.1</v>
      </c>
      <c r="AS29" s="696">
        <f t="shared" si="46"/>
        <v>38.1</v>
      </c>
      <c r="AT29" s="696">
        <f t="shared" si="46"/>
        <v>38.1</v>
      </c>
      <c r="AU29" s="696">
        <f t="shared" si="46"/>
        <v>38.1</v>
      </c>
      <c r="AV29" s="696">
        <f t="shared" si="46"/>
        <v>38.1</v>
      </c>
      <c r="AW29" s="696">
        <f t="shared" si="46"/>
        <v>38.1</v>
      </c>
      <c r="AX29" s="696">
        <f t="shared" si="46"/>
        <v>100</v>
      </c>
      <c r="AY29" s="696">
        <f t="shared" si="46"/>
        <v>38.1</v>
      </c>
      <c r="AZ29" s="696">
        <f t="shared" si="46"/>
        <v>61.9</v>
      </c>
      <c r="BA29" s="696">
        <f t="shared" si="46"/>
        <v>69</v>
      </c>
      <c r="BB29" s="696">
        <f t="shared" si="46"/>
        <v>100</v>
      </c>
      <c r="BC29" s="696">
        <f t="shared" si="46"/>
        <v>38.1</v>
      </c>
      <c r="BD29" s="696">
        <f t="shared" si="46"/>
        <v>38.1</v>
      </c>
    </row>
    <row r="30" spans="1:56">
      <c r="A30" s="367">
        <f>INDEX(tblIndicators!$B$2:$B$84,B30)</f>
        <v>1</v>
      </c>
      <c r="B30" s="367">
        <f>tblIndiSets!B318</f>
        <v>72</v>
      </c>
      <c r="C30" s="367" t="str">
        <f>tblIndiSets!E318</f>
        <v xml:space="preserve">   BG_1.1) Real GDP growth</v>
      </c>
      <c r="G30" s="367" t="b">
        <f t="shared" ca="1" si="21"/>
        <v>0</v>
      </c>
      <c r="H30" s="367">
        <f t="shared" si="23"/>
        <v>23</v>
      </c>
      <c r="I30" s="367">
        <f t="shared" si="34"/>
        <v>1</v>
      </c>
      <c r="J30" s="367">
        <f t="shared" ca="1" si="35"/>
        <v>-0.14000000000000001</v>
      </c>
      <c r="K30" s="295">
        <f t="shared" ca="1" si="36"/>
        <v>-0.14000000000000001</v>
      </c>
      <c r="L30" s="3" t="str">
        <f ca="1">IF(OR(I30=0,J30&lt;0),"",RANK(J30,J$8:J$34,$L$3)+COUNTIF(J$8:J30,J30)-1)</f>
        <v/>
      </c>
      <c r="M30" s="3" t="str">
        <f t="shared" ca="1" si="37"/>
        <v/>
      </c>
      <c r="N30" s="367">
        <f t="shared" ca="1" si="38"/>
        <v>0</v>
      </c>
      <c r="O30" s="367" t="str">
        <f t="shared" ca="1" si="39"/>
        <v/>
      </c>
      <c r="P30" s="695" t="str">
        <f t="shared" ca="1" si="40"/>
        <v/>
      </c>
      <c r="R30" s="3">
        <f ca="1">IF(OR(I30=0,J30&gt;=0),"",RANK(J30,J$8:J$34,$R$3)+COUNTIF(J$8:J30,J30)-1)</f>
        <v>4</v>
      </c>
      <c r="S30" s="3" t="str">
        <f t="shared" ca="1" si="41"/>
        <v/>
      </c>
      <c r="T30" s="367">
        <f t="shared" ca="1" si="42"/>
        <v>0</v>
      </c>
      <c r="U30" s="367" t="str">
        <f t="shared" ca="1" si="43"/>
        <v/>
      </c>
      <c r="V30" s="695" t="str">
        <f t="shared" ca="1" si="44"/>
        <v/>
      </c>
      <c r="Z30" s="367">
        <f t="shared" ca="1" si="45"/>
        <v>-0.14000000000000001</v>
      </c>
      <c r="AA30" s="696">
        <f t="shared" si="47"/>
        <v>4.4000000000000004</v>
      </c>
      <c r="AB30" s="696">
        <f t="shared" si="47"/>
        <v>6.1</v>
      </c>
      <c r="AC30" s="696">
        <f t="shared" si="47"/>
        <v>1.3</v>
      </c>
      <c r="AD30" s="696">
        <f t="shared" si="47"/>
        <v>4.7</v>
      </c>
      <c r="AE30" s="696">
        <f t="shared" si="47"/>
        <v>7.9</v>
      </c>
      <c r="AF30" s="696">
        <f t="shared" si="47"/>
        <v>2.7</v>
      </c>
      <c r="AG30" s="696">
        <f t="shared" si="47"/>
        <v>9.6999999999999993</v>
      </c>
      <c r="AH30" s="696">
        <f t="shared" si="47"/>
        <v>3.2</v>
      </c>
      <c r="AI30" s="696">
        <f t="shared" si="47"/>
        <v>5.5</v>
      </c>
      <c r="AJ30" s="696">
        <f t="shared" si="47"/>
        <v>3.8</v>
      </c>
      <c r="AK30" s="696">
        <f t="shared" si="47"/>
        <v>2.7</v>
      </c>
      <c r="AL30" s="696">
        <f t="shared" si="47"/>
        <v>6.5</v>
      </c>
      <c r="AM30" s="696">
        <f t="shared" si="47"/>
        <v>3.1</v>
      </c>
      <c r="AN30" s="696">
        <f t="shared" si="47"/>
        <v>3</v>
      </c>
      <c r="AO30" s="696">
        <f t="shared" si="47"/>
        <v>7.2</v>
      </c>
      <c r="AP30" s="696">
        <f t="shared" si="47"/>
        <v>4.7</v>
      </c>
      <c r="AQ30" s="696">
        <f t="shared" si="46"/>
        <v>4.8</v>
      </c>
      <c r="AR30" s="696">
        <f t="shared" si="46"/>
        <v>5.6</v>
      </c>
      <c r="AS30" s="696">
        <f t="shared" si="46"/>
        <v>9.1999999999999993</v>
      </c>
      <c r="AT30" s="696">
        <f t="shared" si="46"/>
        <v>5.5</v>
      </c>
      <c r="AU30" s="696">
        <f t="shared" si="46"/>
        <v>6.7</v>
      </c>
      <c r="AV30" s="696">
        <f t="shared" si="46"/>
        <v>6.3</v>
      </c>
      <c r="AW30" s="696">
        <f t="shared" si="46"/>
        <v>4.8</v>
      </c>
      <c r="AX30" s="696">
        <f t="shared" si="46"/>
        <v>3.9</v>
      </c>
      <c r="AY30" s="696">
        <f t="shared" si="46"/>
        <v>6.8</v>
      </c>
      <c r="AZ30" s="696">
        <f t="shared" si="46"/>
        <v>3.9</v>
      </c>
      <c r="BA30" s="696">
        <f t="shared" si="46"/>
        <v>2</v>
      </c>
      <c r="BB30" s="696">
        <f t="shared" si="46"/>
        <v>4.7</v>
      </c>
      <c r="BC30" s="696">
        <f t="shared" si="46"/>
        <v>5.5</v>
      </c>
      <c r="BD30" s="696">
        <f t="shared" si="46"/>
        <v>3.6</v>
      </c>
    </row>
    <row r="31" spans="1:56">
      <c r="A31" s="367">
        <f>INDEX(tblIndicators!$B$2:$B$84,B31)</f>
        <v>1</v>
      </c>
      <c r="B31" s="367">
        <f>tblIndiSets!B319</f>
        <v>73</v>
      </c>
      <c r="C31" s="367" t="str">
        <f>tblIndiSets!E319</f>
        <v xml:space="preserve">   BG_1.2) Corruption</v>
      </c>
      <c r="G31" s="367" t="b">
        <f t="shared" ca="1" si="21"/>
        <v>0</v>
      </c>
      <c r="H31" s="367">
        <f t="shared" si="23"/>
        <v>24</v>
      </c>
      <c r="I31" s="367">
        <f t="shared" si="34"/>
        <v>1</v>
      </c>
      <c r="J31" s="367">
        <f t="shared" ca="1" si="35"/>
        <v>-0.78</v>
      </c>
      <c r="K31" s="295">
        <f t="shared" ca="1" si="36"/>
        <v>-0.78</v>
      </c>
      <c r="L31" s="3" t="str">
        <f ca="1">IF(OR(I31=0,J31&lt;0),"",RANK(J31,J$8:J$34,$L$3)+COUNTIF(J$8:J31,J31)-1)</f>
        <v/>
      </c>
      <c r="M31" s="3" t="str">
        <f t="shared" ca="1" si="37"/>
        <v/>
      </c>
      <c r="N31" s="367">
        <f t="shared" ca="1" si="38"/>
        <v>0</v>
      </c>
      <c r="O31" s="367" t="str">
        <f t="shared" ca="1" si="39"/>
        <v/>
      </c>
      <c r="P31" s="695" t="str">
        <f t="shared" ca="1" si="40"/>
        <v/>
      </c>
      <c r="R31" s="3">
        <f ca="1">IF(OR(I31=0,J31&gt;=0),"",RANK(J31,J$8:J$34,$R$3)+COUNTIF(J$8:J31,J31)-1)</f>
        <v>2</v>
      </c>
      <c r="S31" s="3" t="str">
        <f t="shared" ca="1" si="41"/>
        <v/>
      </c>
      <c r="T31" s="367">
        <f t="shared" ca="1" si="42"/>
        <v>0</v>
      </c>
      <c r="U31" s="367" t="str">
        <f t="shared" ca="1" si="43"/>
        <v/>
      </c>
      <c r="V31" s="695" t="str">
        <f t="shared" ca="1" si="44"/>
        <v/>
      </c>
      <c r="Z31" s="367">
        <f t="shared" ca="1" si="45"/>
        <v>-0.78</v>
      </c>
      <c r="AA31" s="696">
        <f t="shared" si="47"/>
        <v>0</v>
      </c>
      <c r="AB31" s="696">
        <f t="shared" si="47"/>
        <v>0</v>
      </c>
      <c r="AC31" s="696">
        <f t="shared" si="47"/>
        <v>3</v>
      </c>
      <c r="AD31" s="696">
        <f t="shared" si="47"/>
        <v>2</v>
      </c>
      <c r="AE31" s="696">
        <f t="shared" si="47"/>
        <v>2</v>
      </c>
      <c r="AF31" s="696">
        <f t="shared" si="47"/>
        <v>0</v>
      </c>
      <c r="AG31" s="696">
        <f t="shared" si="47"/>
        <v>2</v>
      </c>
      <c r="AH31" s="696">
        <f t="shared" si="47"/>
        <v>0</v>
      </c>
      <c r="AI31" s="696">
        <f t="shared" si="47"/>
        <v>0</v>
      </c>
      <c r="AJ31" s="696">
        <f t="shared" si="47"/>
        <v>0</v>
      </c>
      <c r="AK31" s="696">
        <f t="shared" si="47"/>
        <v>0</v>
      </c>
      <c r="AL31" s="696">
        <f t="shared" si="47"/>
        <v>0</v>
      </c>
      <c r="AM31" s="696">
        <f t="shared" si="47"/>
        <v>3</v>
      </c>
      <c r="AN31" s="696">
        <f t="shared" si="47"/>
        <v>2</v>
      </c>
      <c r="AO31" s="696">
        <f t="shared" si="47"/>
        <v>0</v>
      </c>
      <c r="AP31" s="696">
        <f t="shared" si="47"/>
        <v>2</v>
      </c>
      <c r="AQ31" s="696">
        <f t="shared" si="46"/>
        <v>3</v>
      </c>
      <c r="AR31" s="696">
        <f t="shared" si="46"/>
        <v>3</v>
      </c>
      <c r="AS31" s="696">
        <f t="shared" si="46"/>
        <v>3</v>
      </c>
      <c r="AT31" s="696">
        <f t="shared" si="46"/>
        <v>0</v>
      </c>
      <c r="AU31" s="696">
        <f t="shared" si="46"/>
        <v>1</v>
      </c>
      <c r="AV31" s="696">
        <f t="shared" si="46"/>
        <v>2</v>
      </c>
      <c r="AW31" s="696">
        <f t="shared" si="46"/>
        <v>3</v>
      </c>
      <c r="AX31" s="696">
        <f t="shared" si="46"/>
        <v>2</v>
      </c>
      <c r="AY31" s="696">
        <f t="shared" si="46"/>
        <v>0</v>
      </c>
      <c r="AZ31" s="696">
        <f t="shared" si="46"/>
        <v>0</v>
      </c>
      <c r="BA31" s="696">
        <f t="shared" si="46"/>
        <v>1</v>
      </c>
      <c r="BB31" s="696">
        <f t="shared" si="46"/>
        <v>0</v>
      </c>
      <c r="BC31" s="696">
        <f t="shared" si="46"/>
        <v>0</v>
      </c>
      <c r="BD31" s="696">
        <f t="shared" si="46"/>
        <v>0</v>
      </c>
    </row>
    <row r="32" spans="1:56">
      <c r="A32" s="367">
        <f>INDEX(tblIndicators!$B$2:$B$84,B32)</f>
        <v>1</v>
      </c>
      <c r="B32" s="367">
        <f>tblIndiSets!B320</f>
        <v>74</v>
      </c>
      <c r="C32" s="367" t="str">
        <f>tblIndiSets!E320</f>
        <v xml:space="preserve">   BG_1.3) Human Development Index</v>
      </c>
      <c r="G32" s="367" t="b">
        <f t="shared" ca="1" si="21"/>
        <v>0</v>
      </c>
      <c r="H32" s="367">
        <f t="shared" si="23"/>
        <v>25</v>
      </c>
      <c r="I32" s="367">
        <f t="shared" si="34"/>
        <v>1</v>
      </c>
      <c r="J32" s="367">
        <f t="shared" ca="1" si="35"/>
        <v>0.9</v>
      </c>
      <c r="K32" s="295">
        <f t="shared" ca="1" si="36"/>
        <v>0.9</v>
      </c>
      <c r="L32" s="3">
        <f ca="1">IF(OR(I32=0,J32&lt;0),"",RANK(J32,J$8:J$34,$L$3)+COUNTIF(J$8:J32,J32)-1)</f>
        <v>3</v>
      </c>
      <c r="M32" s="3" t="str">
        <f t="shared" ca="1" si="37"/>
        <v/>
      </c>
      <c r="N32" s="367">
        <f t="shared" ca="1" si="38"/>
        <v>0</v>
      </c>
      <c r="O32" s="367" t="str">
        <f t="shared" ca="1" si="39"/>
        <v/>
      </c>
      <c r="P32" s="695" t="str">
        <f t="shared" ca="1" si="40"/>
        <v/>
      </c>
      <c r="R32" s="3" t="str">
        <f ca="1">IF(OR(I32=0,J32&gt;=0),"",RANK(J32,J$8:J$34,$R$3)+COUNTIF(J$8:J32,J32)-1)</f>
        <v/>
      </c>
      <c r="S32" s="3" t="str">
        <f t="shared" ca="1" si="41"/>
        <v/>
      </c>
      <c r="T32" s="367">
        <f t="shared" ca="1" si="42"/>
        <v>0</v>
      </c>
      <c r="U32" s="367" t="str">
        <f t="shared" ca="1" si="43"/>
        <v/>
      </c>
      <c r="V32" s="695" t="str">
        <f t="shared" ca="1" si="44"/>
        <v/>
      </c>
      <c r="Z32" s="367">
        <f t="shared" ca="1" si="45"/>
        <v>0.9</v>
      </c>
      <c r="AA32" s="696">
        <f t="shared" si="47"/>
        <v>0.96299999999999997</v>
      </c>
      <c r="AB32" s="696">
        <f t="shared" si="47"/>
        <v>0.94499999999999995</v>
      </c>
      <c r="AC32" s="696">
        <f t="shared" si="47"/>
        <v>0.81399999999999995</v>
      </c>
      <c r="AD32" s="696">
        <f t="shared" si="47"/>
        <v>0.91600000000000004</v>
      </c>
      <c r="AE32" s="696">
        <f t="shared" si="47"/>
        <v>0.90400000000000003</v>
      </c>
      <c r="AF32" s="696">
        <f t="shared" si="47"/>
        <v>0.96399999999999997</v>
      </c>
      <c r="AG32" s="696">
        <f t="shared" si="47"/>
        <v>0.88200000000000001</v>
      </c>
      <c r="AH32" s="696">
        <f t="shared" si="47"/>
        <v>0.96099999999999997</v>
      </c>
      <c r="AI32" s="696">
        <f t="shared" si="47"/>
        <v>0.91700000000000004</v>
      </c>
      <c r="AJ32" s="696">
        <f t="shared" si="47"/>
        <v>0.88900000000000001</v>
      </c>
      <c r="AK32" s="696">
        <f t="shared" si="47"/>
        <v>0.95499999999999996</v>
      </c>
      <c r="AL32" s="696">
        <f t="shared" si="47"/>
        <v>0.94899999999999995</v>
      </c>
      <c r="AM32" s="696">
        <f t="shared" si="47"/>
        <v>0.77300000000000002</v>
      </c>
      <c r="AN32" s="696">
        <f t="shared" si="47"/>
        <v>0.86699999999999999</v>
      </c>
      <c r="AO32" s="696">
        <f t="shared" si="47"/>
        <v>0.97599999999999998</v>
      </c>
      <c r="AP32" s="696">
        <f t="shared" si="47"/>
        <v>0.94099999999999995</v>
      </c>
      <c r="AQ32" s="696">
        <f t="shared" si="46"/>
        <v>0.78100000000000003</v>
      </c>
      <c r="AR32" s="696">
        <f t="shared" si="46"/>
        <v>0.78400000000000003</v>
      </c>
      <c r="AS32" s="696">
        <f t="shared" si="46"/>
        <v>0.746</v>
      </c>
      <c r="AT32" s="696">
        <f t="shared" si="46"/>
        <v>0.94399999999999995</v>
      </c>
      <c r="AU32" s="696">
        <f t="shared" si="46"/>
        <v>0.94699999999999995</v>
      </c>
      <c r="AV32" s="696">
        <f t="shared" si="46"/>
        <v>0.91400000000000003</v>
      </c>
      <c r="AW32" s="696">
        <f t="shared" si="46"/>
        <v>0.79100000000000004</v>
      </c>
      <c r="AX32" s="696">
        <f t="shared" si="46"/>
        <v>0.94299999999999995</v>
      </c>
      <c r="AY32" s="696">
        <f t="shared" si="46"/>
        <v>0.93799999999999994</v>
      </c>
      <c r="AZ32" s="696">
        <f t="shared" si="46"/>
        <v>0.94499999999999995</v>
      </c>
      <c r="BA32" s="696">
        <f t="shared" si="46"/>
        <v>0.94399999999999995</v>
      </c>
      <c r="BB32" s="696">
        <f t="shared" si="46"/>
        <v>0.93700000000000006</v>
      </c>
      <c r="BC32" s="696">
        <f t="shared" si="46"/>
        <v>0.94599999999999995</v>
      </c>
      <c r="BD32" s="696">
        <f t="shared" si="46"/>
        <v>0.98</v>
      </c>
    </row>
    <row r="33" spans="1:56">
      <c r="A33" s="367">
        <f>INDEX(tblIndicators!$B$2:$B$84,B33)</f>
        <v>1</v>
      </c>
      <c r="B33" s="367">
        <f>tblIndiSets!B321</f>
        <v>75</v>
      </c>
      <c r="C33" s="367" t="str">
        <f>tblIndiSets!E321</f>
        <v xml:space="preserve">   BG_1.4) Gender Inequality Index</v>
      </c>
      <c r="G33" s="367" t="b">
        <f t="shared" ca="1" si="21"/>
        <v>0</v>
      </c>
      <c r="H33" s="367">
        <f t="shared" si="23"/>
        <v>26</v>
      </c>
      <c r="I33" s="367">
        <f t="shared" si="34"/>
        <v>1</v>
      </c>
      <c r="J33" s="367">
        <f t="shared" ca="1" si="35"/>
        <v>-0.85</v>
      </c>
      <c r="K33" s="295">
        <f t="shared" ca="1" si="36"/>
        <v>-0.85</v>
      </c>
      <c r="L33" s="3" t="str">
        <f ca="1">IF(OR(I33=0,J33&lt;0),"",RANK(J33,J$8:J$34,$L$3)+COUNTIF(J$8:J33,J33)-1)</f>
        <v/>
      </c>
      <c r="M33" s="3" t="str">
        <f t="shared" ca="1" si="37"/>
        <v/>
      </c>
      <c r="N33" s="367">
        <f t="shared" ca="1" si="38"/>
        <v>0</v>
      </c>
      <c r="O33" s="367" t="str">
        <f t="shared" ca="1" si="39"/>
        <v/>
      </c>
      <c r="P33" s="695" t="str">
        <f t="shared" ca="1" si="40"/>
        <v/>
      </c>
      <c r="R33" s="3">
        <f ca="1">IF(OR(I33=0,J33&gt;=0),"",RANK(J33,J$8:J$34,$R$3)+COUNTIF(J$8:J33,J33)-1)</f>
        <v>1</v>
      </c>
      <c r="S33" s="3" t="str">
        <f t="shared" ca="1" si="41"/>
        <v/>
      </c>
      <c r="T33" s="367">
        <f t="shared" ca="1" si="42"/>
        <v>0</v>
      </c>
      <c r="U33" s="367" t="str">
        <f t="shared" ca="1" si="43"/>
        <v/>
      </c>
      <c r="V33" s="695" t="str">
        <f t="shared" ca="1" si="44"/>
        <v/>
      </c>
      <c r="Z33" s="367">
        <f t="shared" ca="1" si="45"/>
        <v>-0.85</v>
      </c>
      <c r="AA33" s="696">
        <f t="shared" si="47"/>
        <v>4.2999999999999997E-2</v>
      </c>
      <c r="AB33" s="696">
        <f t="shared" si="47"/>
        <v>0.123</v>
      </c>
      <c r="AC33" s="696">
        <f t="shared" si="47"/>
        <v>0.35899999999999999</v>
      </c>
      <c r="AD33" s="696">
        <f t="shared" si="47"/>
        <v>7.0000000000000007E-2</v>
      </c>
      <c r="AE33" s="696">
        <f t="shared" si="47"/>
        <v>0.16800000000000001</v>
      </c>
      <c r="AF33" s="696">
        <f t="shared" si="47"/>
        <v>8.4000000000000005E-2</v>
      </c>
      <c r="AG33" s="696">
        <f t="shared" si="47"/>
        <v>0.32800000000000001</v>
      </c>
      <c r="AH33" s="696">
        <f t="shared" si="47"/>
        <v>3.7999999999999999E-2</v>
      </c>
      <c r="AI33" s="696">
        <f t="shared" si="47"/>
        <v>0.20399999999999999</v>
      </c>
      <c r="AJ33" s="696">
        <f t="shared" si="47"/>
        <v>7.9000000000000001E-2</v>
      </c>
      <c r="AK33" s="696">
        <f t="shared" si="47"/>
        <v>8.4000000000000005E-2</v>
      </c>
      <c r="AL33" s="696">
        <f t="shared" si="47"/>
        <v>0</v>
      </c>
      <c r="AM33" s="696">
        <f t="shared" si="47"/>
        <v>0.48</v>
      </c>
      <c r="AN33" s="696">
        <f t="shared" si="47"/>
        <v>0.253</v>
      </c>
      <c r="AO33" s="696">
        <f t="shared" si="47"/>
        <v>0.11799999999999999</v>
      </c>
      <c r="AP33" s="696">
        <f t="shared" si="47"/>
        <v>7.0000000000000007E-2</v>
      </c>
      <c r="AQ33" s="696">
        <f t="shared" si="46"/>
        <v>0.43</v>
      </c>
      <c r="AR33" s="696">
        <f t="shared" si="46"/>
        <v>0.32200000000000001</v>
      </c>
      <c r="AS33" s="696">
        <f t="shared" si="46"/>
        <v>0.48799999999999999</v>
      </c>
      <c r="AT33" s="696">
        <f t="shared" si="46"/>
        <v>0.20399999999999999</v>
      </c>
      <c r="AU33" s="696">
        <f t="shared" si="46"/>
        <v>4.9000000000000002E-2</v>
      </c>
      <c r="AV33" s="696">
        <f t="shared" si="46"/>
        <v>6.9000000000000006E-2</v>
      </c>
      <c r="AW33" s="696">
        <f t="shared" si="46"/>
        <v>0.40799999999999997</v>
      </c>
      <c r="AX33" s="696">
        <f t="shared" si="46"/>
        <v>6.4000000000000001E-2</v>
      </c>
      <c r="AY33" s="696">
        <f t="shared" si="46"/>
        <v>6.5000000000000002E-2</v>
      </c>
      <c r="AZ33" s="696">
        <f t="shared" si="46"/>
        <v>9.7000000000000003E-2</v>
      </c>
      <c r="BA33" s="696">
        <f t="shared" si="46"/>
        <v>9.4E-2</v>
      </c>
      <c r="BB33" s="696">
        <f t="shared" si="46"/>
        <v>0.08</v>
      </c>
      <c r="BC33" s="696">
        <f t="shared" si="46"/>
        <v>0.20399999999999999</v>
      </c>
      <c r="BD33" s="696">
        <f t="shared" si="46"/>
        <v>2.5000000000000001E-2</v>
      </c>
    </row>
    <row r="34" spans="1:56">
      <c r="A34" s="367">
        <f>INDEX(tblIndicators!$B$2:$B$84,B34)</f>
        <v>1</v>
      </c>
      <c r="B34" s="367">
        <f>tblIndiSets!B322</f>
        <v>76</v>
      </c>
      <c r="C34" s="367" t="str">
        <f>tblIndiSets!E322</f>
        <v xml:space="preserve">   BG_1.5) Per capita income</v>
      </c>
      <c r="G34" s="367" t="b">
        <f t="shared" ca="1" si="21"/>
        <v>0</v>
      </c>
      <c r="H34" s="367">
        <f t="shared" si="23"/>
        <v>27</v>
      </c>
      <c r="I34" s="367">
        <f t="shared" si="34"/>
        <v>1</v>
      </c>
      <c r="J34" s="367">
        <f t="shared" ca="1" si="35"/>
        <v>0.66</v>
      </c>
      <c r="K34" s="295">
        <f t="shared" ca="1" si="36"/>
        <v>0.66</v>
      </c>
      <c r="L34" s="3">
        <f ca="1">IF(OR(I34=0,J34&lt;0),"",RANK(J34,J$8:J$34,$L$3)+COUNTIF(J$8:J34,J34)-1)</f>
        <v>12</v>
      </c>
      <c r="M34" s="3" t="str">
        <f t="shared" ca="1" si="37"/>
        <v/>
      </c>
      <c r="N34" s="367">
        <f t="shared" ca="1" si="38"/>
        <v>0</v>
      </c>
      <c r="O34" s="367" t="str">
        <f t="shared" ca="1" si="39"/>
        <v/>
      </c>
      <c r="P34" s="695" t="str">
        <f t="shared" ca="1" si="40"/>
        <v/>
      </c>
      <c r="R34" s="3" t="str">
        <f ca="1">IF(OR(I34=0,J34&gt;=0),"",RANK(J34,J$8:J$34,$R$3)+COUNTIF(J$8:J34,J34)-1)</f>
        <v/>
      </c>
      <c r="S34" s="3" t="str">
        <f t="shared" ca="1" si="41"/>
        <v/>
      </c>
      <c r="T34" s="367">
        <f t="shared" ca="1" si="42"/>
        <v>0</v>
      </c>
      <c r="U34" s="367" t="str">
        <f t="shared" ca="1" si="43"/>
        <v/>
      </c>
      <c r="V34" s="695" t="str">
        <f t="shared" ca="1" si="44"/>
        <v/>
      </c>
      <c r="Z34" s="367">
        <f t="shared" ca="1" si="45"/>
        <v>0.66</v>
      </c>
      <c r="AA34" s="696">
        <f t="shared" si="47"/>
        <v>31714</v>
      </c>
      <c r="AB34" s="696">
        <f t="shared" si="47"/>
        <v>22293</v>
      </c>
      <c r="AC34" s="696">
        <f t="shared" si="47"/>
        <v>7130</v>
      </c>
      <c r="AD34" s="696">
        <f t="shared" si="47"/>
        <v>20191</v>
      </c>
      <c r="AE34" s="696">
        <f t="shared" si="47"/>
        <v>12810</v>
      </c>
      <c r="AF34" s="696">
        <f t="shared" si="47"/>
        <v>22804</v>
      </c>
      <c r="AG34" s="696">
        <f t="shared" si="47"/>
        <v>9190</v>
      </c>
      <c r="AH34" s="696">
        <f t="shared" si="47"/>
        <v>33291</v>
      </c>
      <c r="AI34" s="696">
        <f t="shared" si="47"/>
        <v>49936</v>
      </c>
      <c r="AJ34" s="696">
        <f t="shared" si="47"/>
        <v>16475</v>
      </c>
      <c r="AK34" s="696">
        <f t="shared" si="47"/>
        <v>37926</v>
      </c>
      <c r="AL34" s="696">
        <f t="shared" si="47"/>
        <v>36000</v>
      </c>
      <c r="AM34" s="696">
        <f t="shared" si="47"/>
        <v>5439</v>
      </c>
      <c r="AN34" s="696">
        <f t="shared" si="47"/>
        <v>10429</v>
      </c>
      <c r="AO34" s="696">
        <f t="shared" si="47"/>
        <v>39776</v>
      </c>
      <c r="AP34" s="696">
        <f t="shared" si="47"/>
        <v>23771</v>
      </c>
      <c r="AQ34" s="696">
        <f t="shared" si="46"/>
        <v>6935</v>
      </c>
      <c r="AR34" s="696">
        <f t="shared" si="46"/>
        <v>14963</v>
      </c>
      <c r="AS34" s="696">
        <f t="shared" si="46"/>
        <v>2913</v>
      </c>
      <c r="AT34" s="696">
        <f t="shared" si="46"/>
        <v>69395</v>
      </c>
      <c r="AU34" s="696">
        <f t="shared" si="46"/>
        <v>37651</v>
      </c>
      <c r="AV34" s="696">
        <f t="shared" si="46"/>
        <v>25287</v>
      </c>
      <c r="AW34" s="696">
        <f t="shared" si="46"/>
        <v>7160</v>
      </c>
      <c r="AX34" s="696">
        <f t="shared" si="46"/>
        <v>17763</v>
      </c>
      <c r="AY34" s="696">
        <f t="shared" si="46"/>
        <v>32230</v>
      </c>
      <c r="AZ34" s="696">
        <f t="shared" si="46"/>
        <v>31186</v>
      </c>
      <c r="BA34" s="696">
        <f t="shared" si="46"/>
        <v>24962</v>
      </c>
      <c r="BB34" s="696">
        <f t="shared" si="46"/>
        <v>26965</v>
      </c>
      <c r="BC34" s="696">
        <f t="shared" si="46"/>
        <v>67938</v>
      </c>
      <c r="BD34" s="696">
        <f t="shared" si="46"/>
        <v>56646</v>
      </c>
    </row>
  </sheetData>
  <pageMargins left="0.55118110236220474" right="0.55118110236220474" top="0.59055118110236227" bottom="0.78740157480314965" header="0.51181102362204722" footer="0.51181102362204722"/>
  <pageSetup paperSize="9" scale="26" orientation="landscape" r:id="rId1"/>
  <headerFooter alignWithMargins="0">
    <oddHeader>&amp;RPlastics Management Index: 2021</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pageSetUpPr fitToPage="1"/>
  </sheetPr>
  <dimension ref="A1:DU110"/>
  <sheetViews>
    <sheetView showRowColHeaders="0" zoomScaleNormal="100" workbookViewId="0">
      <pane xSplit="3" ySplit="3" topLeftCell="D44" activePane="bottomRight" state="frozen"/>
      <selection activeCell="X1" sqref="X1"/>
      <selection pane="topRight" activeCell="X1" sqref="X1"/>
      <selection pane="bottomLeft" activeCell="X1" sqref="X1"/>
      <selection pane="bottomRight" activeCell="D44" sqref="D44"/>
    </sheetView>
  </sheetViews>
  <sheetFormatPr defaultColWidth="9.1796875" defaultRowHeight="14.5"/>
  <cols>
    <col min="1" max="1" width="17.453125" style="367" bestFit="1" customWidth="1"/>
    <col min="2" max="2" width="4.1796875" style="367" customWidth="1"/>
    <col min="3" max="3" width="15.7265625" style="367" customWidth="1"/>
    <col min="4" max="4" width="5.7265625" style="367" bestFit="1" customWidth="1"/>
    <col min="5" max="7" width="5.453125" style="367" customWidth="1"/>
    <col min="8" max="8" width="10.453125" style="367" bestFit="1" customWidth="1"/>
    <col min="9" max="11" width="5.453125" style="367" customWidth="1"/>
    <col min="12" max="47" width="2" style="367" customWidth="1"/>
    <col min="48" max="49" width="5.453125" style="367" customWidth="1"/>
    <col min="50" max="101" width="3.7265625" style="367" customWidth="1"/>
    <col min="102" max="102" width="54.26953125" style="367" bestFit="1" customWidth="1"/>
    <col min="103" max="103" width="3.7265625" style="458" customWidth="1"/>
    <col min="104" max="105" width="3.7265625" style="127" customWidth="1"/>
    <col min="106" max="106" width="3.7265625" style="459" customWidth="1"/>
    <col min="107" max="110" width="7.453125" style="127" customWidth="1"/>
    <col min="111" max="111" width="7.453125" style="458" customWidth="1"/>
    <col min="112" max="113" width="7.453125" style="127" customWidth="1"/>
    <col min="114" max="114" width="7.453125" style="459" customWidth="1"/>
    <col min="115" max="123" width="7.453125" style="127" customWidth="1"/>
    <col min="124" max="125" width="9.1796875" style="127"/>
    <col min="126" max="16384" width="9.1796875" style="367"/>
  </cols>
  <sheetData>
    <row r="1" spans="1:114">
      <c r="A1" s="11" t="s">
        <v>118</v>
      </c>
      <c r="B1" s="11">
        <f>uxb_works!B1</f>
        <v>30</v>
      </c>
      <c r="C1" s="11">
        <f>uxb_works!C1</f>
        <v>30</v>
      </c>
      <c r="D1" s="11"/>
      <c r="CY1" s="455"/>
      <c r="CZ1" s="456"/>
      <c r="DA1" s="456"/>
      <c r="DB1" s="457"/>
      <c r="DG1" s="455"/>
      <c r="DH1" s="456"/>
      <c r="DI1" s="456"/>
      <c r="DJ1" s="457"/>
    </row>
    <row r="2" spans="1:114">
      <c r="A2" s="367" t="str">
        <f>uxb_works!A26</f>
        <v>CITY1_ID</v>
      </c>
      <c r="B2" s="367">
        <f>uxb_works!D26</f>
        <v>1</v>
      </c>
      <c r="C2" s="367" t="str">
        <f>uxb_works!C26</f>
        <v>Amsterdam</v>
      </c>
      <c r="D2" s="367">
        <f>uxb_works!D26</f>
        <v>1</v>
      </c>
      <c r="E2" s="11"/>
    </row>
    <row r="3" spans="1:114">
      <c r="A3" s="367" t="str">
        <f>uxb_works!A27</f>
        <v>CITY2_ID</v>
      </c>
      <c r="B3" s="367">
        <f>uxb_works!D27</f>
        <v>2</v>
      </c>
      <c r="C3" s="367" t="str">
        <f ca="1">uxb_works!C27</f>
        <v>Auckland</v>
      </c>
      <c r="D3" s="367">
        <f>uxb_works!D27</f>
        <v>2</v>
      </c>
      <c r="E3" s="11"/>
      <c r="AX3" s="594" t="s">
        <v>451</v>
      </c>
      <c r="AY3" s="594"/>
      <c r="AZ3" s="594"/>
      <c r="BA3" s="594"/>
      <c r="BB3" s="594"/>
      <c r="BC3" s="594"/>
      <c r="BD3" s="594"/>
      <c r="BE3" s="594"/>
      <c r="BF3" s="594"/>
      <c r="BG3" s="594"/>
      <c r="BH3" s="594"/>
      <c r="BI3" s="594"/>
      <c r="BJ3" s="594"/>
      <c r="BK3" s="594"/>
      <c r="BL3" s="594"/>
      <c r="BM3" s="594"/>
      <c r="BN3" s="594"/>
      <c r="BO3" s="594"/>
      <c r="BP3" s="594"/>
      <c r="BQ3" s="594"/>
      <c r="BR3" s="594"/>
      <c r="BS3" s="594"/>
      <c r="BT3" s="594"/>
      <c r="BU3" s="594"/>
      <c r="BV3" s="594"/>
      <c r="BW3" s="594"/>
      <c r="BX3" s="594"/>
      <c r="BY3" s="594"/>
      <c r="BZ3" s="594"/>
      <c r="CA3" s="594"/>
      <c r="CB3" s="594"/>
      <c r="CC3" s="594"/>
      <c r="CD3" s="594"/>
      <c r="CE3" s="594"/>
      <c r="CF3" s="594"/>
      <c r="CG3" s="594"/>
      <c r="CH3" s="594"/>
      <c r="CI3" s="594"/>
      <c r="CJ3" s="594"/>
      <c r="CK3" s="594"/>
      <c r="CL3" s="594"/>
      <c r="CM3" s="594"/>
      <c r="CO3"/>
      <c r="CP3"/>
      <c r="CQ3"/>
      <c r="CR3"/>
      <c r="CS3"/>
      <c r="CT3"/>
      <c r="CU3"/>
      <c r="CV3"/>
      <c r="CW3"/>
      <c r="CX3"/>
    </row>
    <row r="4" spans="1:114">
      <c r="A4" s="367">
        <v>0</v>
      </c>
      <c r="B4" s="597"/>
      <c r="E4" s="11"/>
      <c r="AY4" s="367">
        <v>1</v>
      </c>
      <c r="AZ4" s="367">
        <v>1</v>
      </c>
      <c r="BA4" s="367">
        <v>1</v>
      </c>
      <c r="BB4" s="367">
        <v>1</v>
      </c>
      <c r="BC4" s="367">
        <v>1</v>
      </c>
      <c r="BD4" s="367">
        <v>1</v>
      </c>
      <c r="BE4" s="367">
        <v>1</v>
      </c>
      <c r="BF4" s="367">
        <v>1</v>
      </c>
      <c r="BG4" s="367">
        <v>1</v>
      </c>
      <c r="BH4" s="367">
        <v>1</v>
      </c>
      <c r="BI4" s="367">
        <v>2</v>
      </c>
      <c r="BJ4" s="367">
        <v>2</v>
      </c>
      <c r="BK4" s="367">
        <v>2</v>
      </c>
      <c r="BL4" s="367">
        <v>2</v>
      </c>
      <c r="BM4" s="367">
        <v>2</v>
      </c>
      <c r="BN4" s="367">
        <v>2</v>
      </c>
      <c r="BO4" s="367">
        <v>2</v>
      </c>
      <c r="BP4" s="367">
        <v>2</v>
      </c>
      <c r="BQ4" s="367">
        <v>2</v>
      </c>
      <c r="BR4" s="367">
        <v>2</v>
      </c>
      <c r="BS4" s="367">
        <v>3</v>
      </c>
      <c r="BT4" s="367">
        <v>3</v>
      </c>
      <c r="BU4" s="367">
        <v>3</v>
      </c>
      <c r="BV4" s="367">
        <v>3</v>
      </c>
      <c r="BW4" s="367">
        <v>3</v>
      </c>
      <c r="BX4" s="367">
        <v>3</v>
      </c>
      <c r="BY4" s="367">
        <v>3</v>
      </c>
      <c r="BZ4" s="367">
        <v>3</v>
      </c>
      <c r="CA4" s="367">
        <v>3</v>
      </c>
      <c r="CB4" s="367">
        <v>3</v>
      </c>
      <c r="CC4" s="367">
        <v>4</v>
      </c>
      <c r="CD4" s="367">
        <v>4</v>
      </c>
      <c r="CE4" s="367">
        <v>4</v>
      </c>
      <c r="CF4" s="367">
        <v>4</v>
      </c>
      <c r="CG4" s="367">
        <v>4</v>
      </c>
      <c r="CH4" s="367">
        <v>4</v>
      </c>
      <c r="CI4" s="367">
        <v>4</v>
      </c>
      <c r="CJ4" s="367">
        <v>4</v>
      </c>
      <c r="CK4" s="367">
        <v>4</v>
      </c>
      <c r="CL4" s="367">
        <v>4</v>
      </c>
      <c r="CM4" s="367">
        <v>4</v>
      </c>
      <c r="CO4"/>
      <c r="CP4"/>
      <c r="CQ4"/>
      <c r="CR4"/>
      <c r="CS4"/>
      <c r="CT4"/>
      <c r="CU4"/>
      <c r="CV4"/>
      <c r="CW4"/>
      <c r="CX4"/>
    </row>
    <row r="5" spans="1:114">
      <c r="A5" s="367">
        <v>0</v>
      </c>
      <c r="B5" s="460"/>
      <c r="E5" s="11"/>
      <c r="G5" s="367">
        <v>1</v>
      </c>
      <c r="H5" s="367">
        <v>2</v>
      </c>
      <c r="I5" s="367">
        <v>3</v>
      </c>
      <c r="AY5" s="367">
        <v>1</v>
      </c>
      <c r="AZ5" s="367">
        <f>AY5+1</f>
        <v>2</v>
      </c>
      <c r="BA5" s="367">
        <f t="shared" ref="BA5:BO5" si="0">AZ5+1</f>
        <v>3</v>
      </c>
      <c r="BB5" s="367">
        <f t="shared" si="0"/>
        <v>4</v>
      </c>
      <c r="BC5" s="367">
        <f t="shared" si="0"/>
        <v>5</v>
      </c>
      <c r="BD5" s="367">
        <f t="shared" si="0"/>
        <v>6</v>
      </c>
      <c r="BE5" s="367">
        <f t="shared" si="0"/>
        <v>7</v>
      </c>
      <c r="BF5" s="367">
        <f t="shared" si="0"/>
        <v>8</v>
      </c>
      <c r="BG5" s="367">
        <f t="shared" si="0"/>
        <v>9</v>
      </c>
      <c r="BH5" s="367">
        <f t="shared" si="0"/>
        <v>10</v>
      </c>
      <c r="BI5" s="367">
        <f t="shared" si="0"/>
        <v>11</v>
      </c>
      <c r="BJ5" s="367">
        <f t="shared" si="0"/>
        <v>12</v>
      </c>
      <c r="BK5" s="367">
        <f t="shared" si="0"/>
        <v>13</v>
      </c>
      <c r="BL5" s="367">
        <f t="shared" si="0"/>
        <v>14</v>
      </c>
      <c r="BM5" s="367">
        <f t="shared" si="0"/>
        <v>15</v>
      </c>
      <c r="BN5" s="367">
        <f t="shared" si="0"/>
        <v>16</v>
      </c>
      <c r="BO5" s="367">
        <f t="shared" si="0"/>
        <v>17</v>
      </c>
      <c r="BP5" s="367">
        <f t="shared" ref="BP5:BU5" si="1">BO5+1</f>
        <v>18</v>
      </c>
      <c r="BQ5" s="367">
        <f t="shared" si="1"/>
        <v>19</v>
      </c>
      <c r="BR5" s="367">
        <f t="shared" si="1"/>
        <v>20</v>
      </c>
      <c r="BS5" s="367">
        <f t="shared" si="1"/>
        <v>21</v>
      </c>
      <c r="BT5" s="367">
        <f t="shared" si="1"/>
        <v>22</v>
      </c>
      <c r="BU5" s="367">
        <f t="shared" si="1"/>
        <v>23</v>
      </c>
      <c r="BV5" s="367">
        <f t="shared" ref="BV5:CL5" si="2">BU5+1</f>
        <v>24</v>
      </c>
      <c r="BW5" s="367">
        <f t="shared" si="2"/>
        <v>25</v>
      </c>
      <c r="BX5" s="367">
        <f t="shared" si="2"/>
        <v>26</v>
      </c>
      <c r="BY5" s="367">
        <f t="shared" si="2"/>
        <v>27</v>
      </c>
      <c r="BZ5" s="367">
        <f t="shared" si="2"/>
        <v>28</v>
      </c>
      <c r="CA5" s="367">
        <f t="shared" si="2"/>
        <v>29</v>
      </c>
      <c r="CB5" s="367">
        <f t="shared" si="2"/>
        <v>30</v>
      </c>
      <c r="CC5" s="367">
        <f t="shared" si="2"/>
        <v>31</v>
      </c>
      <c r="CD5" s="367">
        <f t="shared" si="2"/>
        <v>32</v>
      </c>
      <c r="CE5" s="367">
        <f t="shared" si="2"/>
        <v>33</v>
      </c>
      <c r="CF5" s="367">
        <f t="shared" si="2"/>
        <v>34</v>
      </c>
      <c r="CG5" s="367">
        <f t="shared" si="2"/>
        <v>35</v>
      </c>
      <c r="CH5" s="367">
        <f t="shared" si="2"/>
        <v>36</v>
      </c>
      <c r="CI5" s="367">
        <f t="shared" si="2"/>
        <v>37</v>
      </c>
      <c r="CJ5" s="367">
        <f t="shared" si="2"/>
        <v>38</v>
      </c>
      <c r="CK5" s="367">
        <f t="shared" si="2"/>
        <v>39</v>
      </c>
      <c r="CL5" s="367">
        <f t="shared" si="2"/>
        <v>40</v>
      </c>
      <c r="CO5"/>
      <c r="CP5"/>
      <c r="CQ5"/>
      <c r="CR5"/>
      <c r="CS5"/>
      <c r="CT5"/>
      <c r="CU5"/>
      <c r="CV5"/>
      <c r="CW5"/>
      <c r="CX5"/>
    </row>
    <row r="6" spans="1:114">
      <c r="A6" s="367">
        <v>0</v>
      </c>
      <c r="B6" s="598"/>
      <c r="E6" s="11"/>
      <c r="CO6"/>
      <c r="CP6"/>
      <c r="CQ6"/>
      <c r="CR6"/>
      <c r="CS6"/>
      <c r="CT6"/>
      <c r="CU6"/>
      <c r="CV6"/>
      <c r="CW6"/>
      <c r="CX6"/>
    </row>
    <row r="7" spans="1:114" ht="15" thickBot="1">
      <c r="A7" s="367">
        <v>0</v>
      </c>
      <c r="B7" s="461"/>
      <c r="G7" s="367" t="str">
        <f>INDEX(uxb_works!$I$119:$I$121,iCP_Chart!G5)</f>
        <v>Low: 0 to 25.0</v>
      </c>
      <c r="H7" s="367" t="str">
        <f>INDEX(uxb_works!$I$119:$I$121,iCP_Chart!H5)</f>
        <v>Medium: 25.1 to 50.0</v>
      </c>
      <c r="I7" s="367" t="str">
        <f>INDEX(uxb_works!$I$119:$I$121,iCP_Chart!I5)</f>
        <v>High: 50.1 to 75.0</v>
      </c>
      <c r="J7" s="367" t="s">
        <v>452</v>
      </c>
      <c r="K7" s="36" t="s">
        <v>452</v>
      </c>
      <c r="L7" s="36" t="s">
        <v>452</v>
      </c>
      <c r="M7" s="36" t="s">
        <v>452</v>
      </c>
      <c r="N7" s="36" t="s">
        <v>452</v>
      </c>
      <c r="O7" s="36" t="s">
        <v>452</v>
      </c>
      <c r="P7" s="36" t="s">
        <v>452</v>
      </c>
      <c r="Q7" s="36" t="s">
        <v>452</v>
      </c>
      <c r="R7" s="36" t="s">
        <v>452</v>
      </c>
      <c r="S7" s="36" t="s">
        <v>452</v>
      </c>
      <c r="T7" s="36" t="s">
        <v>452</v>
      </c>
      <c r="U7" s="36" t="s">
        <v>452</v>
      </c>
      <c r="V7" s="36" t="s">
        <v>452</v>
      </c>
      <c r="W7" s="36" t="s">
        <v>452</v>
      </c>
      <c r="X7" s="36" t="s">
        <v>452</v>
      </c>
      <c r="Y7" s="36" t="s">
        <v>452</v>
      </c>
      <c r="Z7" s="36" t="s">
        <v>452</v>
      </c>
      <c r="AA7" s="36" t="s">
        <v>452</v>
      </c>
      <c r="AB7" s="36" t="s">
        <v>452</v>
      </c>
      <c r="AC7" s="36" t="s">
        <v>452</v>
      </c>
      <c r="AD7" s="36" t="s">
        <v>452</v>
      </c>
      <c r="AE7" s="36" t="s">
        <v>452</v>
      </c>
      <c r="AF7" s="36" t="s">
        <v>452</v>
      </c>
      <c r="AG7" s="36" t="s">
        <v>452</v>
      </c>
      <c r="AH7" s="36" t="s">
        <v>452</v>
      </c>
      <c r="AI7" s="36" t="s">
        <v>452</v>
      </c>
      <c r="AJ7" s="36" t="s">
        <v>452</v>
      </c>
      <c r="AK7" s="36" t="s">
        <v>452</v>
      </c>
      <c r="AL7" s="36" t="s">
        <v>452</v>
      </c>
      <c r="AM7" s="36" t="s">
        <v>452</v>
      </c>
      <c r="AN7" s="36" t="s">
        <v>452</v>
      </c>
      <c r="AO7" s="36" t="s">
        <v>452</v>
      </c>
      <c r="AP7" s="36" t="s">
        <v>452</v>
      </c>
      <c r="AQ7" s="36" t="s">
        <v>452</v>
      </c>
      <c r="AR7" s="36" t="s">
        <v>452</v>
      </c>
      <c r="AS7" s="36" t="s">
        <v>452</v>
      </c>
      <c r="AT7" s="36" t="s">
        <v>452</v>
      </c>
      <c r="AU7" s="36" t="s">
        <v>452</v>
      </c>
      <c r="AY7" s="367" t="s">
        <v>591</v>
      </c>
      <c r="AZ7" s="367" t="s">
        <v>591</v>
      </c>
      <c r="BA7" s="367" t="s">
        <v>591</v>
      </c>
      <c r="BB7" s="367" t="s">
        <v>591</v>
      </c>
      <c r="BC7" s="367" t="s">
        <v>591</v>
      </c>
      <c r="BD7" s="367" t="s">
        <v>591</v>
      </c>
      <c r="BE7" s="367" t="s">
        <v>591</v>
      </c>
      <c r="BF7" s="367" t="s">
        <v>591</v>
      </c>
      <c r="BG7" s="367" t="s">
        <v>591</v>
      </c>
      <c r="BH7" s="367" t="s">
        <v>591</v>
      </c>
      <c r="BI7" s="367" t="s">
        <v>592</v>
      </c>
      <c r="BJ7" s="367" t="s">
        <v>592</v>
      </c>
      <c r="BK7" s="367" t="s">
        <v>592</v>
      </c>
      <c r="BL7" s="367" t="s">
        <v>592</v>
      </c>
      <c r="BM7" s="367" t="s">
        <v>592</v>
      </c>
      <c r="BN7" s="367" t="s">
        <v>592</v>
      </c>
      <c r="BO7" s="367" t="s">
        <v>592</v>
      </c>
      <c r="BP7" s="367" t="s">
        <v>592</v>
      </c>
      <c r="BQ7" s="367" t="s">
        <v>592</v>
      </c>
      <c r="BR7" s="367" t="s">
        <v>592</v>
      </c>
      <c r="BS7" s="367" t="s">
        <v>593</v>
      </c>
      <c r="BT7" s="367" t="s">
        <v>593</v>
      </c>
      <c r="BU7" s="367" t="s">
        <v>593</v>
      </c>
      <c r="BV7" s="367" t="s">
        <v>593</v>
      </c>
      <c r="BW7" s="367" t="s">
        <v>593</v>
      </c>
      <c r="BX7" s="367" t="s">
        <v>593</v>
      </c>
      <c r="BY7" s="367" t="s">
        <v>593</v>
      </c>
      <c r="BZ7" s="367" t="s">
        <v>593</v>
      </c>
      <c r="CA7" s="367" t="s">
        <v>593</v>
      </c>
      <c r="CB7" s="367" t="s">
        <v>593</v>
      </c>
      <c r="CC7" s="367" t="s">
        <v>594</v>
      </c>
      <c r="CD7" s="367" t="s">
        <v>594</v>
      </c>
      <c r="CE7" s="367" t="s">
        <v>594</v>
      </c>
      <c r="CF7" s="367" t="s">
        <v>594</v>
      </c>
      <c r="CG7" s="367" t="s">
        <v>594</v>
      </c>
      <c r="CH7" s="367" t="s">
        <v>594</v>
      </c>
      <c r="CI7" s="367" t="s">
        <v>594</v>
      </c>
      <c r="CJ7" s="367" t="s">
        <v>594</v>
      </c>
      <c r="CK7" s="367" t="s">
        <v>594</v>
      </c>
      <c r="CL7" s="367" t="s">
        <v>594</v>
      </c>
      <c r="CM7" s="367" t="s">
        <v>453</v>
      </c>
      <c r="CO7"/>
      <c r="CP7"/>
      <c r="CQ7"/>
      <c r="CR7"/>
      <c r="CS7"/>
      <c r="CT7"/>
      <c r="CU7"/>
      <c r="CV7"/>
      <c r="CW7"/>
      <c r="CX7"/>
    </row>
    <row r="8" spans="1:114" ht="15" thickBot="1">
      <c r="A8" s="367" t="s">
        <v>454</v>
      </c>
      <c r="B8" s="462"/>
      <c r="C8" s="704"/>
      <c r="E8" s="367">
        <f>DM41</f>
        <v>1</v>
      </c>
      <c r="F8" s="367" t="str">
        <f>DN41</f>
        <v>OVERALL SCORE</v>
      </c>
      <c r="G8" s="367">
        <v>1</v>
      </c>
      <c r="H8" s="367">
        <v>1</v>
      </c>
      <c r="I8" s="367">
        <v>1</v>
      </c>
      <c r="J8" s="367">
        <v>1</v>
      </c>
      <c r="K8" s="36">
        <v>1</v>
      </c>
      <c r="L8" s="36">
        <v>1</v>
      </c>
      <c r="M8" s="36">
        <v>1</v>
      </c>
      <c r="N8" s="36">
        <v>1</v>
      </c>
      <c r="O8" s="36">
        <v>1</v>
      </c>
      <c r="P8" s="36">
        <v>1</v>
      </c>
      <c r="Q8" s="36">
        <v>1</v>
      </c>
      <c r="R8" s="36">
        <v>1</v>
      </c>
      <c r="S8" s="36">
        <v>1</v>
      </c>
      <c r="T8" s="36">
        <v>1</v>
      </c>
      <c r="U8" s="36">
        <v>1</v>
      </c>
      <c r="V8" s="36">
        <v>1</v>
      </c>
      <c r="W8" s="36">
        <v>1</v>
      </c>
      <c r="X8" s="36">
        <v>1</v>
      </c>
      <c r="Y8" s="36">
        <v>1</v>
      </c>
      <c r="Z8" s="36">
        <v>1</v>
      </c>
      <c r="AA8" s="36">
        <v>1</v>
      </c>
      <c r="AB8" s="36">
        <v>1</v>
      </c>
      <c r="AC8" s="36">
        <v>1</v>
      </c>
      <c r="AD8" s="36">
        <v>1</v>
      </c>
      <c r="AE8" s="36">
        <v>1</v>
      </c>
      <c r="AF8" s="36">
        <v>1</v>
      </c>
      <c r="AG8" s="36">
        <v>1</v>
      </c>
      <c r="AH8" s="36">
        <v>1</v>
      </c>
      <c r="AI8" s="36">
        <v>1</v>
      </c>
      <c r="AJ8" s="36">
        <v>1</v>
      </c>
      <c r="AK8" s="36">
        <v>1</v>
      </c>
      <c r="AL8" s="36">
        <v>1</v>
      </c>
      <c r="AM8" s="36">
        <v>1</v>
      </c>
      <c r="AN8" s="36">
        <v>1</v>
      </c>
      <c r="AO8" s="36">
        <v>1</v>
      </c>
      <c r="AP8" s="36">
        <v>1</v>
      </c>
      <c r="AQ8" s="36">
        <v>1</v>
      </c>
      <c r="AR8" s="36">
        <v>1</v>
      </c>
      <c r="AS8" s="36">
        <v>1</v>
      </c>
      <c r="AT8" s="36">
        <v>1</v>
      </c>
      <c r="AU8" s="36">
        <v>1</v>
      </c>
      <c r="AW8" s="127">
        <f ca="1">DB41</f>
        <v>30</v>
      </c>
      <c r="AY8" s="108">
        <f ca="1">IF($AW8="",41,IF(AY$5&lt;=$AW8,AY$5,41))</f>
        <v>1</v>
      </c>
      <c r="AZ8" s="109">
        <f t="shared" ref="AZ8:BO18" ca="1" si="3">IF($AW8="",41,IF(AZ$5&lt;=$AW8,AZ$5,41))</f>
        <v>2</v>
      </c>
      <c r="BA8" s="109">
        <f t="shared" ca="1" si="3"/>
        <v>3</v>
      </c>
      <c r="BB8" s="109">
        <f t="shared" ca="1" si="3"/>
        <v>4</v>
      </c>
      <c r="BC8" s="109">
        <f t="shared" ca="1" si="3"/>
        <v>5</v>
      </c>
      <c r="BD8" s="109">
        <f t="shared" ca="1" si="3"/>
        <v>6</v>
      </c>
      <c r="BE8" s="109">
        <f t="shared" ca="1" si="3"/>
        <v>7</v>
      </c>
      <c r="BF8" s="109">
        <f t="shared" ca="1" si="3"/>
        <v>8</v>
      </c>
      <c r="BG8" s="109">
        <f t="shared" ca="1" si="3"/>
        <v>9</v>
      </c>
      <c r="BH8" s="109">
        <f t="shared" ca="1" si="3"/>
        <v>10</v>
      </c>
      <c r="BI8" s="109">
        <f t="shared" ca="1" si="3"/>
        <v>11</v>
      </c>
      <c r="BJ8" s="109">
        <f t="shared" ca="1" si="3"/>
        <v>12</v>
      </c>
      <c r="BK8" s="109">
        <f t="shared" ca="1" si="3"/>
        <v>13</v>
      </c>
      <c r="BL8" s="109">
        <f t="shared" ca="1" si="3"/>
        <v>14</v>
      </c>
      <c r="BM8" s="109">
        <f t="shared" ca="1" si="3"/>
        <v>15</v>
      </c>
      <c r="BN8" s="109">
        <f t="shared" ca="1" si="3"/>
        <v>16</v>
      </c>
      <c r="BO8" s="109">
        <f t="shared" ca="1" si="3"/>
        <v>17</v>
      </c>
      <c r="BP8" s="109">
        <f t="shared" ref="BP8:CE18" ca="1" si="4">IF($AW8="",41,IF(BP$5&lt;=$AW8,BP$5,41))</f>
        <v>18</v>
      </c>
      <c r="BQ8" s="109">
        <f t="shared" ca="1" si="4"/>
        <v>19</v>
      </c>
      <c r="BR8" s="109">
        <f t="shared" ca="1" si="4"/>
        <v>20</v>
      </c>
      <c r="BS8" s="109">
        <f t="shared" ca="1" si="4"/>
        <v>21</v>
      </c>
      <c r="BT8" s="109">
        <f t="shared" ca="1" si="4"/>
        <v>22</v>
      </c>
      <c r="BU8" s="109">
        <f t="shared" ca="1" si="4"/>
        <v>23</v>
      </c>
      <c r="BV8" s="109">
        <f t="shared" ca="1" si="4"/>
        <v>24</v>
      </c>
      <c r="BW8" s="109">
        <f t="shared" ca="1" si="4"/>
        <v>25</v>
      </c>
      <c r="BX8" s="109">
        <f t="shared" ca="1" si="4"/>
        <v>26</v>
      </c>
      <c r="BY8" s="109">
        <f t="shared" ca="1" si="4"/>
        <v>27</v>
      </c>
      <c r="BZ8" s="109">
        <f t="shared" ca="1" si="4"/>
        <v>28</v>
      </c>
      <c r="CA8" s="109">
        <f t="shared" ca="1" si="4"/>
        <v>29</v>
      </c>
      <c r="CB8" s="109">
        <f t="shared" ca="1" si="4"/>
        <v>30</v>
      </c>
      <c r="CC8" s="109">
        <f t="shared" ca="1" si="4"/>
        <v>41</v>
      </c>
      <c r="CD8" s="109">
        <f t="shared" ca="1" si="4"/>
        <v>41</v>
      </c>
      <c r="CE8" s="109">
        <f t="shared" ca="1" si="4"/>
        <v>41</v>
      </c>
      <c r="CF8" s="109">
        <f t="shared" ref="CF8:CK18" ca="1" si="5">IF($AW8="",41,IF(CF$5&lt;=$AW8,CF$5,41))</f>
        <v>41</v>
      </c>
      <c r="CG8" s="109">
        <f t="shared" ca="1" si="5"/>
        <v>41</v>
      </c>
      <c r="CH8" s="109">
        <f t="shared" ca="1" si="5"/>
        <v>41</v>
      </c>
      <c r="CI8" s="109">
        <f t="shared" ca="1" si="5"/>
        <v>41</v>
      </c>
      <c r="CJ8" s="109">
        <f t="shared" ca="1" si="5"/>
        <v>41</v>
      </c>
      <c r="CK8" s="109">
        <f t="shared" ca="1" si="5"/>
        <v>41</v>
      </c>
      <c r="CL8" s="109">
        <v>41</v>
      </c>
      <c r="CM8" s="305">
        <v>41</v>
      </c>
      <c r="CO8"/>
      <c r="CP8"/>
      <c r="CQ8"/>
      <c r="CR8"/>
      <c r="CS8"/>
      <c r="CT8"/>
      <c r="CU8"/>
      <c r="CV8"/>
      <c r="CW8"/>
      <c r="CX8"/>
    </row>
    <row r="9" spans="1:114" s="127" customFormat="1" ht="15" thickBot="1">
      <c r="A9" s="367" t="s">
        <v>321</v>
      </c>
      <c r="B9" s="463"/>
      <c r="C9" s="367"/>
      <c r="D9" s="367"/>
      <c r="E9" s="367">
        <f t="shared" ref="E9:F18" si="6">DM42</f>
        <v>1</v>
      </c>
      <c r="F9" s="367" t="str">
        <f t="shared" si="6"/>
        <v xml:space="preserve"> 1) CONNECTIVITY</v>
      </c>
      <c r="G9" s="367">
        <v>1</v>
      </c>
      <c r="H9" s="367">
        <v>1</v>
      </c>
      <c r="I9" s="367">
        <v>1</v>
      </c>
      <c r="J9" s="367">
        <v>1</v>
      </c>
      <c r="K9" s="36">
        <v>1</v>
      </c>
      <c r="L9" s="36">
        <v>1</v>
      </c>
      <c r="M9" s="36">
        <v>1</v>
      </c>
      <c r="N9" s="36">
        <v>1</v>
      </c>
      <c r="O9" s="36">
        <v>1</v>
      </c>
      <c r="P9" s="36">
        <v>1</v>
      </c>
      <c r="Q9" s="36">
        <v>1</v>
      </c>
      <c r="R9" s="36">
        <v>1</v>
      </c>
      <c r="S9" s="36">
        <v>1</v>
      </c>
      <c r="T9" s="36">
        <v>1</v>
      </c>
      <c r="U9" s="36">
        <v>1</v>
      </c>
      <c r="V9" s="36">
        <v>1</v>
      </c>
      <c r="W9" s="36">
        <v>1</v>
      </c>
      <c r="X9" s="36">
        <v>1</v>
      </c>
      <c r="Y9" s="36">
        <v>1</v>
      </c>
      <c r="Z9" s="36">
        <v>1</v>
      </c>
      <c r="AA9" s="36">
        <v>1</v>
      </c>
      <c r="AB9" s="36">
        <v>1</v>
      </c>
      <c r="AC9" s="36">
        <v>1</v>
      </c>
      <c r="AD9" s="36">
        <v>1</v>
      </c>
      <c r="AE9" s="36">
        <v>1</v>
      </c>
      <c r="AF9" s="36">
        <v>1</v>
      </c>
      <c r="AG9" s="36">
        <v>1</v>
      </c>
      <c r="AH9" s="36">
        <v>1</v>
      </c>
      <c r="AI9" s="36">
        <v>1</v>
      </c>
      <c r="AJ9" s="36">
        <v>1</v>
      </c>
      <c r="AK9" s="36">
        <v>1</v>
      </c>
      <c r="AL9" s="36">
        <v>1</v>
      </c>
      <c r="AM9" s="36">
        <v>1</v>
      </c>
      <c r="AN9" s="36">
        <v>1</v>
      </c>
      <c r="AO9" s="36">
        <v>1</v>
      </c>
      <c r="AP9" s="36">
        <v>1</v>
      </c>
      <c r="AQ9" s="36">
        <v>1</v>
      </c>
      <c r="AR9" s="36">
        <v>1</v>
      </c>
      <c r="AS9" s="36">
        <v>1</v>
      </c>
      <c r="AT9" s="36">
        <v>1</v>
      </c>
      <c r="AU9" s="36">
        <v>1</v>
      </c>
      <c r="AV9" s="367"/>
      <c r="AW9" s="127">
        <f t="shared" ref="AW9:AW18" ca="1" si="7">DB42</f>
        <v>31</v>
      </c>
      <c r="AX9" s="14"/>
      <c r="AY9" s="291">
        <f t="shared" ref="AY9:AY18" ca="1" si="8">IF($AW9="",41,IF(AY$5&lt;=$AW9,AY$5,41))</f>
        <v>1</v>
      </c>
      <c r="AZ9" s="367">
        <f t="shared" ca="1" si="3"/>
        <v>2</v>
      </c>
      <c r="BA9" s="367">
        <f t="shared" ca="1" si="3"/>
        <v>3</v>
      </c>
      <c r="BB9" s="367">
        <f t="shared" ca="1" si="3"/>
        <v>4</v>
      </c>
      <c r="BC9" s="367">
        <f t="shared" ca="1" si="3"/>
        <v>5</v>
      </c>
      <c r="BD9" s="367">
        <f t="shared" ca="1" si="3"/>
        <v>6</v>
      </c>
      <c r="BE9" s="367">
        <f t="shared" ca="1" si="3"/>
        <v>7</v>
      </c>
      <c r="BF9" s="367">
        <f t="shared" ca="1" si="3"/>
        <v>8</v>
      </c>
      <c r="BG9" s="367">
        <f t="shared" ca="1" si="3"/>
        <v>9</v>
      </c>
      <c r="BH9" s="367">
        <f t="shared" ca="1" si="3"/>
        <v>10</v>
      </c>
      <c r="BI9" s="367">
        <f t="shared" ca="1" si="3"/>
        <v>11</v>
      </c>
      <c r="BJ9" s="367">
        <f t="shared" ca="1" si="3"/>
        <v>12</v>
      </c>
      <c r="BK9" s="367">
        <f t="shared" ca="1" si="3"/>
        <v>13</v>
      </c>
      <c r="BL9" s="367">
        <f t="shared" ca="1" si="3"/>
        <v>14</v>
      </c>
      <c r="BM9" s="367">
        <f t="shared" ca="1" si="3"/>
        <v>15</v>
      </c>
      <c r="BN9" s="367">
        <f t="shared" ca="1" si="3"/>
        <v>16</v>
      </c>
      <c r="BO9" s="367">
        <f t="shared" ca="1" si="3"/>
        <v>17</v>
      </c>
      <c r="BP9" s="367">
        <f t="shared" ca="1" si="4"/>
        <v>18</v>
      </c>
      <c r="BQ9" s="367">
        <f t="shared" ca="1" si="4"/>
        <v>19</v>
      </c>
      <c r="BR9" s="367">
        <f t="shared" ca="1" si="4"/>
        <v>20</v>
      </c>
      <c r="BS9" s="367">
        <f t="shared" ca="1" si="4"/>
        <v>21</v>
      </c>
      <c r="BT9" s="367">
        <f t="shared" ca="1" si="4"/>
        <v>22</v>
      </c>
      <c r="BU9" s="367">
        <f t="shared" ca="1" si="4"/>
        <v>23</v>
      </c>
      <c r="BV9" s="367">
        <f t="shared" ca="1" si="4"/>
        <v>24</v>
      </c>
      <c r="BW9" s="367">
        <f t="shared" ca="1" si="4"/>
        <v>25</v>
      </c>
      <c r="BX9" s="367">
        <f t="shared" ca="1" si="4"/>
        <v>26</v>
      </c>
      <c r="BY9" s="367">
        <f t="shared" ca="1" si="4"/>
        <v>27</v>
      </c>
      <c r="BZ9" s="367">
        <f t="shared" ca="1" si="4"/>
        <v>28</v>
      </c>
      <c r="CA9" s="367">
        <f t="shared" ca="1" si="4"/>
        <v>29</v>
      </c>
      <c r="CB9" s="367">
        <f t="shared" ca="1" si="4"/>
        <v>30</v>
      </c>
      <c r="CC9" s="367">
        <f t="shared" ca="1" si="4"/>
        <v>31</v>
      </c>
      <c r="CD9" s="367">
        <f t="shared" ca="1" si="4"/>
        <v>41</v>
      </c>
      <c r="CE9" s="367">
        <f t="shared" ca="1" si="4"/>
        <v>41</v>
      </c>
      <c r="CF9" s="367">
        <f t="shared" ca="1" si="5"/>
        <v>41</v>
      </c>
      <c r="CG9" s="367">
        <f t="shared" ca="1" si="5"/>
        <v>41</v>
      </c>
      <c r="CH9" s="367">
        <f t="shared" ca="1" si="5"/>
        <v>41</v>
      </c>
      <c r="CI9" s="367">
        <f t="shared" ca="1" si="5"/>
        <v>41</v>
      </c>
      <c r="CJ9" s="367">
        <f t="shared" ca="1" si="5"/>
        <v>41</v>
      </c>
      <c r="CK9" s="367">
        <f t="shared" ca="1" si="5"/>
        <v>41</v>
      </c>
      <c r="CL9" s="109">
        <v>41</v>
      </c>
      <c r="CM9" s="295">
        <v>41</v>
      </c>
      <c r="CN9" s="14"/>
      <c r="CO9"/>
      <c r="CP9"/>
      <c r="CQ9"/>
      <c r="CR9"/>
      <c r="CS9"/>
      <c r="CT9"/>
      <c r="CU9"/>
      <c r="CV9"/>
      <c r="CW9"/>
      <c r="CX9"/>
      <c r="CY9" s="458"/>
      <c r="DB9" s="459"/>
      <c r="DG9" s="458"/>
      <c r="DJ9" s="459"/>
    </row>
    <row r="10" spans="1:114" s="127" customFormat="1" ht="15" thickBot="1">
      <c r="A10" s="367" t="s">
        <v>455</v>
      </c>
      <c r="B10" s="367">
        <f ca="1">COUNTIF(E25:E35,"&lt;&gt;0")</f>
        <v>5</v>
      </c>
      <c r="C10" s="367">
        <f ca="1">360-(360/B10)/2</f>
        <v>324</v>
      </c>
      <c r="D10" s="367"/>
      <c r="E10" s="367">
        <f t="shared" si="6"/>
        <v>1</v>
      </c>
      <c r="F10" s="367" t="str">
        <f t="shared" si="6"/>
        <v xml:space="preserve"> 3) CULTURE</v>
      </c>
      <c r="G10" s="367">
        <v>1</v>
      </c>
      <c r="H10" s="367">
        <v>1</v>
      </c>
      <c r="I10" s="367">
        <v>1</v>
      </c>
      <c r="J10" s="367">
        <v>1</v>
      </c>
      <c r="K10" s="36">
        <v>1</v>
      </c>
      <c r="L10" s="36">
        <v>1</v>
      </c>
      <c r="M10" s="36">
        <v>1</v>
      </c>
      <c r="N10" s="36">
        <v>1</v>
      </c>
      <c r="O10" s="36">
        <v>1</v>
      </c>
      <c r="P10" s="36">
        <v>1</v>
      </c>
      <c r="Q10" s="36">
        <v>1</v>
      </c>
      <c r="R10" s="36">
        <v>1</v>
      </c>
      <c r="S10" s="36">
        <v>1</v>
      </c>
      <c r="T10" s="36">
        <v>1</v>
      </c>
      <c r="U10" s="36">
        <v>1</v>
      </c>
      <c r="V10" s="36">
        <v>1</v>
      </c>
      <c r="W10" s="36">
        <v>1</v>
      </c>
      <c r="X10" s="36">
        <v>1</v>
      </c>
      <c r="Y10" s="36">
        <v>1</v>
      </c>
      <c r="Z10" s="36">
        <v>1</v>
      </c>
      <c r="AA10" s="36">
        <v>1</v>
      </c>
      <c r="AB10" s="36">
        <v>1</v>
      </c>
      <c r="AC10" s="36">
        <v>1</v>
      </c>
      <c r="AD10" s="36">
        <v>1</v>
      </c>
      <c r="AE10" s="36">
        <v>1</v>
      </c>
      <c r="AF10" s="36">
        <v>1</v>
      </c>
      <c r="AG10" s="36">
        <v>1</v>
      </c>
      <c r="AH10" s="36">
        <v>1</v>
      </c>
      <c r="AI10" s="36">
        <v>1</v>
      </c>
      <c r="AJ10" s="36">
        <v>1</v>
      </c>
      <c r="AK10" s="36">
        <v>1</v>
      </c>
      <c r="AL10" s="36">
        <v>1</v>
      </c>
      <c r="AM10" s="36">
        <v>1</v>
      </c>
      <c r="AN10" s="36">
        <v>1</v>
      </c>
      <c r="AO10" s="36">
        <v>1</v>
      </c>
      <c r="AP10" s="36">
        <v>1</v>
      </c>
      <c r="AQ10" s="36">
        <v>1</v>
      </c>
      <c r="AR10" s="36">
        <v>1</v>
      </c>
      <c r="AS10" s="36">
        <v>1</v>
      </c>
      <c r="AT10" s="36">
        <v>1</v>
      </c>
      <c r="AU10" s="36">
        <v>1</v>
      </c>
      <c r="AV10" s="367"/>
      <c r="AW10" s="127">
        <f t="shared" ca="1" si="7"/>
        <v>30</v>
      </c>
      <c r="AX10" s="14"/>
      <c r="AY10" s="291">
        <f t="shared" ca="1" si="8"/>
        <v>1</v>
      </c>
      <c r="AZ10" s="367">
        <f t="shared" ca="1" si="3"/>
        <v>2</v>
      </c>
      <c r="BA10" s="367">
        <f t="shared" ca="1" si="3"/>
        <v>3</v>
      </c>
      <c r="BB10" s="367">
        <f t="shared" ca="1" si="3"/>
        <v>4</v>
      </c>
      <c r="BC10" s="367">
        <f t="shared" ca="1" si="3"/>
        <v>5</v>
      </c>
      <c r="BD10" s="367">
        <f t="shared" ca="1" si="3"/>
        <v>6</v>
      </c>
      <c r="BE10" s="367">
        <f t="shared" ca="1" si="3"/>
        <v>7</v>
      </c>
      <c r="BF10" s="367">
        <f t="shared" ca="1" si="3"/>
        <v>8</v>
      </c>
      <c r="BG10" s="367">
        <f t="shared" ca="1" si="3"/>
        <v>9</v>
      </c>
      <c r="BH10" s="367">
        <f t="shared" ca="1" si="3"/>
        <v>10</v>
      </c>
      <c r="BI10" s="367">
        <f t="shared" ca="1" si="3"/>
        <v>11</v>
      </c>
      <c r="BJ10" s="367">
        <f t="shared" ca="1" si="3"/>
        <v>12</v>
      </c>
      <c r="BK10" s="367">
        <f t="shared" ca="1" si="3"/>
        <v>13</v>
      </c>
      <c r="BL10" s="367">
        <f t="shared" ca="1" si="3"/>
        <v>14</v>
      </c>
      <c r="BM10" s="367">
        <f t="shared" ca="1" si="3"/>
        <v>15</v>
      </c>
      <c r="BN10" s="367">
        <f t="shared" ca="1" si="3"/>
        <v>16</v>
      </c>
      <c r="BO10" s="367">
        <f t="shared" ca="1" si="3"/>
        <v>17</v>
      </c>
      <c r="BP10" s="367">
        <f t="shared" ca="1" si="4"/>
        <v>18</v>
      </c>
      <c r="BQ10" s="367">
        <f t="shared" ca="1" si="4"/>
        <v>19</v>
      </c>
      <c r="BR10" s="367">
        <f t="shared" ca="1" si="4"/>
        <v>20</v>
      </c>
      <c r="BS10" s="367">
        <f t="shared" ca="1" si="4"/>
        <v>21</v>
      </c>
      <c r="BT10" s="367">
        <f t="shared" ca="1" si="4"/>
        <v>22</v>
      </c>
      <c r="BU10" s="367">
        <f t="shared" ca="1" si="4"/>
        <v>23</v>
      </c>
      <c r="BV10" s="367">
        <f t="shared" ca="1" si="4"/>
        <v>24</v>
      </c>
      <c r="BW10" s="367">
        <f t="shared" ca="1" si="4"/>
        <v>25</v>
      </c>
      <c r="BX10" s="367">
        <f t="shared" ca="1" si="4"/>
        <v>26</v>
      </c>
      <c r="BY10" s="367">
        <f t="shared" ca="1" si="4"/>
        <v>27</v>
      </c>
      <c r="BZ10" s="367">
        <f t="shared" ca="1" si="4"/>
        <v>28</v>
      </c>
      <c r="CA10" s="367">
        <f t="shared" ca="1" si="4"/>
        <v>29</v>
      </c>
      <c r="CB10" s="367">
        <f t="shared" ca="1" si="4"/>
        <v>30</v>
      </c>
      <c r="CC10" s="367">
        <f t="shared" ca="1" si="4"/>
        <v>41</v>
      </c>
      <c r="CD10" s="367">
        <f t="shared" ca="1" si="4"/>
        <v>41</v>
      </c>
      <c r="CE10" s="367">
        <f t="shared" ca="1" si="4"/>
        <v>41</v>
      </c>
      <c r="CF10" s="367">
        <f t="shared" ca="1" si="5"/>
        <v>41</v>
      </c>
      <c r="CG10" s="367">
        <f t="shared" ca="1" si="5"/>
        <v>41</v>
      </c>
      <c r="CH10" s="367">
        <f t="shared" ca="1" si="5"/>
        <v>41</v>
      </c>
      <c r="CI10" s="367">
        <f t="shared" ca="1" si="5"/>
        <v>41</v>
      </c>
      <c r="CJ10" s="367">
        <f t="shared" ca="1" si="5"/>
        <v>41</v>
      </c>
      <c r="CK10" s="367">
        <f t="shared" ca="1" si="5"/>
        <v>41</v>
      </c>
      <c r="CL10" s="109">
        <v>41</v>
      </c>
      <c r="CM10" s="295">
        <v>41</v>
      </c>
      <c r="CN10" s="14"/>
      <c r="CO10"/>
      <c r="CP10"/>
      <c r="CQ10"/>
      <c r="CR10"/>
      <c r="CS10"/>
      <c r="CT10"/>
      <c r="CU10"/>
      <c r="CV10"/>
      <c r="CW10"/>
      <c r="CX10"/>
      <c r="CY10" s="458"/>
      <c r="DB10" s="459"/>
      <c r="DG10" s="458"/>
      <c r="DJ10" s="459"/>
    </row>
    <row r="11" spans="1:114" s="127" customFormat="1" ht="15" thickBot="1">
      <c r="A11" s="367"/>
      <c r="B11" s="367"/>
      <c r="C11" s="367"/>
      <c r="D11" s="367"/>
      <c r="E11" s="367">
        <f t="shared" si="6"/>
        <v>1</v>
      </c>
      <c r="F11" s="367" t="str">
        <f t="shared" si="6"/>
        <v xml:space="preserve"> 4) SUSTAINABILITY</v>
      </c>
      <c r="G11" s="367">
        <v>1</v>
      </c>
      <c r="H11" s="367">
        <v>1</v>
      </c>
      <c r="I11" s="367">
        <v>1</v>
      </c>
      <c r="J11" s="367">
        <v>1</v>
      </c>
      <c r="K11" s="36">
        <v>1</v>
      </c>
      <c r="L11" s="36">
        <v>1</v>
      </c>
      <c r="M11" s="36">
        <v>1</v>
      </c>
      <c r="N11" s="36">
        <v>1</v>
      </c>
      <c r="O11" s="36">
        <v>1</v>
      </c>
      <c r="P11" s="36">
        <v>1</v>
      </c>
      <c r="Q11" s="36">
        <v>1</v>
      </c>
      <c r="R11" s="36">
        <v>1</v>
      </c>
      <c r="S11" s="36">
        <v>1</v>
      </c>
      <c r="T11" s="36">
        <v>1</v>
      </c>
      <c r="U11" s="36">
        <v>1</v>
      </c>
      <c r="V11" s="36">
        <v>1</v>
      </c>
      <c r="W11" s="36">
        <v>1</v>
      </c>
      <c r="X11" s="36">
        <v>1</v>
      </c>
      <c r="Y11" s="36">
        <v>1</v>
      </c>
      <c r="Z11" s="36">
        <v>1</v>
      </c>
      <c r="AA11" s="36">
        <v>1</v>
      </c>
      <c r="AB11" s="36">
        <v>1</v>
      </c>
      <c r="AC11" s="36">
        <v>1</v>
      </c>
      <c r="AD11" s="36">
        <v>1</v>
      </c>
      <c r="AE11" s="36">
        <v>1</v>
      </c>
      <c r="AF11" s="36">
        <v>1</v>
      </c>
      <c r="AG11" s="36">
        <v>1</v>
      </c>
      <c r="AH11" s="36">
        <v>1</v>
      </c>
      <c r="AI11" s="36">
        <v>1</v>
      </c>
      <c r="AJ11" s="36">
        <v>1</v>
      </c>
      <c r="AK11" s="36">
        <v>1</v>
      </c>
      <c r="AL11" s="36">
        <v>1</v>
      </c>
      <c r="AM11" s="36">
        <v>1</v>
      </c>
      <c r="AN11" s="36">
        <v>1</v>
      </c>
      <c r="AO11" s="36">
        <v>1</v>
      </c>
      <c r="AP11" s="36">
        <v>1</v>
      </c>
      <c r="AQ11" s="36">
        <v>1</v>
      </c>
      <c r="AR11" s="36">
        <v>1</v>
      </c>
      <c r="AS11" s="36">
        <v>1</v>
      </c>
      <c r="AT11" s="36">
        <v>1</v>
      </c>
      <c r="AU11" s="36">
        <v>1</v>
      </c>
      <c r="AV11" s="367"/>
      <c r="AW11" s="127">
        <f t="shared" ca="1" si="7"/>
        <v>25</v>
      </c>
      <c r="AX11" s="14"/>
      <c r="AY11" s="291">
        <f t="shared" ca="1" si="8"/>
        <v>1</v>
      </c>
      <c r="AZ11" s="367">
        <f t="shared" ca="1" si="3"/>
        <v>2</v>
      </c>
      <c r="BA11" s="367">
        <f t="shared" ca="1" si="3"/>
        <v>3</v>
      </c>
      <c r="BB11" s="367">
        <f t="shared" ca="1" si="3"/>
        <v>4</v>
      </c>
      <c r="BC11" s="367">
        <f t="shared" ca="1" si="3"/>
        <v>5</v>
      </c>
      <c r="BD11" s="367">
        <f t="shared" ca="1" si="3"/>
        <v>6</v>
      </c>
      <c r="BE11" s="367">
        <f t="shared" ca="1" si="3"/>
        <v>7</v>
      </c>
      <c r="BF11" s="367">
        <f t="shared" ca="1" si="3"/>
        <v>8</v>
      </c>
      <c r="BG11" s="367">
        <f t="shared" ca="1" si="3"/>
        <v>9</v>
      </c>
      <c r="BH11" s="367">
        <f t="shared" ca="1" si="3"/>
        <v>10</v>
      </c>
      <c r="BI11" s="367">
        <f t="shared" ca="1" si="3"/>
        <v>11</v>
      </c>
      <c r="BJ11" s="367">
        <f t="shared" ca="1" si="3"/>
        <v>12</v>
      </c>
      <c r="BK11" s="367">
        <f t="shared" ca="1" si="3"/>
        <v>13</v>
      </c>
      <c r="BL11" s="367">
        <f t="shared" ca="1" si="3"/>
        <v>14</v>
      </c>
      <c r="BM11" s="367">
        <f t="shared" ca="1" si="3"/>
        <v>15</v>
      </c>
      <c r="BN11" s="367">
        <f t="shared" ca="1" si="3"/>
        <v>16</v>
      </c>
      <c r="BO11" s="367">
        <f t="shared" ca="1" si="3"/>
        <v>17</v>
      </c>
      <c r="BP11" s="367">
        <f t="shared" ca="1" si="4"/>
        <v>18</v>
      </c>
      <c r="BQ11" s="367">
        <f t="shared" ca="1" si="4"/>
        <v>19</v>
      </c>
      <c r="BR11" s="367">
        <f t="shared" ca="1" si="4"/>
        <v>20</v>
      </c>
      <c r="BS11" s="367">
        <f t="shared" ca="1" si="4"/>
        <v>21</v>
      </c>
      <c r="BT11" s="367">
        <f t="shared" ca="1" si="4"/>
        <v>22</v>
      </c>
      <c r="BU11" s="367">
        <f t="shared" ca="1" si="4"/>
        <v>23</v>
      </c>
      <c r="BV11" s="367">
        <f t="shared" ca="1" si="4"/>
        <v>24</v>
      </c>
      <c r="BW11" s="367">
        <f t="shared" ca="1" si="4"/>
        <v>25</v>
      </c>
      <c r="BX11" s="367">
        <f t="shared" ca="1" si="4"/>
        <v>41</v>
      </c>
      <c r="BY11" s="367">
        <f t="shared" ca="1" si="4"/>
        <v>41</v>
      </c>
      <c r="BZ11" s="367">
        <f t="shared" ca="1" si="4"/>
        <v>41</v>
      </c>
      <c r="CA11" s="367">
        <f t="shared" ca="1" si="4"/>
        <v>41</v>
      </c>
      <c r="CB11" s="367">
        <f t="shared" ca="1" si="4"/>
        <v>41</v>
      </c>
      <c r="CC11" s="367">
        <f t="shared" ca="1" si="4"/>
        <v>41</v>
      </c>
      <c r="CD11" s="367">
        <f t="shared" ca="1" si="4"/>
        <v>41</v>
      </c>
      <c r="CE11" s="367">
        <f t="shared" ca="1" si="4"/>
        <v>41</v>
      </c>
      <c r="CF11" s="367">
        <f t="shared" ca="1" si="5"/>
        <v>41</v>
      </c>
      <c r="CG11" s="367">
        <f t="shared" ca="1" si="5"/>
        <v>41</v>
      </c>
      <c r="CH11" s="367">
        <f t="shared" ca="1" si="5"/>
        <v>41</v>
      </c>
      <c r="CI11" s="367">
        <f t="shared" ca="1" si="5"/>
        <v>41</v>
      </c>
      <c r="CJ11" s="367">
        <f t="shared" ca="1" si="5"/>
        <v>41</v>
      </c>
      <c r="CK11" s="367">
        <f t="shared" ca="1" si="5"/>
        <v>41</v>
      </c>
      <c r="CL11" s="109">
        <v>41</v>
      </c>
      <c r="CM11" s="295">
        <v>41</v>
      </c>
      <c r="CN11" s="14"/>
      <c r="CO11"/>
      <c r="CP11"/>
      <c r="CQ11"/>
      <c r="CR11"/>
      <c r="CS11"/>
      <c r="CT11"/>
      <c r="CU11"/>
      <c r="CV11"/>
      <c r="CW11"/>
      <c r="CX11"/>
      <c r="CY11" s="458"/>
      <c r="DB11" s="459"/>
      <c r="DG11" s="458"/>
      <c r="DJ11" s="459"/>
    </row>
    <row r="12" spans="1:114" s="127" customFormat="1" ht="15" thickBot="1">
      <c r="A12" s="367" t="str">
        <f>uxb_works!A$32</f>
        <v>CATEGORY_SELECT</v>
      </c>
      <c r="B12" s="367">
        <f>uxb_works!B$32</f>
        <v>1</v>
      </c>
      <c r="C12" s="367">
        <f>uxb_works!C$32</f>
        <v>22</v>
      </c>
      <c r="D12" s="367" t="str">
        <f>uxb_works!D$32</f>
        <v>OVERALL SCORE</v>
      </c>
      <c r="E12" s="367">
        <f t="shared" si="6"/>
        <v>2</v>
      </c>
      <c r="F12" s="367" t="str">
        <f t="shared" si="6"/>
        <v xml:space="preserve">   1.1.2) Fixed broadband susbcriptions</v>
      </c>
      <c r="G12" s="367">
        <v>1</v>
      </c>
      <c r="H12" s="367">
        <v>1</v>
      </c>
      <c r="I12" s="367">
        <v>1</v>
      </c>
      <c r="J12" s="367">
        <v>1</v>
      </c>
      <c r="K12" s="36">
        <v>1</v>
      </c>
      <c r="L12" s="36">
        <v>1</v>
      </c>
      <c r="M12" s="36">
        <v>1</v>
      </c>
      <c r="N12" s="36">
        <v>1</v>
      </c>
      <c r="O12" s="36">
        <v>1</v>
      </c>
      <c r="P12" s="36">
        <v>1</v>
      </c>
      <c r="Q12" s="36">
        <v>1</v>
      </c>
      <c r="R12" s="36">
        <v>1</v>
      </c>
      <c r="S12" s="36">
        <v>1</v>
      </c>
      <c r="T12" s="36">
        <v>1</v>
      </c>
      <c r="U12" s="36">
        <v>1</v>
      </c>
      <c r="V12" s="36">
        <v>1</v>
      </c>
      <c r="W12" s="36">
        <v>1</v>
      </c>
      <c r="X12" s="36">
        <v>1</v>
      </c>
      <c r="Y12" s="36">
        <v>1</v>
      </c>
      <c r="Z12" s="36">
        <v>1</v>
      </c>
      <c r="AA12" s="36">
        <v>1</v>
      </c>
      <c r="AB12" s="36">
        <v>1</v>
      </c>
      <c r="AC12" s="36">
        <v>1</v>
      </c>
      <c r="AD12" s="36">
        <v>1</v>
      </c>
      <c r="AE12" s="36">
        <v>1</v>
      </c>
      <c r="AF12" s="36">
        <v>1</v>
      </c>
      <c r="AG12" s="36">
        <v>1</v>
      </c>
      <c r="AH12" s="36">
        <v>1</v>
      </c>
      <c r="AI12" s="36">
        <v>1</v>
      </c>
      <c r="AJ12" s="36">
        <v>1</v>
      </c>
      <c r="AK12" s="36">
        <v>1</v>
      </c>
      <c r="AL12" s="36">
        <v>1</v>
      </c>
      <c r="AM12" s="36">
        <v>1</v>
      </c>
      <c r="AN12" s="36">
        <v>1</v>
      </c>
      <c r="AO12" s="36">
        <v>1</v>
      </c>
      <c r="AP12" s="36">
        <v>1</v>
      </c>
      <c r="AQ12" s="36">
        <v>1</v>
      </c>
      <c r="AR12" s="36">
        <v>1</v>
      </c>
      <c r="AS12" s="36">
        <v>1</v>
      </c>
      <c r="AT12" s="36">
        <v>1</v>
      </c>
      <c r="AU12" s="36">
        <v>1</v>
      </c>
      <c r="AV12" s="367"/>
      <c r="AW12" s="127">
        <f t="shared" ca="1" si="7"/>
        <v>35</v>
      </c>
      <c r="AX12" s="14"/>
      <c r="AY12" s="291">
        <f t="shared" ca="1" si="8"/>
        <v>1</v>
      </c>
      <c r="AZ12" s="367">
        <f t="shared" ca="1" si="3"/>
        <v>2</v>
      </c>
      <c r="BA12" s="367">
        <f t="shared" ca="1" si="3"/>
        <v>3</v>
      </c>
      <c r="BB12" s="367">
        <f t="shared" ca="1" si="3"/>
        <v>4</v>
      </c>
      <c r="BC12" s="367">
        <f t="shared" ca="1" si="3"/>
        <v>5</v>
      </c>
      <c r="BD12" s="367">
        <f t="shared" ca="1" si="3"/>
        <v>6</v>
      </c>
      <c r="BE12" s="367">
        <f t="shared" ca="1" si="3"/>
        <v>7</v>
      </c>
      <c r="BF12" s="367">
        <f t="shared" ca="1" si="3"/>
        <v>8</v>
      </c>
      <c r="BG12" s="367">
        <f t="shared" ca="1" si="3"/>
        <v>9</v>
      </c>
      <c r="BH12" s="367">
        <f t="shared" ca="1" si="3"/>
        <v>10</v>
      </c>
      <c r="BI12" s="367">
        <f t="shared" ca="1" si="3"/>
        <v>11</v>
      </c>
      <c r="BJ12" s="367">
        <f t="shared" ca="1" si="3"/>
        <v>12</v>
      </c>
      <c r="BK12" s="367">
        <f t="shared" ca="1" si="3"/>
        <v>13</v>
      </c>
      <c r="BL12" s="367">
        <f t="shared" ca="1" si="3"/>
        <v>14</v>
      </c>
      <c r="BM12" s="367">
        <f t="shared" ca="1" si="3"/>
        <v>15</v>
      </c>
      <c r="BN12" s="367">
        <f t="shared" ca="1" si="3"/>
        <v>16</v>
      </c>
      <c r="BO12" s="367">
        <f t="shared" ca="1" si="3"/>
        <v>17</v>
      </c>
      <c r="BP12" s="367">
        <f t="shared" ca="1" si="4"/>
        <v>18</v>
      </c>
      <c r="BQ12" s="367">
        <f t="shared" ca="1" si="4"/>
        <v>19</v>
      </c>
      <c r="BR12" s="367">
        <f t="shared" ca="1" si="4"/>
        <v>20</v>
      </c>
      <c r="BS12" s="367">
        <f t="shared" ca="1" si="4"/>
        <v>21</v>
      </c>
      <c r="BT12" s="367">
        <f t="shared" ca="1" si="4"/>
        <v>22</v>
      </c>
      <c r="BU12" s="367">
        <f t="shared" ca="1" si="4"/>
        <v>23</v>
      </c>
      <c r="BV12" s="367">
        <f t="shared" ca="1" si="4"/>
        <v>24</v>
      </c>
      <c r="BW12" s="367">
        <f t="shared" ca="1" si="4"/>
        <v>25</v>
      </c>
      <c r="BX12" s="367">
        <f t="shared" ca="1" si="4"/>
        <v>26</v>
      </c>
      <c r="BY12" s="367">
        <f t="shared" ca="1" si="4"/>
        <v>27</v>
      </c>
      <c r="BZ12" s="367">
        <f t="shared" ca="1" si="4"/>
        <v>28</v>
      </c>
      <c r="CA12" s="367">
        <f t="shared" ca="1" si="4"/>
        <v>29</v>
      </c>
      <c r="CB12" s="367">
        <f t="shared" ca="1" si="4"/>
        <v>30</v>
      </c>
      <c r="CC12" s="367">
        <f t="shared" ca="1" si="4"/>
        <v>31</v>
      </c>
      <c r="CD12" s="367">
        <f t="shared" ca="1" si="4"/>
        <v>32</v>
      </c>
      <c r="CE12" s="367">
        <f t="shared" ca="1" si="4"/>
        <v>33</v>
      </c>
      <c r="CF12" s="367">
        <f t="shared" ca="1" si="5"/>
        <v>34</v>
      </c>
      <c r="CG12" s="367">
        <f t="shared" ca="1" si="5"/>
        <v>35</v>
      </c>
      <c r="CH12" s="367">
        <f t="shared" ca="1" si="5"/>
        <v>41</v>
      </c>
      <c r="CI12" s="367">
        <f t="shared" ca="1" si="5"/>
        <v>41</v>
      </c>
      <c r="CJ12" s="367">
        <f t="shared" ca="1" si="5"/>
        <v>41</v>
      </c>
      <c r="CK12" s="367">
        <f t="shared" ca="1" si="5"/>
        <v>41</v>
      </c>
      <c r="CL12" s="109">
        <v>41</v>
      </c>
      <c r="CM12" s="295">
        <v>41</v>
      </c>
      <c r="CN12" s="14"/>
      <c r="CO12"/>
      <c r="CP12"/>
      <c r="CQ12"/>
      <c r="CR12"/>
      <c r="CS12"/>
      <c r="CT12"/>
      <c r="CU12"/>
      <c r="CV12"/>
      <c r="CW12"/>
      <c r="CX12"/>
      <c r="CY12" s="458"/>
      <c r="DB12" s="459"/>
      <c r="DG12" s="458"/>
      <c r="DJ12" s="459"/>
    </row>
    <row r="13" spans="1:114" s="127" customFormat="1" ht="15" thickBot="1">
      <c r="A13" s="367"/>
      <c r="B13" s="367"/>
      <c r="C13" s="367"/>
      <c r="D13" s="367"/>
      <c r="E13" s="367">
        <f t="shared" si="6"/>
        <v>2</v>
      </c>
      <c r="F13" s="367" t="str">
        <f t="shared" si="6"/>
        <v xml:space="preserve">   1.1.3) 5G readiness</v>
      </c>
      <c r="G13" s="367">
        <v>1</v>
      </c>
      <c r="H13" s="367">
        <v>1</v>
      </c>
      <c r="I13" s="367">
        <v>1</v>
      </c>
      <c r="J13" s="367">
        <v>1</v>
      </c>
      <c r="K13" s="36">
        <v>1</v>
      </c>
      <c r="L13" s="36">
        <v>1</v>
      </c>
      <c r="M13" s="36">
        <v>1</v>
      </c>
      <c r="N13" s="36">
        <v>1</v>
      </c>
      <c r="O13" s="36">
        <v>1</v>
      </c>
      <c r="P13" s="36">
        <v>1</v>
      </c>
      <c r="Q13" s="36">
        <v>1</v>
      </c>
      <c r="R13" s="36">
        <v>1</v>
      </c>
      <c r="S13" s="36">
        <v>1</v>
      </c>
      <c r="T13" s="36">
        <v>1</v>
      </c>
      <c r="U13" s="36">
        <v>1</v>
      </c>
      <c r="V13" s="36">
        <v>1</v>
      </c>
      <c r="W13" s="36">
        <v>1</v>
      </c>
      <c r="X13" s="36">
        <v>1</v>
      </c>
      <c r="Y13" s="36">
        <v>1</v>
      </c>
      <c r="Z13" s="36">
        <v>1</v>
      </c>
      <c r="AA13" s="36">
        <v>1</v>
      </c>
      <c r="AB13" s="36">
        <v>1</v>
      </c>
      <c r="AC13" s="36">
        <v>1</v>
      </c>
      <c r="AD13" s="36">
        <v>1</v>
      </c>
      <c r="AE13" s="36">
        <v>1</v>
      </c>
      <c r="AF13" s="36">
        <v>1</v>
      </c>
      <c r="AG13" s="36">
        <v>1</v>
      </c>
      <c r="AH13" s="36">
        <v>1</v>
      </c>
      <c r="AI13" s="36">
        <v>1</v>
      </c>
      <c r="AJ13" s="36">
        <v>1</v>
      </c>
      <c r="AK13" s="36">
        <v>1</v>
      </c>
      <c r="AL13" s="36">
        <v>1</v>
      </c>
      <c r="AM13" s="36">
        <v>1</v>
      </c>
      <c r="AN13" s="36">
        <v>1</v>
      </c>
      <c r="AO13" s="36">
        <v>1</v>
      </c>
      <c r="AP13" s="36">
        <v>1</v>
      </c>
      <c r="AQ13" s="36">
        <v>1</v>
      </c>
      <c r="AR13" s="36">
        <v>1</v>
      </c>
      <c r="AS13" s="36">
        <v>1</v>
      </c>
      <c r="AT13" s="36">
        <v>1</v>
      </c>
      <c r="AU13" s="36">
        <v>1</v>
      </c>
      <c r="AV13" s="367"/>
      <c r="AW13" s="127" t="str">
        <f t="shared" ca="1" si="7"/>
        <v/>
      </c>
      <c r="AX13" s="14"/>
      <c r="AY13" s="291">
        <f t="shared" ca="1" si="8"/>
        <v>41</v>
      </c>
      <c r="AZ13" s="367">
        <f t="shared" ca="1" si="3"/>
        <v>41</v>
      </c>
      <c r="BA13" s="367">
        <f t="shared" ca="1" si="3"/>
        <v>41</v>
      </c>
      <c r="BB13" s="367">
        <f t="shared" ca="1" si="3"/>
        <v>41</v>
      </c>
      <c r="BC13" s="367">
        <f t="shared" ca="1" si="3"/>
        <v>41</v>
      </c>
      <c r="BD13" s="367">
        <f t="shared" ca="1" si="3"/>
        <v>41</v>
      </c>
      <c r="BE13" s="367">
        <f t="shared" ca="1" si="3"/>
        <v>41</v>
      </c>
      <c r="BF13" s="367">
        <f t="shared" ca="1" si="3"/>
        <v>41</v>
      </c>
      <c r="BG13" s="367">
        <f t="shared" ca="1" si="3"/>
        <v>41</v>
      </c>
      <c r="BH13" s="367">
        <f t="shared" ca="1" si="3"/>
        <v>41</v>
      </c>
      <c r="BI13" s="367">
        <f t="shared" ca="1" si="3"/>
        <v>41</v>
      </c>
      <c r="BJ13" s="367">
        <f t="shared" ca="1" si="3"/>
        <v>41</v>
      </c>
      <c r="BK13" s="367">
        <f t="shared" ca="1" si="3"/>
        <v>41</v>
      </c>
      <c r="BL13" s="367">
        <f t="shared" ca="1" si="3"/>
        <v>41</v>
      </c>
      <c r="BM13" s="367">
        <f t="shared" ca="1" si="3"/>
        <v>41</v>
      </c>
      <c r="BN13" s="367">
        <f t="shared" ca="1" si="3"/>
        <v>41</v>
      </c>
      <c r="BO13" s="367">
        <f t="shared" ca="1" si="3"/>
        <v>41</v>
      </c>
      <c r="BP13" s="367">
        <f t="shared" ca="1" si="4"/>
        <v>41</v>
      </c>
      <c r="BQ13" s="367">
        <f t="shared" ca="1" si="4"/>
        <v>41</v>
      </c>
      <c r="BR13" s="367">
        <f t="shared" ca="1" si="4"/>
        <v>41</v>
      </c>
      <c r="BS13" s="367">
        <f t="shared" ca="1" si="4"/>
        <v>41</v>
      </c>
      <c r="BT13" s="367">
        <f t="shared" ca="1" si="4"/>
        <v>41</v>
      </c>
      <c r="BU13" s="367">
        <f t="shared" ca="1" si="4"/>
        <v>41</v>
      </c>
      <c r="BV13" s="367">
        <f t="shared" ca="1" si="4"/>
        <v>41</v>
      </c>
      <c r="BW13" s="367">
        <f t="shared" ca="1" si="4"/>
        <v>41</v>
      </c>
      <c r="BX13" s="367">
        <f t="shared" ca="1" si="4"/>
        <v>41</v>
      </c>
      <c r="BY13" s="367">
        <f t="shared" ca="1" si="4"/>
        <v>41</v>
      </c>
      <c r="BZ13" s="367">
        <f t="shared" ca="1" si="4"/>
        <v>41</v>
      </c>
      <c r="CA13" s="367">
        <f t="shared" ca="1" si="4"/>
        <v>41</v>
      </c>
      <c r="CB13" s="367">
        <f t="shared" ca="1" si="4"/>
        <v>41</v>
      </c>
      <c r="CC13" s="367">
        <f t="shared" ca="1" si="4"/>
        <v>41</v>
      </c>
      <c r="CD13" s="367">
        <f t="shared" ca="1" si="4"/>
        <v>41</v>
      </c>
      <c r="CE13" s="367">
        <f t="shared" ca="1" si="4"/>
        <v>41</v>
      </c>
      <c r="CF13" s="367">
        <f t="shared" ca="1" si="5"/>
        <v>41</v>
      </c>
      <c r="CG13" s="367">
        <f t="shared" ca="1" si="5"/>
        <v>41</v>
      </c>
      <c r="CH13" s="367">
        <f t="shared" ca="1" si="5"/>
        <v>41</v>
      </c>
      <c r="CI13" s="367">
        <f t="shared" ca="1" si="5"/>
        <v>41</v>
      </c>
      <c r="CJ13" s="367">
        <f t="shared" ca="1" si="5"/>
        <v>41</v>
      </c>
      <c r="CK13" s="367">
        <f t="shared" ca="1" si="5"/>
        <v>41</v>
      </c>
      <c r="CL13" s="109">
        <v>41</v>
      </c>
      <c r="CM13" s="295">
        <v>41</v>
      </c>
      <c r="CN13" s="14"/>
      <c r="CO13"/>
      <c r="CP13"/>
      <c r="CQ13"/>
      <c r="CR13"/>
      <c r="CS13"/>
      <c r="CT13"/>
      <c r="CU13"/>
      <c r="CV13"/>
      <c r="CW13"/>
      <c r="CX13"/>
      <c r="CY13" s="458"/>
      <c r="DB13" s="459"/>
      <c r="DG13" s="458"/>
      <c r="DJ13" s="459"/>
    </row>
    <row r="14" spans="1:114" s="127" customFormat="1" ht="19.5" customHeight="1" thickBot="1">
      <c r="A14" s="367"/>
      <c r="B14" s="367"/>
      <c r="C14" s="367"/>
      <c r="D14" s="367"/>
      <c r="E14" s="367">
        <f t="shared" si="6"/>
        <v>1</v>
      </c>
      <c r="F14" s="367" t="str">
        <f t="shared" si="6"/>
        <v>OVERALL SCORE</v>
      </c>
      <c r="G14" s="367">
        <v>1</v>
      </c>
      <c r="H14" s="367">
        <v>1</v>
      </c>
      <c r="I14" s="367">
        <v>1</v>
      </c>
      <c r="J14" s="367">
        <v>1</v>
      </c>
      <c r="K14" s="36">
        <v>1</v>
      </c>
      <c r="L14" s="36">
        <v>1</v>
      </c>
      <c r="M14" s="36">
        <v>1</v>
      </c>
      <c r="N14" s="36">
        <v>1</v>
      </c>
      <c r="O14" s="36">
        <v>1</v>
      </c>
      <c r="P14" s="36">
        <v>1</v>
      </c>
      <c r="Q14" s="36">
        <v>1</v>
      </c>
      <c r="R14" s="36">
        <v>1</v>
      </c>
      <c r="S14" s="36">
        <v>1</v>
      </c>
      <c r="T14" s="36">
        <v>1</v>
      </c>
      <c r="U14" s="36">
        <v>1</v>
      </c>
      <c r="V14" s="36">
        <v>1</v>
      </c>
      <c r="W14" s="36">
        <v>1</v>
      </c>
      <c r="X14" s="36">
        <v>1</v>
      </c>
      <c r="Y14" s="36">
        <v>1</v>
      </c>
      <c r="Z14" s="36">
        <v>1</v>
      </c>
      <c r="AA14" s="36">
        <v>1</v>
      </c>
      <c r="AB14" s="36">
        <v>1</v>
      </c>
      <c r="AC14" s="36">
        <v>1</v>
      </c>
      <c r="AD14" s="36">
        <v>1</v>
      </c>
      <c r="AE14" s="36">
        <v>1</v>
      </c>
      <c r="AF14" s="36">
        <v>1</v>
      </c>
      <c r="AG14" s="36">
        <v>1</v>
      </c>
      <c r="AH14" s="36">
        <v>1</v>
      </c>
      <c r="AI14" s="36">
        <v>1</v>
      </c>
      <c r="AJ14" s="36">
        <v>1</v>
      </c>
      <c r="AK14" s="36">
        <v>1</v>
      </c>
      <c r="AL14" s="36">
        <v>1</v>
      </c>
      <c r="AM14" s="36">
        <v>1</v>
      </c>
      <c r="AN14" s="36">
        <v>1</v>
      </c>
      <c r="AO14" s="36">
        <v>1</v>
      </c>
      <c r="AP14" s="36">
        <v>1</v>
      </c>
      <c r="AQ14" s="36">
        <v>1</v>
      </c>
      <c r="AR14" s="36">
        <v>1</v>
      </c>
      <c r="AS14" s="36">
        <v>1</v>
      </c>
      <c r="AT14" s="36">
        <v>1</v>
      </c>
      <c r="AU14" s="36">
        <v>1</v>
      </c>
      <c r="AV14" s="367"/>
      <c r="AW14" s="127" t="str">
        <f t="shared" ca="1" si="7"/>
        <v/>
      </c>
      <c r="AX14" s="14"/>
      <c r="AY14" s="291">
        <f t="shared" ca="1" si="8"/>
        <v>41</v>
      </c>
      <c r="AZ14" s="367">
        <f t="shared" ca="1" si="3"/>
        <v>41</v>
      </c>
      <c r="BA14" s="367">
        <f t="shared" ca="1" si="3"/>
        <v>41</v>
      </c>
      <c r="BB14" s="367">
        <f t="shared" ca="1" si="3"/>
        <v>41</v>
      </c>
      <c r="BC14" s="367">
        <f t="shared" ca="1" si="3"/>
        <v>41</v>
      </c>
      <c r="BD14" s="367">
        <f t="shared" ca="1" si="3"/>
        <v>41</v>
      </c>
      <c r="BE14" s="367">
        <f t="shared" ca="1" si="3"/>
        <v>41</v>
      </c>
      <c r="BF14" s="367">
        <f t="shared" ca="1" si="3"/>
        <v>41</v>
      </c>
      <c r="BG14" s="367">
        <f t="shared" ca="1" si="3"/>
        <v>41</v>
      </c>
      <c r="BH14" s="367">
        <f t="shared" ca="1" si="3"/>
        <v>41</v>
      </c>
      <c r="BI14" s="367">
        <f t="shared" ca="1" si="3"/>
        <v>41</v>
      </c>
      <c r="BJ14" s="367">
        <f t="shared" ca="1" si="3"/>
        <v>41</v>
      </c>
      <c r="BK14" s="367">
        <f t="shared" ca="1" si="3"/>
        <v>41</v>
      </c>
      <c r="BL14" s="367">
        <f t="shared" ca="1" si="3"/>
        <v>41</v>
      </c>
      <c r="BM14" s="367">
        <f t="shared" ca="1" si="3"/>
        <v>41</v>
      </c>
      <c r="BN14" s="367">
        <f t="shared" ca="1" si="3"/>
        <v>41</v>
      </c>
      <c r="BO14" s="367">
        <f t="shared" ca="1" si="3"/>
        <v>41</v>
      </c>
      <c r="BP14" s="367">
        <f t="shared" ca="1" si="4"/>
        <v>41</v>
      </c>
      <c r="BQ14" s="367">
        <f t="shared" ca="1" si="4"/>
        <v>41</v>
      </c>
      <c r="BR14" s="367">
        <f t="shared" ca="1" si="4"/>
        <v>41</v>
      </c>
      <c r="BS14" s="367">
        <f t="shared" ca="1" si="4"/>
        <v>41</v>
      </c>
      <c r="BT14" s="367">
        <f t="shared" ca="1" si="4"/>
        <v>41</v>
      </c>
      <c r="BU14" s="367">
        <f t="shared" ca="1" si="4"/>
        <v>41</v>
      </c>
      <c r="BV14" s="367">
        <f t="shared" ca="1" si="4"/>
        <v>41</v>
      </c>
      <c r="BW14" s="367">
        <f t="shared" ca="1" si="4"/>
        <v>41</v>
      </c>
      <c r="BX14" s="367">
        <f t="shared" ca="1" si="4"/>
        <v>41</v>
      </c>
      <c r="BY14" s="367">
        <f t="shared" ca="1" si="4"/>
        <v>41</v>
      </c>
      <c r="BZ14" s="367">
        <f t="shared" ca="1" si="4"/>
        <v>41</v>
      </c>
      <c r="CA14" s="367">
        <f t="shared" ca="1" si="4"/>
        <v>41</v>
      </c>
      <c r="CB14" s="367">
        <f t="shared" ca="1" si="4"/>
        <v>41</v>
      </c>
      <c r="CC14" s="367">
        <f t="shared" ca="1" si="4"/>
        <v>41</v>
      </c>
      <c r="CD14" s="367">
        <f t="shared" ca="1" si="4"/>
        <v>41</v>
      </c>
      <c r="CE14" s="367">
        <f t="shared" ca="1" si="4"/>
        <v>41</v>
      </c>
      <c r="CF14" s="367">
        <f t="shared" ca="1" si="5"/>
        <v>41</v>
      </c>
      <c r="CG14" s="367">
        <f t="shared" ca="1" si="5"/>
        <v>41</v>
      </c>
      <c r="CH14" s="367">
        <f t="shared" ca="1" si="5"/>
        <v>41</v>
      </c>
      <c r="CI14" s="367">
        <f t="shared" ca="1" si="5"/>
        <v>41</v>
      </c>
      <c r="CJ14" s="367">
        <f t="shared" ca="1" si="5"/>
        <v>41</v>
      </c>
      <c r="CK14" s="367">
        <f t="shared" ca="1" si="5"/>
        <v>41</v>
      </c>
      <c r="CL14" s="109">
        <v>41</v>
      </c>
      <c r="CM14" s="295">
        <v>41</v>
      </c>
      <c r="CN14" s="14"/>
      <c r="CO14"/>
      <c r="CP14"/>
      <c r="CQ14"/>
      <c r="CR14"/>
      <c r="CS14"/>
      <c r="CT14"/>
      <c r="CU14"/>
      <c r="CV14"/>
      <c r="CW14"/>
      <c r="CX14"/>
      <c r="CY14" s="458"/>
      <c r="DB14" s="459"/>
      <c r="DG14" s="458"/>
      <c r="DJ14" s="459"/>
    </row>
    <row r="15" spans="1:114" s="127" customFormat="1" ht="19.5" customHeight="1" thickBot="1">
      <c r="A15" s="367"/>
      <c r="B15" s="367"/>
      <c r="C15" s="367"/>
      <c r="D15" s="367"/>
      <c r="E15" s="367">
        <f t="shared" si="6"/>
        <v>1</v>
      </c>
      <c r="F15" s="367" t="str">
        <f t="shared" si="6"/>
        <v xml:space="preserve"> 1) CONNECTIVITY</v>
      </c>
      <c r="G15" s="367">
        <v>1</v>
      </c>
      <c r="H15" s="367">
        <v>1</v>
      </c>
      <c r="I15" s="367">
        <v>1</v>
      </c>
      <c r="J15" s="367">
        <v>1</v>
      </c>
      <c r="K15" s="36">
        <v>1</v>
      </c>
      <c r="L15" s="36">
        <v>1</v>
      </c>
      <c r="M15" s="36">
        <v>1</v>
      </c>
      <c r="N15" s="36">
        <v>1</v>
      </c>
      <c r="O15" s="36">
        <v>1</v>
      </c>
      <c r="P15" s="36">
        <v>1</v>
      </c>
      <c r="Q15" s="36">
        <v>1</v>
      </c>
      <c r="R15" s="36">
        <v>1</v>
      </c>
      <c r="S15" s="36">
        <v>1</v>
      </c>
      <c r="T15" s="36">
        <v>1</v>
      </c>
      <c r="U15" s="36">
        <v>1</v>
      </c>
      <c r="V15" s="36">
        <v>1</v>
      </c>
      <c r="W15" s="36">
        <v>1</v>
      </c>
      <c r="X15" s="36">
        <v>1</v>
      </c>
      <c r="Y15" s="36">
        <v>1</v>
      </c>
      <c r="Z15" s="36">
        <v>1</v>
      </c>
      <c r="AA15" s="36">
        <v>1</v>
      </c>
      <c r="AB15" s="36">
        <v>1</v>
      </c>
      <c r="AC15" s="36">
        <v>1</v>
      </c>
      <c r="AD15" s="36">
        <v>1</v>
      </c>
      <c r="AE15" s="36">
        <v>1</v>
      </c>
      <c r="AF15" s="36">
        <v>1</v>
      </c>
      <c r="AG15" s="36">
        <v>1</v>
      </c>
      <c r="AH15" s="36">
        <v>1</v>
      </c>
      <c r="AI15" s="36">
        <v>1</v>
      </c>
      <c r="AJ15" s="36">
        <v>1</v>
      </c>
      <c r="AK15" s="36">
        <v>1</v>
      </c>
      <c r="AL15" s="36">
        <v>1</v>
      </c>
      <c r="AM15" s="36">
        <v>1</v>
      </c>
      <c r="AN15" s="36">
        <v>1</v>
      </c>
      <c r="AO15" s="36">
        <v>1</v>
      </c>
      <c r="AP15" s="36">
        <v>1</v>
      </c>
      <c r="AQ15" s="36">
        <v>1</v>
      </c>
      <c r="AR15" s="36">
        <v>1</v>
      </c>
      <c r="AS15" s="36">
        <v>1</v>
      </c>
      <c r="AT15" s="36">
        <v>1</v>
      </c>
      <c r="AU15" s="36">
        <v>1</v>
      </c>
      <c r="AV15" s="367"/>
      <c r="AW15" s="127" t="str">
        <f t="shared" ca="1" si="7"/>
        <v/>
      </c>
      <c r="AX15" s="14"/>
      <c r="AY15" s="291">
        <f t="shared" ca="1" si="8"/>
        <v>41</v>
      </c>
      <c r="AZ15" s="367">
        <f t="shared" ca="1" si="3"/>
        <v>41</v>
      </c>
      <c r="BA15" s="367">
        <f t="shared" ca="1" si="3"/>
        <v>41</v>
      </c>
      <c r="BB15" s="367">
        <f t="shared" ca="1" si="3"/>
        <v>41</v>
      </c>
      <c r="BC15" s="367">
        <f t="shared" ca="1" si="3"/>
        <v>41</v>
      </c>
      <c r="BD15" s="367">
        <f t="shared" ca="1" si="3"/>
        <v>41</v>
      </c>
      <c r="BE15" s="367">
        <f t="shared" ca="1" si="3"/>
        <v>41</v>
      </c>
      <c r="BF15" s="367">
        <f t="shared" ca="1" si="3"/>
        <v>41</v>
      </c>
      <c r="BG15" s="367">
        <f t="shared" ca="1" si="3"/>
        <v>41</v>
      </c>
      <c r="BH15" s="367">
        <f t="shared" ca="1" si="3"/>
        <v>41</v>
      </c>
      <c r="BI15" s="367">
        <f t="shared" ca="1" si="3"/>
        <v>41</v>
      </c>
      <c r="BJ15" s="367">
        <f t="shared" ca="1" si="3"/>
        <v>41</v>
      </c>
      <c r="BK15" s="367">
        <f t="shared" ca="1" si="3"/>
        <v>41</v>
      </c>
      <c r="BL15" s="367">
        <f t="shared" ca="1" si="3"/>
        <v>41</v>
      </c>
      <c r="BM15" s="367">
        <f t="shared" ca="1" si="3"/>
        <v>41</v>
      </c>
      <c r="BN15" s="367">
        <f t="shared" ca="1" si="3"/>
        <v>41</v>
      </c>
      <c r="BO15" s="367">
        <f t="shared" ca="1" si="3"/>
        <v>41</v>
      </c>
      <c r="BP15" s="367">
        <f t="shared" ca="1" si="4"/>
        <v>41</v>
      </c>
      <c r="BQ15" s="367">
        <f t="shared" ca="1" si="4"/>
        <v>41</v>
      </c>
      <c r="BR15" s="367">
        <f t="shared" ca="1" si="4"/>
        <v>41</v>
      </c>
      <c r="BS15" s="367">
        <f t="shared" ca="1" si="4"/>
        <v>41</v>
      </c>
      <c r="BT15" s="367">
        <f t="shared" ca="1" si="4"/>
        <v>41</v>
      </c>
      <c r="BU15" s="367">
        <f t="shared" ca="1" si="4"/>
        <v>41</v>
      </c>
      <c r="BV15" s="367">
        <f t="shared" ca="1" si="4"/>
        <v>41</v>
      </c>
      <c r="BW15" s="367">
        <f t="shared" ca="1" si="4"/>
        <v>41</v>
      </c>
      <c r="BX15" s="367">
        <f t="shared" ca="1" si="4"/>
        <v>41</v>
      </c>
      <c r="BY15" s="367">
        <f t="shared" ca="1" si="4"/>
        <v>41</v>
      </c>
      <c r="BZ15" s="367">
        <f t="shared" ca="1" si="4"/>
        <v>41</v>
      </c>
      <c r="CA15" s="367">
        <f t="shared" ca="1" si="4"/>
        <v>41</v>
      </c>
      <c r="CB15" s="367">
        <f t="shared" ca="1" si="4"/>
        <v>41</v>
      </c>
      <c r="CC15" s="367">
        <f t="shared" ca="1" si="4"/>
        <v>41</v>
      </c>
      <c r="CD15" s="367">
        <f t="shared" ca="1" si="4"/>
        <v>41</v>
      </c>
      <c r="CE15" s="367">
        <f t="shared" ca="1" si="4"/>
        <v>41</v>
      </c>
      <c r="CF15" s="367">
        <f t="shared" ca="1" si="5"/>
        <v>41</v>
      </c>
      <c r="CG15" s="367">
        <f t="shared" ca="1" si="5"/>
        <v>41</v>
      </c>
      <c r="CH15" s="367">
        <f t="shared" ca="1" si="5"/>
        <v>41</v>
      </c>
      <c r="CI15" s="367">
        <f t="shared" ca="1" si="5"/>
        <v>41</v>
      </c>
      <c r="CJ15" s="367">
        <f t="shared" ca="1" si="5"/>
        <v>41</v>
      </c>
      <c r="CK15" s="367">
        <f t="shared" ca="1" si="5"/>
        <v>41</v>
      </c>
      <c r="CL15" s="109">
        <v>41</v>
      </c>
      <c r="CM15" s="295">
        <v>41</v>
      </c>
      <c r="CN15" s="14"/>
      <c r="CO15"/>
      <c r="CP15"/>
      <c r="CQ15"/>
      <c r="CR15"/>
      <c r="CS15"/>
      <c r="CT15"/>
      <c r="CU15"/>
      <c r="CV15"/>
      <c r="CW15"/>
      <c r="CX15"/>
      <c r="CY15" s="458"/>
      <c r="DB15" s="459"/>
      <c r="DG15" s="458"/>
      <c r="DJ15" s="459"/>
    </row>
    <row r="16" spans="1:114" s="127" customFormat="1" ht="19.5" customHeight="1" thickBot="1">
      <c r="A16" s="367"/>
      <c r="B16" s="367"/>
      <c r="C16" s="367"/>
      <c r="D16" s="367"/>
      <c r="E16" s="367">
        <f t="shared" si="6"/>
        <v>1</v>
      </c>
      <c r="F16" s="367" t="str">
        <f t="shared" si="6"/>
        <v xml:space="preserve">  1.1) Digital infrastructure</v>
      </c>
      <c r="G16" s="367">
        <v>1</v>
      </c>
      <c r="H16" s="367">
        <v>1</v>
      </c>
      <c r="I16" s="367">
        <v>1</v>
      </c>
      <c r="J16" s="367">
        <v>1</v>
      </c>
      <c r="K16" s="36">
        <v>1</v>
      </c>
      <c r="L16" s="36">
        <v>1</v>
      </c>
      <c r="M16" s="36">
        <v>1</v>
      </c>
      <c r="N16" s="36">
        <v>1</v>
      </c>
      <c r="O16" s="36">
        <v>1</v>
      </c>
      <c r="P16" s="36">
        <v>1</v>
      </c>
      <c r="Q16" s="36">
        <v>1</v>
      </c>
      <c r="R16" s="36">
        <v>1</v>
      </c>
      <c r="S16" s="36">
        <v>1</v>
      </c>
      <c r="T16" s="36">
        <v>1</v>
      </c>
      <c r="U16" s="36">
        <v>1</v>
      </c>
      <c r="V16" s="36">
        <v>1</v>
      </c>
      <c r="W16" s="36">
        <v>1</v>
      </c>
      <c r="X16" s="36">
        <v>1</v>
      </c>
      <c r="Y16" s="36">
        <v>1</v>
      </c>
      <c r="Z16" s="36">
        <v>1</v>
      </c>
      <c r="AA16" s="36">
        <v>1</v>
      </c>
      <c r="AB16" s="36">
        <v>1</v>
      </c>
      <c r="AC16" s="36">
        <v>1</v>
      </c>
      <c r="AD16" s="36">
        <v>1</v>
      </c>
      <c r="AE16" s="36">
        <v>1</v>
      </c>
      <c r="AF16" s="36">
        <v>1</v>
      </c>
      <c r="AG16" s="36">
        <v>1</v>
      </c>
      <c r="AH16" s="36">
        <v>1</v>
      </c>
      <c r="AI16" s="36">
        <v>1</v>
      </c>
      <c r="AJ16" s="36">
        <v>1</v>
      </c>
      <c r="AK16" s="36">
        <v>1</v>
      </c>
      <c r="AL16" s="36">
        <v>1</v>
      </c>
      <c r="AM16" s="36">
        <v>1</v>
      </c>
      <c r="AN16" s="36">
        <v>1</v>
      </c>
      <c r="AO16" s="36">
        <v>1</v>
      </c>
      <c r="AP16" s="36">
        <v>1</v>
      </c>
      <c r="AQ16" s="36">
        <v>1</v>
      </c>
      <c r="AR16" s="36">
        <v>1</v>
      </c>
      <c r="AS16" s="36">
        <v>1</v>
      </c>
      <c r="AT16" s="36">
        <v>1</v>
      </c>
      <c r="AU16" s="36">
        <v>1</v>
      </c>
      <c r="AV16" s="367"/>
      <c r="AW16" s="127" t="str">
        <f t="shared" ca="1" si="7"/>
        <v/>
      </c>
      <c r="AX16" s="14"/>
      <c r="AY16" s="291">
        <f t="shared" ca="1" si="8"/>
        <v>41</v>
      </c>
      <c r="AZ16" s="367">
        <f t="shared" ca="1" si="3"/>
        <v>41</v>
      </c>
      <c r="BA16" s="367">
        <f t="shared" ca="1" si="3"/>
        <v>41</v>
      </c>
      <c r="BB16" s="367">
        <f t="shared" ca="1" si="3"/>
        <v>41</v>
      </c>
      <c r="BC16" s="367">
        <f t="shared" ca="1" si="3"/>
        <v>41</v>
      </c>
      <c r="BD16" s="367">
        <f t="shared" ca="1" si="3"/>
        <v>41</v>
      </c>
      <c r="BE16" s="367">
        <f t="shared" ca="1" si="3"/>
        <v>41</v>
      </c>
      <c r="BF16" s="367">
        <f t="shared" ca="1" si="3"/>
        <v>41</v>
      </c>
      <c r="BG16" s="367">
        <f t="shared" ca="1" si="3"/>
        <v>41</v>
      </c>
      <c r="BH16" s="367">
        <f t="shared" ca="1" si="3"/>
        <v>41</v>
      </c>
      <c r="BI16" s="367">
        <f t="shared" ca="1" si="3"/>
        <v>41</v>
      </c>
      <c r="BJ16" s="367">
        <f t="shared" ca="1" si="3"/>
        <v>41</v>
      </c>
      <c r="BK16" s="367">
        <f t="shared" ca="1" si="3"/>
        <v>41</v>
      </c>
      <c r="BL16" s="367">
        <f t="shared" ca="1" si="3"/>
        <v>41</v>
      </c>
      <c r="BM16" s="367">
        <f t="shared" ca="1" si="3"/>
        <v>41</v>
      </c>
      <c r="BN16" s="367">
        <f t="shared" ca="1" si="3"/>
        <v>41</v>
      </c>
      <c r="BO16" s="367">
        <f t="shared" ca="1" si="3"/>
        <v>41</v>
      </c>
      <c r="BP16" s="367">
        <f t="shared" ca="1" si="4"/>
        <v>41</v>
      </c>
      <c r="BQ16" s="367">
        <f t="shared" ca="1" si="4"/>
        <v>41</v>
      </c>
      <c r="BR16" s="367">
        <f t="shared" ca="1" si="4"/>
        <v>41</v>
      </c>
      <c r="BS16" s="367">
        <f t="shared" ca="1" si="4"/>
        <v>41</v>
      </c>
      <c r="BT16" s="367">
        <f t="shared" ca="1" si="4"/>
        <v>41</v>
      </c>
      <c r="BU16" s="367">
        <f t="shared" ca="1" si="4"/>
        <v>41</v>
      </c>
      <c r="BV16" s="367">
        <f t="shared" ca="1" si="4"/>
        <v>41</v>
      </c>
      <c r="BW16" s="367">
        <f t="shared" ca="1" si="4"/>
        <v>41</v>
      </c>
      <c r="BX16" s="367">
        <f t="shared" ca="1" si="4"/>
        <v>41</v>
      </c>
      <c r="BY16" s="367">
        <f t="shared" ca="1" si="4"/>
        <v>41</v>
      </c>
      <c r="BZ16" s="367">
        <f t="shared" ca="1" si="4"/>
        <v>41</v>
      </c>
      <c r="CA16" s="367">
        <f t="shared" ca="1" si="4"/>
        <v>41</v>
      </c>
      <c r="CB16" s="367">
        <f t="shared" ca="1" si="4"/>
        <v>41</v>
      </c>
      <c r="CC16" s="367">
        <f t="shared" ca="1" si="4"/>
        <v>41</v>
      </c>
      <c r="CD16" s="367">
        <f t="shared" ca="1" si="4"/>
        <v>41</v>
      </c>
      <c r="CE16" s="367">
        <f t="shared" ca="1" si="4"/>
        <v>41</v>
      </c>
      <c r="CF16" s="367">
        <f t="shared" ca="1" si="5"/>
        <v>41</v>
      </c>
      <c r="CG16" s="367">
        <f t="shared" ca="1" si="5"/>
        <v>41</v>
      </c>
      <c r="CH16" s="367">
        <f t="shared" ca="1" si="5"/>
        <v>41</v>
      </c>
      <c r="CI16" s="367">
        <f t="shared" ca="1" si="5"/>
        <v>41</v>
      </c>
      <c r="CJ16" s="367">
        <f t="shared" ca="1" si="5"/>
        <v>41</v>
      </c>
      <c r="CK16" s="367">
        <f t="shared" ca="1" si="5"/>
        <v>41</v>
      </c>
      <c r="CL16" s="109">
        <v>41</v>
      </c>
      <c r="CM16" s="295">
        <v>41</v>
      </c>
      <c r="CN16" s="14"/>
      <c r="CO16"/>
      <c r="CP16"/>
      <c r="CQ16"/>
      <c r="CR16"/>
      <c r="CS16"/>
      <c r="CT16"/>
      <c r="CU16"/>
      <c r="CV16"/>
      <c r="CW16"/>
      <c r="CX16"/>
      <c r="CY16" s="458"/>
      <c r="DB16" s="459"/>
      <c r="DG16" s="458"/>
      <c r="DJ16" s="459"/>
    </row>
    <row r="17" spans="1:114" s="127" customFormat="1" ht="19.5" customHeight="1" thickBot="1">
      <c r="A17" s="367"/>
      <c r="B17" s="367"/>
      <c r="C17" s="367"/>
      <c r="D17" s="367"/>
      <c r="E17" s="367">
        <f t="shared" si="6"/>
        <v>1</v>
      </c>
      <c r="F17" s="367" t="str">
        <f t="shared" si="6"/>
        <v xml:space="preserve">   1.1.1) Mobile broadband subscriptions</v>
      </c>
      <c r="G17" s="367">
        <v>1</v>
      </c>
      <c r="H17" s="367">
        <v>1</v>
      </c>
      <c r="I17" s="367">
        <v>1</v>
      </c>
      <c r="J17" s="367">
        <v>1</v>
      </c>
      <c r="K17" s="36">
        <v>1</v>
      </c>
      <c r="L17" s="36">
        <v>1</v>
      </c>
      <c r="M17" s="36">
        <v>1</v>
      </c>
      <c r="N17" s="36">
        <v>1</v>
      </c>
      <c r="O17" s="36">
        <v>1</v>
      </c>
      <c r="P17" s="36">
        <v>1</v>
      </c>
      <c r="Q17" s="36">
        <v>1</v>
      </c>
      <c r="R17" s="36">
        <v>1</v>
      </c>
      <c r="S17" s="36">
        <v>1</v>
      </c>
      <c r="T17" s="36">
        <v>1</v>
      </c>
      <c r="U17" s="36">
        <v>1</v>
      </c>
      <c r="V17" s="36">
        <v>1</v>
      </c>
      <c r="W17" s="36">
        <v>1</v>
      </c>
      <c r="X17" s="36">
        <v>1</v>
      </c>
      <c r="Y17" s="36">
        <v>1</v>
      </c>
      <c r="Z17" s="36">
        <v>1</v>
      </c>
      <c r="AA17" s="36">
        <v>1</v>
      </c>
      <c r="AB17" s="36">
        <v>1</v>
      </c>
      <c r="AC17" s="36">
        <v>1</v>
      </c>
      <c r="AD17" s="36">
        <v>1</v>
      </c>
      <c r="AE17" s="36">
        <v>1</v>
      </c>
      <c r="AF17" s="36">
        <v>1</v>
      </c>
      <c r="AG17" s="36">
        <v>1</v>
      </c>
      <c r="AH17" s="36">
        <v>1</v>
      </c>
      <c r="AI17" s="36">
        <v>1</v>
      </c>
      <c r="AJ17" s="36">
        <v>1</v>
      </c>
      <c r="AK17" s="36">
        <v>1</v>
      </c>
      <c r="AL17" s="36">
        <v>1</v>
      </c>
      <c r="AM17" s="36">
        <v>1</v>
      </c>
      <c r="AN17" s="36">
        <v>1</v>
      </c>
      <c r="AO17" s="36">
        <v>1</v>
      </c>
      <c r="AP17" s="36">
        <v>1</v>
      </c>
      <c r="AQ17" s="36">
        <v>1</v>
      </c>
      <c r="AR17" s="36">
        <v>1</v>
      </c>
      <c r="AS17" s="36">
        <v>1</v>
      </c>
      <c r="AT17" s="36">
        <v>1</v>
      </c>
      <c r="AU17" s="36">
        <v>1</v>
      </c>
      <c r="AV17" s="367"/>
      <c r="AW17" s="127" t="str">
        <f t="shared" ca="1" si="7"/>
        <v/>
      </c>
      <c r="AX17" s="14"/>
      <c r="AY17" s="291">
        <f t="shared" ca="1" si="8"/>
        <v>41</v>
      </c>
      <c r="AZ17" s="367">
        <f t="shared" ca="1" si="3"/>
        <v>41</v>
      </c>
      <c r="BA17" s="367">
        <f t="shared" ca="1" si="3"/>
        <v>41</v>
      </c>
      <c r="BB17" s="367">
        <f t="shared" ca="1" si="3"/>
        <v>41</v>
      </c>
      <c r="BC17" s="367">
        <f t="shared" ca="1" si="3"/>
        <v>41</v>
      </c>
      <c r="BD17" s="367">
        <f t="shared" ca="1" si="3"/>
        <v>41</v>
      </c>
      <c r="BE17" s="367">
        <f t="shared" ca="1" si="3"/>
        <v>41</v>
      </c>
      <c r="BF17" s="367">
        <f t="shared" ca="1" si="3"/>
        <v>41</v>
      </c>
      <c r="BG17" s="367">
        <f t="shared" ca="1" si="3"/>
        <v>41</v>
      </c>
      <c r="BH17" s="367">
        <f t="shared" ca="1" si="3"/>
        <v>41</v>
      </c>
      <c r="BI17" s="367">
        <f t="shared" ca="1" si="3"/>
        <v>41</v>
      </c>
      <c r="BJ17" s="367">
        <f t="shared" ca="1" si="3"/>
        <v>41</v>
      </c>
      <c r="BK17" s="367">
        <f t="shared" ca="1" si="3"/>
        <v>41</v>
      </c>
      <c r="BL17" s="367">
        <f t="shared" ca="1" si="3"/>
        <v>41</v>
      </c>
      <c r="BM17" s="367">
        <f t="shared" ca="1" si="3"/>
        <v>41</v>
      </c>
      <c r="BN17" s="367">
        <f t="shared" ca="1" si="3"/>
        <v>41</v>
      </c>
      <c r="BO17" s="367">
        <f t="shared" ca="1" si="3"/>
        <v>41</v>
      </c>
      <c r="BP17" s="367">
        <f t="shared" ca="1" si="4"/>
        <v>41</v>
      </c>
      <c r="BQ17" s="367">
        <f t="shared" ca="1" si="4"/>
        <v>41</v>
      </c>
      <c r="BR17" s="367">
        <f t="shared" ca="1" si="4"/>
        <v>41</v>
      </c>
      <c r="BS17" s="367">
        <f t="shared" ca="1" si="4"/>
        <v>41</v>
      </c>
      <c r="BT17" s="367">
        <f t="shared" ca="1" si="4"/>
        <v>41</v>
      </c>
      <c r="BU17" s="367">
        <f t="shared" ca="1" si="4"/>
        <v>41</v>
      </c>
      <c r="BV17" s="367">
        <f t="shared" ca="1" si="4"/>
        <v>41</v>
      </c>
      <c r="BW17" s="367">
        <f t="shared" ca="1" si="4"/>
        <v>41</v>
      </c>
      <c r="BX17" s="367">
        <f t="shared" ca="1" si="4"/>
        <v>41</v>
      </c>
      <c r="BY17" s="367">
        <f t="shared" ca="1" si="4"/>
        <v>41</v>
      </c>
      <c r="BZ17" s="367">
        <f t="shared" ca="1" si="4"/>
        <v>41</v>
      </c>
      <c r="CA17" s="367">
        <f t="shared" ca="1" si="4"/>
        <v>41</v>
      </c>
      <c r="CB17" s="367">
        <f t="shared" ca="1" si="4"/>
        <v>41</v>
      </c>
      <c r="CC17" s="367">
        <f t="shared" ca="1" si="4"/>
        <v>41</v>
      </c>
      <c r="CD17" s="367">
        <f t="shared" ca="1" si="4"/>
        <v>41</v>
      </c>
      <c r="CE17" s="367">
        <f t="shared" ca="1" si="4"/>
        <v>41</v>
      </c>
      <c r="CF17" s="367">
        <f t="shared" ca="1" si="5"/>
        <v>41</v>
      </c>
      <c r="CG17" s="367">
        <f t="shared" ca="1" si="5"/>
        <v>41</v>
      </c>
      <c r="CH17" s="367">
        <f t="shared" ca="1" si="5"/>
        <v>41</v>
      </c>
      <c r="CI17" s="367">
        <f t="shared" ca="1" si="5"/>
        <v>41</v>
      </c>
      <c r="CJ17" s="367">
        <f t="shared" ca="1" si="5"/>
        <v>41</v>
      </c>
      <c r="CK17" s="367">
        <f t="shared" ca="1" si="5"/>
        <v>41</v>
      </c>
      <c r="CL17" s="109">
        <v>41</v>
      </c>
      <c r="CM17" s="295">
        <v>41</v>
      </c>
      <c r="CN17" s="14"/>
      <c r="CO17"/>
      <c r="CP17"/>
      <c r="CQ17"/>
      <c r="CR17"/>
      <c r="CS17"/>
      <c r="CT17"/>
      <c r="CU17"/>
      <c r="CV17"/>
      <c r="CW17"/>
      <c r="CX17"/>
      <c r="CY17" s="458"/>
      <c r="DB17" s="459"/>
      <c r="DG17" s="458"/>
      <c r="DJ17" s="459"/>
    </row>
    <row r="18" spans="1:114" ht="19.5" customHeight="1">
      <c r="E18" s="367">
        <f t="shared" si="6"/>
        <v>1</v>
      </c>
      <c r="F18" s="367" t="str">
        <f t="shared" si="6"/>
        <v xml:space="preserve">   1.1.2) Fixed broadband susbcriptions</v>
      </c>
      <c r="G18" s="367">
        <v>1</v>
      </c>
      <c r="H18" s="367">
        <v>1</v>
      </c>
      <c r="I18" s="367">
        <v>1</v>
      </c>
      <c r="J18" s="367">
        <v>1</v>
      </c>
      <c r="K18" s="36">
        <v>1</v>
      </c>
      <c r="L18" s="36">
        <v>1</v>
      </c>
      <c r="M18" s="36">
        <v>1</v>
      </c>
      <c r="N18" s="36">
        <v>1</v>
      </c>
      <c r="O18" s="36">
        <v>1</v>
      </c>
      <c r="P18" s="36">
        <v>1</v>
      </c>
      <c r="Q18" s="36">
        <v>1</v>
      </c>
      <c r="R18" s="36">
        <v>1</v>
      </c>
      <c r="S18" s="36">
        <v>1</v>
      </c>
      <c r="T18" s="36">
        <v>1</v>
      </c>
      <c r="U18" s="36">
        <v>1</v>
      </c>
      <c r="V18" s="36">
        <v>1</v>
      </c>
      <c r="W18" s="36">
        <v>1</v>
      </c>
      <c r="X18" s="36">
        <v>1</v>
      </c>
      <c r="Y18" s="36">
        <v>1</v>
      </c>
      <c r="Z18" s="36">
        <v>1</v>
      </c>
      <c r="AA18" s="36">
        <v>1</v>
      </c>
      <c r="AB18" s="36">
        <v>1</v>
      </c>
      <c r="AC18" s="36">
        <v>1</v>
      </c>
      <c r="AD18" s="36">
        <v>1</v>
      </c>
      <c r="AE18" s="36">
        <v>1</v>
      </c>
      <c r="AF18" s="36">
        <v>1</v>
      </c>
      <c r="AG18" s="36">
        <v>1</v>
      </c>
      <c r="AH18" s="36">
        <v>1</v>
      </c>
      <c r="AI18" s="36">
        <v>1</v>
      </c>
      <c r="AJ18" s="36">
        <v>1</v>
      </c>
      <c r="AK18" s="36">
        <v>1</v>
      </c>
      <c r="AL18" s="36">
        <v>1</v>
      </c>
      <c r="AM18" s="36">
        <v>1</v>
      </c>
      <c r="AN18" s="36">
        <v>1</v>
      </c>
      <c r="AO18" s="36">
        <v>1</v>
      </c>
      <c r="AP18" s="36">
        <v>1</v>
      </c>
      <c r="AQ18" s="36">
        <v>1</v>
      </c>
      <c r="AR18" s="36">
        <v>1</v>
      </c>
      <c r="AS18" s="36">
        <v>1</v>
      </c>
      <c r="AT18" s="36">
        <v>1</v>
      </c>
      <c r="AU18" s="36">
        <v>1</v>
      </c>
      <c r="AW18" s="127" t="str">
        <f t="shared" ca="1" si="7"/>
        <v/>
      </c>
      <c r="AX18" s="14"/>
      <c r="AY18" s="291">
        <f t="shared" ca="1" si="8"/>
        <v>41</v>
      </c>
      <c r="AZ18" s="367">
        <f t="shared" ca="1" si="3"/>
        <v>41</v>
      </c>
      <c r="BA18" s="367">
        <f t="shared" ca="1" si="3"/>
        <v>41</v>
      </c>
      <c r="BB18" s="367">
        <f t="shared" ca="1" si="3"/>
        <v>41</v>
      </c>
      <c r="BC18" s="367">
        <f t="shared" ca="1" si="3"/>
        <v>41</v>
      </c>
      <c r="BD18" s="367">
        <f t="shared" ca="1" si="3"/>
        <v>41</v>
      </c>
      <c r="BE18" s="367">
        <f t="shared" ca="1" si="3"/>
        <v>41</v>
      </c>
      <c r="BF18" s="367">
        <f t="shared" ca="1" si="3"/>
        <v>41</v>
      </c>
      <c r="BG18" s="367">
        <f t="shared" ca="1" si="3"/>
        <v>41</v>
      </c>
      <c r="BH18" s="367">
        <f t="shared" ca="1" si="3"/>
        <v>41</v>
      </c>
      <c r="BI18" s="367">
        <f t="shared" ca="1" si="3"/>
        <v>41</v>
      </c>
      <c r="BJ18" s="367">
        <f t="shared" ca="1" si="3"/>
        <v>41</v>
      </c>
      <c r="BK18" s="367">
        <f t="shared" ca="1" si="3"/>
        <v>41</v>
      </c>
      <c r="BL18" s="367">
        <f t="shared" ca="1" si="3"/>
        <v>41</v>
      </c>
      <c r="BM18" s="367">
        <f t="shared" ca="1" si="3"/>
        <v>41</v>
      </c>
      <c r="BN18" s="367">
        <f t="shared" ca="1" si="3"/>
        <v>41</v>
      </c>
      <c r="BO18" s="367">
        <f t="shared" ca="1" si="3"/>
        <v>41</v>
      </c>
      <c r="BP18" s="367">
        <f t="shared" ca="1" si="4"/>
        <v>41</v>
      </c>
      <c r="BQ18" s="367">
        <f t="shared" ca="1" si="4"/>
        <v>41</v>
      </c>
      <c r="BR18" s="367">
        <f t="shared" ca="1" si="4"/>
        <v>41</v>
      </c>
      <c r="BS18" s="367">
        <f t="shared" ca="1" si="4"/>
        <v>41</v>
      </c>
      <c r="BT18" s="367">
        <f t="shared" ca="1" si="4"/>
        <v>41</v>
      </c>
      <c r="BU18" s="367">
        <f t="shared" ca="1" si="4"/>
        <v>41</v>
      </c>
      <c r="BV18" s="367">
        <f t="shared" ca="1" si="4"/>
        <v>41</v>
      </c>
      <c r="BW18" s="367">
        <f t="shared" ca="1" si="4"/>
        <v>41</v>
      </c>
      <c r="BX18" s="367">
        <f t="shared" ca="1" si="4"/>
        <v>41</v>
      </c>
      <c r="BY18" s="367">
        <f t="shared" ca="1" si="4"/>
        <v>41</v>
      </c>
      <c r="BZ18" s="367">
        <f t="shared" ca="1" si="4"/>
        <v>41</v>
      </c>
      <c r="CA18" s="367">
        <f t="shared" ca="1" si="4"/>
        <v>41</v>
      </c>
      <c r="CB18" s="367">
        <f t="shared" ca="1" si="4"/>
        <v>41</v>
      </c>
      <c r="CC18" s="367">
        <f t="shared" ca="1" si="4"/>
        <v>41</v>
      </c>
      <c r="CD18" s="367">
        <f t="shared" ca="1" si="4"/>
        <v>41</v>
      </c>
      <c r="CE18" s="367">
        <f t="shared" ca="1" si="4"/>
        <v>41</v>
      </c>
      <c r="CF18" s="367">
        <f t="shared" ca="1" si="5"/>
        <v>41</v>
      </c>
      <c r="CG18" s="367">
        <f t="shared" ca="1" si="5"/>
        <v>41</v>
      </c>
      <c r="CH18" s="367">
        <f t="shared" ca="1" si="5"/>
        <v>41</v>
      </c>
      <c r="CI18" s="367">
        <f t="shared" ca="1" si="5"/>
        <v>41</v>
      </c>
      <c r="CJ18" s="367">
        <f t="shared" ca="1" si="5"/>
        <v>41</v>
      </c>
      <c r="CK18" s="367">
        <f t="shared" ca="1" si="5"/>
        <v>41</v>
      </c>
      <c r="CL18" s="109">
        <v>41</v>
      </c>
      <c r="CM18" s="295">
        <v>41</v>
      </c>
      <c r="CN18" s="14"/>
      <c r="CO18"/>
      <c r="CP18"/>
      <c r="CQ18"/>
      <c r="CR18"/>
      <c r="CS18"/>
      <c r="CT18"/>
      <c r="CU18"/>
      <c r="CV18"/>
      <c r="CW18"/>
      <c r="CX18"/>
    </row>
    <row r="19" spans="1:114" ht="19.5" customHeight="1">
      <c r="G19" s="13"/>
      <c r="H19" s="13"/>
      <c r="I19" s="14"/>
      <c r="J19" s="14"/>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X19" s="14"/>
      <c r="CN19" s="14"/>
      <c r="CU19" s="14"/>
    </row>
    <row r="20" spans="1:114" ht="16.5" customHeight="1">
      <c r="G20" s="13"/>
      <c r="H20" s="13"/>
      <c r="I20" s="14"/>
      <c r="J20" s="14"/>
      <c r="AX20" s="14"/>
      <c r="CN20" s="14"/>
      <c r="CU20" s="14"/>
    </row>
    <row r="21" spans="1:114" ht="16.5" customHeight="1">
      <c r="G21" s="13"/>
      <c r="H21" s="13"/>
      <c r="I21" s="14"/>
      <c r="J21" s="14"/>
      <c r="AX21" s="14"/>
      <c r="CN21" s="14"/>
      <c r="CU21" s="14"/>
    </row>
    <row r="22" spans="1:114" ht="16.5" customHeight="1">
      <c r="A22" s="463"/>
      <c r="B22" s="463"/>
      <c r="C22" s="463"/>
      <c r="D22" s="463"/>
      <c r="E22" s="463"/>
      <c r="F22" s="463"/>
      <c r="G22" s="464">
        <f>AY5</f>
        <v>1</v>
      </c>
      <c r="H22" s="464">
        <f t="shared" ref="H22:AU22" si="9">AZ5</f>
        <v>2</v>
      </c>
      <c r="I22" s="464">
        <f t="shared" si="9"/>
        <v>3</v>
      </c>
      <c r="J22" s="464">
        <f t="shared" si="9"/>
        <v>4</v>
      </c>
      <c r="K22" s="464">
        <f t="shared" si="9"/>
        <v>5</v>
      </c>
      <c r="L22" s="464">
        <f t="shared" si="9"/>
        <v>6</v>
      </c>
      <c r="M22" s="464">
        <f t="shared" si="9"/>
        <v>7</v>
      </c>
      <c r="N22" s="464">
        <f t="shared" si="9"/>
        <v>8</v>
      </c>
      <c r="O22" s="464">
        <f t="shared" si="9"/>
        <v>9</v>
      </c>
      <c r="P22" s="464">
        <f t="shared" si="9"/>
        <v>10</v>
      </c>
      <c r="Q22" s="464">
        <f t="shared" si="9"/>
        <v>11</v>
      </c>
      <c r="R22" s="464">
        <f t="shared" si="9"/>
        <v>12</v>
      </c>
      <c r="S22" s="464">
        <f t="shared" si="9"/>
        <v>13</v>
      </c>
      <c r="T22" s="464">
        <f t="shared" si="9"/>
        <v>14</v>
      </c>
      <c r="U22" s="464">
        <f t="shared" si="9"/>
        <v>15</v>
      </c>
      <c r="V22" s="464">
        <f t="shared" si="9"/>
        <v>16</v>
      </c>
      <c r="W22" s="464">
        <f t="shared" si="9"/>
        <v>17</v>
      </c>
      <c r="X22" s="464">
        <f t="shared" si="9"/>
        <v>18</v>
      </c>
      <c r="Y22" s="464">
        <f t="shared" si="9"/>
        <v>19</v>
      </c>
      <c r="Z22" s="464">
        <f t="shared" si="9"/>
        <v>20</v>
      </c>
      <c r="AA22" s="464">
        <f t="shared" si="9"/>
        <v>21</v>
      </c>
      <c r="AB22" s="464">
        <f t="shared" si="9"/>
        <v>22</v>
      </c>
      <c r="AC22" s="464">
        <f t="shared" si="9"/>
        <v>23</v>
      </c>
      <c r="AD22" s="464">
        <f t="shared" si="9"/>
        <v>24</v>
      </c>
      <c r="AE22" s="464">
        <f t="shared" si="9"/>
        <v>25</v>
      </c>
      <c r="AF22" s="464">
        <f t="shared" si="9"/>
        <v>26</v>
      </c>
      <c r="AG22" s="464">
        <f t="shared" si="9"/>
        <v>27</v>
      </c>
      <c r="AH22" s="464">
        <f t="shared" si="9"/>
        <v>28</v>
      </c>
      <c r="AI22" s="464">
        <f t="shared" si="9"/>
        <v>29</v>
      </c>
      <c r="AJ22" s="464">
        <f t="shared" si="9"/>
        <v>30</v>
      </c>
      <c r="AK22" s="464">
        <f t="shared" si="9"/>
        <v>31</v>
      </c>
      <c r="AL22" s="464">
        <f t="shared" si="9"/>
        <v>32</v>
      </c>
      <c r="AM22" s="464">
        <f t="shared" si="9"/>
        <v>33</v>
      </c>
      <c r="AN22" s="464">
        <f t="shared" si="9"/>
        <v>34</v>
      </c>
      <c r="AO22" s="464">
        <f t="shared" si="9"/>
        <v>35</v>
      </c>
      <c r="AP22" s="464">
        <f t="shared" si="9"/>
        <v>36</v>
      </c>
      <c r="AQ22" s="464">
        <f t="shared" si="9"/>
        <v>37</v>
      </c>
      <c r="AR22" s="464">
        <f t="shared" si="9"/>
        <v>38</v>
      </c>
      <c r="AS22" s="464">
        <f t="shared" si="9"/>
        <v>39</v>
      </c>
      <c r="AT22" s="464">
        <f t="shared" si="9"/>
        <v>40</v>
      </c>
      <c r="AU22" s="464">
        <f t="shared" si="9"/>
        <v>0</v>
      </c>
      <c r="AV22" s="463"/>
      <c r="AW22" s="463"/>
      <c r="AX22" s="465"/>
      <c r="AY22" s="463"/>
      <c r="AZ22" s="463"/>
      <c r="BA22" s="463"/>
      <c r="BB22" s="463"/>
      <c r="BC22" s="463"/>
      <c r="BD22" s="463"/>
      <c r="BE22" s="463"/>
      <c r="BF22" s="463"/>
      <c r="BG22" s="463"/>
      <c r="BH22" s="463"/>
      <c r="BI22" s="463"/>
      <c r="BJ22" s="463"/>
      <c r="BK22" s="463"/>
      <c r="BL22" s="463"/>
      <c r="BM22" s="463"/>
      <c r="BN22" s="463"/>
      <c r="BO22" s="463"/>
      <c r="BP22" s="463"/>
      <c r="BQ22" s="463"/>
      <c r="BR22" s="463"/>
      <c r="BS22" s="463"/>
      <c r="BT22" s="463"/>
      <c r="BU22" s="463"/>
      <c r="BV22" s="463"/>
      <c r="BW22" s="463"/>
      <c r="BX22" s="463"/>
      <c r="BY22" s="463"/>
      <c r="BZ22" s="463"/>
      <c r="CA22" s="463"/>
      <c r="CB22" s="463"/>
      <c r="CC22" s="463"/>
      <c r="CD22" s="463"/>
      <c r="CE22" s="463"/>
      <c r="CF22" s="463"/>
      <c r="CG22" s="463"/>
      <c r="CH22" s="463"/>
      <c r="CI22" s="463"/>
      <c r="CJ22" s="463"/>
      <c r="CK22" s="463"/>
      <c r="CL22" s="463"/>
      <c r="CM22" s="463"/>
      <c r="CN22" s="465"/>
      <c r="CO22" s="463"/>
      <c r="CP22" s="463"/>
      <c r="CQ22" s="463"/>
      <c r="CR22" s="463"/>
      <c r="CS22" s="463"/>
      <c r="CT22" s="463"/>
      <c r="CU22" s="465"/>
      <c r="CV22" s="463"/>
      <c r="CW22" s="463"/>
      <c r="CX22" s="463"/>
      <c r="CY22" s="466"/>
      <c r="CZ22" s="467"/>
      <c r="DA22" s="467"/>
      <c r="DB22" s="468"/>
      <c r="DC22" s="467"/>
      <c r="DD22" s="467"/>
      <c r="DE22" s="467"/>
    </row>
    <row r="23" spans="1:114" ht="16.5" customHeight="1">
      <c r="A23" s="367">
        <f ca="1">CL25</f>
        <v>41</v>
      </c>
      <c r="G23" s="13"/>
      <c r="H23" s="13"/>
      <c r="I23" s="14"/>
      <c r="J23" s="14"/>
      <c r="AX23" s="14"/>
      <c r="CN23" s="14"/>
      <c r="CU23" s="14"/>
    </row>
    <row r="24" spans="1:114" ht="16.5" customHeight="1">
      <c r="G24" s="13" t="str">
        <f>G7</f>
        <v>Low: 0 to 25.0</v>
      </c>
      <c r="H24" s="13" t="str">
        <f t="shared" ref="H24:AS24" si="10">H7</f>
        <v>Medium: 25.1 to 50.0</v>
      </c>
      <c r="I24" s="13" t="str">
        <f t="shared" si="10"/>
        <v>High: 50.1 to 75.0</v>
      </c>
      <c r="J24" s="13" t="str">
        <f t="shared" si="10"/>
        <v>lbl</v>
      </c>
      <c r="K24" s="13" t="str">
        <f t="shared" si="10"/>
        <v>lbl</v>
      </c>
      <c r="L24" s="13" t="str">
        <f t="shared" si="10"/>
        <v>lbl</v>
      </c>
      <c r="M24" s="13" t="str">
        <f t="shared" si="10"/>
        <v>lbl</v>
      </c>
      <c r="N24" s="13" t="str">
        <f t="shared" si="10"/>
        <v>lbl</v>
      </c>
      <c r="O24" s="13" t="str">
        <f t="shared" si="10"/>
        <v>lbl</v>
      </c>
      <c r="P24" s="13" t="str">
        <f t="shared" si="10"/>
        <v>lbl</v>
      </c>
      <c r="Q24" s="13" t="str">
        <f t="shared" si="10"/>
        <v>lbl</v>
      </c>
      <c r="R24" s="13" t="str">
        <f t="shared" si="10"/>
        <v>lbl</v>
      </c>
      <c r="S24" s="13" t="str">
        <f t="shared" si="10"/>
        <v>lbl</v>
      </c>
      <c r="T24" s="13" t="str">
        <f t="shared" si="10"/>
        <v>lbl</v>
      </c>
      <c r="U24" s="13" t="str">
        <f t="shared" si="10"/>
        <v>lbl</v>
      </c>
      <c r="V24" s="13" t="str">
        <f t="shared" si="10"/>
        <v>lbl</v>
      </c>
      <c r="W24" s="13" t="str">
        <f t="shared" si="10"/>
        <v>lbl</v>
      </c>
      <c r="X24" s="13" t="str">
        <f t="shared" si="10"/>
        <v>lbl</v>
      </c>
      <c r="Y24" s="13" t="str">
        <f t="shared" si="10"/>
        <v>lbl</v>
      </c>
      <c r="Z24" s="13" t="str">
        <f t="shared" si="10"/>
        <v>lbl</v>
      </c>
      <c r="AA24" s="13" t="str">
        <f t="shared" si="10"/>
        <v>lbl</v>
      </c>
      <c r="AB24" s="13" t="str">
        <f t="shared" si="10"/>
        <v>lbl</v>
      </c>
      <c r="AC24" s="13" t="str">
        <f t="shared" si="10"/>
        <v>lbl</v>
      </c>
      <c r="AD24" s="13" t="str">
        <f t="shared" si="10"/>
        <v>lbl</v>
      </c>
      <c r="AE24" s="13" t="str">
        <f t="shared" si="10"/>
        <v>lbl</v>
      </c>
      <c r="AF24" s="13" t="str">
        <f t="shared" si="10"/>
        <v>lbl</v>
      </c>
      <c r="AG24" s="13" t="str">
        <f t="shared" si="10"/>
        <v>lbl</v>
      </c>
      <c r="AH24" s="13" t="str">
        <f t="shared" si="10"/>
        <v>lbl</v>
      </c>
      <c r="AI24" s="13" t="str">
        <f t="shared" si="10"/>
        <v>lbl</v>
      </c>
      <c r="AJ24" s="13" t="str">
        <f t="shared" si="10"/>
        <v>lbl</v>
      </c>
      <c r="AK24" s="13" t="str">
        <f t="shared" si="10"/>
        <v>lbl</v>
      </c>
      <c r="AL24" s="13" t="str">
        <f t="shared" si="10"/>
        <v>lbl</v>
      </c>
      <c r="AM24" s="13" t="str">
        <f t="shared" si="10"/>
        <v>lbl</v>
      </c>
      <c r="AN24" s="13" t="str">
        <f t="shared" si="10"/>
        <v>lbl</v>
      </c>
      <c r="AO24" s="13" t="str">
        <f t="shared" si="10"/>
        <v>lbl</v>
      </c>
      <c r="AP24" s="13" t="str">
        <f t="shared" si="10"/>
        <v>lbl</v>
      </c>
      <c r="AQ24" s="13" t="str">
        <f t="shared" si="10"/>
        <v>lbl</v>
      </c>
      <c r="AR24" s="13" t="str">
        <f t="shared" si="10"/>
        <v>lbl</v>
      </c>
      <c r="AS24" s="13" t="str">
        <f t="shared" si="10"/>
        <v>lbl</v>
      </c>
      <c r="AT24" s="13" t="s">
        <v>452</v>
      </c>
      <c r="AU24" s="13" t="s">
        <v>452</v>
      </c>
      <c r="AX24" s="14"/>
      <c r="CN24" s="14"/>
      <c r="CU24" s="14"/>
    </row>
    <row r="25" spans="1:114" ht="16.5" customHeight="1">
      <c r="E25" s="367">
        <f ca="1">CW41</f>
        <v>1</v>
      </c>
      <c r="F25" s="367" t="str">
        <f ca="1">CX41</f>
        <v>OVERALL SCORE</v>
      </c>
      <c r="G25" s="13">
        <v>1</v>
      </c>
      <c r="H25" s="13">
        <v>1</v>
      </c>
      <c r="I25" s="13">
        <v>1</v>
      </c>
      <c r="J25" s="13">
        <v>1</v>
      </c>
      <c r="K25" s="13">
        <v>1</v>
      </c>
      <c r="L25" s="13">
        <v>1</v>
      </c>
      <c r="M25" s="13">
        <v>1</v>
      </c>
      <c r="N25" s="13">
        <v>1</v>
      </c>
      <c r="O25" s="13">
        <v>1</v>
      </c>
      <c r="P25" s="13">
        <v>1</v>
      </c>
      <c r="Q25" s="13">
        <v>1</v>
      </c>
      <c r="R25" s="13">
        <v>1</v>
      </c>
      <c r="S25" s="13">
        <v>1</v>
      </c>
      <c r="T25" s="13">
        <v>1</v>
      </c>
      <c r="U25" s="13">
        <v>1</v>
      </c>
      <c r="V25" s="13">
        <v>1</v>
      </c>
      <c r="W25" s="13">
        <v>1</v>
      </c>
      <c r="X25" s="13">
        <v>1</v>
      </c>
      <c r="Y25" s="13">
        <v>1</v>
      </c>
      <c r="Z25" s="13">
        <v>1</v>
      </c>
      <c r="AA25" s="13">
        <v>1</v>
      </c>
      <c r="AB25" s="13">
        <v>1</v>
      </c>
      <c r="AC25" s="13">
        <v>1</v>
      </c>
      <c r="AD25" s="13">
        <v>1</v>
      </c>
      <c r="AE25" s="13">
        <v>1</v>
      </c>
      <c r="AF25" s="13">
        <v>1</v>
      </c>
      <c r="AG25" s="13">
        <v>1</v>
      </c>
      <c r="AH25" s="13">
        <v>1</v>
      </c>
      <c r="AI25" s="13">
        <v>1</v>
      </c>
      <c r="AJ25" s="13">
        <v>1</v>
      </c>
      <c r="AK25" s="13">
        <v>1</v>
      </c>
      <c r="AL25" s="13">
        <v>1</v>
      </c>
      <c r="AM25" s="13">
        <v>1</v>
      </c>
      <c r="AN25" s="13">
        <v>1</v>
      </c>
      <c r="AO25" s="13">
        <v>1</v>
      </c>
      <c r="AP25" s="13">
        <v>1</v>
      </c>
      <c r="AQ25" s="13">
        <v>1</v>
      </c>
      <c r="AR25" s="13">
        <v>1</v>
      </c>
      <c r="AS25" s="13">
        <v>1</v>
      </c>
      <c r="AT25" s="13">
        <v>1</v>
      </c>
      <c r="AU25" s="13">
        <v>1</v>
      </c>
      <c r="AW25" s="127">
        <f ca="1">DA41</f>
        <v>3</v>
      </c>
      <c r="AX25" s="14"/>
      <c r="AY25" s="367">
        <f ca="1">IF($AW25="",41,IF(AND(AY$4&lt;=$AW25,AY8&lt;&gt;41),AY$4,41))</f>
        <v>1</v>
      </c>
      <c r="AZ25" s="367">
        <f t="shared" ref="AZ25:CL31" ca="1" si="11">IF($AW25="",41,IF(AND(AZ$4&lt;=$AW25,AZ8&lt;&gt;41),AZ$4,41))</f>
        <v>1</v>
      </c>
      <c r="BA25" s="367">
        <f t="shared" ca="1" si="11"/>
        <v>1</v>
      </c>
      <c r="BB25" s="367">
        <f t="shared" ca="1" si="11"/>
        <v>1</v>
      </c>
      <c r="BC25" s="367">
        <f t="shared" ca="1" si="11"/>
        <v>1</v>
      </c>
      <c r="BD25" s="367">
        <f t="shared" ca="1" si="11"/>
        <v>1</v>
      </c>
      <c r="BE25" s="367">
        <f t="shared" ca="1" si="11"/>
        <v>1</v>
      </c>
      <c r="BF25" s="367">
        <f t="shared" ca="1" si="11"/>
        <v>1</v>
      </c>
      <c r="BG25" s="367">
        <f t="shared" ca="1" si="11"/>
        <v>1</v>
      </c>
      <c r="BH25" s="367">
        <f t="shared" ca="1" si="11"/>
        <v>1</v>
      </c>
      <c r="BI25" s="367">
        <f t="shared" ca="1" si="11"/>
        <v>2</v>
      </c>
      <c r="BJ25" s="367">
        <f t="shared" ca="1" si="11"/>
        <v>2</v>
      </c>
      <c r="BK25" s="367">
        <f t="shared" ca="1" si="11"/>
        <v>2</v>
      </c>
      <c r="BL25" s="367">
        <f t="shared" ca="1" si="11"/>
        <v>2</v>
      </c>
      <c r="BM25" s="367">
        <f t="shared" ca="1" si="11"/>
        <v>2</v>
      </c>
      <c r="BN25" s="367">
        <f t="shared" ca="1" si="11"/>
        <v>2</v>
      </c>
      <c r="BO25" s="367">
        <f t="shared" ca="1" si="11"/>
        <v>2</v>
      </c>
      <c r="BP25" s="367">
        <f t="shared" ca="1" si="11"/>
        <v>2</v>
      </c>
      <c r="BQ25" s="367">
        <f t="shared" ca="1" si="11"/>
        <v>2</v>
      </c>
      <c r="BR25" s="367">
        <f t="shared" ca="1" si="11"/>
        <v>2</v>
      </c>
      <c r="BS25" s="367">
        <f t="shared" ca="1" si="11"/>
        <v>3</v>
      </c>
      <c r="BT25" s="367">
        <f t="shared" ca="1" si="11"/>
        <v>3</v>
      </c>
      <c r="BU25" s="367">
        <f t="shared" ca="1" si="11"/>
        <v>3</v>
      </c>
      <c r="BV25" s="367">
        <f t="shared" ca="1" si="11"/>
        <v>3</v>
      </c>
      <c r="BW25" s="367">
        <f t="shared" ca="1" si="11"/>
        <v>3</v>
      </c>
      <c r="BX25" s="367">
        <f t="shared" ca="1" si="11"/>
        <v>3</v>
      </c>
      <c r="BY25" s="367">
        <f t="shared" ca="1" si="11"/>
        <v>3</v>
      </c>
      <c r="BZ25" s="367">
        <f t="shared" ca="1" si="11"/>
        <v>3</v>
      </c>
      <c r="CA25" s="367">
        <f t="shared" ca="1" si="11"/>
        <v>3</v>
      </c>
      <c r="CB25" s="367">
        <f t="shared" ca="1" si="11"/>
        <v>3</v>
      </c>
      <c r="CC25" s="367">
        <f t="shared" ca="1" si="11"/>
        <v>41</v>
      </c>
      <c r="CD25" s="367">
        <f t="shared" ca="1" si="11"/>
        <v>41</v>
      </c>
      <c r="CE25" s="367">
        <f t="shared" ca="1" si="11"/>
        <v>41</v>
      </c>
      <c r="CF25" s="367">
        <f t="shared" ca="1" si="11"/>
        <v>41</v>
      </c>
      <c r="CG25" s="367">
        <f t="shared" ca="1" si="11"/>
        <v>41</v>
      </c>
      <c r="CH25" s="367">
        <f t="shared" ca="1" si="11"/>
        <v>41</v>
      </c>
      <c r="CI25" s="367">
        <f t="shared" ca="1" si="11"/>
        <v>41</v>
      </c>
      <c r="CJ25" s="367">
        <f t="shared" ca="1" si="11"/>
        <v>41</v>
      </c>
      <c r="CK25" s="367">
        <f t="shared" ca="1" si="11"/>
        <v>41</v>
      </c>
      <c r="CL25" s="367">
        <f t="shared" ca="1" si="11"/>
        <v>41</v>
      </c>
      <c r="CM25" s="367">
        <f t="shared" ref="CM25:CM35" ca="1" si="12">IF($AW25="",41,IF(AND(CM$4&lt;=$AW25,CM8&lt;&gt;41),CM$4,41))</f>
        <v>41</v>
      </c>
      <c r="CN25" s="14"/>
      <c r="CU25" s="14"/>
    </row>
    <row r="26" spans="1:114" ht="16.5" customHeight="1">
      <c r="E26" s="367">
        <f t="shared" ref="E26:F35" ca="1" si="13">CW42</f>
        <v>1</v>
      </c>
      <c r="F26" s="367" t="str">
        <f t="shared" ca="1" si="13"/>
        <v xml:space="preserve"> 1) CONNECTIVITY</v>
      </c>
      <c r="G26" s="13">
        <v>1</v>
      </c>
      <c r="H26" s="13">
        <v>1</v>
      </c>
      <c r="I26" s="13">
        <v>1</v>
      </c>
      <c r="J26" s="13">
        <v>1</v>
      </c>
      <c r="K26" s="13">
        <v>1</v>
      </c>
      <c r="L26" s="13">
        <v>1</v>
      </c>
      <c r="M26" s="13">
        <v>1</v>
      </c>
      <c r="N26" s="13">
        <v>1</v>
      </c>
      <c r="O26" s="13">
        <v>1</v>
      </c>
      <c r="P26" s="13">
        <v>1</v>
      </c>
      <c r="Q26" s="13">
        <v>1</v>
      </c>
      <c r="R26" s="13">
        <v>1</v>
      </c>
      <c r="S26" s="13">
        <v>1</v>
      </c>
      <c r="T26" s="13">
        <v>1</v>
      </c>
      <c r="U26" s="13">
        <v>1</v>
      </c>
      <c r="V26" s="13">
        <v>1</v>
      </c>
      <c r="W26" s="13">
        <v>1</v>
      </c>
      <c r="X26" s="13">
        <v>1</v>
      </c>
      <c r="Y26" s="13">
        <v>1</v>
      </c>
      <c r="Z26" s="13">
        <v>1</v>
      </c>
      <c r="AA26" s="13">
        <v>1</v>
      </c>
      <c r="AB26" s="13">
        <v>1</v>
      </c>
      <c r="AC26" s="13">
        <v>1</v>
      </c>
      <c r="AD26" s="13">
        <v>1</v>
      </c>
      <c r="AE26" s="13">
        <v>1</v>
      </c>
      <c r="AF26" s="13">
        <v>1</v>
      </c>
      <c r="AG26" s="13">
        <v>1</v>
      </c>
      <c r="AH26" s="13">
        <v>1</v>
      </c>
      <c r="AI26" s="13">
        <v>1</v>
      </c>
      <c r="AJ26" s="13">
        <v>1</v>
      </c>
      <c r="AK26" s="13">
        <v>1</v>
      </c>
      <c r="AL26" s="13">
        <v>1</v>
      </c>
      <c r="AM26" s="13">
        <v>1</v>
      </c>
      <c r="AN26" s="13">
        <v>1</v>
      </c>
      <c r="AO26" s="13">
        <v>1</v>
      </c>
      <c r="AP26" s="13">
        <v>1</v>
      </c>
      <c r="AQ26" s="13">
        <v>1</v>
      </c>
      <c r="AR26" s="13">
        <v>1</v>
      </c>
      <c r="AS26" s="13">
        <v>1</v>
      </c>
      <c r="AT26" s="13">
        <v>1</v>
      </c>
      <c r="AU26" s="13">
        <v>1</v>
      </c>
      <c r="AW26" s="127">
        <f t="shared" ref="AW26:AW35" ca="1" si="14">DA42</f>
        <v>4</v>
      </c>
      <c r="AX26" s="14"/>
      <c r="AY26" s="367">
        <f t="shared" ref="AY26:BN35" ca="1" si="15">IF($AW26="",41,IF(AND(AY$4&lt;=$AW26,AY9&lt;&gt;41),AY$4,41))</f>
        <v>1</v>
      </c>
      <c r="AZ26" s="367">
        <f t="shared" ca="1" si="15"/>
        <v>1</v>
      </c>
      <c r="BA26" s="367">
        <f t="shared" ca="1" si="15"/>
        <v>1</v>
      </c>
      <c r="BB26" s="367">
        <f t="shared" ca="1" si="15"/>
        <v>1</v>
      </c>
      <c r="BC26" s="367">
        <f t="shared" ca="1" si="15"/>
        <v>1</v>
      </c>
      <c r="BD26" s="367">
        <f t="shared" ca="1" si="15"/>
        <v>1</v>
      </c>
      <c r="BE26" s="367">
        <f t="shared" ca="1" si="15"/>
        <v>1</v>
      </c>
      <c r="BF26" s="367">
        <f t="shared" ca="1" si="15"/>
        <v>1</v>
      </c>
      <c r="BG26" s="367">
        <f t="shared" ca="1" si="15"/>
        <v>1</v>
      </c>
      <c r="BH26" s="367">
        <f t="shared" ca="1" si="15"/>
        <v>1</v>
      </c>
      <c r="BI26" s="367">
        <f t="shared" ca="1" si="15"/>
        <v>2</v>
      </c>
      <c r="BJ26" s="367">
        <f t="shared" ca="1" si="15"/>
        <v>2</v>
      </c>
      <c r="BK26" s="367">
        <f t="shared" ca="1" si="15"/>
        <v>2</v>
      </c>
      <c r="BL26" s="367">
        <f t="shared" ca="1" si="15"/>
        <v>2</v>
      </c>
      <c r="BM26" s="367">
        <f t="shared" ca="1" si="15"/>
        <v>2</v>
      </c>
      <c r="BN26" s="367">
        <f t="shared" ca="1" si="15"/>
        <v>2</v>
      </c>
      <c r="BO26" s="367">
        <f t="shared" ca="1" si="11"/>
        <v>2</v>
      </c>
      <c r="BP26" s="367">
        <f t="shared" ca="1" si="11"/>
        <v>2</v>
      </c>
      <c r="BQ26" s="367">
        <f t="shared" ca="1" si="11"/>
        <v>2</v>
      </c>
      <c r="BR26" s="367">
        <f t="shared" ca="1" si="11"/>
        <v>2</v>
      </c>
      <c r="BS26" s="367">
        <f t="shared" ca="1" si="11"/>
        <v>3</v>
      </c>
      <c r="BT26" s="367">
        <f t="shared" ca="1" si="11"/>
        <v>3</v>
      </c>
      <c r="BU26" s="367">
        <f t="shared" ca="1" si="11"/>
        <v>3</v>
      </c>
      <c r="BV26" s="367">
        <f t="shared" ca="1" si="11"/>
        <v>3</v>
      </c>
      <c r="BW26" s="367">
        <f t="shared" ca="1" si="11"/>
        <v>3</v>
      </c>
      <c r="BX26" s="367">
        <f t="shared" ca="1" si="11"/>
        <v>3</v>
      </c>
      <c r="BY26" s="367">
        <f t="shared" ca="1" si="11"/>
        <v>3</v>
      </c>
      <c r="BZ26" s="367">
        <f t="shared" ca="1" si="11"/>
        <v>3</v>
      </c>
      <c r="CA26" s="367">
        <f t="shared" ca="1" si="11"/>
        <v>3</v>
      </c>
      <c r="CB26" s="367">
        <f t="shared" ca="1" si="11"/>
        <v>3</v>
      </c>
      <c r="CC26" s="367">
        <f t="shared" ca="1" si="11"/>
        <v>4</v>
      </c>
      <c r="CD26" s="367">
        <f t="shared" ca="1" si="11"/>
        <v>41</v>
      </c>
      <c r="CE26" s="367">
        <f t="shared" ca="1" si="11"/>
        <v>41</v>
      </c>
      <c r="CF26" s="367">
        <f t="shared" ca="1" si="11"/>
        <v>41</v>
      </c>
      <c r="CG26" s="367">
        <f t="shared" ca="1" si="11"/>
        <v>41</v>
      </c>
      <c r="CH26" s="367">
        <f t="shared" ca="1" si="11"/>
        <v>41</v>
      </c>
      <c r="CI26" s="367">
        <f t="shared" ca="1" si="11"/>
        <v>41</v>
      </c>
      <c r="CJ26" s="367">
        <f t="shared" ca="1" si="11"/>
        <v>41</v>
      </c>
      <c r="CK26" s="367">
        <f t="shared" ca="1" si="11"/>
        <v>41</v>
      </c>
      <c r="CL26" s="367">
        <f t="shared" ca="1" si="11"/>
        <v>41</v>
      </c>
      <c r="CM26" s="367">
        <f t="shared" ca="1" si="12"/>
        <v>41</v>
      </c>
      <c r="CN26" s="14"/>
      <c r="CU26" s="14"/>
    </row>
    <row r="27" spans="1:114" ht="16.5" customHeight="1">
      <c r="E27" s="367">
        <f t="shared" ca="1" si="13"/>
        <v>1</v>
      </c>
      <c r="F27" s="367" t="str">
        <f t="shared" ca="1" si="13"/>
        <v xml:space="preserve"> 2) SERVICES</v>
      </c>
      <c r="G27" s="13">
        <v>1</v>
      </c>
      <c r="H27" s="13">
        <v>1</v>
      </c>
      <c r="I27" s="13">
        <v>1</v>
      </c>
      <c r="J27" s="13">
        <v>1</v>
      </c>
      <c r="K27" s="13">
        <v>1</v>
      </c>
      <c r="L27" s="13">
        <v>1</v>
      </c>
      <c r="M27" s="13">
        <v>1</v>
      </c>
      <c r="N27" s="13">
        <v>1</v>
      </c>
      <c r="O27" s="13">
        <v>1</v>
      </c>
      <c r="P27" s="13">
        <v>1</v>
      </c>
      <c r="Q27" s="13">
        <v>1</v>
      </c>
      <c r="R27" s="13">
        <v>1</v>
      </c>
      <c r="S27" s="13">
        <v>1</v>
      </c>
      <c r="T27" s="13">
        <v>1</v>
      </c>
      <c r="U27" s="13">
        <v>1</v>
      </c>
      <c r="V27" s="13">
        <v>1</v>
      </c>
      <c r="W27" s="13">
        <v>1</v>
      </c>
      <c r="X27" s="13">
        <v>1</v>
      </c>
      <c r="Y27" s="13">
        <v>1</v>
      </c>
      <c r="Z27" s="13">
        <v>1</v>
      </c>
      <c r="AA27" s="13">
        <v>1</v>
      </c>
      <c r="AB27" s="13">
        <v>1</v>
      </c>
      <c r="AC27" s="13">
        <v>1</v>
      </c>
      <c r="AD27" s="13">
        <v>1</v>
      </c>
      <c r="AE27" s="13">
        <v>1</v>
      </c>
      <c r="AF27" s="13">
        <v>1</v>
      </c>
      <c r="AG27" s="13">
        <v>1</v>
      </c>
      <c r="AH27" s="13">
        <v>1</v>
      </c>
      <c r="AI27" s="13">
        <v>1</v>
      </c>
      <c r="AJ27" s="13">
        <v>1</v>
      </c>
      <c r="AK27" s="13">
        <v>1</v>
      </c>
      <c r="AL27" s="13">
        <v>1</v>
      </c>
      <c r="AM27" s="13">
        <v>1</v>
      </c>
      <c r="AN27" s="13">
        <v>1</v>
      </c>
      <c r="AO27" s="13">
        <v>1</v>
      </c>
      <c r="AP27" s="13">
        <v>1</v>
      </c>
      <c r="AQ27" s="13">
        <v>1</v>
      </c>
      <c r="AR27" s="13">
        <v>1</v>
      </c>
      <c r="AS27" s="13">
        <v>1</v>
      </c>
      <c r="AT27" s="13">
        <v>1</v>
      </c>
      <c r="AU27" s="13">
        <v>1</v>
      </c>
      <c r="AW27" s="127">
        <f t="shared" ca="1" si="14"/>
        <v>3</v>
      </c>
      <c r="AX27" s="14"/>
      <c r="AY27" s="367">
        <f t="shared" ca="1" si="15"/>
        <v>1</v>
      </c>
      <c r="AZ27" s="367">
        <f t="shared" ca="1" si="11"/>
        <v>1</v>
      </c>
      <c r="BA27" s="367">
        <f t="shared" ca="1" si="11"/>
        <v>1</v>
      </c>
      <c r="BB27" s="367">
        <f t="shared" ca="1" si="11"/>
        <v>1</v>
      </c>
      <c r="BC27" s="367">
        <f t="shared" ca="1" si="11"/>
        <v>1</v>
      </c>
      <c r="BD27" s="367">
        <f t="shared" ca="1" si="11"/>
        <v>1</v>
      </c>
      <c r="BE27" s="367">
        <f t="shared" ca="1" si="11"/>
        <v>1</v>
      </c>
      <c r="BF27" s="367">
        <f t="shared" ca="1" si="11"/>
        <v>1</v>
      </c>
      <c r="BG27" s="367">
        <f t="shared" ca="1" si="11"/>
        <v>1</v>
      </c>
      <c r="BH27" s="367">
        <f t="shared" ca="1" si="11"/>
        <v>1</v>
      </c>
      <c r="BI27" s="367">
        <f t="shared" ca="1" si="11"/>
        <v>2</v>
      </c>
      <c r="BJ27" s="367">
        <f t="shared" ca="1" si="11"/>
        <v>2</v>
      </c>
      <c r="BK27" s="367">
        <f t="shared" ca="1" si="11"/>
        <v>2</v>
      </c>
      <c r="BL27" s="367">
        <f t="shared" ca="1" si="11"/>
        <v>2</v>
      </c>
      <c r="BM27" s="367">
        <f t="shared" ca="1" si="11"/>
        <v>2</v>
      </c>
      <c r="BN27" s="367">
        <f t="shared" ca="1" si="11"/>
        <v>2</v>
      </c>
      <c r="BO27" s="367">
        <f t="shared" ca="1" si="11"/>
        <v>2</v>
      </c>
      <c r="BP27" s="367">
        <f t="shared" ca="1" si="11"/>
        <v>2</v>
      </c>
      <c r="BQ27" s="367">
        <f t="shared" ca="1" si="11"/>
        <v>2</v>
      </c>
      <c r="BR27" s="367">
        <f t="shared" ca="1" si="11"/>
        <v>2</v>
      </c>
      <c r="BS27" s="367">
        <f t="shared" ca="1" si="11"/>
        <v>3</v>
      </c>
      <c r="BT27" s="367">
        <f t="shared" ca="1" si="11"/>
        <v>3</v>
      </c>
      <c r="BU27" s="367">
        <f t="shared" ca="1" si="11"/>
        <v>3</v>
      </c>
      <c r="BV27" s="367">
        <f t="shared" ca="1" si="11"/>
        <v>3</v>
      </c>
      <c r="BW27" s="367">
        <f t="shared" ca="1" si="11"/>
        <v>3</v>
      </c>
      <c r="BX27" s="367">
        <f t="shared" ca="1" si="11"/>
        <v>3</v>
      </c>
      <c r="BY27" s="367">
        <f t="shared" ca="1" si="11"/>
        <v>3</v>
      </c>
      <c r="BZ27" s="367">
        <f t="shared" ca="1" si="11"/>
        <v>3</v>
      </c>
      <c r="CA27" s="367">
        <f t="shared" ca="1" si="11"/>
        <v>3</v>
      </c>
      <c r="CB27" s="367">
        <f t="shared" ca="1" si="11"/>
        <v>3</v>
      </c>
      <c r="CC27" s="367">
        <f t="shared" ca="1" si="11"/>
        <v>41</v>
      </c>
      <c r="CD27" s="367">
        <f t="shared" ca="1" si="11"/>
        <v>41</v>
      </c>
      <c r="CE27" s="367">
        <f t="shared" ca="1" si="11"/>
        <v>41</v>
      </c>
      <c r="CF27" s="367">
        <f t="shared" ca="1" si="11"/>
        <v>41</v>
      </c>
      <c r="CG27" s="367">
        <f t="shared" ca="1" si="11"/>
        <v>41</v>
      </c>
      <c r="CH27" s="367">
        <f t="shared" ca="1" si="11"/>
        <v>41</v>
      </c>
      <c r="CI27" s="367">
        <f t="shared" ca="1" si="11"/>
        <v>41</v>
      </c>
      <c r="CJ27" s="367">
        <f t="shared" ca="1" si="11"/>
        <v>41</v>
      </c>
      <c r="CK27" s="367">
        <f t="shared" ca="1" si="11"/>
        <v>41</v>
      </c>
      <c r="CL27" s="367">
        <f t="shared" ca="1" si="11"/>
        <v>41</v>
      </c>
      <c r="CM27" s="367">
        <f t="shared" ca="1" si="12"/>
        <v>41</v>
      </c>
      <c r="CN27" s="14"/>
      <c r="CU27" s="14"/>
    </row>
    <row r="28" spans="1:114" ht="20.25" customHeight="1">
      <c r="E28" s="367">
        <f t="shared" ca="1" si="13"/>
        <v>1</v>
      </c>
      <c r="F28" s="367" t="str">
        <f t="shared" ca="1" si="13"/>
        <v xml:space="preserve"> 3) CULTURE</v>
      </c>
      <c r="G28" s="13">
        <v>1</v>
      </c>
      <c r="H28" s="13">
        <v>1</v>
      </c>
      <c r="I28" s="13">
        <v>1</v>
      </c>
      <c r="J28" s="13">
        <v>1</v>
      </c>
      <c r="K28" s="13">
        <v>1</v>
      </c>
      <c r="L28" s="13">
        <v>1</v>
      </c>
      <c r="M28" s="13">
        <v>1</v>
      </c>
      <c r="N28" s="13">
        <v>1</v>
      </c>
      <c r="O28" s="13">
        <v>1</v>
      </c>
      <c r="P28" s="13">
        <v>1</v>
      </c>
      <c r="Q28" s="13">
        <v>1</v>
      </c>
      <c r="R28" s="13">
        <v>1</v>
      </c>
      <c r="S28" s="13">
        <v>1</v>
      </c>
      <c r="T28" s="13">
        <v>1</v>
      </c>
      <c r="U28" s="13">
        <v>1</v>
      </c>
      <c r="V28" s="13">
        <v>1</v>
      </c>
      <c r="W28" s="13">
        <v>1</v>
      </c>
      <c r="X28" s="13">
        <v>1</v>
      </c>
      <c r="Y28" s="13">
        <v>1</v>
      </c>
      <c r="Z28" s="13">
        <v>1</v>
      </c>
      <c r="AA28" s="13">
        <v>1</v>
      </c>
      <c r="AB28" s="13">
        <v>1</v>
      </c>
      <c r="AC28" s="13">
        <v>1</v>
      </c>
      <c r="AD28" s="13">
        <v>1</v>
      </c>
      <c r="AE28" s="13">
        <v>1</v>
      </c>
      <c r="AF28" s="13">
        <v>1</v>
      </c>
      <c r="AG28" s="13">
        <v>1</v>
      </c>
      <c r="AH28" s="13">
        <v>1</v>
      </c>
      <c r="AI28" s="13">
        <v>1</v>
      </c>
      <c r="AJ28" s="13">
        <v>1</v>
      </c>
      <c r="AK28" s="13">
        <v>1</v>
      </c>
      <c r="AL28" s="13">
        <v>1</v>
      </c>
      <c r="AM28" s="13">
        <v>1</v>
      </c>
      <c r="AN28" s="13">
        <v>1</v>
      </c>
      <c r="AO28" s="13">
        <v>1</v>
      </c>
      <c r="AP28" s="13">
        <v>1</v>
      </c>
      <c r="AQ28" s="13">
        <v>1</v>
      </c>
      <c r="AR28" s="13">
        <v>1</v>
      </c>
      <c r="AS28" s="13">
        <v>1</v>
      </c>
      <c r="AT28" s="13">
        <v>1</v>
      </c>
      <c r="AU28" s="13">
        <v>1</v>
      </c>
      <c r="AW28" s="127">
        <f t="shared" ca="1" si="14"/>
        <v>3</v>
      </c>
      <c r="AX28" s="14"/>
      <c r="AY28" s="367">
        <f t="shared" ca="1" si="15"/>
        <v>1</v>
      </c>
      <c r="AZ28" s="367">
        <f t="shared" ca="1" si="11"/>
        <v>1</v>
      </c>
      <c r="BA28" s="367">
        <f t="shared" ca="1" si="11"/>
        <v>1</v>
      </c>
      <c r="BB28" s="367">
        <f t="shared" ca="1" si="11"/>
        <v>1</v>
      </c>
      <c r="BC28" s="367">
        <f t="shared" ca="1" si="11"/>
        <v>1</v>
      </c>
      <c r="BD28" s="367">
        <f t="shared" ca="1" si="11"/>
        <v>1</v>
      </c>
      <c r="BE28" s="367">
        <f t="shared" ca="1" si="11"/>
        <v>1</v>
      </c>
      <c r="BF28" s="367">
        <f t="shared" ca="1" si="11"/>
        <v>1</v>
      </c>
      <c r="BG28" s="367">
        <f t="shared" ca="1" si="11"/>
        <v>1</v>
      </c>
      <c r="BH28" s="367">
        <f t="shared" ca="1" si="11"/>
        <v>1</v>
      </c>
      <c r="BI28" s="367">
        <f t="shared" ca="1" si="11"/>
        <v>2</v>
      </c>
      <c r="BJ28" s="367">
        <f t="shared" ca="1" si="11"/>
        <v>2</v>
      </c>
      <c r="BK28" s="367">
        <f t="shared" ca="1" si="11"/>
        <v>2</v>
      </c>
      <c r="BL28" s="367">
        <f t="shared" ca="1" si="11"/>
        <v>2</v>
      </c>
      <c r="BM28" s="367">
        <f t="shared" ca="1" si="11"/>
        <v>2</v>
      </c>
      <c r="BN28" s="367">
        <f t="shared" ca="1" si="11"/>
        <v>2</v>
      </c>
      <c r="BO28" s="367">
        <f t="shared" ca="1" si="11"/>
        <v>2</v>
      </c>
      <c r="BP28" s="367">
        <f t="shared" ca="1" si="11"/>
        <v>2</v>
      </c>
      <c r="BQ28" s="367">
        <f t="shared" ca="1" si="11"/>
        <v>2</v>
      </c>
      <c r="BR28" s="367">
        <f t="shared" ca="1" si="11"/>
        <v>2</v>
      </c>
      <c r="BS28" s="367">
        <f t="shared" ca="1" si="11"/>
        <v>3</v>
      </c>
      <c r="BT28" s="367">
        <f t="shared" ca="1" si="11"/>
        <v>3</v>
      </c>
      <c r="BU28" s="367">
        <f t="shared" ca="1" si="11"/>
        <v>3</v>
      </c>
      <c r="BV28" s="367">
        <f t="shared" ca="1" si="11"/>
        <v>3</v>
      </c>
      <c r="BW28" s="367">
        <f t="shared" ca="1" si="11"/>
        <v>3</v>
      </c>
      <c r="BX28" s="367">
        <f t="shared" ca="1" si="11"/>
        <v>41</v>
      </c>
      <c r="BY28" s="367">
        <f t="shared" ca="1" si="11"/>
        <v>41</v>
      </c>
      <c r="BZ28" s="367">
        <f t="shared" ca="1" si="11"/>
        <v>41</v>
      </c>
      <c r="CA28" s="367">
        <f t="shared" ca="1" si="11"/>
        <v>41</v>
      </c>
      <c r="CB28" s="367">
        <f t="shared" ca="1" si="11"/>
        <v>41</v>
      </c>
      <c r="CC28" s="367">
        <f t="shared" ca="1" si="11"/>
        <v>41</v>
      </c>
      <c r="CD28" s="367">
        <f t="shared" ca="1" si="11"/>
        <v>41</v>
      </c>
      <c r="CE28" s="367">
        <f t="shared" ca="1" si="11"/>
        <v>41</v>
      </c>
      <c r="CF28" s="367">
        <f t="shared" ca="1" si="11"/>
        <v>41</v>
      </c>
      <c r="CG28" s="367">
        <f t="shared" ca="1" si="11"/>
        <v>41</v>
      </c>
      <c r="CH28" s="367">
        <f t="shared" ca="1" si="11"/>
        <v>41</v>
      </c>
      <c r="CI28" s="367">
        <f t="shared" ca="1" si="11"/>
        <v>41</v>
      </c>
      <c r="CJ28" s="367">
        <f t="shared" ca="1" si="11"/>
        <v>41</v>
      </c>
      <c r="CK28" s="367">
        <f t="shared" ca="1" si="11"/>
        <v>41</v>
      </c>
      <c r="CL28" s="367">
        <f t="shared" ca="1" si="11"/>
        <v>41</v>
      </c>
      <c r="CM28" s="367">
        <f t="shared" ca="1" si="12"/>
        <v>41</v>
      </c>
      <c r="CN28" s="14"/>
      <c r="CU28" s="14"/>
    </row>
    <row r="29" spans="1:114" ht="15" customHeight="1">
      <c r="E29" s="367">
        <f t="shared" ca="1" si="13"/>
        <v>1</v>
      </c>
      <c r="F29" s="367" t="str">
        <f t="shared" ca="1" si="13"/>
        <v xml:space="preserve"> 4) SUSTAINABILITY</v>
      </c>
      <c r="G29" s="13">
        <v>1</v>
      </c>
      <c r="H29" s="13">
        <v>1</v>
      </c>
      <c r="I29" s="13">
        <v>1</v>
      </c>
      <c r="J29" s="13">
        <v>1</v>
      </c>
      <c r="K29" s="13">
        <v>1</v>
      </c>
      <c r="L29" s="13">
        <v>1</v>
      </c>
      <c r="M29" s="13">
        <v>1</v>
      </c>
      <c r="N29" s="13">
        <v>1</v>
      </c>
      <c r="O29" s="13">
        <v>1</v>
      </c>
      <c r="P29" s="13">
        <v>1</v>
      </c>
      <c r="Q29" s="13">
        <v>1</v>
      </c>
      <c r="R29" s="13">
        <v>1</v>
      </c>
      <c r="S29" s="13">
        <v>1</v>
      </c>
      <c r="T29" s="13">
        <v>1</v>
      </c>
      <c r="U29" s="13">
        <v>1</v>
      </c>
      <c r="V29" s="13">
        <v>1</v>
      </c>
      <c r="W29" s="13">
        <v>1</v>
      </c>
      <c r="X29" s="13">
        <v>1</v>
      </c>
      <c r="Y29" s="13">
        <v>1</v>
      </c>
      <c r="Z29" s="13">
        <v>1</v>
      </c>
      <c r="AA29" s="13">
        <v>1</v>
      </c>
      <c r="AB29" s="13">
        <v>1</v>
      </c>
      <c r="AC29" s="13">
        <v>1</v>
      </c>
      <c r="AD29" s="13">
        <v>1</v>
      </c>
      <c r="AE29" s="13">
        <v>1</v>
      </c>
      <c r="AF29" s="13">
        <v>1</v>
      </c>
      <c r="AG29" s="13">
        <v>1</v>
      </c>
      <c r="AH29" s="13">
        <v>1</v>
      </c>
      <c r="AI29" s="13">
        <v>1</v>
      </c>
      <c r="AJ29" s="13">
        <v>1</v>
      </c>
      <c r="AK29" s="13">
        <v>1</v>
      </c>
      <c r="AL29" s="13">
        <v>1</v>
      </c>
      <c r="AM29" s="13">
        <v>1</v>
      </c>
      <c r="AN29" s="13">
        <v>1</v>
      </c>
      <c r="AO29" s="13">
        <v>1</v>
      </c>
      <c r="AP29" s="13">
        <v>1</v>
      </c>
      <c r="AQ29" s="13">
        <v>1</v>
      </c>
      <c r="AR29" s="13">
        <v>1</v>
      </c>
      <c r="AS29" s="13">
        <v>1</v>
      </c>
      <c r="AT29" s="13">
        <v>1</v>
      </c>
      <c r="AU29" s="13">
        <v>1</v>
      </c>
      <c r="AW29" s="127">
        <f t="shared" ca="1" si="14"/>
        <v>4</v>
      </c>
      <c r="AX29" s="14"/>
      <c r="AY29" s="367">
        <f t="shared" ca="1" si="15"/>
        <v>1</v>
      </c>
      <c r="AZ29" s="367">
        <f t="shared" ca="1" si="11"/>
        <v>1</v>
      </c>
      <c r="BA29" s="367">
        <f t="shared" ca="1" si="11"/>
        <v>1</v>
      </c>
      <c r="BB29" s="367">
        <f t="shared" ca="1" si="11"/>
        <v>1</v>
      </c>
      <c r="BC29" s="367">
        <f t="shared" ca="1" si="11"/>
        <v>1</v>
      </c>
      <c r="BD29" s="367">
        <f t="shared" ca="1" si="11"/>
        <v>1</v>
      </c>
      <c r="BE29" s="367">
        <f t="shared" ca="1" si="11"/>
        <v>1</v>
      </c>
      <c r="BF29" s="367">
        <f t="shared" ca="1" si="11"/>
        <v>1</v>
      </c>
      <c r="BG29" s="367">
        <f t="shared" ca="1" si="11"/>
        <v>1</v>
      </c>
      <c r="BH29" s="367">
        <f t="shared" ca="1" si="11"/>
        <v>1</v>
      </c>
      <c r="BI29" s="367">
        <f t="shared" ca="1" si="11"/>
        <v>2</v>
      </c>
      <c r="BJ29" s="367">
        <f t="shared" ca="1" si="11"/>
        <v>2</v>
      </c>
      <c r="BK29" s="367">
        <f t="shared" ca="1" si="11"/>
        <v>2</v>
      </c>
      <c r="BL29" s="367">
        <f t="shared" ca="1" si="11"/>
        <v>2</v>
      </c>
      <c r="BM29" s="367">
        <f t="shared" ca="1" si="11"/>
        <v>2</v>
      </c>
      <c r="BN29" s="367">
        <f t="shared" ca="1" si="11"/>
        <v>2</v>
      </c>
      <c r="BO29" s="367">
        <f t="shared" ca="1" si="11"/>
        <v>2</v>
      </c>
      <c r="BP29" s="367">
        <f t="shared" ca="1" si="11"/>
        <v>2</v>
      </c>
      <c r="BQ29" s="367">
        <f t="shared" ca="1" si="11"/>
        <v>2</v>
      </c>
      <c r="BR29" s="367">
        <f t="shared" ca="1" si="11"/>
        <v>2</v>
      </c>
      <c r="BS29" s="367">
        <f t="shared" ca="1" si="11"/>
        <v>3</v>
      </c>
      <c r="BT29" s="367">
        <f t="shared" ca="1" si="11"/>
        <v>3</v>
      </c>
      <c r="BU29" s="367">
        <f t="shared" ca="1" si="11"/>
        <v>3</v>
      </c>
      <c r="BV29" s="367">
        <f t="shared" ca="1" si="11"/>
        <v>3</v>
      </c>
      <c r="BW29" s="367">
        <f t="shared" ca="1" si="11"/>
        <v>3</v>
      </c>
      <c r="BX29" s="367">
        <f t="shared" ca="1" si="11"/>
        <v>3</v>
      </c>
      <c r="BY29" s="367">
        <f t="shared" ca="1" si="11"/>
        <v>3</v>
      </c>
      <c r="BZ29" s="367">
        <f t="shared" ca="1" si="11"/>
        <v>3</v>
      </c>
      <c r="CA29" s="367">
        <f t="shared" ca="1" si="11"/>
        <v>3</v>
      </c>
      <c r="CB29" s="367">
        <f t="shared" ca="1" si="11"/>
        <v>3</v>
      </c>
      <c r="CC29" s="367">
        <f t="shared" ca="1" si="11"/>
        <v>4</v>
      </c>
      <c r="CD29" s="367">
        <f t="shared" ca="1" si="11"/>
        <v>4</v>
      </c>
      <c r="CE29" s="367">
        <f t="shared" ca="1" si="11"/>
        <v>4</v>
      </c>
      <c r="CF29" s="367">
        <f t="shared" ca="1" si="11"/>
        <v>4</v>
      </c>
      <c r="CG29" s="367">
        <f t="shared" ca="1" si="11"/>
        <v>4</v>
      </c>
      <c r="CH29" s="367">
        <f t="shared" ca="1" si="11"/>
        <v>41</v>
      </c>
      <c r="CI29" s="367">
        <f t="shared" ca="1" si="11"/>
        <v>41</v>
      </c>
      <c r="CJ29" s="367">
        <f t="shared" ca="1" si="11"/>
        <v>41</v>
      </c>
      <c r="CK29" s="367">
        <f t="shared" ca="1" si="11"/>
        <v>41</v>
      </c>
      <c r="CL29" s="367">
        <f t="shared" ca="1" si="11"/>
        <v>41</v>
      </c>
      <c r="CM29" s="367">
        <f t="shared" ca="1" si="12"/>
        <v>41</v>
      </c>
      <c r="CN29" s="14"/>
      <c r="CU29" s="14"/>
    </row>
    <row r="30" spans="1:114" ht="15" hidden="1" customHeight="1">
      <c r="E30" s="367">
        <f t="shared" ca="1" si="13"/>
        <v>0</v>
      </c>
      <c r="F30" s="367" t="str">
        <f t="shared" ca="1" si="13"/>
        <v/>
      </c>
      <c r="G30" s="13">
        <v>1</v>
      </c>
      <c r="H30" s="13">
        <v>1</v>
      </c>
      <c r="I30" s="13">
        <v>1</v>
      </c>
      <c r="J30" s="13">
        <v>1</v>
      </c>
      <c r="K30" s="13">
        <v>1</v>
      </c>
      <c r="L30" s="13">
        <v>1</v>
      </c>
      <c r="M30" s="13">
        <v>1</v>
      </c>
      <c r="N30" s="13">
        <v>1</v>
      </c>
      <c r="O30" s="13">
        <v>1</v>
      </c>
      <c r="P30" s="13">
        <v>1</v>
      </c>
      <c r="Q30" s="13">
        <v>1</v>
      </c>
      <c r="R30" s="13">
        <v>1</v>
      </c>
      <c r="S30" s="13">
        <v>1</v>
      </c>
      <c r="T30" s="13">
        <v>1</v>
      </c>
      <c r="U30" s="13">
        <v>1</v>
      </c>
      <c r="V30" s="13">
        <v>1</v>
      </c>
      <c r="W30" s="13">
        <v>1</v>
      </c>
      <c r="X30" s="13">
        <v>1</v>
      </c>
      <c r="Y30" s="13">
        <v>1</v>
      </c>
      <c r="Z30" s="13">
        <v>1</v>
      </c>
      <c r="AA30" s="13">
        <v>1</v>
      </c>
      <c r="AB30" s="13">
        <v>1</v>
      </c>
      <c r="AC30" s="13">
        <v>1</v>
      </c>
      <c r="AD30" s="13">
        <v>1</v>
      </c>
      <c r="AE30" s="13">
        <v>1</v>
      </c>
      <c r="AF30" s="13">
        <v>1</v>
      </c>
      <c r="AG30" s="13">
        <v>1</v>
      </c>
      <c r="AH30" s="13">
        <v>1</v>
      </c>
      <c r="AI30" s="13">
        <v>1</v>
      </c>
      <c r="AJ30" s="13">
        <v>1</v>
      </c>
      <c r="AK30" s="13">
        <v>1</v>
      </c>
      <c r="AL30" s="13">
        <v>1</v>
      </c>
      <c r="AM30" s="13">
        <v>1</v>
      </c>
      <c r="AN30" s="13">
        <v>1</v>
      </c>
      <c r="AO30" s="13">
        <v>1</v>
      </c>
      <c r="AP30" s="13">
        <v>1</v>
      </c>
      <c r="AQ30" s="13">
        <v>1</v>
      </c>
      <c r="AR30" s="13">
        <v>1</v>
      </c>
      <c r="AS30" s="13">
        <v>1</v>
      </c>
      <c r="AT30" s="13">
        <v>1</v>
      </c>
      <c r="AU30" s="13">
        <v>1</v>
      </c>
      <c r="AW30" s="127" t="str">
        <f t="shared" ca="1" si="14"/>
        <v/>
      </c>
      <c r="AX30" s="14"/>
      <c r="AY30" s="367">
        <f t="shared" ca="1" si="15"/>
        <v>41</v>
      </c>
      <c r="AZ30" s="367">
        <f t="shared" ca="1" si="11"/>
        <v>41</v>
      </c>
      <c r="BA30" s="367">
        <f t="shared" ca="1" si="11"/>
        <v>41</v>
      </c>
      <c r="BB30" s="367">
        <f t="shared" ca="1" si="11"/>
        <v>41</v>
      </c>
      <c r="BC30" s="367">
        <f t="shared" ca="1" si="11"/>
        <v>41</v>
      </c>
      <c r="BD30" s="367">
        <f t="shared" ca="1" si="11"/>
        <v>41</v>
      </c>
      <c r="BE30" s="367">
        <f t="shared" ca="1" si="11"/>
        <v>41</v>
      </c>
      <c r="BF30" s="367">
        <f t="shared" ca="1" si="11"/>
        <v>41</v>
      </c>
      <c r="BG30" s="367">
        <f t="shared" ca="1" si="11"/>
        <v>41</v>
      </c>
      <c r="BH30" s="367">
        <f t="shared" ca="1" si="11"/>
        <v>41</v>
      </c>
      <c r="BI30" s="367">
        <f t="shared" ca="1" si="11"/>
        <v>41</v>
      </c>
      <c r="BJ30" s="367">
        <f t="shared" ca="1" si="11"/>
        <v>41</v>
      </c>
      <c r="BK30" s="367">
        <f t="shared" ca="1" si="11"/>
        <v>41</v>
      </c>
      <c r="BL30" s="367">
        <f t="shared" ca="1" si="11"/>
        <v>41</v>
      </c>
      <c r="BM30" s="367">
        <f t="shared" ca="1" si="11"/>
        <v>41</v>
      </c>
      <c r="BN30" s="367">
        <f t="shared" ca="1" si="11"/>
        <v>41</v>
      </c>
      <c r="BO30" s="367">
        <f t="shared" ca="1" si="11"/>
        <v>41</v>
      </c>
      <c r="BP30" s="367">
        <f t="shared" ca="1" si="11"/>
        <v>41</v>
      </c>
      <c r="BQ30" s="367">
        <f t="shared" ca="1" si="11"/>
        <v>41</v>
      </c>
      <c r="BR30" s="367">
        <f t="shared" ca="1" si="11"/>
        <v>41</v>
      </c>
      <c r="BS30" s="367">
        <f t="shared" ca="1" si="11"/>
        <v>41</v>
      </c>
      <c r="BT30" s="367">
        <f t="shared" ca="1" si="11"/>
        <v>41</v>
      </c>
      <c r="BU30" s="367">
        <f t="shared" ca="1" si="11"/>
        <v>41</v>
      </c>
      <c r="BV30" s="367">
        <f t="shared" ca="1" si="11"/>
        <v>41</v>
      </c>
      <c r="BW30" s="367">
        <f t="shared" ca="1" si="11"/>
        <v>41</v>
      </c>
      <c r="BX30" s="367">
        <f t="shared" ca="1" si="11"/>
        <v>41</v>
      </c>
      <c r="BY30" s="367">
        <f t="shared" ca="1" si="11"/>
        <v>41</v>
      </c>
      <c r="BZ30" s="367">
        <f t="shared" ca="1" si="11"/>
        <v>41</v>
      </c>
      <c r="CA30" s="367">
        <f t="shared" ca="1" si="11"/>
        <v>41</v>
      </c>
      <c r="CB30" s="367">
        <f t="shared" ca="1" si="11"/>
        <v>41</v>
      </c>
      <c r="CC30" s="367">
        <f t="shared" ca="1" si="11"/>
        <v>41</v>
      </c>
      <c r="CD30" s="367">
        <f t="shared" ca="1" si="11"/>
        <v>41</v>
      </c>
      <c r="CE30" s="367">
        <f t="shared" ca="1" si="11"/>
        <v>41</v>
      </c>
      <c r="CF30" s="367">
        <f t="shared" ca="1" si="11"/>
        <v>41</v>
      </c>
      <c r="CG30" s="367">
        <f t="shared" ca="1" si="11"/>
        <v>41</v>
      </c>
      <c r="CH30" s="367">
        <f t="shared" ca="1" si="11"/>
        <v>41</v>
      </c>
      <c r="CI30" s="367">
        <f t="shared" ca="1" si="11"/>
        <v>41</v>
      </c>
      <c r="CJ30" s="367">
        <f t="shared" ca="1" si="11"/>
        <v>41</v>
      </c>
      <c r="CK30" s="367">
        <f t="shared" ca="1" si="11"/>
        <v>41</v>
      </c>
      <c r="CL30" s="367">
        <f t="shared" ca="1" si="11"/>
        <v>41</v>
      </c>
      <c r="CM30" s="367">
        <f t="shared" ca="1" si="12"/>
        <v>41</v>
      </c>
      <c r="CN30" s="14"/>
      <c r="CU30" s="14"/>
    </row>
    <row r="31" spans="1:114" ht="15" hidden="1" customHeight="1">
      <c r="E31" s="367">
        <f t="shared" ca="1" si="13"/>
        <v>0</v>
      </c>
      <c r="F31" s="367" t="str">
        <f t="shared" ca="1" si="13"/>
        <v/>
      </c>
      <c r="G31" s="13">
        <v>1</v>
      </c>
      <c r="H31" s="13">
        <v>1</v>
      </c>
      <c r="I31" s="13">
        <v>1</v>
      </c>
      <c r="J31" s="13">
        <v>1</v>
      </c>
      <c r="K31" s="13">
        <v>1</v>
      </c>
      <c r="L31" s="13">
        <v>1</v>
      </c>
      <c r="M31" s="13">
        <v>1</v>
      </c>
      <c r="N31" s="13">
        <v>1</v>
      </c>
      <c r="O31" s="13">
        <v>1</v>
      </c>
      <c r="P31" s="13">
        <v>1</v>
      </c>
      <c r="Q31" s="13">
        <v>1</v>
      </c>
      <c r="R31" s="13">
        <v>1</v>
      </c>
      <c r="S31" s="13">
        <v>1</v>
      </c>
      <c r="T31" s="13">
        <v>1</v>
      </c>
      <c r="U31" s="13">
        <v>1</v>
      </c>
      <c r="V31" s="13">
        <v>1</v>
      </c>
      <c r="W31" s="13">
        <v>1</v>
      </c>
      <c r="X31" s="13">
        <v>1</v>
      </c>
      <c r="Y31" s="13">
        <v>1</v>
      </c>
      <c r="Z31" s="13">
        <v>1</v>
      </c>
      <c r="AA31" s="13">
        <v>1</v>
      </c>
      <c r="AB31" s="13">
        <v>1</v>
      </c>
      <c r="AC31" s="13">
        <v>1</v>
      </c>
      <c r="AD31" s="13">
        <v>1</v>
      </c>
      <c r="AE31" s="13">
        <v>1</v>
      </c>
      <c r="AF31" s="13">
        <v>1</v>
      </c>
      <c r="AG31" s="13">
        <v>1</v>
      </c>
      <c r="AH31" s="13">
        <v>1</v>
      </c>
      <c r="AI31" s="13">
        <v>1</v>
      </c>
      <c r="AJ31" s="13">
        <v>1</v>
      </c>
      <c r="AK31" s="13">
        <v>1</v>
      </c>
      <c r="AL31" s="13">
        <v>1</v>
      </c>
      <c r="AM31" s="13">
        <v>1</v>
      </c>
      <c r="AN31" s="13">
        <v>1</v>
      </c>
      <c r="AO31" s="13">
        <v>1</v>
      </c>
      <c r="AP31" s="13">
        <v>1</v>
      </c>
      <c r="AQ31" s="13">
        <v>1</v>
      </c>
      <c r="AR31" s="13">
        <v>1</v>
      </c>
      <c r="AS31" s="13">
        <v>1</v>
      </c>
      <c r="AT31" s="13">
        <v>1</v>
      </c>
      <c r="AU31" s="13">
        <v>1</v>
      </c>
      <c r="AW31" s="127" t="str">
        <f t="shared" ca="1" si="14"/>
        <v/>
      </c>
      <c r="AX31" s="14"/>
      <c r="AY31" s="367">
        <f t="shared" ca="1" si="15"/>
        <v>41</v>
      </c>
      <c r="AZ31" s="367">
        <f t="shared" ca="1" si="11"/>
        <v>41</v>
      </c>
      <c r="BA31" s="367">
        <f t="shared" ca="1" si="11"/>
        <v>41</v>
      </c>
      <c r="BB31" s="367">
        <f t="shared" ca="1" si="11"/>
        <v>41</v>
      </c>
      <c r="BC31" s="367">
        <f t="shared" ca="1" si="11"/>
        <v>41</v>
      </c>
      <c r="BD31" s="367">
        <f t="shared" ca="1" si="11"/>
        <v>41</v>
      </c>
      <c r="BE31" s="367">
        <f t="shared" ca="1" si="11"/>
        <v>41</v>
      </c>
      <c r="BF31" s="367">
        <f t="shared" ca="1" si="11"/>
        <v>41</v>
      </c>
      <c r="BG31" s="367">
        <f t="shared" ca="1" si="11"/>
        <v>41</v>
      </c>
      <c r="BH31" s="367">
        <f t="shared" ca="1" si="11"/>
        <v>41</v>
      </c>
      <c r="BI31" s="367">
        <f t="shared" ca="1" si="11"/>
        <v>41</v>
      </c>
      <c r="BJ31" s="367">
        <f t="shared" ca="1" si="11"/>
        <v>41</v>
      </c>
      <c r="BK31" s="367">
        <f t="shared" ca="1" si="11"/>
        <v>41</v>
      </c>
      <c r="BL31" s="367">
        <f t="shared" ca="1" si="11"/>
        <v>41</v>
      </c>
      <c r="BM31" s="367">
        <f t="shared" ca="1" si="11"/>
        <v>41</v>
      </c>
      <c r="BN31" s="367">
        <f t="shared" ca="1" si="11"/>
        <v>41</v>
      </c>
      <c r="BO31" s="367">
        <f t="shared" ca="1" si="11"/>
        <v>41</v>
      </c>
      <c r="BP31" s="367">
        <f t="shared" ca="1" si="11"/>
        <v>41</v>
      </c>
      <c r="BQ31" s="367">
        <f t="shared" ca="1" si="11"/>
        <v>41</v>
      </c>
      <c r="BR31" s="367">
        <f t="shared" ca="1" si="11"/>
        <v>41</v>
      </c>
      <c r="BS31" s="367">
        <f t="shared" ca="1" si="11"/>
        <v>41</v>
      </c>
      <c r="BT31" s="367">
        <f t="shared" ca="1" si="11"/>
        <v>41</v>
      </c>
      <c r="BU31" s="367">
        <f t="shared" ca="1" si="11"/>
        <v>41</v>
      </c>
      <c r="BV31" s="367">
        <f t="shared" ca="1" si="11"/>
        <v>41</v>
      </c>
      <c r="BW31" s="367">
        <f t="shared" ca="1" si="11"/>
        <v>41</v>
      </c>
      <c r="BX31" s="367">
        <f t="shared" ca="1" si="11"/>
        <v>41</v>
      </c>
      <c r="BY31" s="367">
        <f t="shared" ca="1" si="11"/>
        <v>41</v>
      </c>
      <c r="BZ31" s="367">
        <f t="shared" ca="1" si="11"/>
        <v>41</v>
      </c>
      <c r="CA31" s="367">
        <f t="shared" ca="1" si="11"/>
        <v>41</v>
      </c>
      <c r="CB31" s="367">
        <f t="shared" ca="1" si="11"/>
        <v>41</v>
      </c>
      <c r="CC31" s="367">
        <f t="shared" ca="1" si="11"/>
        <v>41</v>
      </c>
      <c r="CD31" s="367">
        <f t="shared" ca="1" si="11"/>
        <v>41</v>
      </c>
      <c r="CE31" s="367">
        <f t="shared" ca="1" si="11"/>
        <v>41</v>
      </c>
      <c r="CF31" s="367">
        <f t="shared" ca="1" si="11"/>
        <v>41</v>
      </c>
      <c r="CG31" s="367">
        <f t="shared" ca="1" si="11"/>
        <v>41</v>
      </c>
      <c r="CH31" s="367">
        <f t="shared" ca="1" si="11"/>
        <v>41</v>
      </c>
      <c r="CI31" s="367">
        <f t="shared" ca="1" si="11"/>
        <v>41</v>
      </c>
      <c r="CJ31" s="367">
        <f t="shared" ref="AZ31:CL35" ca="1" si="16">IF($AW31="",41,IF(AND(CJ$4&lt;=$AW31,CJ14&lt;&gt;41),CJ$4,41))</f>
        <v>41</v>
      </c>
      <c r="CK31" s="367">
        <f t="shared" ca="1" si="16"/>
        <v>41</v>
      </c>
      <c r="CL31" s="367">
        <f t="shared" ca="1" si="16"/>
        <v>41</v>
      </c>
      <c r="CM31" s="367">
        <f t="shared" ca="1" si="12"/>
        <v>41</v>
      </c>
      <c r="CN31" s="14"/>
      <c r="CU31" s="14"/>
    </row>
    <row r="32" spans="1:114" ht="15" hidden="1" customHeight="1">
      <c r="E32" s="367">
        <f t="shared" ca="1" si="13"/>
        <v>0</v>
      </c>
      <c r="F32" s="367" t="str">
        <f t="shared" ca="1" si="13"/>
        <v/>
      </c>
      <c r="G32" s="13">
        <v>1</v>
      </c>
      <c r="H32" s="13">
        <v>1</v>
      </c>
      <c r="I32" s="13">
        <v>1</v>
      </c>
      <c r="J32" s="13">
        <v>1</v>
      </c>
      <c r="K32" s="13">
        <v>1</v>
      </c>
      <c r="L32" s="13">
        <v>1</v>
      </c>
      <c r="M32" s="13">
        <v>1</v>
      </c>
      <c r="N32" s="13">
        <v>1</v>
      </c>
      <c r="O32" s="13">
        <v>1</v>
      </c>
      <c r="P32" s="13">
        <v>1</v>
      </c>
      <c r="Q32" s="13">
        <v>1</v>
      </c>
      <c r="R32" s="13">
        <v>1</v>
      </c>
      <c r="S32" s="13">
        <v>1</v>
      </c>
      <c r="T32" s="13">
        <v>1</v>
      </c>
      <c r="U32" s="13">
        <v>1</v>
      </c>
      <c r="V32" s="13">
        <v>1</v>
      </c>
      <c r="W32" s="13">
        <v>1</v>
      </c>
      <c r="X32" s="13">
        <v>1</v>
      </c>
      <c r="Y32" s="13">
        <v>1</v>
      </c>
      <c r="Z32" s="13">
        <v>1</v>
      </c>
      <c r="AA32" s="13">
        <v>1</v>
      </c>
      <c r="AB32" s="13">
        <v>1</v>
      </c>
      <c r="AC32" s="13">
        <v>1</v>
      </c>
      <c r="AD32" s="13">
        <v>1</v>
      </c>
      <c r="AE32" s="13">
        <v>1</v>
      </c>
      <c r="AF32" s="13">
        <v>1</v>
      </c>
      <c r="AG32" s="13">
        <v>1</v>
      </c>
      <c r="AH32" s="13">
        <v>1</v>
      </c>
      <c r="AI32" s="13">
        <v>1</v>
      </c>
      <c r="AJ32" s="13">
        <v>1</v>
      </c>
      <c r="AK32" s="13">
        <v>1</v>
      </c>
      <c r="AL32" s="13">
        <v>1</v>
      </c>
      <c r="AM32" s="13">
        <v>1</v>
      </c>
      <c r="AN32" s="13">
        <v>1</v>
      </c>
      <c r="AO32" s="13">
        <v>1</v>
      </c>
      <c r="AP32" s="13">
        <v>1</v>
      </c>
      <c r="AQ32" s="13">
        <v>1</v>
      </c>
      <c r="AR32" s="13">
        <v>1</v>
      </c>
      <c r="AS32" s="13">
        <v>1</v>
      </c>
      <c r="AT32" s="13">
        <v>1</v>
      </c>
      <c r="AU32" s="13">
        <v>1</v>
      </c>
      <c r="AW32" s="127" t="str">
        <f t="shared" ca="1" si="14"/>
        <v/>
      </c>
      <c r="AX32" s="14"/>
      <c r="AY32" s="367">
        <f t="shared" ca="1" si="15"/>
        <v>41</v>
      </c>
      <c r="AZ32" s="367">
        <f t="shared" ca="1" si="16"/>
        <v>41</v>
      </c>
      <c r="BA32" s="367">
        <f t="shared" ca="1" si="16"/>
        <v>41</v>
      </c>
      <c r="BB32" s="367">
        <f t="shared" ca="1" si="16"/>
        <v>41</v>
      </c>
      <c r="BC32" s="367">
        <f t="shared" ca="1" si="16"/>
        <v>41</v>
      </c>
      <c r="BD32" s="367">
        <f t="shared" ca="1" si="16"/>
        <v>41</v>
      </c>
      <c r="BE32" s="367">
        <f t="shared" ca="1" si="16"/>
        <v>41</v>
      </c>
      <c r="BF32" s="367">
        <f t="shared" ca="1" si="16"/>
        <v>41</v>
      </c>
      <c r="BG32" s="367">
        <f t="shared" ca="1" si="16"/>
        <v>41</v>
      </c>
      <c r="BH32" s="367">
        <f t="shared" ca="1" si="16"/>
        <v>41</v>
      </c>
      <c r="BI32" s="367">
        <f t="shared" ca="1" si="16"/>
        <v>41</v>
      </c>
      <c r="BJ32" s="367">
        <f t="shared" ca="1" si="16"/>
        <v>41</v>
      </c>
      <c r="BK32" s="367">
        <f t="shared" ca="1" si="16"/>
        <v>41</v>
      </c>
      <c r="BL32" s="367">
        <f t="shared" ca="1" si="16"/>
        <v>41</v>
      </c>
      <c r="BM32" s="367">
        <f t="shared" ca="1" si="16"/>
        <v>41</v>
      </c>
      <c r="BN32" s="367">
        <f t="shared" ca="1" si="16"/>
        <v>41</v>
      </c>
      <c r="BO32" s="367">
        <f t="shared" ca="1" si="16"/>
        <v>41</v>
      </c>
      <c r="BP32" s="367">
        <f t="shared" ca="1" si="16"/>
        <v>41</v>
      </c>
      <c r="BQ32" s="367">
        <f t="shared" ca="1" si="16"/>
        <v>41</v>
      </c>
      <c r="BR32" s="367">
        <f t="shared" ca="1" si="16"/>
        <v>41</v>
      </c>
      <c r="BS32" s="367">
        <f t="shared" ca="1" si="16"/>
        <v>41</v>
      </c>
      <c r="BT32" s="367">
        <f t="shared" ca="1" si="16"/>
        <v>41</v>
      </c>
      <c r="BU32" s="367">
        <f t="shared" ca="1" si="16"/>
        <v>41</v>
      </c>
      <c r="BV32" s="367">
        <f t="shared" ca="1" si="16"/>
        <v>41</v>
      </c>
      <c r="BW32" s="367">
        <f t="shared" ca="1" si="16"/>
        <v>41</v>
      </c>
      <c r="BX32" s="367">
        <f t="shared" ca="1" si="16"/>
        <v>41</v>
      </c>
      <c r="BY32" s="367">
        <f t="shared" ca="1" si="16"/>
        <v>41</v>
      </c>
      <c r="BZ32" s="367">
        <f t="shared" ca="1" si="16"/>
        <v>41</v>
      </c>
      <c r="CA32" s="367">
        <f t="shared" ca="1" si="16"/>
        <v>41</v>
      </c>
      <c r="CB32" s="367">
        <f t="shared" ca="1" si="16"/>
        <v>41</v>
      </c>
      <c r="CC32" s="367">
        <f t="shared" ca="1" si="16"/>
        <v>41</v>
      </c>
      <c r="CD32" s="367">
        <f t="shared" ca="1" si="16"/>
        <v>41</v>
      </c>
      <c r="CE32" s="367">
        <f t="shared" ca="1" si="16"/>
        <v>41</v>
      </c>
      <c r="CF32" s="367">
        <f t="shared" ca="1" si="16"/>
        <v>41</v>
      </c>
      <c r="CG32" s="367">
        <f t="shared" ca="1" si="16"/>
        <v>41</v>
      </c>
      <c r="CH32" s="367">
        <f t="shared" ca="1" si="16"/>
        <v>41</v>
      </c>
      <c r="CI32" s="367">
        <f t="shared" ca="1" si="16"/>
        <v>41</v>
      </c>
      <c r="CJ32" s="367">
        <f t="shared" ca="1" si="16"/>
        <v>41</v>
      </c>
      <c r="CK32" s="367">
        <f t="shared" ca="1" si="16"/>
        <v>41</v>
      </c>
      <c r="CL32" s="367">
        <f t="shared" ca="1" si="16"/>
        <v>41</v>
      </c>
      <c r="CM32" s="367">
        <f t="shared" ca="1" si="12"/>
        <v>41</v>
      </c>
      <c r="CN32" s="14"/>
      <c r="CU32" s="14"/>
    </row>
    <row r="33" spans="1:125" ht="15" hidden="1" customHeight="1">
      <c r="E33" s="367">
        <f t="shared" ca="1" si="13"/>
        <v>0</v>
      </c>
      <c r="F33" s="367" t="str">
        <f t="shared" ca="1" si="13"/>
        <v/>
      </c>
      <c r="G33" s="13">
        <v>1</v>
      </c>
      <c r="H33" s="13">
        <v>1</v>
      </c>
      <c r="I33" s="13">
        <v>1</v>
      </c>
      <c r="J33" s="13">
        <v>1</v>
      </c>
      <c r="K33" s="13">
        <v>1</v>
      </c>
      <c r="L33" s="13">
        <v>1</v>
      </c>
      <c r="M33" s="13">
        <v>1</v>
      </c>
      <c r="N33" s="13">
        <v>1</v>
      </c>
      <c r="O33" s="13">
        <v>1</v>
      </c>
      <c r="P33" s="13">
        <v>1</v>
      </c>
      <c r="Q33" s="13">
        <v>1</v>
      </c>
      <c r="R33" s="13">
        <v>1</v>
      </c>
      <c r="S33" s="13">
        <v>1</v>
      </c>
      <c r="T33" s="13">
        <v>1</v>
      </c>
      <c r="U33" s="13">
        <v>1</v>
      </c>
      <c r="V33" s="13">
        <v>1</v>
      </c>
      <c r="W33" s="13">
        <v>1</v>
      </c>
      <c r="X33" s="13">
        <v>1</v>
      </c>
      <c r="Y33" s="13">
        <v>1</v>
      </c>
      <c r="Z33" s="13">
        <v>1</v>
      </c>
      <c r="AA33" s="13">
        <v>1</v>
      </c>
      <c r="AB33" s="13">
        <v>1</v>
      </c>
      <c r="AC33" s="13">
        <v>1</v>
      </c>
      <c r="AD33" s="13">
        <v>1</v>
      </c>
      <c r="AE33" s="13">
        <v>1</v>
      </c>
      <c r="AF33" s="13">
        <v>1</v>
      </c>
      <c r="AG33" s="13">
        <v>1</v>
      </c>
      <c r="AH33" s="13">
        <v>1</v>
      </c>
      <c r="AI33" s="13">
        <v>1</v>
      </c>
      <c r="AJ33" s="13">
        <v>1</v>
      </c>
      <c r="AK33" s="13">
        <v>1</v>
      </c>
      <c r="AL33" s="13">
        <v>1</v>
      </c>
      <c r="AM33" s="13">
        <v>1</v>
      </c>
      <c r="AN33" s="13">
        <v>1</v>
      </c>
      <c r="AO33" s="13">
        <v>1</v>
      </c>
      <c r="AP33" s="13">
        <v>1</v>
      </c>
      <c r="AQ33" s="13">
        <v>1</v>
      </c>
      <c r="AR33" s="13">
        <v>1</v>
      </c>
      <c r="AS33" s="13">
        <v>1</v>
      </c>
      <c r="AT33" s="13">
        <v>1</v>
      </c>
      <c r="AU33" s="13">
        <v>1</v>
      </c>
      <c r="AW33" s="127" t="str">
        <f t="shared" ca="1" si="14"/>
        <v/>
      </c>
      <c r="AX33" s="14"/>
      <c r="AY33" s="367">
        <f t="shared" ca="1" si="15"/>
        <v>41</v>
      </c>
      <c r="AZ33" s="367">
        <f t="shared" ca="1" si="16"/>
        <v>41</v>
      </c>
      <c r="BA33" s="367">
        <f t="shared" ca="1" si="16"/>
        <v>41</v>
      </c>
      <c r="BB33" s="367">
        <f t="shared" ca="1" si="16"/>
        <v>41</v>
      </c>
      <c r="BC33" s="367">
        <f t="shared" ca="1" si="16"/>
        <v>41</v>
      </c>
      <c r="BD33" s="367">
        <f t="shared" ca="1" si="16"/>
        <v>41</v>
      </c>
      <c r="BE33" s="367">
        <f t="shared" ca="1" si="16"/>
        <v>41</v>
      </c>
      <c r="BF33" s="367">
        <f t="shared" ca="1" si="16"/>
        <v>41</v>
      </c>
      <c r="BG33" s="367">
        <f t="shared" ca="1" si="16"/>
        <v>41</v>
      </c>
      <c r="BH33" s="367">
        <f t="shared" ca="1" si="16"/>
        <v>41</v>
      </c>
      <c r="BI33" s="367">
        <f t="shared" ca="1" si="16"/>
        <v>41</v>
      </c>
      <c r="BJ33" s="367">
        <f t="shared" ca="1" si="16"/>
        <v>41</v>
      </c>
      <c r="BK33" s="367">
        <f t="shared" ca="1" si="16"/>
        <v>41</v>
      </c>
      <c r="BL33" s="367">
        <f t="shared" ca="1" si="16"/>
        <v>41</v>
      </c>
      <c r="BM33" s="367">
        <f t="shared" ca="1" si="16"/>
        <v>41</v>
      </c>
      <c r="BN33" s="367">
        <f t="shared" ca="1" si="16"/>
        <v>41</v>
      </c>
      <c r="BO33" s="367">
        <f t="shared" ca="1" si="16"/>
        <v>41</v>
      </c>
      <c r="BP33" s="367">
        <f t="shared" ca="1" si="16"/>
        <v>41</v>
      </c>
      <c r="BQ33" s="367">
        <f t="shared" ca="1" si="16"/>
        <v>41</v>
      </c>
      <c r="BR33" s="367">
        <f t="shared" ca="1" si="16"/>
        <v>41</v>
      </c>
      <c r="BS33" s="367">
        <f t="shared" ca="1" si="16"/>
        <v>41</v>
      </c>
      <c r="BT33" s="367">
        <f t="shared" ca="1" si="16"/>
        <v>41</v>
      </c>
      <c r="BU33" s="367">
        <f t="shared" ca="1" si="16"/>
        <v>41</v>
      </c>
      <c r="BV33" s="367">
        <f t="shared" ca="1" si="16"/>
        <v>41</v>
      </c>
      <c r="BW33" s="367">
        <f t="shared" ca="1" si="16"/>
        <v>41</v>
      </c>
      <c r="BX33" s="367">
        <f t="shared" ca="1" si="16"/>
        <v>41</v>
      </c>
      <c r="BY33" s="367">
        <f t="shared" ca="1" si="16"/>
        <v>41</v>
      </c>
      <c r="BZ33" s="367">
        <f t="shared" ca="1" si="16"/>
        <v>41</v>
      </c>
      <c r="CA33" s="367">
        <f t="shared" ca="1" si="16"/>
        <v>41</v>
      </c>
      <c r="CB33" s="367">
        <f t="shared" ca="1" si="16"/>
        <v>41</v>
      </c>
      <c r="CC33" s="367">
        <f t="shared" ca="1" si="16"/>
        <v>41</v>
      </c>
      <c r="CD33" s="367">
        <f t="shared" ca="1" si="16"/>
        <v>41</v>
      </c>
      <c r="CE33" s="367">
        <f t="shared" ca="1" si="16"/>
        <v>41</v>
      </c>
      <c r="CF33" s="367">
        <f t="shared" ca="1" si="16"/>
        <v>41</v>
      </c>
      <c r="CG33" s="367">
        <f t="shared" ca="1" si="16"/>
        <v>41</v>
      </c>
      <c r="CH33" s="367">
        <f t="shared" ca="1" si="16"/>
        <v>41</v>
      </c>
      <c r="CI33" s="367">
        <f t="shared" ca="1" si="16"/>
        <v>41</v>
      </c>
      <c r="CJ33" s="367">
        <f t="shared" ca="1" si="16"/>
        <v>41</v>
      </c>
      <c r="CK33" s="367">
        <f t="shared" ca="1" si="16"/>
        <v>41</v>
      </c>
      <c r="CL33" s="367">
        <f t="shared" ca="1" si="16"/>
        <v>41</v>
      </c>
      <c r="CM33" s="367">
        <f t="shared" ca="1" si="12"/>
        <v>41</v>
      </c>
      <c r="CN33" s="14"/>
      <c r="CU33" s="14"/>
    </row>
    <row r="34" spans="1:125" ht="15" hidden="1" customHeight="1">
      <c r="E34" s="367">
        <f t="shared" ca="1" si="13"/>
        <v>0</v>
      </c>
      <c r="F34" s="367" t="str">
        <f t="shared" ca="1" si="13"/>
        <v/>
      </c>
      <c r="G34" s="13">
        <v>1</v>
      </c>
      <c r="H34" s="13">
        <v>1</v>
      </c>
      <c r="I34" s="13">
        <v>1</v>
      </c>
      <c r="J34" s="13">
        <v>1</v>
      </c>
      <c r="K34" s="13">
        <v>1</v>
      </c>
      <c r="L34" s="13">
        <v>1</v>
      </c>
      <c r="M34" s="13">
        <v>1</v>
      </c>
      <c r="N34" s="13">
        <v>1</v>
      </c>
      <c r="O34" s="13">
        <v>1</v>
      </c>
      <c r="P34" s="13">
        <v>1</v>
      </c>
      <c r="Q34" s="13">
        <v>1</v>
      </c>
      <c r="R34" s="13">
        <v>1</v>
      </c>
      <c r="S34" s="13">
        <v>1</v>
      </c>
      <c r="T34" s="13">
        <v>1</v>
      </c>
      <c r="U34" s="13">
        <v>1</v>
      </c>
      <c r="V34" s="13">
        <v>1</v>
      </c>
      <c r="W34" s="13">
        <v>1</v>
      </c>
      <c r="X34" s="13">
        <v>1</v>
      </c>
      <c r="Y34" s="13">
        <v>1</v>
      </c>
      <c r="Z34" s="13">
        <v>1</v>
      </c>
      <c r="AA34" s="13">
        <v>1</v>
      </c>
      <c r="AB34" s="13">
        <v>1</v>
      </c>
      <c r="AC34" s="13">
        <v>1</v>
      </c>
      <c r="AD34" s="13">
        <v>1</v>
      </c>
      <c r="AE34" s="13">
        <v>1</v>
      </c>
      <c r="AF34" s="13">
        <v>1</v>
      </c>
      <c r="AG34" s="13">
        <v>1</v>
      </c>
      <c r="AH34" s="13">
        <v>1</v>
      </c>
      <c r="AI34" s="13">
        <v>1</v>
      </c>
      <c r="AJ34" s="13">
        <v>1</v>
      </c>
      <c r="AK34" s="13">
        <v>1</v>
      </c>
      <c r="AL34" s="13">
        <v>1</v>
      </c>
      <c r="AM34" s="13">
        <v>1</v>
      </c>
      <c r="AN34" s="13">
        <v>1</v>
      </c>
      <c r="AO34" s="13">
        <v>1</v>
      </c>
      <c r="AP34" s="13">
        <v>1</v>
      </c>
      <c r="AQ34" s="13">
        <v>1</v>
      </c>
      <c r="AR34" s="13">
        <v>1</v>
      </c>
      <c r="AS34" s="13">
        <v>1</v>
      </c>
      <c r="AT34" s="13">
        <v>1</v>
      </c>
      <c r="AU34" s="13">
        <v>1</v>
      </c>
      <c r="AW34" s="127" t="str">
        <f t="shared" ca="1" si="14"/>
        <v/>
      </c>
      <c r="AX34" s="14"/>
      <c r="AY34" s="367">
        <f t="shared" ca="1" si="15"/>
        <v>41</v>
      </c>
      <c r="AZ34" s="367">
        <f t="shared" ca="1" si="16"/>
        <v>41</v>
      </c>
      <c r="BA34" s="367">
        <f t="shared" ca="1" si="16"/>
        <v>41</v>
      </c>
      <c r="BB34" s="367">
        <f t="shared" ca="1" si="16"/>
        <v>41</v>
      </c>
      <c r="BC34" s="367">
        <f t="shared" ca="1" si="16"/>
        <v>41</v>
      </c>
      <c r="BD34" s="367">
        <f t="shared" ca="1" si="16"/>
        <v>41</v>
      </c>
      <c r="BE34" s="367">
        <f t="shared" ca="1" si="16"/>
        <v>41</v>
      </c>
      <c r="BF34" s="367">
        <f t="shared" ca="1" si="16"/>
        <v>41</v>
      </c>
      <c r="BG34" s="367">
        <f t="shared" ca="1" si="16"/>
        <v>41</v>
      </c>
      <c r="BH34" s="367">
        <f t="shared" ca="1" si="16"/>
        <v>41</v>
      </c>
      <c r="BI34" s="367">
        <f t="shared" ca="1" si="16"/>
        <v>41</v>
      </c>
      <c r="BJ34" s="367">
        <f t="shared" ca="1" si="16"/>
        <v>41</v>
      </c>
      <c r="BK34" s="367">
        <f t="shared" ca="1" si="16"/>
        <v>41</v>
      </c>
      <c r="BL34" s="367">
        <f t="shared" ca="1" si="16"/>
        <v>41</v>
      </c>
      <c r="BM34" s="367">
        <f t="shared" ca="1" si="16"/>
        <v>41</v>
      </c>
      <c r="BN34" s="367">
        <f t="shared" ca="1" si="16"/>
        <v>41</v>
      </c>
      <c r="BO34" s="367">
        <f t="shared" ca="1" si="16"/>
        <v>41</v>
      </c>
      <c r="BP34" s="367">
        <f t="shared" ca="1" si="16"/>
        <v>41</v>
      </c>
      <c r="BQ34" s="367">
        <f t="shared" ca="1" si="16"/>
        <v>41</v>
      </c>
      <c r="BR34" s="367">
        <f t="shared" ca="1" si="16"/>
        <v>41</v>
      </c>
      <c r="BS34" s="367">
        <f t="shared" ca="1" si="16"/>
        <v>41</v>
      </c>
      <c r="BT34" s="367">
        <f t="shared" ca="1" si="16"/>
        <v>41</v>
      </c>
      <c r="BU34" s="367">
        <f t="shared" ca="1" si="16"/>
        <v>41</v>
      </c>
      <c r="BV34" s="367">
        <f t="shared" ca="1" si="16"/>
        <v>41</v>
      </c>
      <c r="BW34" s="367">
        <f t="shared" ca="1" si="16"/>
        <v>41</v>
      </c>
      <c r="BX34" s="367">
        <f t="shared" ca="1" si="16"/>
        <v>41</v>
      </c>
      <c r="BY34" s="367">
        <f t="shared" ca="1" si="16"/>
        <v>41</v>
      </c>
      <c r="BZ34" s="367">
        <f t="shared" ca="1" si="16"/>
        <v>41</v>
      </c>
      <c r="CA34" s="367">
        <f t="shared" ca="1" si="16"/>
        <v>41</v>
      </c>
      <c r="CB34" s="367">
        <f t="shared" ca="1" si="16"/>
        <v>41</v>
      </c>
      <c r="CC34" s="367">
        <f t="shared" ca="1" si="16"/>
        <v>41</v>
      </c>
      <c r="CD34" s="367">
        <f t="shared" ca="1" si="16"/>
        <v>41</v>
      </c>
      <c r="CE34" s="367">
        <f t="shared" ca="1" si="16"/>
        <v>41</v>
      </c>
      <c r="CF34" s="367">
        <f t="shared" ca="1" si="16"/>
        <v>41</v>
      </c>
      <c r="CG34" s="367">
        <f t="shared" ca="1" si="16"/>
        <v>41</v>
      </c>
      <c r="CH34" s="367">
        <f t="shared" ca="1" si="16"/>
        <v>41</v>
      </c>
      <c r="CI34" s="367">
        <f t="shared" ca="1" si="16"/>
        <v>41</v>
      </c>
      <c r="CJ34" s="367">
        <f t="shared" ca="1" si="16"/>
        <v>41</v>
      </c>
      <c r="CK34" s="367">
        <f t="shared" ca="1" si="16"/>
        <v>41</v>
      </c>
      <c r="CL34" s="367">
        <f t="shared" ca="1" si="16"/>
        <v>41</v>
      </c>
      <c r="CM34" s="367">
        <f t="shared" ca="1" si="12"/>
        <v>41</v>
      </c>
      <c r="CN34" s="14"/>
      <c r="CU34" s="14"/>
    </row>
    <row r="35" spans="1:125" ht="15" hidden="1" customHeight="1">
      <c r="E35" s="367">
        <f t="shared" ca="1" si="13"/>
        <v>0</v>
      </c>
      <c r="F35" s="367" t="str">
        <f t="shared" ca="1" si="13"/>
        <v/>
      </c>
      <c r="G35" s="13">
        <v>1</v>
      </c>
      <c r="H35" s="13">
        <v>1</v>
      </c>
      <c r="I35" s="13">
        <v>1</v>
      </c>
      <c r="J35" s="13">
        <v>1</v>
      </c>
      <c r="K35" s="13">
        <v>1</v>
      </c>
      <c r="L35" s="13">
        <v>1</v>
      </c>
      <c r="M35" s="13">
        <v>1</v>
      </c>
      <c r="N35" s="13">
        <v>1</v>
      </c>
      <c r="O35" s="13">
        <v>1</v>
      </c>
      <c r="P35" s="13">
        <v>1</v>
      </c>
      <c r="Q35" s="13">
        <v>1</v>
      </c>
      <c r="R35" s="13">
        <v>1</v>
      </c>
      <c r="S35" s="13">
        <v>1</v>
      </c>
      <c r="T35" s="13">
        <v>1</v>
      </c>
      <c r="U35" s="13">
        <v>1</v>
      </c>
      <c r="V35" s="13">
        <v>1</v>
      </c>
      <c r="W35" s="13">
        <v>1</v>
      </c>
      <c r="X35" s="13">
        <v>1</v>
      </c>
      <c r="Y35" s="13">
        <v>1</v>
      </c>
      <c r="Z35" s="13">
        <v>1</v>
      </c>
      <c r="AA35" s="13">
        <v>1</v>
      </c>
      <c r="AB35" s="13">
        <v>1</v>
      </c>
      <c r="AC35" s="13">
        <v>1</v>
      </c>
      <c r="AD35" s="13">
        <v>1</v>
      </c>
      <c r="AE35" s="13">
        <v>1</v>
      </c>
      <c r="AF35" s="13">
        <v>1</v>
      </c>
      <c r="AG35" s="13">
        <v>1</v>
      </c>
      <c r="AH35" s="13">
        <v>1</v>
      </c>
      <c r="AI35" s="13">
        <v>1</v>
      </c>
      <c r="AJ35" s="13">
        <v>1</v>
      </c>
      <c r="AK35" s="13">
        <v>1</v>
      </c>
      <c r="AL35" s="13">
        <v>1</v>
      </c>
      <c r="AM35" s="13">
        <v>1</v>
      </c>
      <c r="AN35" s="13">
        <v>1</v>
      </c>
      <c r="AO35" s="13">
        <v>1</v>
      </c>
      <c r="AP35" s="13">
        <v>1</v>
      </c>
      <c r="AQ35" s="13">
        <v>1</v>
      </c>
      <c r="AR35" s="13">
        <v>1</v>
      </c>
      <c r="AS35" s="13">
        <v>1</v>
      </c>
      <c r="AT35" s="13">
        <v>1</v>
      </c>
      <c r="AU35" s="13">
        <v>1</v>
      </c>
      <c r="AW35" s="127" t="str">
        <f t="shared" ca="1" si="14"/>
        <v/>
      </c>
      <c r="AX35" s="14"/>
      <c r="AY35" s="367">
        <f t="shared" ca="1" si="15"/>
        <v>41</v>
      </c>
      <c r="AZ35" s="367">
        <f t="shared" ca="1" si="16"/>
        <v>41</v>
      </c>
      <c r="BA35" s="367">
        <f t="shared" ca="1" si="16"/>
        <v>41</v>
      </c>
      <c r="BB35" s="367">
        <f t="shared" ca="1" si="16"/>
        <v>41</v>
      </c>
      <c r="BC35" s="367">
        <f t="shared" ca="1" si="16"/>
        <v>41</v>
      </c>
      <c r="BD35" s="367">
        <f t="shared" ca="1" si="16"/>
        <v>41</v>
      </c>
      <c r="BE35" s="367">
        <f t="shared" ca="1" si="16"/>
        <v>41</v>
      </c>
      <c r="BF35" s="367">
        <f t="shared" ca="1" si="16"/>
        <v>41</v>
      </c>
      <c r="BG35" s="367">
        <f t="shared" ca="1" si="16"/>
        <v>41</v>
      </c>
      <c r="BH35" s="367">
        <f t="shared" ca="1" si="16"/>
        <v>41</v>
      </c>
      <c r="BI35" s="367">
        <f t="shared" ca="1" si="16"/>
        <v>41</v>
      </c>
      <c r="BJ35" s="367">
        <f t="shared" ca="1" si="16"/>
        <v>41</v>
      </c>
      <c r="BK35" s="367">
        <f t="shared" ca="1" si="16"/>
        <v>41</v>
      </c>
      <c r="BL35" s="367">
        <f t="shared" ca="1" si="16"/>
        <v>41</v>
      </c>
      <c r="BM35" s="367">
        <f t="shared" ca="1" si="16"/>
        <v>41</v>
      </c>
      <c r="BN35" s="367">
        <f t="shared" ca="1" si="16"/>
        <v>41</v>
      </c>
      <c r="BO35" s="367">
        <f t="shared" ca="1" si="16"/>
        <v>41</v>
      </c>
      <c r="BP35" s="367">
        <f t="shared" ca="1" si="16"/>
        <v>41</v>
      </c>
      <c r="BQ35" s="367">
        <f t="shared" ca="1" si="16"/>
        <v>41</v>
      </c>
      <c r="BR35" s="367">
        <f t="shared" ca="1" si="16"/>
        <v>41</v>
      </c>
      <c r="BS35" s="367">
        <f t="shared" ca="1" si="16"/>
        <v>41</v>
      </c>
      <c r="BT35" s="367">
        <f t="shared" ca="1" si="16"/>
        <v>41</v>
      </c>
      <c r="BU35" s="367">
        <f t="shared" ca="1" si="16"/>
        <v>41</v>
      </c>
      <c r="BV35" s="367">
        <f t="shared" ca="1" si="16"/>
        <v>41</v>
      </c>
      <c r="BW35" s="367">
        <f t="shared" ca="1" si="16"/>
        <v>41</v>
      </c>
      <c r="BX35" s="367">
        <f t="shared" ca="1" si="16"/>
        <v>41</v>
      </c>
      <c r="BY35" s="367">
        <f t="shared" ca="1" si="16"/>
        <v>41</v>
      </c>
      <c r="BZ35" s="367">
        <f t="shared" ca="1" si="16"/>
        <v>41</v>
      </c>
      <c r="CA35" s="367">
        <f t="shared" ca="1" si="16"/>
        <v>41</v>
      </c>
      <c r="CB35" s="367">
        <f t="shared" ca="1" si="16"/>
        <v>41</v>
      </c>
      <c r="CC35" s="367">
        <f t="shared" ca="1" si="16"/>
        <v>41</v>
      </c>
      <c r="CD35" s="367">
        <f t="shared" ca="1" si="16"/>
        <v>41</v>
      </c>
      <c r="CE35" s="367">
        <f t="shared" ca="1" si="16"/>
        <v>41</v>
      </c>
      <c r="CF35" s="367">
        <f t="shared" ca="1" si="16"/>
        <v>41</v>
      </c>
      <c r="CG35" s="367">
        <f t="shared" ca="1" si="16"/>
        <v>41</v>
      </c>
      <c r="CH35" s="367">
        <f t="shared" ca="1" si="16"/>
        <v>41</v>
      </c>
      <c r="CI35" s="367">
        <f t="shared" ca="1" si="16"/>
        <v>41</v>
      </c>
      <c r="CJ35" s="367">
        <f t="shared" ca="1" si="16"/>
        <v>41</v>
      </c>
      <c r="CK35" s="367">
        <f t="shared" ca="1" si="16"/>
        <v>41</v>
      </c>
      <c r="CL35" s="367">
        <f t="shared" ca="1" si="16"/>
        <v>41</v>
      </c>
      <c r="CM35" s="367">
        <f t="shared" ca="1" si="12"/>
        <v>41</v>
      </c>
      <c r="CN35" s="14"/>
      <c r="CU35" s="14"/>
    </row>
    <row r="36" spans="1:125" ht="15" customHeight="1">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W36" s="127"/>
      <c r="AX36" s="14"/>
      <c r="CN36" s="14"/>
      <c r="CU36" s="14"/>
    </row>
    <row r="37" spans="1:125" ht="18" customHeight="1">
      <c r="G37" s="13"/>
      <c r="H37" s="13"/>
      <c r="I37" s="14"/>
      <c r="J37" s="14"/>
      <c r="AX37" s="14"/>
      <c r="CN37" s="14"/>
      <c r="CU37" s="14"/>
    </row>
    <row r="38" spans="1:125">
      <c r="CY38" s="458">
        <v>1</v>
      </c>
      <c r="CZ38" s="127">
        <v>2</v>
      </c>
      <c r="DC38" s="127">
        <v>4</v>
      </c>
      <c r="DD38" s="127">
        <v>5</v>
      </c>
      <c r="DK38" s="127" t="s">
        <v>456</v>
      </c>
      <c r="DO38" s="127">
        <v>1</v>
      </c>
      <c r="DP38" s="127">
        <v>2</v>
      </c>
    </row>
    <row r="39" spans="1:125">
      <c r="H39" s="1186" t="s">
        <v>233</v>
      </c>
      <c r="I39" s="1186"/>
      <c r="J39" s="412"/>
      <c r="K39" s="594" t="s">
        <v>234</v>
      </c>
      <c r="L39" s="594"/>
      <c r="M39" s="594"/>
      <c r="N39" s="594"/>
      <c r="O39" s="594"/>
      <c r="P39" s="594"/>
      <c r="Q39" s="594"/>
      <c r="R39" s="594"/>
      <c r="S39" s="594"/>
      <c r="T39" s="594"/>
      <c r="U39" s="594"/>
      <c r="V39" s="594"/>
      <c r="W39" s="594"/>
      <c r="X39" s="594"/>
      <c r="Y39" s="594"/>
      <c r="Z39" s="594"/>
      <c r="AA39" s="594"/>
      <c r="AB39" s="594"/>
      <c r="AC39" s="594"/>
      <c r="AD39" s="594"/>
      <c r="AE39" s="594"/>
      <c r="AF39" s="594"/>
      <c r="AG39" s="594"/>
      <c r="AH39" s="594"/>
      <c r="AI39" s="594"/>
      <c r="AJ39" s="594"/>
      <c r="AK39" s="594"/>
      <c r="AL39" s="594"/>
      <c r="AM39" s="594"/>
      <c r="AN39" s="594"/>
      <c r="AO39" s="594"/>
      <c r="AP39" s="594"/>
      <c r="AQ39" s="594"/>
      <c r="AR39" s="594"/>
      <c r="AS39" s="594"/>
      <c r="AT39" s="594"/>
      <c r="AU39" s="594"/>
      <c r="AV39" s="594"/>
      <c r="AW39" s="412"/>
      <c r="AX39" s="1186"/>
      <c r="AY39" s="1186"/>
      <c r="AZ39" s="566"/>
      <c r="BA39" s="566"/>
      <c r="BB39" s="566"/>
      <c r="BC39" s="566"/>
      <c r="BD39" s="566"/>
      <c r="BE39" s="566"/>
      <c r="BF39" s="566"/>
      <c r="BG39" s="566"/>
      <c r="BH39" s="566"/>
      <c r="BI39" s="566"/>
      <c r="BJ39" s="566"/>
      <c r="BK39" s="566"/>
      <c r="BL39" s="566"/>
      <c r="BM39" s="566"/>
      <c r="BN39" s="566"/>
      <c r="BO39" s="566"/>
      <c r="BP39" s="566"/>
      <c r="BQ39" s="566"/>
      <c r="BR39" s="566"/>
      <c r="BS39" s="566"/>
      <c r="BT39" s="566"/>
      <c r="BU39" s="566"/>
      <c r="BV39" s="566"/>
      <c r="BW39" s="566"/>
      <c r="BX39" s="566"/>
      <c r="BY39" s="566"/>
      <c r="BZ39" s="566"/>
      <c r="CA39" s="566"/>
      <c r="CB39" s="566"/>
      <c r="CC39" s="566"/>
      <c r="CD39" s="566"/>
      <c r="CE39" s="566"/>
      <c r="CF39" s="566"/>
      <c r="CG39" s="566"/>
      <c r="CH39" s="566"/>
      <c r="CI39" s="566"/>
      <c r="CJ39" s="566"/>
      <c r="CK39" s="566"/>
      <c r="CL39" s="566"/>
      <c r="CM39" s="412"/>
      <c r="CN39" s="1186"/>
      <c r="CO39" s="1186"/>
      <c r="CP39" s="412"/>
      <c r="CQ39" s="1186"/>
      <c r="CR39" s="1186"/>
      <c r="CS39" s="412"/>
      <c r="CU39" s="367">
        <v>1</v>
      </c>
      <c r="CY39" s="458" t="s">
        <v>233</v>
      </c>
      <c r="DA39" s="127" t="s">
        <v>465</v>
      </c>
      <c r="DC39" s="127" t="s">
        <v>234</v>
      </c>
      <c r="DK39" s="127">
        <v>1</v>
      </c>
    </row>
    <row r="40" spans="1:125" s="12" customFormat="1">
      <c r="A40" s="12">
        <f>A41</f>
        <v>1</v>
      </c>
      <c r="H40" s="12" t="s">
        <v>36</v>
      </c>
      <c r="I40" s="12" t="str">
        <f>CONCATENATE("Rank / ",$C$1)</f>
        <v>Rank / 30</v>
      </c>
      <c r="J40" s="12" t="s">
        <v>239</v>
      </c>
      <c r="CU40" s="12">
        <v>0</v>
      </c>
      <c r="CY40" s="469"/>
      <c r="CZ40" s="128"/>
      <c r="DA40" s="128"/>
      <c r="DB40" s="470"/>
      <c r="DC40" s="128"/>
      <c r="DD40" s="128"/>
      <c r="DE40" s="128"/>
      <c r="DF40" s="128"/>
      <c r="DG40" s="469"/>
      <c r="DH40" s="128"/>
      <c r="DI40" s="128"/>
      <c r="DJ40" s="470"/>
      <c r="DK40" s="128"/>
      <c r="DL40" s="128"/>
      <c r="DM40" s="128"/>
      <c r="DN40" s="128"/>
      <c r="DO40" s="128"/>
      <c r="DP40" s="128"/>
      <c r="DQ40" s="128"/>
      <c r="DR40" s="128"/>
      <c r="DS40" s="128">
        <v>40</v>
      </c>
      <c r="DT40" s="128"/>
      <c r="DU40" s="128"/>
    </row>
    <row r="41" spans="1:125">
      <c r="A41" s="367">
        <f>IF(ISEVEN(tblIndicators!C2),1,2)</f>
        <v>1</v>
      </c>
      <c r="B41" s="367">
        <f>tblIndiSets!B12</f>
        <v>1</v>
      </c>
      <c r="C41" s="129">
        <v>5</v>
      </c>
      <c r="D41" s="367">
        <f>tblCategories!AN5</f>
        <v>1</v>
      </c>
      <c r="E41" s="367" t="str">
        <f>tblIndiSets!E12</f>
        <v>OVERALL SCORE</v>
      </c>
      <c r="H41" s="367">
        <f t="shared" ref="H41" si="17">IF(B41="","",INDEX(aScoresRounded,B41,$B$2))</f>
        <v>74.599999999999994</v>
      </c>
      <c r="I41" s="13" t="str">
        <f t="shared" ref="I41" ca="1" si="18">IF($B41="","",IF(J41=1,"","=")&amp;RANK(H41,OFFSET(aScoresRounded,$B41-1,0,1,$C$1)))</f>
        <v>2</v>
      </c>
      <c r="J41" s="13">
        <f t="shared" ref="J41" ca="1" si="19">IF($B41="","",COUNTIF(OFFSET(aScoresRounded,$B41-1,0,1,$C$1),H41))</f>
        <v>1</v>
      </c>
      <c r="K41" s="367">
        <f t="shared" ref="K41:K110" si="20">IF($B41="","",INDEX(aScoresRounded,$B41,$B$3))</f>
        <v>60.1</v>
      </c>
      <c r="AV41" s="13" t="str">
        <f t="shared" ref="AV41" ca="1" si="21">IF($B41="","",IF(AW41=1,"","=")&amp;RANK(K41,OFFSET(aScoresRounded,$B41-1,0,1,$C$1)))</f>
        <v>22</v>
      </c>
      <c r="AW41" s="13">
        <f t="shared" ref="AW41" ca="1" si="22">IF($B41="","",COUNTIF(OFFSET(aScoresRounded,$B41-1,0,1,$C$1),K41))</f>
        <v>1</v>
      </c>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O41" s="13"/>
      <c r="CP41" s="13"/>
      <c r="CR41" s="13"/>
      <c r="CS41" s="13"/>
      <c r="CU41" s="367">
        <f t="shared" ref="CU41:CU51" ca="1" si="23">CU40+MATCH(CU$39,OFFSET($D$41:$D$110,CU40,0),0)</f>
        <v>1</v>
      </c>
      <c r="CV41" s="129">
        <f>IF(uxb_works!$B$32=1,2,IF(ISNA(CU41),0,IF(uxb_works!$B$32=1,IF(ISEVEN(LEFT(TRIM(CX41),1)),2,1),INDEX($C$41:$C$110,CU41))))</f>
        <v>2</v>
      </c>
      <c r="CW41" s="129">
        <f ca="1">IF(CX41="",0,IF($CW$15=TRIM(CX41),2,1))</f>
        <v>1</v>
      </c>
      <c r="CX41" s="367" t="str">
        <f t="shared" ref="CX41:CX51" ca="1" si="24">IF(ISNUMBER($CU41),INDEX(E$41:E$110,$CU41),"")</f>
        <v>OVERALL SCORE</v>
      </c>
      <c r="CY41" s="458">
        <f t="shared" ref="CY41:CZ51" ca="1" si="25">IF(ISNUMBER($CU41),INDEX($H$41:$CL$110,$CU41,CY$38),"")</f>
        <v>74.599999999999994</v>
      </c>
      <c r="CZ41" s="127" t="str">
        <f t="shared" ca="1" si="25"/>
        <v>2</v>
      </c>
      <c r="DA41" s="127">
        <f ca="1">IF(CY41="","",IF(CY41&lt;=uxb_works!$B$122,1,IF(CY41&lt;=uxb_works!$B$121,2,IF(CY41&lt;=uxb_works!$B$120,3,4))))</f>
        <v>3</v>
      </c>
      <c r="DB41" s="127">
        <f ca="1">IF(CY41="","",ROUNDUP(((CY41*40)/100),0))</f>
        <v>30</v>
      </c>
      <c r="DC41" s="127">
        <f t="shared" ref="DC41:DD51" ca="1" si="26">IF(ISNUMBER($CU41),INDEX($H$41:$CL$110,$CU41,DC$38),"")</f>
        <v>60.1</v>
      </c>
      <c r="DD41" s="127">
        <f t="shared" ca="1" si="26"/>
        <v>0</v>
      </c>
      <c r="DE41" s="127">
        <f ca="1">IF(DC41="","",IF(DC41&lt;=uxb_works!$B$122,1,IF(DC41&lt;=uxb_works!$B$121,2,IF(DC41&lt;=uxb_works!$B$120,3,4))))</f>
        <v>3</v>
      </c>
      <c r="DK41" s="367">
        <f>tblIndiSets!B5</f>
        <v>1</v>
      </c>
      <c r="DL41" s="129">
        <f>IF(uxb_works!$B$32=1,2,IF(ISNA(DK41),0,IF(uxb_works!$B$32=1,IF(ISEVEN(LEFT(TRIM(DN41),1)),2,1),INDEX($C$41:$C$110,DK41))))</f>
        <v>2</v>
      </c>
      <c r="DM41" s="129">
        <f>IF(DN41="",0,IF($DM$38=DK41,2,1))</f>
        <v>1</v>
      </c>
      <c r="DN41" s="367" t="str">
        <f t="shared" ref="DN41:DN51" si="27">IF(ISNUMBER($DK41),INDEX(E$41:E$110,$DK41),"")</f>
        <v>OVERALL SCORE</v>
      </c>
      <c r="DO41" s="458">
        <f t="shared" ref="DO41:DP51" si="28">IF(ISNUMBER($DK41),INDEX($H$41:$CL$110,$DK41,DO$38),"")</f>
        <v>74.599999999999994</v>
      </c>
      <c r="DP41" s="127" t="str">
        <f t="shared" ca="1" si="28"/>
        <v>2</v>
      </c>
      <c r="DQ41" s="127">
        <f>IF(DO41="","",IF(DO41&lt;=uxb_works!$B$122,1,IF(DO41&lt;=uxb_works!$B$121,2,IF(DO41&lt;=uxb_works!$B$120,3,4))))</f>
        <v>3</v>
      </c>
      <c r="DR41" s="459"/>
      <c r="DS41" s="127">
        <f>ROUNDUP(((DO41*40)/100),0)</f>
        <v>30</v>
      </c>
    </row>
    <row r="42" spans="1:125">
      <c r="A42" s="367">
        <f>IF(ISEVEN(tblIndicators!C3),1,2)</f>
        <v>2</v>
      </c>
      <c r="B42" s="367">
        <f>tblIndiSets!B13</f>
        <v>2</v>
      </c>
      <c r="C42" s="367">
        <f>tblIndiSets!D13</f>
        <v>1</v>
      </c>
      <c r="D42" s="367">
        <f>tblCategories!AN6</f>
        <v>1</v>
      </c>
      <c r="E42" s="367" t="str">
        <f>tblIndiSets!E13</f>
        <v xml:space="preserve"> 1) CONNECTIVITY</v>
      </c>
      <c r="H42" s="367">
        <f t="shared" ref="H42" si="29">IF(B42="","",INDEX(aScoresRounded,B42,$B$2))</f>
        <v>77</v>
      </c>
      <c r="I42" s="13" t="str">
        <f t="shared" ref="I42" ca="1" si="30">IF($B42="","",IF(J42=1,"","=")&amp;RANK(H42,OFFSET(aScoresRounded,$B42-1,0,1,$C$1)))</f>
        <v>6</v>
      </c>
      <c r="J42" s="13">
        <f t="shared" ref="J42" ca="1" si="31">IF($B42="","",COUNTIF(OFFSET(aScoresRounded,$B42-1,0,1,$C$1),H42))</f>
        <v>1</v>
      </c>
      <c r="K42" s="367">
        <f t="shared" si="20"/>
        <v>59.7</v>
      </c>
      <c r="AV42" s="13" t="str">
        <f t="shared" ref="AV42" ca="1" si="32">IF($B42="","",IF(AW42=1,"","=")&amp;RANK(K42,OFFSET(aScoresRounded,$B42-1,0,1,$C$1)))</f>
        <v>22</v>
      </c>
      <c r="AW42" s="13">
        <f t="shared" ref="AW42" ca="1" si="33">IF($B42="","",COUNTIF(OFFSET(aScoresRounded,$B42-1,0,1,$C$1),K42))</f>
        <v>1</v>
      </c>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O42" s="13"/>
      <c r="CP42" s="13"/>
      <c r="CR42" s="13"/>
      <c r="CS42" s="13"/>
      <c r="CU42" s="367">
        <f t="shared" ca="1" si="23"/>
        <v>2</v>
      </c>
      <c r="CV42" s="367">
        <f ca="1">IF(ISNA(CU42),0,IF(uxb_works!$B$32=1,IF(ISEVEN(LEFT(TRIM(CX42),1)),2,1),INDEX($C$41:$C$110,CU42)))</f>
        <v>1</v>
      </c>
      <c r="CW42" s="367">
        <f t="shared" ref="CW42" ca="1" si="34">IF(CX42="",0,IF($CW$15=TRIM(CX42),2,1))</f>
        <v>1</v>
      </c>
      <c r="CX42" s="367" t="str">
        <f t="shared" ca="1" si="24"/>
        <v xml:space="preserve"> 1) CONNECTIVITY</v>
      </c>
      <c r="CY42" s="458">
        <f t="shared" ca="1" si="25"/>
        <v>77</v>
      </c>
      <c r="CZ42" s="127" t="str">
        <f t="shared" ca="1" si="25"/>
        <v>6</v>
      </c>
      <c r="DA42" s="127">
        <f ca="1">IF(CY42="","",IF(CY42&lt;=uxb_works!$B$122,1,IF(CY42&lt;=uxb_works!$B$121,2,IF(CY42&lt;=uxb_works!$B$120,3,4))))</f>
        <v>4</v>
      </c>
      <c r="DB42" s="127">
        <f t="shared" ref="DB42:DB43" ca="1" si="35">IF(CY42="","",ROUNDUP(((CY42*40)/100),0))</f>
        <v>31</v>
      </c>
      <c r="DC42" s="127">
        <f t="shared" ca="1" si="26"/>
        <v>59.7</v>
      </c>
      <c r="DD42" s="127">
        <f t="shared" ca="1" si="26"/>
        <v>0</v>
      </c>
      <c r="DE42" s="127">
        <f ca="1">IF(DC42="","",IF(DC42&lt;=uxb_works!$B$122,1,IF(DC42&lt;=uxb_works!$B$121,2,IF(DC42&lt;=uxb_works!$B$120,3,4))))</f>
        <v>3</v>
      </c>
      <c r="DK42" s="367">
        <f>tblIndiSets!B6</f>
        <v>2</v>
      </c>
      <c r="DL42" s="129">
        <f>IF(uxb_works!$B$32=1,2,IF(ISNA(DK42),0,IF(uxb_works!$B$32=1,IF(ISEVEN(LEFT(TRIM(DN42),1)),2,1),INDEX($C$41:$C$110,DK42))))</f>
        <v>2</v>
      </c>
      <c r="DM42" s="129">
        <f t="shared" ref="DM42" si="36">IF(DN42="",0,IF($DM$38=DK42,2,1))</f>
        <v>1</v>
      </c>
      <c r="DN42" s="367" t="str">
        <f t="shared" si="27"/>
        <v xml:space="preserve"> 1) CONNECTIVITY</v>
      </c>
      <c r="DO42" s="458">
        <f t="shared" si="28"/>
        <v>77</v>
      </c>
      <c r="DP42" s="127" t="str">
        <f t="shared" ca="1" si="28"/>
        <v>6</v>
      </c>
      <c r="DQ42" s="127">
        <f>IF(DO42="","",IF(DO42&lt;=uxb_works!$B$122,1,IF(DO42&lt;=uxb_works!$B$121,2,IF(DO42&lt;=uxb_works!$B$120,3,4))))</f>
        <v>4</v>
      </c>
      <c r="DR42" s="459"/>
      <c r="DS42" s="127">
        <f t="shared" ref="DS42:DS43" si="37">ROUNDUP(((DO42*40)/100),0)</f>
        <v>31</v>
      </c>
    </row>
    <row r="43" spans="1:125">
      <c r="A43" s="367">
        <f>IF(ISEVEN(tblIndicators!C4),1,2)</f>
        <v>2</v>
      </c>
      <c r="B43" s="367">
        <f>tblIndiSets!B14</f>
        <v>3</v>
      </c>
      <c r="C43" s="367">
        <f>tblIndiSets!D14</f>
        <v>2</v>
      </c>
      <c r="D43" s="367">
        <f>tblCategories!AN7</f>
        <v>0</v>
      </c>
      <c r="E43" s="367" t="str">
        <f>tblIndiSets!E14</f>
        <v xml:space="preserve">  1.1) Digital infrastructure</v>
      </c>
      <c r="H43" s="367">
        <f t="shared" ref="H43" si="38">IF(B43="","",INDEX(aScoresRounded,B43,$B$2))</f>
        <v>84</v>
      </c>
      <c r="I43" s="13" t="str">
        <f t="shared" ref="I43" ca="1" si="39">IF($B43="","",IF(J43=1,"","=")&amp;RANK(H43,OFFSET(aScoresRounded,$B43-1,0,1,$C$1)))</f>
        <v>8</v>
      </c>
      <c r="J43" s="13">
        <f t="shared" ref="J43" ca="1" si="40">IF($B43="","",COUNTIF(OFFSET(aScoresRounded,$B43-1,0,1,$C$1),H43))</f>
        <v>1</v>
      </c>
      <c r="K43" s="367">
        <f t="shared" si="20"/>
        <v>77.3</v>
      </c>
      <c r="AV43" s="13" t="str">
        <f t="shared" ref="AV43" ca="1" si="41">IF($B43="","",IF(AW43=1,"","=")&amp;RANK(K43,OFFSET(aScoresRounded,$B43-1,0,1,$C$1)))</f>
        <v>15</v>
      </c>
      <c r="AW43" s="13">
        <f t="shared" ref="AW43" ca="1" si="42">IF($B43="","",COUNTIF(OFFSET(aScoresRounded,$B43-1,0,1,$C$1),K43))</f>
        <v>1</v>
      </c>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O43" s="13"/>
      <c r="CP43" s="13"/>
      <c r="CR43" s="13"/>
      <c r="CS43" s="13"/>
      <c r="CU43" s="367">
        <f t="shared" ca="1" si="23"/>
        <v>16</v>
      </c>
      <c r="CV43" s="367">
        <f ca="1">IF(ISNA(CU43),0,IF(uxb_works!$B$32=1,IF(ISEVEN(LEFT(TRIM(CX43),1)),2,1),INDEX($C$41:$C$110,CU43)))</f>
        <v>2</v>
      </c>
      <c r="CW43" s="367">
        <f t="shared" ref="CW43" ca="1" si="43">IF(CX43="",0,IF($CW$15=TRIM(CX43),2,1))</f>
        <v>1</v>
      </c>
      <c r="CX43" s="367" t="str">
        <f t="shared" ca="1" si="24"/>
        <v xml:space="preserve"> 2) SERVICES</v>
      </c>
      <c r="CY43" s="458">
        <f t="shared" ca="1" si="25"/>
        <v>73.2</v>
      </c>
      <c r="CZ43" s="127" t="str">
        <f t="shared" ca="1" si="25"/>
        <v>4</v>
      </c>
      <c r="DA43" s="127">
        <f ca="1">IF(CY43="","",IF(CY43&lt;=uxb_works!$B$122,1,IF(CY43&lt;=uxb_works!$B$121,2,IF(CY43&lt;=uxb_works!$B$120,3,4))))</f>
        <v>3</v>
      </c>
      <c r="DB43" s="127">
        <f t="shared" ca="1" si="35"/>
        <v>30</v>
      </c>
      <c r="DC43" s="127">
        <f t="shared" ca="1" si="26"/>
        <v>49.5</v>
      </c>
      <c r="DD43" s="127">
        <f t="shared" ca="1" si="26"/>
        <v>0</v>
      </c>
      <c r="DE43" s="127">
        <f ca="1">IF(DC43="","",IF(DC43&lt;=uxb_works!$B$122,1,IF(DC43&lt;=uxb_works!$B$121,2,IF(DC43&lt;=uxb_works!$B$120,3,4))))</f>
        <v>2</v>
      </c>
      <c r="DK43" s="367">
        <f>tblIndiSets!B8</f>
        <v>37</v>
      </c>
      <c r="DL43" s="129">
        <f>IF(uxb_works!$B$32=1,2,IF(ISNA(DK43),0,IF(uxb_works!$B$32=1,IF(ISEVEN(LEFT(TRIM(DN43),1)),2,1),INDEX($C$41:$C$110,DK43))))</f>
        <v>2</v>
      </c>
      <c r="DM43" s="129">
        <f t="shared" ref="DM43" si="44">IF(DN43="",0,IF($DM$38=DK43,2,1))</f>
        <v>1</v>
      </c>
      <c r="DN43" s="367" t="str">
        <f t="shared" si="27"/>
        <v xml:space="preserve"> 3) CULTURE</v>
      </c>
      <c r="DO43" s="458">
        <f t="shared" si="28"/>
        <v>62.1</v>
      </c>
      <c r="DP43" s="127" t="str">
        <f t="shared" ca="1" si="28"/>
        <v>15</v>
      </c>
      <c r="DQ43" s="127">
        <f>IF(DO43="","",IF(DO43&lt;=uxb_works!$B$122,1,IF(DO43&lt;=uxb_works!$B$121,2,IF(DO43&lt;=uxb_works!$B$120,3,4))))</f>
        <v>3</v>
      </c>
      <c r="DR43" s="459"/>
      <c r="DS43" s="127">
        <f t="shared" si="37"/>
        <v>25</v>
      </c>
    </row>
    <row r="44" spans="1:125">
      <c r="A44" s="367">
        <f>IF(ISEVEN(tblIndicators!C5),1,2)</f>
        <v>2</v>
      </c>
      <c r="B44" s="367">
        <f>tblIndiSets!B15</f>
        <v>4</v>
      </c>
      <c r="C44" s="367">
        <f>tblIndiSets!D15</f>
        <v>3</v>
      </c>
      <c r="D44" s="367">
        <f>tblCategories!AN8</f>
        <v>0</v>
      </c>
      <c r="E44" s="367" t="str">
        <f>tblIndiSets!E15</f>
        <v xml:space="preserve">   1.1.1) Mobile broadband subscriptions</v>
      </c>
      <c r="H44" s="367">
        <f t="shared" ref="H44:H51" si="45">IF(B44="","",INDEX(aScoresRounded,B44,$B$2))</f>
        <v>49.9</v>
      </c>
      <c r="I44" s="13" t="str">
        <f t="shared" ref="I44:I51" ca="1" si="46">IF($B44="","",IF(J44=1,"","=")&amp;RANK(H44,OFFSET(aScoresRounded,$B44-1,0,1,$C$1)))</f>
        <v>10</v>
      </c>
      <c r="J44" s="13">
        <f t="shared" ref="J44:J51" ca="1" si="47">IF($B44="","",COUNTIF(OFFSET(aScoresRounded,$B44-1,0,1,$C$1),H44))</f>
        <v>1</v>
      </c>
      <c r="K44" s="367">
        <f t="shared" si="20"/>
        <v>42</v>
      </c>
      <c r="AV44" s="13" t="str">
        <f t="shared" ref="AV44:AV51" ca="1" si="48">IF($B44="","",IF(AW44=1,"","=")&amp;RANK(K44,OFFSET(aScoresRounded,$B44-1,0,1,$C$1)))</f>
        <v>13</v>
      </c>
      <c r="AW44" s="13">
        <f t="shared" ref="AW44:AW51" ca="1" si="49">IF($B44="","",COUNTIF(OFFSET(aScoresRounded,$B44-1,0,1,$C$1),K44))</f>
        <v>1</v>
      </c>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O44" s="13"/>
      <c r="CP44" s="13"/>
      <c r="CR44" s="13"/>
      <c r="CS44" s="13"/>
      <c r="CU44" s="367">
        <f t="shared" ca="1" si="23"/>
        <v>37</v>
      </c>
      <c r="CV44" s="367">
        <f ca="1">IF(ISNA(CU44),0,IF(uxb_works!$B$32=1,IF(ISEVEN(LEFT(TRIM(CX44),1)),2,1),INDEX($C$41:$C$110,CU44)))</f>
        <v>1</v>
      </c>
      <c r="CW44" s="367">
        <f t="shared" ref="CW44:CW51" ca="1" si="50">IF(CX44="",0,IF($CW$15=TRIM(CX44),2,1))</f>
        <v>1</v>
      </c>
      <c r="CX44" s="367" t="str">
        <f t="shared" ca="1" si="24"/>
        <v xml:space="preserve"> 3) CULTURE</v>
      </c>
      <c r="CY44" s="458">
        <f t="shared" ca="1" si="25"/>
        <v>62.1</v>
      </c>
      <c r="CZ44" s="127" t="str">
        <f t="shared" ca="1" si="25"/>
        <v>15</v>
      </c>
      <c r="DA44" s="127">
        <f ca="1">IF(CY44="","",IF(CY44&lt;=uxb_works!$B$122,1,IF(CY44&lt;=uxb_works!$B$121,2,IF(CY44&lt;=uxb_works!$B$120,3,4))))</f>
        <v>3</v>
      </c>
      <c r="DB44" s="127">
        <f t="shared" ref="DB44:DB51" ca="1" si="51">IF(CY44="","",ROUNDUP(((CY44*40)/100),0))</f>
        <v>25</v>
      </c>
      <c r="DC44" s="127">
        <f t="shared" ca="1" si="26"/>
        <v>67</v>
      </c>
      <c r="DD44" s="127">
        <f t="shared" ca="1" si="26"/>
        <v>0</v>
      </c>
      <c r="DE44" s="127">
        <f ca="1">IF(DC44="","",IF(DC44&lt;=uxb_works!$B$122,1,IF(DC44&lt;=uxb_works!$B$121,2,IF(DC44&lt;=uxb_works!$B$120,3,4))))</f>
        <v>3</v>
      </c>
      <c r="DK44" s="367">
        <f>tblIndiSets!B9</f>
        <v>57</v>
      </c>
      <c r="DL44" s="129">
        <f>IF(uxb_works!$B$32=1,2,IF(ISNA(DK44),0,IF(uxb_works!$B$32=1,IF(ISEVEN(LEFT(TRIM(DN44),1)),2,1),INDEX($C$41:$C$110,DK44))))</f>
        <v>2</v>
      </c>
      <c r="DM44" s="129">
        <f t="shared" ref="DM44:DM51" si="52">IF(DN44="",0,IF($DM$38=DK44,2,1))</f>
        <v>1</v>
      </c>
      <c r="DN44" s="367" t="str">
        <f t="shared" si="27"/>
        <v xml:space="preserve"> 4) SUSTAINABILITY</v>
      </c>
      <c r="DO44" s="458">
        <f t="shared" si="28"/>
        <v>85.4</v>
      </c>
      <c r="DP44" s="127" t="str">
        <f t="shared" ca="1" si="28"/>
        <v>6</v>
      </c>
      <c r="DQ44" s="127">
        <f>IF(DO44="","",IF(DO44&lt;=uxb_works!$B$122,1,IF(DO44&lt;=uxb_works!$B$121,2,IF(DO44&lt;=uxb_works!$B$120,3,4))))</f>
        <v>4</v>
      </c>
      <c r="DR44" s="459"/>
      <c r="DS44" s="127">
        <f t="shared" ref="DS44:DS51" si="53">ROUNDUP(((DO44*40)/100),0)</f>
        <v>35</v>
      </c>
    </row>
    <row r="45" spans="1:125">
      <c r="A45" s="367">
        <f>IF(ISEVEN(tblIndicators!C6),1,2)</f>
        <v>2</v>
      </c>
      <c r="B45" s="367">
        <f>tblIndiSets!B16</f>
        <v>5</v>
      </c>
      <c r="C45" s="367">
        <f>tblIndiSets!D16</f>
        <v>3</v>
      </c>
      <c r="D45" s="367">
        <f>tblCategories!AN9</f>
        <v>0</v>
      </c>
      <c r="E45" s="367" t="str">
        <f>tblIndiSets!E16</f>
        <v xml:space="preserve">   1.1.2) Fixed broadband susbcriptions</v>
      </c>
      <c r="H45" s="367">
        <f t="shared" si="45"/>
        <v>93.4</v>
      </c>
      <c r="I45" s="13" t="str">
        <f t="shared" ca="1" si="46"/>
        <v>4</v>
      </c>
      <c r="J45" s="13">
        <f t="shared" ca="1" si="47"/>
        <v>1</v>
      </c>
      <c r="K45" s="367">
        <f t="shared" si="20"/>
        <v>73.099999999999994</v>
      </c>
      <c r="AV45" s="13" t="str">
        <f t="shared" ca="1" si="48"/>
        <v>15</v>
      </c>
      <c r="AW45" s="13">
        <f t="shared" ca="1" si="49"/>
        <v>1</v>
      </c>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O45" s="13"/>
      <c r="CP45" s="13"/>
      <c r="CR45" s="13"/>
      <c r="CS45" s="13"/>
      <c r="CU45" s="367">
        <f t="shared" ca="1" si="23"/>
        <v>57</v>
      </c>
      <c r="CV45" s="367">
        <f ca="1">IF(ISNA(CU45),0,IF(uxb_works!$B$32=1,IF(ISEVEN(LEFT(TRIM(CX45),1)),2,1),INDEX($C$41:$C$110,CU45)))</f>
        <v>2</v>
      </c>
      <c r="CW45" s="367">
        <f t="shared" ca="1" si="50"/>
        <v>1</v>
      </c>
      <c r="CX45" s="367" t="str">
        <f t="shared" ca="1" si="24"/>
        <v xml:space="preserve"> 4) SUSTAINABILITY</v>
      </c>
      <c r="CY45" s="458">
        <f t="shared" ca="1" si="25"/>
        <v>85.4</v>
      </c>
      <c r="CZ45" s="127" t="str">
        <f t="shared" ca="1" si="25"/>
        <v>6</v>
      </c>
      <c r="DA45" s="127">
        <f ca="1">IF(CY45="","",IF(CY45&lt;=uxb_works!$B$122,1,IF(CY45&lt;=uxb_works!$B$121,2,IF(CY45&lt;=uxb_works!$B$120,3,4))))</f>
        <v>4</v>
      </c>
      <c r="DB45" s="127">
        <f t="shared" ca="1" si="51"/>
        <v>35</v>
      </c>
      <c r="DC45" s="127">
        <f t="shared" ca="1" si="26"/>
        <v>68.099999999999994</v>
      </c>
      <c r="DD45" s="127">
        <f t="shared" ca="1" si="26"/>
        <v>0</v>
      </c>
      <c r="DE45" s="127">
        <f ca="1">IF(DC45="","",IF(DC45&lt;=uxb_works!$B$122,1,IF(DC45&lt;=uxb_works!$B$121,2,IF(DC45&lt;=uxb_works!$B$120,3,4))))</f>
        <v>3</v>
      </c>
      <c r="DK45" s="367">
        <f>tblIndiSets!B10</f>
        <v>0</v>
      </c>
      <c r="DL45" s="129">
        <f>IF(uxb_works!$B$32=1,2,IF(ISNA(DK45),0,IF(uxb_works!$B$32=1,IF(ISEVEN(LEFT(TRIM(DN45),1)),2,1),INDEX($C$41:$C$110,DK45))))</f>
        <v>2</v>
      </c>
      <c r="DM45" s="129">
        <f t="shared" si="52"/>
        <v>2</v>
      </c>
      <c r="DN45" s="367" t="str">
        <f t="shared" si="27"/>
        <v xml:space="preserve">   1.1.2) Fixed broadband susbcriptions</v>
      </c>
      <c r="DO45" s="458">
        <f t="shared" si="28"/>
        <v>93.4</v>
      </c>
      <c r="DP45" s="127" t="str">
        <f t="shared" ca="1" si="28"/>
        <v>4</v>
      </c>
      <c r="DQ45" s="127">
        <f>IF(DO45="","",IF(DO45&lt;=uxb_works!$B$122,1,IF(DO45&lt;=uxb_works!$B$121,2,IF(DO45&lt;=uxb_works!$B$120,3,4))))</f>
        <v>4</v>
      </c>
      <c r="DR45" s="459"/>
      <c r="DS45" s="127">
        <f t="shared" si="53"/>
        <v>38</v>
      </c>
    </row>
    <row r="46" spans="1:125">
      <c r="A46" s="367">
        <f>IF(ISEVEN(tblIndicators!C7),1,2)</f>
        <v>2</v>
      </c>
      <c r="B46" s="367">
        <f>tblIndiSets!B17</f>
        <v>6</v>
      </c>
      <c r="C46" s="367">
        <f>tblIndiSets!D17</f>
        <v>3</v>
      </c>
      <c r="D46" s="367">
        <f>tblCategories!AN10</f>
        <v>0</v>
      </c>
      <c r="E46" s="367" t="str">
        <f>tblIndiSets!E17</f>
        <v xml:space="preserve">   1.1.3) 5G readiness</v>
      </c>
      <c r="H46" s="367">
        <f t="shared" si="45"/>
        <v>100</v>
      </c>
      <c r="I46" s="13" t="str">
        <f t="shared" ca="1" si="46"/>
        <v>=1</v>
      </c>
      <c r="J46" s="13">
        <f t="shared" ca="1" si="47"/>
        <v>29</v>
      </c>
      <c r="K46" s="367">
        <f t="shared" si="20"/>
        <v>100</v>
      </c>
      <c r="AV46" s="13" t="str">
        <f t="shared" ca="1" si="48"/>
        <v>=1</v>
      </c>
      <c r="AW46" s="13">
        <f t="shared" ca="1" si="49"/>
        <v>29</v>
      </c>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O46" s="13"/>
      <c r="CP46" s="13"/>
      <c r="CR46" s="13"/>
      <c r="CS46" s="13"/>
      <c r="CU46" s="367" t="e">
        <f t="shared" ca="1" si="23"/>
        <v>#N/A</v>
      </c>
      <c r="CV46" s="367">
        <f ca="1">IF(ISNA(CU46),0,IF(uxb_works!$B$32=1,IF(ISEVEN(LEFT(TRIM(CX46),1)),2,1),INDEX($C$41:$C$110,CU46)))</f>
        <v>0</v>
      </c>
      <c r="CW46" s="367">
        <f t="shared" ca="1" si="50"/>
        <v>0</v>
      </c>
      <c r="CX46" s="367" t="str">
        <f t="shared" ca="1" si="24"/>
        <v/>
      </c>
      <c r="CY46" s="458" t="str">
        <f t="shared" ca="1" si="25"/>
        <v/>
      </c>
      <c r="CZ46" s="127" t="str">
        <f t="shared" ca="1" si="25"/>
        <v/>
      </c>
      <c r="DA46" s="127" t="str">
        <f ca="1">IF(CY46="","",IF(CY46&lt;=uxb_works!$B$122,1,IF(CY46&lt;=uxb_works!$B$121,2,IF(CY46&lt;=uxb_works!$B$120,3,4))))</f>
        <v/>
      </c>
      <c r="DB46" s="127" t="str">
        <f t="shared" ca="1" si="51"/>
        <v/>
      </c>
      <c r="DC46" s="127" t="str">
        <f t="shared" ca="1" si="26"/>
        <v/>
      </c>
      <c r="DD46" s="127" t="str">
        <f t="shared" ca="1" si="26"/>
        <v/>
      </c>
      <c r="DE46" s="127" t="str">
        <f ca="1">IF(DC46="","",IF(DC46&lt;=uxb_works!$B$122,1,IF(DC46&lt;=uxb_works!$B$121,2,IF(DC46&lt;=uxb_works!$B$120,3,4))))</f>
        <v/>
      </c>
      <c r="DK46" s="367">
        <f>tblIndiSets!B11</f>
        <v>0</v>
      </c>
      <c r="DL46" s="129">
        <f>IF(uxb_works!$B$32=1,2,IF(ISNA(DK46),0,IF(uxb_works!$B$32=1,IF(ISEVEN(LEFT(TRIM(DN46),1)),2,1),INDEX($C$41:$C$110,DK46))))</f>
        <v>2</v>
      </c>
      <c r="DM46" s="129">
        <f t="shared" si="52"/>
        <v>2</v>
      </c>
      <c r="DN46" s="367" t="str">
        <f t="shared" si="27"/>
        <v xml:space="preserve">   1.1.3) 5G readiness</v>
      </c>
      <c r="DO46" s="458">
        <f t="shared" si="28"/>
        <v>100</v>
      </c>
      <c r="DP46" s="127" t="str">
        <f t="shared" ca="1" si="28"/>
        <v>=1</v>
      </c>
      <c r="DQ46" s="127">
        <f>IF(DO46="","",IF(DO46&lt;=uxb_works!$B$122,1,IF(DO46&lt;=uxb_works!$B$121,2,IF(DO46&lt;=uxb_works!$B$120,3,4))))</f>
        <v>4</v>
      </c>
      <c r="DR46" s="459"/>
      <c r="DS46" s="127">
        <f t="shared" si="53"/>
        <v>40</v>
      </c>
    </row>
    <row r="47" spans="1:125">
      <c r="A47" s="367">
        <f>IF(ISEVEN(tblIndicators!C8),1,2)</f>
        <v>2</v>
      </c>
      <c r="B47" s="367">
        <f>tblIndiSets!B18</f>
        <v>7</v>
      </c>
      <c r="C47" s="367">
        <f>tblIndiSets!D18</f>
        <v>3</v>
      </c>
      <c r="D47" s="367">
        <f>tblCategories!AN11</f>
        <v>0</v>
      </c>
      <c r="E47" s="367" t="str">
        <f>tblIndiSets!E18</f>
        <v xml:space="preserve">   1.1.4) 5G deployment</v>
      </c>
      <c r="H47" s="367">
        <f t="shared" si="45"/>
        <v>100</v>
      </c>
      <c r="I47" s="13" t="str">
        <f t="shared" ca="1" si="46"/>
        <v>=1</v>
      </c>
      <c r="J47" s="13">
        <f t="shared" ca="1" si="47"/>
        <v>29</v>
      </c>
      <c r="K47" s="367">
        <f t="shared" si="20"/>
        <v>100</v>
      </c>
      <c r="AV47" s="13" t="str">
        <f t="shared" ca="1" si="48"/>
        <v>=1</v>
      </c>
      <c r="AW47" s="13">
        <f t="shared" ca="1" si="49"/>
        <v>29</v>
      </c>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O47" s="13"/>
      <c r="CP47" s="13"/>
      <c r="CR47" s="13"/>
      <c r="CS47" s="13"/>
      <c r="CU47" s="367" t="e">
        <f t="shared" ca="1" si="23"/>
        <v>#N/A</v>
      </c>
      <c r="CV47" s="367">
        <f ca="1">IF(ISNA(CU47),0,IF(uxb_works!$B$32=1,IF(ISEVEN(LEFT(TRIM(CX47),1)),2,1),INDEX($C$41:$C$110,CU47)))</f>
        <v>0</v>
      </c>
      <c r="CW47" s="367">
        <f t="shared" ca="1" si="50"/>
        <v>0</v>
      </c>
      <c r="CX47" s="367" t="str">
        <f t="shared" ca="1" si="24"/>
        <v/>
      </c>
      <c r="CY47" s="458" t="str">
        <f t="shared" ca="1" si="25"/>
        <v/>
      </c>
      <c r="CZ47" s="127" t="str">
        <f t="shared" ca="1" si="25"/>
        <v/>
      </c>
      <c r="DA47" s="127" t="str">
        <f ca="1">IF(CY47="","",IF(CY47&lt;=uxb_works!$B$122,1,IF(CY47&lt;=uxb_works!$B$121,2,IF(CY47&lt;=uxb_works!$B$120,3,4))))</f>
        <v/>
      </c>
      <c r="DB47" s="127" t="str">
        <f t="shared" ca="1" si="51"/>
        <v/>
      </c>
      <c r="DC47" s="127" t="str">
        <f t="shared" ca="1" si="26"/>
        <v/>
      </c>
      <c r="DD47" s="127" t="str">
        <f t="shared" ca="1" si="26"/>
        <v/>
      </c>
      <c r="DE47" s="127" t="str">
        <f ca="1">IF(DC47="","",IF(DC47&lt;=uxb_works!$B$122,1,IF(DC47&lt;=uxb_works!$B$121,2,IF(DC47&lt;=uxb_works!$B$120,3,4))))</f>
        <v/>
      </c>
      <c r="DK47" s="367">
        <f>tblIndiSets!B12</f>
        <v>1</v>
      </c>
      <c r="DL47" s="129">
        <f>IF(uxb_works!$B$32=1,2,IF(ISNA(DK47),0,IF(uxb_works!$B$32=1,IF(ISEVEN(LEFT(TRIM(DN47),1)),2,1),INDEX($C$41:$C$110,DK47))))</f>
        <v>2</v>
      </c>
      <c r="DM47" s="129">
        <f t="shared" si="52"/>
        <v>1</v>
      </c>
      <c r="DN47" s="367" t="str">
        <f t="shared" si="27"/>
        <v>OVERALL SCORE</v>
      </c>
      <c r="DO47" s="458">
        <f t="shared" si="28"/>
        <v>74.599999999999994</v>
      </c>
      <c r="DP47" s="127" t="str">
        <f t="shared" ca="1" si="28"/>
        <v>2</v>
      </c>
      <c r="DQ47" s="127">
        <f>IF(DO47="","",IF(DO47&lt;=uxb_works!$B$122,1,IF(DO47&lt;=uxb_works!$B$121,2,IF(DO47&lt;=uxb_works!$B$120,3,4))))</f>
        <v>3</v>
      </c>
      <c r="DR47" s="459"/>
      <c r="DS47" s="127">
        <f t="shared" si="53"/>
        <v>30</v>
      </c>
    </row>
    <row r="48" spans="1:125">
      <c r="A48" s="367">
        <f>IF(ISEVEN(tblIndicators!C9),1,2)</f>
        <v>2</v>
      </c>
      <c r="B48" s="367">
        <f>tblIndiSets!B19</f>
        <v>8</v>
      </c>
      <c r="C48" s="367">
        <f>tblIndiSets!D19</f>
        <v>2</v>
      </c>
      <c r="D48" s="367">
        <f>tblCategories!AN12</f>
        <v>0</v>
      </c>
      <c r="E48" s="367" t="str">
        <f>tblIndiSets!E19</f>
        <v xml:space="preserve">  1.2) Quality</v>
      </c>
      <c r="H48" s="367">
        <f t="shared" si="45"/>
        <v>66.7</v>
      </c>
      <c r="I48" s="13" t="str">
        <f t="shared" ca="1" si="46"/>
        <v>7</v>
      </c>
      <c r="J48" s="13">
        <f t="shared" ca="1" si="47"/>
        <v>1</v>
      </c>
      <c r="K48" s="367">
        <f t="shared" si="20"/>
        <v>44.1</v>
      </c>
      <c r="AV48" s="13" t="str">
        <f t="shared" ca="1" si="48"/>
        <v>12</v>
      </c>
      <c r="AW48" s="13">
        <f t="shared" ca="1" si="49"/>
        <v>1</v>
      </c>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O48" s="13"/>
      <c r="CP48" s="13"/>
      <c r="CR48" s="13"/>
      <c r="CS48" s="13"/>
      <c r="CU48" s="367" t="e">
        <f t="shared" ca="1" si="23"/>
        <v>#N/A</v>
      </c>
      <c r="CV48" s="367">
        <f ca="1">IF(ISNA(CU48),0,IF(uxb_works!$B$32=1,IF(ISEVEN(LEFT(TRIM(CX48),1)),2,1),INDEX($C$41:$C$110,CU48)))</f>
        <v>0</v>
      </c>
      <c r="CW48" s="367">
        <f t="shared" ca="1" si="50"/>
        <v>0</v>
      </c>
      <c r="CX48" s="367" t="str">
        <f t="shared" ca="1" si="24"/>
        <v/>
      </c>
      <c r="CY48" s="458" t="str">
        <f t="shared" ca="1" si="25"/>
        <v/>
      </c>
      <c r="CZ48" s="127" t="str">
        <f t="shared" ca="1" si="25"/>
        <v/>
      </c>
      <c r="DA48" s="127" t="str">
        <f ca="1">IF(CY48="","",IF(CY48&lt;=uxb_works!$B$122,1,IF(CY48&lt;=uxb_works!$B$121,2,IF(CY48&lt;=uxb_works!$B$120,3,4))))</f>
        <v/>
      </c>
      <c r="DB48" s="127" t="str">
        <f t="shared" ca="1" si="51"/>
        <v/>
      </c>
      <c r="DC48" s="127" t="str">
        <f t="shared" ca="1" si="26"/>
        <v/>
      </c>
      <c r="DD48" s="127" t="str">
        <f t="shared" ca="1" si="26"/>
        <v/>
      </c>
      <c r="DE48" s="127" t="str">
        <f ca="1">IF(DC48="","",IF(DC48&lt;=uxb_works!$B$122,1,IF(DC48&lt;=uxb_works!$B$121,2,IF(DC48&lt;=uxb_works!$B$120,3,4))))</f>
        <v/>
      </c>
      <c r="DK48" s="367">
        <f>tblIndiSets!B13</f>
        <v>2</v>
      </c>
      <c r="DL48" s="129">
        <f>IF(uxb_works!$B$32=1,2,IF(ISNA(DK48),0,IF(uxb_works!$B$32=1,IF(ISEVEN(LEFT(TRIM(DN48),1)),2,1),INDEX($C$41:$C$110,DK48))))</f>
        <v>2</v>
      </c>
      <c r="DM48" s="129">
        <f t="shared" si="52"/>
        <v>1</v>
      </c>
      <c r="DN48" s="367" t="str">
        <f t="shared" si="27"/>
        <v xml:space="preserve"> 1) CONNECTIVITY</v>
      </c>
      <c r="DO48" s="458">
        <f t="shared" si="28"/>
        <v>77</v>
      </c>
      <c r="DP48" s="127" t="str">
        <f t="shared" ca="1" si="28"/>
        <v>6</v>
      </c>
      <c r="DQ48" s="127">
        <f>IF(DO48="","",IF(DO48&lt;=uxb_works!$B$122,1,IF(DO48&lt;=uxb_works!$B$121,2,IF(DO48&lt;=uxb_works!$B$120,3,4))))</f>
        <v>4</v>
      </c>
      <c r="DR48" s="459"/>
      <c r="DS48" s="127">
        <f t="shared" si="53"/>
        <v>31</v>
      </c>
    </row>
    <row r="49" spans="1:123">
      <c r="A49" s="367">
        <f>IF(ISEVEN(tblIndicators!C10),1,2)</f>
        <v>2</v>
      </c>
      <c r="B49" s="367">
        <f>tblIndiSets!B20</f>
        <v>9</v>
      </c>
      <c r="C49" s="367">
        <f>tblIndiSets!D20</f>
        <v>3</v>
      </c>
      <c r="D49" s="367">
        <f>tblCategories!AN13</f>
        <v>0</v>
      </c>
      <c r="E49" s="367" t="str">
        <f>tblIndiSets!E20</f>
        <v xml:space="preserve">   1.2.1) Internet upload speed</v>
      </c>
      <c r="H49" s="367">
        <f t="shared" si="45"/>
        <v>53.9</v>
      </c>
      <c r="I49" s="13" t="str">
        <f t="shared" ca="1" si="46"/>
        <v>7</v>
      </c>
      <c r="J49" s="13">
        <f t="shared" ca="1" si="47"/>
        <v>1</v>
      </c>
      <c r="K49" s="367">
        <f t="shared" si="20"/>
        <v>35.1</v>
      </c>
      <c r="AV49" s="13" t="str">
        <f t="shared" ca="1" si="48"/>
        <v>12</v>
      </c>
      <c r="AW49" s="13">
        <f t="shared" ca="1" si="49"/>
        <v>1</v>
      </c>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O49" s="13"/>
      <c r="CP49" s="13"/>
      <c r="CR49" s="13"/>
      <c r="CS49" s="13"/>
      <c r="CU49" s="367" t="e">
        <f t="shared" ca="1" si="23"/>
        <v>#N/A</v>
      </c>
      <c r="CV49" s="367">
        <f ca="1">IF(ISNA(CU49),0,IF(uxb_works!$B$32=1,IF(ISEVEN(LEFT(TRIM(CX49),1)),2,1),INDEX($C$41:$C$110,CU49)))</f>
        <v>0</v>
      </c>
      <c r="CW49" s="367">
        <f t="shared" ca="1" si="50"/>
        <v>0</v>
      </c>
      <c r="CX49" s="367" t="str">
        <f t="shared" ca="1" si="24"/>
        <v/>
      </c>
      <c r="CY49" s="458" t="str">
        <f t="shared" ca="1" si="25"/>
        <v/>
      </c>
      <c r="CZ49" s="127" t="str">
        <f t="shared" ca="1" si="25"/>
        <v/>
      </c>
      <c r="DA49" s="127" t="str">
        <f ca="1">IF(CY49="","",IF(CY49&lt;=uxb_works!$B$122,1,IF(CY49&lt;=uxb_works!$B$121,2,IF(CY49&lt;=uxb_works!$B$120,3,4))))</f>
        <v/>
      </c>
      <c r="DB49" s="127" t="str">
        <f t="shared" ca="1" si="51"/>
        <v/>
      </c>
      <c r="DC49" s="127" t="str">
        <f t="shared" ca="1" si="26"/>
        <v/>
      </c>
      <c r="DD49" s="127" t="str">
        <f t="shared" ca="1" si="26"/>
        <v/>
      </c>
      <c r="DE49" s="127" t="str">
        <f ca="1">IF(DC49="","",IF(DC49&lt;=uxb_works!$B$122,1,IF(DC49&lt;=uxb_works!$B$121,2,IF(DC49&lt;=uxb_works!$B$120,3,4))))</f>
        <v/>
      </c>
      <c r="DK49" s="367">
        <f>tblIndiSets!B14</f>
        <v>3</v>
      </c>
      <c r="DL49" s="129">
        <f>IF(uxb_works!$B$32=1,2,IF(ISNA(DK49),0,IF(uxb_works!$B$32=1,IF(ISEVEN(LEFT(TRIM(DN49),1)),2,1),INDEX($C$41:$C$110,DK49))))</f>
        <v>2</v>
      </c>
      <c r="DM49" s="129">
        <f t="shared" si="52"/>
        <v>1</v>
      </c>
      <c r="DN49" s="367" t="str">
        <f t="shared" si="27"/>
        <v xml:space="preserve">  1.1) Digital infrastructure</v>
      </c>
      <c r="DO49" s="458">
        <f t="shared" si="28"/>
        <v>84</v>
      </c>
      <c r="DP49" s="127" t="str">
        <f t="shared" ca="1" si="28"/>
        <v>8</v>
      </c>
      <c r="DQ49" s="127">
        <f>IF(DO49="","",IF(DO49&lt;=uxb_works!$B$122,1,IF(DO49&lt;=uxb_works!$B$121,2,IF(DO49&lt;=uxb_works!$B$120,3,4))))</f>
        <v>4</v>
      </c>
      <c r="DR49" s="459"/>
      <c r="DS49" s="127">
        <f t="shared" si="53"/>
        <v>34</v>
      </c>
    </row>
    <row r="50" spans="1:123">
      <c r="A50" s="367">
        <f>IF(ISEVEN(tblIndicators!C11),1,2)</f>
        <v>2</v>
      </c>
      <c r="B50" s="367">
        <f>tblIndiSets!B21</f>
        <v>10</v>
      </c>
      <c r="C50" s="367">
        <f>tblIndiSets!D21</f>
        <v>3</v>
      </c>
      <c r="D50" s="367">
        <f>tblCategories!AN14</f>
        <v>0</v>
      </c>
      <c r="E50" s="367" t="str">
        <f>tblIndiSets!E21</f>
        <v xml:space="preserve">   1.2.2) Internet download speed</v>
      </c>
      <c r="H50" s="367">
        <f t="shared" si="45"/>
        <v>90.4</v>
      </c>
      <c r="I50" s="13" t="str">
        <f t="shared" ca="1" si="46"/>
        <v>3</v>
      </c>
      <c r="J50" s="13">
        <f t="shared" ca="1" si="47"/>
        <v>1</v>
      </c>
      <c r="K50" s="367">
        <f t="shared" si="20"/>
        <v>34.700000000000003</v>
      </c>
      <c r="AV50" s="13" t="str">
        <f t="shared" ca="1" si="48"/>
        <v>18</v>
      </c>
      <c r="AW50" s="13">
        <f t="shared" ca="1" si="49"/>
        <v>1</v>
      </c>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O50" s="13"/>
      <c r="CP50" s="13"/>
      <c r="CR50" s="13"/>
      <c r="CS50" s="13"/>
      <c r="CU50" s="367" t="e">
        <f t="shared" ca="1" si="23"/>
        <v>#N/A</v>
      </c>
      <c r="CV50" s="367">
        <f ca="1">IF(ISNA(CU50),0,IF(uxb_works!$B$32=1,IF(ISEVEN(LEFT(TRIM(CX50),1)),2,1),INDEX($C$41:$C$110,CU50)))</f>
        <v>0</v>
      </c>
      <c r="CW50" s="367">
        <f t="shared" ca="1" si="50"/>
        <v>0</v>
      </c>
      <c r="CX50" s="367" t="str">
        <f t="shared" ca="1" si="24"/>
        <v/>
      </c>
      <c r="CY50" s="458" t="str">
        <f t="shared" ca="1" si="25"/>
        <v/>
      </c>
      <c r="CZ50" s="127" t="str">
        <f t="shared" ca="1" si="25"/>
        <v/>
      </c>
      <c r="DA50" s="127" t="str">
        <f ca="1">IF(CY50="","",IF(CY50&lt;=uxb_works!$B$122,1,IF(CY50&lt;=uxb_works!$B$121,2,IF(CY50&lt;=uxb_works!$B$120,3,4))))</f>
        <v/>
      </c>
      <c r="DB50" s="127" t="str">
        <f t="shared" ca="1" si="51"/>
        <v/>
      </c>
      <c r="DC50" s="127" t="str">
        <f t="shared" ca="1" si="26"/>
        <v/>
      </c>
      <c r="DD50" s="127" t="str">
        <f t="shared" ca="1" si="26"/>
        <v/>
      </c>
      <c r="DE50" s="127" t="str">
        <f ca="1">IF(DC50="","",IF(DC50&lt;=uxb_works!$B$122,1,IF(DC50&lt;=uxb_works!$B$121,2,IF(DC50&lt;=uxb_works!$B$120,3,4))))</f>
        <v/>
      </c>
      <c r="DK50" s="367">
        <f>tblIndiSets!B15</f>
        <v>4</v>
      </c>
      <c r="DL50" s="129">
        <f>IF(uxb_works!$B$32=1,2,IF(ISNA(DK50),0,IF(uxb_works!$B$32=1,IF(ISEVEN(LEFT(TRIM(DN50),1)),2,1),INDEX($C$41:$C$110,DK50))))</f>
        <v>2</v>
      </c>
      <c r="DM50" s="129">
        <f t="shared" si="52"/>
        <v>1</v>
      </c>
      <c r="DN50" s="367" t="str">
        <f t="shared" si="27"/>
        <v xml:space="preserve">   1.1.1) Mobile broadband subscriptions</v>
      </c>
      <c r="DO50" s="458">
        <f t="shared" si="28"/>
        <v>49.9</v>
      </c>
      <c r="DP50" s="127" t="str">
        <f t="shared" ca="1" si="28"/>
        <v>10</v>
      </c>
      <c r="DQ50" s="127">
        <f>IF(DO50="","",IF(DO50&lt;=uxb_works!$B$122,1,IF(DO50&lt;=uxb_works!$B$121,2,IF(DO50&lt;=uxb_works!$B$120,3,4))))</f>
        <v>2</v>
      </c>
      <c r="DR50" s="459"/>
      <c r="DS50" s="127">
        <f t="shared" si="53"/>
        <v>20</v>
      </c>
    </row>
    <row r="51" spans="1:123">
      <c r="A51" s="367">
        <f>IF(ISEVEN(tblIndicators!C12),1,2)</f>
        <v>2</v>
      </c>
      <c r="B51" s="367">
        <f>tblIndiSets!B22</f>
        <v>11</v>
      </c>
      <c r="C51" s="367">
        <f>tblIndiSets!D22</f>
        <v>3</v>
      </c>
      <c r="D51" s="367">
        <f>tblCategories!AN15</f>
        <v>0</v>
      </c>
      <c r="E51" s="367" t="str">
        <f>tblIndiSets!E22</f>
        <v xml:space="preserve">   1.2.3) Mobile broadband latency</v>
      </c>
      <c r="H51" s="367">
        <f t="shared" si="45"/>
        <v>70</v>
      </c>
      <c r="I51" s="13" t="str">
        <f t="shared" ca="1" si="46"/>
        <v>=7</v>
      </c>
      <c r="J51" s="13">
        <f t="shared" ca="1" si="47"/>
        <v>4</v>
      </c>
      <c r="K51" s="367">
        <f t="shared" si="20"/>
        <v>30</v>
      </c>
      <c r="AV51" s="13" t="str">
        <f t="shared" ca="1" si="48"/>
        <v>=19</v>
      </c>
      <c r="AW51" s="13">
        <f t="shared" ca="1" si="49"/>
        <v>4</v>
      </c>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O51" s="13"/>
      <c r="CP51" s="13"/>
      <c r="CR51" s="13"/>
      <c r="CS51" s="13"/>
      <c r="CU51" s="367" t="e">
        <f t="shared" ca="1" si="23"/>
        <v>#N/A</v>
      </c>
      <c r="CV51" s="367">
        <f ca="1">IF(ISNA(CU51),0,IF(uxb_works!$B$32=1,IF(ISEVEN(LEFT(TRIM(CX51),1)),2,1),INDEX($C$41:$C$110,CU51)))</f>
        <v>0</v>
      </c>
      <c r="CW51" s="367">
        <f t="shared" ca="1" si="50"/>
        <v>0</v>
      </c>
      <c r="CX51" s="367" t="str">
        <f t="shared" ca="1" si="24"/>
        <v/>
      </c>
      <c r="CY51" s="458" t="str">
        <f t="shared" ca="1" si="25"/>
        <v/>
      </c>
      <c r="CZ51" s="127" t="str">
        <f t="shared" ca="1" si="25"/>
        <v/>
      </c>
      <c r="DA51" s="127" t="str">
        <f ca="1">IF(CY51="","",IF(CY51&lt;=uxb_works!$B$122,1,IF(CY51&lt;=uxb_works!$B$121,2,IF(CY51&lt;=uxb_works!$B$120,3,4))))</f>
        <v/>
      </c>
      <c r="DB51" s="127" t="str">
        <f t="shared" ca="1" si="51"/>
        <v/>
      </c>
      <c r="DC51" s="127" t="str">
        <f t="shared" ca="1" si="26"/>
        <v/>
      </c>
      <c r="DD51" s="127" t="str">
        <f t="shared" ca="1" si="26"/>
        <v/>
      </c>
      <c r="DE51" s="127" t="str">
        <f ca="1">IF(DC51="","",IF(DC51&lt;=uxb_works!$B$122,1,IF(DC51&lt;=uxb_works!$B$121,2,IF(DC51&lt;=uxb_works!$B$120,3,4))))</f>
        <v/>
      </c>
      <c r="DK51" s="367">
        <f>tblIndiSets!B16</f>
        <v>5</v>
      </c>
      <c r="DL51" s="129">
        <f>IF(uxb_works!$B$32=1,2,IF(ISNA(DK51),0,IF(uxb_works!$B$32=1,IF(ISEVEN(LEFT(TRIM(DN51),1)),2,1),INDEX($C$41:$C$110,DK51))))</f>
        <v>2</v>
      </c>
      <c r="DM51" s="129">
        <f t="shared" si="52"/>
        <v>1</v>
      </c>
      <c r="DN51" s="367" t="str">
        <f t="shared" si="27"/>
        <v xml:space="preserve">   1.1.2) Fixed broadband susbcriptions</v>
      </c>
      <c r="DO51" s="458">
        <f t="shared" si="28"/>
        <v>93.4</v>
      </c>
      <c r="DP51" s="127" t="str">
        <f t="shared" ca="1" si="28"/>
        <v>4</v>
      </c>
      <c r="DQ51" s="127">
        <f>IF(DO51="","",IF(DO51&lt;=uxb_works!$B$122,1,IF(DO51&lt;=uxb_works!$B$121,2,IF(DO51&lt;=uxb_works!$B$120,3,4))))</f>
        <v>4</v>
      </c>
      <c r="DR51" s="459"/>
      <c r="DS51" s="127">
        <f t="shared" si="53"/>
        <v>38</v>
      </c>
    </row>
    <row r="52" spans="1:123">
      <c r="A52" s="367">
        <f>IF(ISEVEN(tblIndicators!C13),1,2)</f>
        <v>2</v>
      </c>
      <c r="B52" s="367">
        <f>tblIndiSets!B23</f>
        <v>12</v>
      </c>
      <c r="C52" s="367">
        <f>tblIndiSets!D23</f>
        <v>3</v>
      </c>
      <c r="D52" s="367">
        <f>tblCategories!AN16</f>
        <v>0</v>
      </c>
      <c r="E52" s="367" t="str">
        <f>tblIndiSets!E23</f>
        <v xml:space="preserve">   1.2.4) Fixed broadband latency</v>
      </c>
      <c r="H52" s="367">
        <f t="shared" ref="H52:H110" si="54">IF(B52="","",INDEX(aScoresRounded,B52,$B$2))</f>
        <v>45.5</v>
      </c>
      <c r="I52" s="13" t="str">
        <f t="shared" ref="I52:I110" ca="1" si="55">IF($B52="","",IF(J52=1,"","=")&amp;RANK(H52,OFFSET(aScoresRounded,$B52-1,0,1,$C$1)))</f>
        <v>=15</v>
      </c>
      <c r="J52" s="13">
        <f t="shared" ref="J52:J110" ca="1" si="56">IF($B52="","",COUNTIF(OFFSET(aScoresRounded,$B52-1,0,1,$C$1),H52))</f>
        <v>2</v>
      </c>
      <c r="K52" s="367">
        <f t="shared" si="20"/>
        <v>81.8</v>
      </c>
      <c r="AV52" s="13" t="str">
        <f t="shared" ref="AV52:AV110" ca="1" si="57">IF($B52="","",IF(AW52=1,"","=")&amp;RANK(K52,OFFSET(aScoresRounded,$B52-1,0,1,$C$1)))</f>
        <v>=6</v>
      </c>
      <c r="AW52" s="13">
        <f t="shared" ref="AW52:AW110" ca="1" si="58">IF($B52="","",COUNTIF(OFFSET(aScoresRounded,$B52-1,0,1,$C$1),K52))</f>
        <v>4</v>
      </c>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O52" s="13"/>
      <c r="CP52" s="13"/>
      <c r="CR52" s="13"/>
      <c r="CS52" s="13"/>
      <c r="CU52" s="367" t="e">
        <f t="shared" ref="CU52:CU110" ca="1" si="59">CU51+MATCH(CU$39,OFFSET($D$41:$D$110,CU51,0),0)</f>
        <v>#N/A</v>
      </c>
      <c r="CV52" s="367">
        <f ca="1">IF(ISNA(CU52),0,IF(uxb_works!$B$32=1,IF(ISEVEN(LEFT(TRIM(CX52),1)),2,1),INDEX($C$41:$C$110,CU52)))</f>
        <v>0</v>
      </c>
      <c r="CW52" s="367">
        <f t="shared" ref="CW52:CW110" ca="1" si="60">IF(CX52="",0,IF($CW$15=TRIM(CX52),2,1))</f>
        <v>0</v>
      </c>
      <c r="CX52" s="367" t="str">
        <f t="shared" ref="CX52:CX110" ca="1" si="61">IF(ISNUMBER($CU52),INDEX(E$41:E$110,$CU52),"")</f>
        <v/>
      </c>
      <c r="CY52" s="458" t="str">
        <f t="shared" ref="CY52:CZ83" ca="1" si="62">IF(ISNUMBER($CU52),INDEX($H$41:$CL$110,$CU52,CY$38),"")</f>
        <v/>
      </c>
      <c r="CZ52" s="127" t="str">
        <f t="shared" ca="1" si="62"/>
        <v/>
      </c>
      <c r="DA52" s="127" t="str">
        <f ca="1">IF(CY52="","",IF(CY52&lt;=uxb_works!$B$122,1,IF(CY52&lt;=uxb_works!$B$121,2,IF(CY52&lt;=uxb_works!$B$120,3,4))))</f>
        <v/>
      </c>
      <c r="DB52" s="127" t="str">
        <f t="shared" ref="DB52:DB110" ca="1" si="63">IF(CY52="","",ROUNDUP(((CY52*40)/100),0))</f>
        <v/>
      </c>
      <c r="DC52" s="127" t="str">
        <f t="shared" ref="DC52:DD83" ca="1" si="64">IF(ISNUMBER($CU52),INDEX($H$41:$CL$110,$CU52,DC$38),"")</f>
        <v/>
      </c>
      <c r="DD52" s="127" t="str">
        <f t="shared" ca="1" si="64"/>
        <v/>
      </c>
      <c r="DE52" s="127" t="str">
        <f ca="1">IF(DC52="","",IF(DC52&lt;=uxb_works!$B$122,1,IF(DC52&lt;=uxb_works!$B$121,2,IF(DC52&lt;=uxb_works!$B$120,3,4))))</f>
        <v/>
      </c>
      <c r="DK52" s="367">
        <f>tblIndiSets!B17</f>
        <v>6</v>
      </c>
      <c r="DL52" s="129">
        <f>IF(uxb_works!$B$32=1,2,IF(ISNA(DK52),0,IF(uxb_works!$B$32=1,IF(ISEVEN(LEFT(TRIM(DN52),1)),2,1),INDEX($C$41:$C$110,DK52))))</f>
        <v>2</v>
      </c>
      <c r="DM52" s="129">
        <f t="shared" ref="DM52:DM110" si="65">IF(DN52="",0,IF($DM$38=DK52,2,1))</f>
        <v>1</v>
      </c>
      <c r="DN52" s="367" t="str">
        <f t="shared" ref="DN52:DN110" si="66">IF(ISNUMBER($DK52),INDEX(E$41:E$110,$DK52),"")</f>
        <v xml:space="preserve">   1.1.3) 5G readiness</v>
      </c>
      <c r="DO52" s="458">
        <f t="shared" ref="DO52:DP83" si="67">IF(ISNUMBER($DK52),INDEX($H$41:$CL$110,$DK52,DO$38),"")</f>
        <v>100</v>
      </c>
      <c r="DP52" s="127" t="str">
        <f t="shared" ca="1" si="67"/>
        <v>=1</v>
      </c>
      <c r="DQ52" s="127">
        <f>IF(DO52="","",IF(DO52&lt;=uxb_works!$B$122,1,IF(DO52&lt;=uxb_works!$B$121,2,IF(DO52&lt;=uxb_works!$B$120,3,4))))</f>
        <v>4</v>
      </c>
      <c r="DR52" s="459"/>
      <c r="DS52" s="127">
        <f t="shared" ref="DS52:DS110" si="68">ROUNDUP(((DO52*40)/100),0)</f>
        <v>40</v>
      </c>
    </row>
    <row r="53" spans="1:123">
      <c r="A53" s="367">
        <f>IF(ISEVEN(tblIndicators!C14),1,2)</f>
        <v>2</v>
      </c>
      <c r="B53" s="367">
        <f>tblIndiSets!B24</f>
        <v>13</v>
      </c>
      <c r="C53" s="367">
        <f>tblIndiSets!D24</f>
        <v>2</v>
      </c>
      <c r="D53" s="367">
        <f>tblCategories!AN17</f>
        <v>0</v>
      </c>
      <c r="E53" s="367" t="str">
        <f>tblIndiSets!E24</f>
        <v xml:space="preserve">  1.3) Affordability</v>
      </c>
      <c r="H53" s="367">
        <f t="shared" si="54"/>
        <v>74.599999999999994</v>
      </c>
      <c r="I53" s="13" t="str">
        <f t="shared" ca="1" si="55"/>
        <v>15</v>
      </c>
      <c r="J53" s="13">
        <f t="shared" ca="1" si="56"/>
        <v>1</v>
      </c>
      <c r="K53" s="367">
        <f t="shared" si="20"/>
        <v>46.8</v>
      </c>
      <c r="AV53" s="13" t="str">
        <f t="shared" ca="1" si="57"/>
        <v>25</v>
      </c>
      <c r="AW53" s="13">
        <f t="shared" ca="1" si="58"/>
        <v>1</v>
      </c>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O53" s="13"/>
      <c r="CP53" s="13"/>
      <c r="CR53" s="13"/>
      <c r="CS53" s="13"/>
      <c r="CU53" s="367" t="e">
        <f t="shared" ca="1" si="59"/>
        <v>#N/A</v>
      </c>
      <c r="CV53" s="367">
        <f ca="1">IF(ISNA(CU53),0,IF(uxb_works!$B$32=1,IF(ISEVEN(LEFT(TRIM(CX53),1)),2,1),INDEX($C$41:$C$110,CU53)))</f>
        <v>0</v>
      </c>
      <c r="CW53" s="367">
        <f t="shared" ca="1" si="60"/>
        <v>0</v>
      </c>
      <c r="CX53" s="367" t="str">
        <f t="shared" ca="1" si="61"/>
        <v/>
      </c>
      <c r="CY53" s="458" t="str">
        <f t="shared" ca="1" si="62"/>
        <v/>
      </c>
      <c r="CZ53" s="127" t="str">
        <f t="shared" ca="1" si="62"/>
        <v/>
      </c>
      <c r="DA53" s="127" t="str">
        <f ca="1">IF(CY53="","",IF(CY53&lt;=uxb_works!$B$122,1,IF(CY53&lt;=uxb_works!$B$121,2,IF(CY53&lt;=uxb_works!$B$120,3,4))))</f>
        <v/>
      </c>
      <c r="DB53" s="127" t="str">
        <f t="shared" ca="1" si="63"/>
        <v/>
      </c>
      <c r="DC53" s="127" t="str">
        <f t="shared" ca="1" si="64"/>
        <v/>
      </c>
      <c r="DD53" s="127" t="str">
        <f t="shared" ca="1" si="64"/>
        <v/>
      </c>
      <c r="DE53" s="127" t="str">
        <f ca="1">IF(DC53="","",IF(DC53&lt;=uxb_works!$B$122,1,IF(DC53&lt;=uxb_works!$B$121,2,IF(DC53&lt;=uxb_works!$B$120,3,4))))</f>
        <v/>
      </c>
      <c r="DK53" s="367">
        <f>tblIndiSets!B18</f>
        <v>7</v>
      </c>
      <c r="DL53" s="129">
        <f>IF(uxb_works!$B$32=1,2,IF(ISNA(DK53),0,IF(uxb_works!$B$32=1,IF(ISEVEN(LEFT(TRIM(DN53),1)),2,1),INDEX($C$41:$C$110,DK53))))</f>
        <v>2</v>
      </c>
      <c r="DM53" s="129">
        <f t="shared" si="65"/>
        <v>1</v>
      </c>
      <c r="DN53" s="367" t="str">
        <f t="shared" si="66"/>
        <v xml:space="preserve">   1.1.4) 5G deployment</v>
      </c>
      <c r="DO53" s="458">
        <f t="shared" si="67"/>
        <v>100</v>
      </c>
      <c r="DP53" s="127" t="str">
        <f t="shared" ca="1" si="67"/>
        <v>=1</v>
      </c>
      <c r="DQ53" s="127">
        <f>IF(DO53="","",IF(DO53&lt;=uxb_works!$B$122,1,IF(DO53&lt;=uxb_works!$B$121,2,IF(DO53&lt;=uxb_works!$B$120,3,4))))</f>
        <v>4</v>
      </c>
      <c r="DR53" s="459"/>
      <c r="DS53" s="127">
        <f t="shared" si="68"/>
        <v>40</v>
      </c>
    </row>
    <row r="54" spans="1:123">
      <c r="A54" s="367">
        <f>IF(ISEVEN(tblIndicators!C15),1,2)</f>
        <v>2</v>
      </c>
      <c r="B54" s="367">
        <f>tblIndiSets!B25</f>
        <v>14</v>
      </c>
      <c r="C54" s="367">
        <f>tblIndiSets!D25</f>
        <v>3</v>
      </c>
      <c r="D54" s="367">
        <f>tblCategories!AN18</f>
        <v>0</v>
      </c>
      <c r="E54" s="367" t="str">
        <f>tblIndiSets!E25</f>
        <v xml:space="preserve">   1.3.1) Mobile data affordability</v>
      </c>
      <c r="H54" s="367">
        <f t="shared" si="54"/>
        <v>80.599999999999994</v>
      </c>
      <c r="I54" s="13" t="str">
        <f t="shared" ca="1" si="55"/>
        <v>18</v>
      </c>
      <c r="J54" s="13">
        <f t="shared" ca="1" si="56"/>
        <v>1</v>
      </c>
      <c r="K54" s="367">
        <f t="shared" si="20"/>
        <v>33</v>
      </c>
      <c r="AV54" s="13" t="str">
        <f t="shared" ca="1" si="57"/>
        <v>29</v>
      </c>
      <c r="AW54" s="13">
        <f t="shared" ca="1" si="58"/>
        <v>1</v>
      </c>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O54" s="13"/>
      <c r="CP54" s="13"/>
      <c r="CR54" s="13"/>
      <c r="CS54" s="13"/>
      <c r="CU54" s="367" t="e">
        <f t="shared" ca="1" si="59"/>
        <v>#N/A</v>
      </c>
      <c r="CV54" s="367">
        <f ca="1">IF(ISNA(CU54),0,IF(uxb_works!$B$32=1,IF(ISEVEN(LEFT(TRIM(CX54),1)),2,1),INDEX($C$41:$C$110,CU54)))</f>
        <v>0</v>
      </c>
      <c r="CW54" s="367">
        <f t="shared" ca="1" si="60"/>
        <v>0</v>
      </c>
      <c r="CX54" s="367" t="str">
        <f t="shared" ca="1" si="61"/>
        <v/>
      </c>
      <c r="CY54" s="458" t="str">
        <f t="shared" ca="1" si="62"/>
        <v/>
      </c>
      <c r="CZ54" s="127" t="str">
        <f t="shared" ca="1" si="62"/>
        <v/>
      </c>
      <c r="DA54" s="127" t="str">
        <f ca="1">IF(CY54="","",IF(CY54&lt;=uxb_works!$B$122,1,IF(CY54&lt;=uxb_works!$B$121,2,IF(CY54&lt;=uxb_works!$B$120,3,4))))</f>
        <v/>
      </c>
      <c r="DB54" s="127" t="str">
        <f t="shared" ca="1" si="63"/>
        <v/>
      </c>
      <c r="DC54" s="127" t="str">
        <f t="shared" ca="1" si="64"/>
        <v/>
      </c>
      <c r="DD54" s="127" t="str">
        <f t="shared" ca="1" si="64"/>
        <v/>
      </c>
      <c r="DE54" s="127" t="str">
        <f ca="1">IF(DC54="","",IF(DC54&lt;=uxb_works!$B$122,1,IF(DC54&lt;=uxb_works!$B$121,2,IF(DC54&lt;=uxb_works!$B$120,3,4))))</f>
        <v/>
      </c>
      <c r="DK54" s="367">
        <f>tblIndiSets!B19</f>
        <v>8</v>
      </c>
      <c r="DL54" s="129">
        <f>IF(uxb_works!$B$32=1,2,IF(ISNA(DK54),0,IF(uxb_works!$B$32=1,IF(ISEVEN(LEFT(TRIM(DN54),1)),2,1),INDEX($C$41:$C$110,DK54))))</f>
        <v>2</v>
      </c>
      <c r="DM54" s="129">
        <f t="shared" si="65"/>
        <v>1</v>
      </c>
      <c r="DN54" s="367" t="str">
        <f t="shared" si="66"/>
        <v xml:space="preserve">  1.2) Quality</v>
      </c>
      <c r="DO54" s="458">
        <f t="shared" si="67"/>
        <v>66.7</v>
      </c>
      <c r="DP54" s="127" t="str">
        <f t="shared" ca="1" si="67"/>
        <v>7</v>
      </c>
      <c r="DQ54" s="127">
        <f>IF(DO54="","",IF(DO54&lt;=uxb_works!$B$122,1,IF(DO54&lt;=uxb_works!$B$121,2,IF(DO54&lt;=uxb_works!$B$120,3,4))))</f>
        <v>3</v>
      </c>
      <c r="DR54" s="459"/>
      <c r="DS54" s="127">
        <f t="shared" si="68"/>
        <v>27</v>
      </c>
    </row>
    <row r="55" spans="1:123">
      <c r="A55" s="367">
        <f>IF(ISEVEN(tblIndicators!C16),1,2)</f>
        <v>2</v>
      </c>
      <c r="B55" s="367">
        <f>tblIndiSets!B26</f>
        <v>15</v>
      </c>
      <c r="C55" s="367">
        <f>tblIndiSets!D26</f>
        <v>3</v>
      </c>
      <c r="D55" s="367">
        <f>tblCategories!AN19</f>
        <v>0</v>
      </c>
      <c r="E55" s="367" t="str">
        <f>tblIndiSets!E26</f>
        <v xml:space="preserve">   1.3.2) Fixed broadband affordability</v>
      </c>
      <c r="H55" s="367">
        <f t="shared" si="54"/>
        <v>67.900000000000006</v>
      </c>
      <c r="I55" s="13" t="str">
        <f t="shared" ca="1" si="55"/>
        <v>=17</v>
      </c>
      <c r="J55" s="13">
        <f t="shared" ca="1" si="56"/>
        <v>2</v>
      </c>
      <c r="K55" s="367">
        <f t="shared" si="20"/>
        <v>61.9</v>
      </c>
      <c r="AV55" s="13" t="str">
        <f t="shared" ca="1" si="57"/>
        <v>20</v>
      </c>
      <c r="AW55" s="13">
        <f t="shared" ca="1" si="58"/>
        <v>1</v>
      </c>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O55" s="13"/>
      <c r="CP55" s="13"/>
      <c r="CR55" s="13"/>
      <c r="CS55" s="13"/>
      <c r="CU55" s="367" t="e">
        <f t="shared" ca="1" si="59"/>
        <v>#N/A</v>
      </c>
      <c r="CV55" s="367">
        <f ca="1">IF(ISNA(CU55),0,IF(uxb_works!$B$32=1,IF(ISEVEN(LEFT(TRIM(CX55),1)),2,1),INDEX($C$41:$C$110,CU55)))</f>
        <v>0</v>
      </c>
      <c r="CW55" s="367">
        <f t="shared" ca="1" si="60"/>
        <v>0</v>
      </c>
      <c r="CX55" s="367" t="str">
        <f t="shared" ca="1" si="61"/>
        <v/>
      </c>
      <c r="CY55" s="458" t="str">
        <f t="shared" ca="1" si="62"/>
        <v/>
      </c>
      <c r="CZ55" s="127" t="str">
        <f t="shared" ca="1" si="62"/>
        <v/>
      </c>
      <c r="DA55" s="127" t="str">
        <f ca="1">IF(CY55="","",IF(CY55&lt;=uxb_works!$B$122,1,IF(CY55&lt;=uxb_works!$B$121,2,IF(CY55&lt;=uxb_works!$B$120,3,4))))</f>
        <v/>
      </c>
      <c r="DB55" s="127" t="str">
        <f t="shared" ca="1" si="63"/>
        <v/>
      </c>
      <c r="DC55" s="127" t="str">
        <f t="shared" ca="1" si="64"/>
        <v/>
      </c>
      <c r="DD55" s="127" t="str">
        <f t="shared" ca="1" si="64"/>
        <v/>
      </c>
      <c r="DE55" s="127" t="str">
        <f ca="1">IF(DC55="","",IF(DC55&lt;=uxb_works!$B$122,1,IF(DC55&lt;=uxb_works!$B$121,2,IF(DC55&lt;=uxb_works!$B$120,3,4))))</f>
        <v/>
      </c>
      <c r="DK55" s="367">
        <f>tblIndiSets!B20</f>
        <v>9</v>
      </c>
      <c r="DL55" s="129">
        <f>IF(uxb_works!$B$32=1,2,IF(ISNA(DK55),0,IF(uxb_works!$B$32=1,IF(ISEVEN(LEFT(TRIM(DN55),1)),2,1),INDEX($C$41:$C$110,DK55))))</f>
        <v>2</v>
      </c>
      <c r="DM55" s="129">
        <f t="shared" si="65"/>
        <v>1</v>
      </c>
      <c r="DN55" s="367" t="str">
        <f t="shared" si="66"/>
        <v xml:space="preserve">   1.2.1) Internet upload speed</v>
      </c>
      <c r="DO55" s="458">
        <f t="shared" si="67"/>
        <v>53.9</v>
      </c>
      <c r="DP55" s="127" t="str">
        <f t="shared" ca="1" si="67"/>
        <v>7</v>
      </c>
      <c r="DQ55" s="127">
        <f>IF(DO55="","",IF(DO55&lt;=uxb_works!$B$122,1,IF(DO55&lt;=uxb_works!$B$121,2,IF(DO55&lt;=uxb_works!$B$120,3,4))))</f>
        <v>3</v>
      </c>
      <c r="DR55" s="459"/>
      <c r="DS55" s="127">
        <f t="shared" si="68"/>
        <v>22</v>
      </c>
    </row>
    <row r="56" spans="1:123">
      <c r="A56" s="367">
        <f>IF(ISEVEN(tblIndicators!C17),1,2)</f>
        <v>1</v>
      </c>
      <c r="B56" s="367">
        <f>tblIndiSets!B27</f>
        <v>16</v>
      </c>
      <c r="C56" s="367">
        <f>tblIndiSets!D27</f>
        <v>1</v>
      </c>
      <c r="D56" s="367">
        <f>tblCategories!AN20</f>
        <v>1</v>
      </c>
      <c r="E56" s="367" t="str">
        <f>tblIndiSets!E27</f>
        <v xml:space="preserve"> 2) SERVICES</v>
      </c>
      <c r="H56" s="367">
        <f t="shared" si="54"/>
        <v>73.2</v>
      </c>
      <c r="I56" s="13" t="str">
        <f t="shared" ca="1" si="55"/>
        <v>4</v>
      </c>
      <c r="J56" s="13">
        <f t="shared" ca="1" si="56"/>
        <v>1</v>
      </c>
      <c r="K56" s="367">
        <f t="shared" si="20"/>
        <v>49.5</v>
      </c>
      <c r="AV56" s="13" t="str">
        <f t="shared" ca="1" si="57"/>
        <v>25</v>
      </c>
      <c r="AW56" s="13">
        <f t="shared" ca="1" si="58"/>
        <v>1</v>
      </c>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O56" s="13"/>
      <c r="CP56" s="13"/>
      <c r="CR56" s="13"/>
      <c r="CS56" s="13"/>
      <c r="CU56" s="367" t="e">
        <f t="shared" ca="1" si="59"/>
        <v>#N/A</v>
      </c>
      <c r="CV56" s="367">
        <f ca="1">IF(ISNA(CU56),0,IF(uxb_works!$B$32=1,IF(ISEVEN(LEFT(TRIM(CX56),1)),2,1),INDEX($C$41:$C$110,CU56)))</f>
        <v>0</v>
      </c>
      <c r="CW56" s="367">
        <f t="shared" ca="1" si="60"/>
        <v>0</v>
      </c>
      <c r="CX56" s="367" t="str">
        <f t="shared" ca="1" si="61"/>
        <v/>
      </c>
      <c r="CY56" s="458" t="str">
        <f t="shared" ca="1" si="62"/>
        <v/>
      </c>
      <c r="CZ56" s="127" t="str">
        <f t="shared" ca="1" si="62"/>
        <v/>
      </c>
      <c r="DA56" s="127" t="str">
        <f ca="1">IF(CY56="","",IF(CY56&lt;=uxb_works!$B$122,1,IF(CY56&lt;=uxb_works!$B$121,2,IF(CY56&lt;=uxb_works!$B$120,3,4))))</f>
        <v/>
      </c>
      <c r="DB56" s="127" t="str">
        <f t="shared" ca="1" si="63"/>
        <v/>
      </c>
      <c r="DC56" s="127" t="str">
        <f t="shared" ca="1" si="64"/>
        <v/>
      </c>
      <c r="DD56" s="127" t="str">
        <f t="shared" ca="1" si="64"/>
        <v/>
      </c>
      <c r="DE56" s="127" t="str">
        <f ca="1">IF(DC56="","",IF(DC56&lt;=uxb_works!$B$122,1,IF(DC56&lt;=uxb_works!$B$121,2,IF(DC56&lt;=uxb_works!$B$120,3,4))))</f>
        <v/>
      </c>
      <c r="DK56" s="367">
        <f>tblIndiSets!B21</f>
        <v>10</v>
      </c>
      <c r="DL56" s="129">
        <f>IF(uxb_works!$B$32=1,2,IF(ISNA(DK56),0,IF(uxb_works!$B$32=1,IF(ISEVEN(LEFT(TRIM(DN56),1)),2,1),INDEX($C$41:$C$110,DK56))))</f>
        <v>2</v>
      </c>
      <c r="DM56" s="129">
        <f t="shared" si="65"/>
        <v>1</v>
      </c>
      <c r="DN56" s="367" t="str">
        <f t="shared" si="66"/>
        <v xml:space="preserve">   1.2.2) Internet download speed</v>
      </c>
      <c r="DO56" s="458">
        <f t="shared" si="67"/>
        <v>90.4</v>
      </c>
      <c r="DP56" s="127" t="str">
        <f t="shared" ca="1" si="67"/>
        <v>3</v>
      </c>
      <c r="DQ56" s="127">
        <f>IF(DO56="","",IF(DO56&lt;=uxb_works!$B$122,1,IF(DO56&lt;=uxb_works!$B$121,2,IF(DO56&lt;=uxb_works!$B$120,3,4))))</f>
        <v>4</v>
      </c>
      <c r="DR56" s="459"/>
      <c r="DS56" s="127">
        <f t="shared" si="68"/>
        <v>37</v>
      </c>
    </row>
    <row r="57" spans="1:123">
      <c r="A57" s="367">
        <f>IF(ISEVEN(tblIndicators!C18),1,2)</f>
        <v>1</v>
      </c>
      <c r="B57" s="367">
        <f>tblIndiSets!B28</f>
        <v>17</v>
      </c>
      <c r="C57" s="367">
        <f>tblIndiSets!D28</f>
        <v>2</v>
      </c>
      <c r="D57" s="367">
        <f>tblCategories!AN21</f>
        <v>0</v>
      </c>
      <c r="E57" s="367" t="str">
        <f>tblIndiSets!E28</f>
        <v xml:space="preserve">  2.1) E-gov services for residents &amp; businesses</v>
      </c>
      <c r="H57" s="367">
        <f t="shared" si="54"/>
        <v>48.6</v>
      </c>
      <c r="I57" s="13" t="str">
        <f t="shared" ca="1" si="55"/>
        <v>29</v>
      </c>
      <c r="J57" s="13">
        <f t="shared" ca="1" si="56"/>
        <v>1</v>
      </c>
      <c r="K57" s="367">
        <f t="shared" si="20"/>
        <v>65.400000000000006</v>
      </c>
      <c r="AV57" s="13" t="str">
        <f t="shared" ca="1" si="57"/>
        <v>14</v>
      </c>
      <c r="AW57" s="13">
        <f t="shared" ca="1" si="58"/>
        <v>1</v>
      </c>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O57" s="13"/>
      <c r="CP57" s="13"/>
      <c r="CR57" s="13"/>
      <c r="CS57" s="13"/>
      <c r="CU57" s="367" t="e">
        <f t="shared" ca="1" si="59"/>
        <v>#N/A</v>
      </c>
      <c r="CV57" s="367">
        <f ca="1">IF(ISNA(CU57),0,IF(uxb_works!$B$32=1,IF(ISEVEN(LEFT(TRIM(CX57),1)),2,1),INDEX($C$41:$C$110,CU57)))</f>
        <v>0</v>
      </c>
      <c r="CW57" s="367">
        <f t="shared" ca="1" si="60"/>
        <v>0</v>
      </c>
      <c r="CX57" s="367" t="str">
        <f t="shared" ca="1" si="61"/>
        <v/>
      </c>
      <c r="CY57" s="458" t="str">
        <f t="shared" ca="1" si="62"/>
        <v/>
      </c>
      <c r="CZ57" s="127" t="str">
        <f t="shared" ca="1" si="62"/>
        <v/>
      </c>
      <c r="DA57" s="127" t="str">
        <f ca="1">IF(CY57="","",IF(CY57&lt;=uxb_works!$B$122,1,IF(CY57&lt;=uxb_works!$B$121,2,IF(CY57&lt;=uxb_works!$B$120,3,4))))</f>
        <v/>
      </c>
      <c r="DB57" s="127" t="str">
        <f t="shared" ca="1" si="63"/>
        <v/>
      </c>
      <c r="DC57" s="127" t="str">
        <f t="shared" ca="1" si="64"/>
        <v/>
      </c>
      <c r="DD57" s="127" t="str">
        <f t="shared" ca="1" si="64"/>
        <v/>
      </c>
      <c r="DE57" s="127" t="str">
        <f ca="1">IF(DC57="","",IF(DC57&lt;=uxb_works!$B$122,1,IF(DC57&lt;=uxb_works!$B$121,2,IF(DC57&lt;=uxb_works!$B$120,3,4))))</f>
        <v/>
      </c>
      <c r="DK57" s="367">
        <f>tblIndiSets!B22</f>
        <v>11</v>
      </c>
      <c r="DL57" s="129">
        <f>IF(uxb_works!$B$32=1,2,IF(ISNA(DK57),0,IF(uxb_works!$B$32=1,IF(ISEVEN(LEFT(TRIM(DN57),1)),2,1),INDEX($C$41:$C$110,DK57))))</f>
        <v>2</v>
      </c>
      <c r="DM57" s="129">
        <f t="shared" si="65"/>
        <v>1</v>
      </c>
      <c r="DN57" s="367" t="str">
        <f t="shared" si="66"/>
        <v xml:space="preserve">   1.2.3) Mobile broadband latency</v>
      </c>
      <c r="DO57" s="458">
        <f t="shared" si="67"/>
        <v>70</v>
      </c>
      <c r="DP57" s="127" t="str">
        <f t="shared" ca="1" si="67"/>
        <v>=7</v>
      </c>
      <c r="DQ57" s="127">
        <f>IF(DO57="","",IF(DO57&lt;=uxb_works!$B$122,1,IF(DO57&lt;=uxb_works!$B$121,2,IF(DO57&lt;=uxb_works!$B$120,3,4))))</f>
        <v>3</v>
      </c>
      <c r="DR57" s="459"/>
      <c r="DS57" s="127">
        <f t="shared" si="68"/>
        <v>28</v>
      </c>
    </row>
    <row r="58" spans="1:123">
      <c r="A58" s="367">
        <f>IF(ISEVEN(tblIndicators!C19),1,2)</f>
        <v>1</v>
      </c>
      <c r="B58" s="367">
        <f>tblIndiSets!B29</f>
        <v>18</v>
      </c>
      <c r="C58" s="367">
        <f>tblIndiSets!D29</f>
        <v>3</v>
      </c>
      <c r="D58" s="367">
        <f>tblCategories!AN22</f>
        <v>0</v>
      </c>
      <c r="E58" s="367" t="str">
        <f>tblIndiSets!E29</f>
        <v xml:space="preserve">   2.1.1) Mobile digital national ID</v>
      </c>
      <c r="H58" s="367">
        <f t="shared" si="54"/>
        <v>0</v>
      </c>
      <c r="I58" s="13" t="str">
        <f t="shared" ca="1" si="55"/>
        <v>=7</v>
      </c>
      <c r="J58" s="13">
        <f t="shared" ca="1" si="56"/>
        <v>24</v>
      </c>
      <c r="K58" s="367">
        <f t="shared" si="20"/>
        <v>0</v>
      </c>
      <c r="AV58" s="13" t="str">
        <f t="shared" ca="1" si="57"/>
        <v>=7</v>
      </c>
      <c r="AW58" s="13">
        <f t="shared" ca="1" si="58"/>
        <v>24</v>
      </c>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O58" s="13"/>
      <c r="CP58" s="13"/>
      <c r="CR58" s="13"/>
      <c r="CS58" s="13"/>
      <c r="CU58" s="367" t="e">
        <f t="shared" ca="1" si="59"/>
        <v>#N/A</v>
      </c>
      <c r="CV58" s="367">
        <f ca="1">IF(ISNA(CU58),0,IF(uxb_works!$B$32=1,IF(ISEVEN(LEFT(TRIM(CX58),1)),2,1),INDEX($C$41:$C$110,CU58)))</f>
        <v>0</v>
      </c>
      <c r="CW58" s="367">
        <f t="shared" ca="1" si="60"/>
        <v>0</v>
      </c>
      <c r="CX58" s="367" t="str">
        <f t="shared" ca="1" si="61"/>
        <v/>
      </c>
      <c r="CY58" s="458" t="str">
        <f t="shared" ca="1" si="62"/>
        <v/>
      </c>
      <c r="CZ58" s="127" t="str">
        <f t="shared" ca="1" si="62"/>
        <v/>
      </c>
      <c r="DA58" s="127" t="str">
        <f ca="1">IF(CY58="","",IF(CY58&lt;=uxb_works!$B$122,1,IF(CY58&lt;=uxb_works!$B$121,2,IF(CY58&lt;=uxb_works!$B$120,3,4))))</f>
        <v/>
      </c>
      <c r="DB58" s="127" t="str">
        <f t="shared" ca="1" si="63"/>
        <v/>
      </c>
      <c r="DC58" s="127" t="str">
        <f t="shared" ca="1" si="64"/>
        <v/>
      </c>
      <c r="DD58" s="127" t="str">
        <f t="shared" ca="1" si="64"/>
        <v/>
      </c>
      <c r="DE58" s="127" t="str">
        <f ca="1">IF(DC58="","",IF(DC58&lt;=uxb_works!$B$122,1,IF(DC58&lt;=uxb_works!$B$121,2,IF(DC58&lt;=uxb_works!$B$120,3,4))))</f>
        <v/>
      </c>
      <c r="DK58" s="367">
        <f>tblIndiSets!B23</f>
        <v>12</v>
      </c>
      <c r="DL58" s="129">
        <f>IF(uxb_works!$B$32=1,2,IF(ISNA(DK58),0,IF(uxb_works!$B$32=1,IF(ISEVEN(LEFT(TRIM(DN58),1)),2,1),INDEX($C$41:$C$110,DK58))))</f>
        <v>2</v>
      </c>
      <c r="DM58" s="129">
        <f t="shared" si="65"/>
        <v>1</v>
      </c>
      <c r="DN58" s="367" t="str">
        <f t="shared" si="66"/>
        <v xml:space="preserve">   1.2.4) Fixed broadband latency</v>
      </c>
      <c r="DO58" s="458">
        <f t="shared" si="67"/>
        <v>45.5</v>
      </c>
      <c r="DP58" s="127" t="str">
        <f t="shared" ca="1" si="67"/>
        <v>=15</v>
      </c>
      <c r="DQ58" s="127">
        <f>IF(DO58="","",IF(DO58&lt;=uxb_works!$B$122,1,IF(DO58&lt;=uxb_works!$B$121,2,IF(DO58&lt;=uxb_works!$B$120,3,4))))</f>
        <v>2</v>
      </c>
      <c r="DR58" s="459"/>
      <c r="DS58" s="127">
        <f t="shared" si="68"/>
        <v>19</v>
      </c>
    </row>
    <row r="59" spans="1:123">
      <c r="A59" s="367">
        <f>IF(ISEVEN(tblIndicators!C20),1,2)</f>
        <v>1</v>
      </c>
      <c r="B59" s="367">
        <f>tblIndiSets!B30</f>
        <v>19</v>
      </c>
      <c r="C59" s="367">
        <f>tblIndiSets!D30</f>
        <v>3</v>
      </c>
      <c r="D59" s="367">
        <f>tblCategories!AN23</f>
        <v>0</v>
      </c>
      <c r="E59" s="367" t="str">
        <f>tblIndiSets!E30</f>
        <v xml:space="preserve">   2.1.2) E-gov service portal for residents</v>
      </c>
      <c r="H59" s="367">
        <f t="shared" si="54"/>
        <v>91</v>
      </c>
      <c r="I59" s="13" t="str">
        <f t="shared" ca="1" si="55"/>
        <v>=11</v>
      </c>
      <c r="J59" s="13">
        <f t="shared" ca="1" si="56"/>
        <v>3</v>
      </c>
      <c r="K59" s="367">
        <f t="shared" si="20"/>
        <v>93</v>
      </c>
      <c r="AV59" s="13" t="str">
        <f t="shared" ca="1" si="57"/>
        <v>10</v>
      </c>
      <c r="AW59" s="13">
        <f t="shared" ca="1" si="58"/>
        <v>1</v>
      </c>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O59" s="13"/>
      <c r="CP59" s="13"/>
      <c r="CR59" s="13"/>
      <c r="CS59" s="13"/>
      <c r="CU59" s="367" t="e">
        <f t="shared" ca="1" si="59"/>
        <v>#N/A</v>
      </c>
      <c r="CV59" s="367">
        <f ca="1">IF(ISNA(CU59),0,IF(uxb_works!$B$32=1,IF(ISEVEN(LEFT(TRIM(CX59),1)),2,1),INDEX($C$41:$C$110,CU59)))</f>
        <v>0</v>
      </c>
      <c r="CW59" s="367">
        <f t="shared" ca="1" si="60"/>
        <v>0</v>
      </c>
      <c r="CX59" s="367" t="str">
        <f t="shared" ca="1" si="61"/>
        <v/>
      </c>
      <c r="CY59" s="458" t="str">
        <f t="shared" ca="1" si="62"/>
        <v/>
      </c>
      <c r="CZ59" s="127" t="str">
        <f t="shared" ca="1" si="62"/>
        <v/>
      </c>
      <c r="DA59" s="127" t="str">
        <f ca="1">IF(CY59="","",IF(CY59&lt;=uxb_works!$B$122,1,IF(CY59&lt;=uxb_works!$B$121,2,IF(CY59&lt;=uxb_works!$B$120,3,4))))</f>
        <v/>
      </c>
      <c r="DB59" s="127" t="str">
        <f t="shared" ca="1" si="63"/>
        <v/>
      </c>
      <c r="DC59" s="127" t="str">
        <f t="shared" ca="1" si="64"/>
        <v/>
      </c>
      <c r="DD59" s="127" t="str">
        <f t="shared" ca="1" si="64"/>
        <v/>
      </c>
      <c r="DE59" s="127" t="str">
        <f ca="1">IF(DC59="","",IF(DC59&lt;=uxb_works!$B$122,1,IF(DC59&lt;=uxb_works!$B$121,2,IF(DC59&lt;=uxb_works!$B$120,3,4))))</f>
        <v/>
      </c>
      <c r="DK59" s="367">
        <f>tblIndiSets!B24</f>
        <v>13</v>
      </c>
      <c r="DL59" s="129">
        <f>IF(uxb_works!$B$32=1,2,IF(ISNA(DK59),0,IF(uxb_works!$B$32=1,IF(ISEVEN(LEFT(TRIM(DN59),1)),2,1),INDEX($C$41:$C$110,DK59))))</f>
        <v>2</v>
      </c>
      <c r="DM59" s="129">
        <f t="shared" si="65"/>
        <v>1</v>
      </c>
      <c r="DN59" s="367" t="str">
        <f t="shared" si="66"/>
        <v xml:space="preserve">  1.3) Affordability</v>
      </c>
      <c r="DO59" s="458">
        <f t="shared" si="67"/>
        <v>74.599999999999994</v>
      </c>
      <c r="DP59" s="127" t="str">
        <f t="shared" ca="1" si="67"/>
        <v>15</v>
      </c>
      <c r="DQ59" s="127">
        <f>IF(DO59="","",IF(DO59&lt;=uxb_works!$B$122,1,IF(DO59&lt;=uxb_works!$B$121,2,IF(DO59&lt;=uxb_works!$B$120,3,4))))</f>
        <v>3</v>
      </c>
      <c r="DR59" s="459"/>
      <c r="DS59" s="127">
        <f t="shared" si="68"/>
        <v>30</v>
      </c>
    </row>
    <row r="60" spans="1:123">
      <c r="A60" s="367">
        <f>IF(ISEVEN(tblIndicators!C21),1,2)</f>
        <v>1</v>
      </c>
      <c r="B60" s="367">
        <f>tblIndiSets!B31</f>
        <v>20</v>
      </c>
      <c r="C60" s="367">
        <f>tblIndiSets!D31</f>
        <v>3</v>
      </c>
      <c r="D60" s="367">
        <f>tblCategories!AN24</f>
        <v>0</v>
      </c>
      <c r="E60" s="367" t="str">
        <f>tblIndiSets!E31</f>
        <v xml:space="preserve">   2.1.3) E-gov service portal for businesses</v>
      </c>
      <c r="H60" s="367">
        <f t="shared" si="54"/>
        <v>50</v>
      </c>
      <c r="I60" s="13" t="str">
        <f t="shared" ca="1" si="55"/>
        <v>=28</v>
      </c>
      <c r="J60" s="13">
        <f t="shared" ca="1" si="56"/>
        <v>3</v>
      </c>
      <c r="K60" s="367">
        <f t="shared" si="20"/>
        <v>100</v>
      </c>
      <c r="AV60" s="13" t="str">
        <f t="shared" ca="1" si="57"/>
        <v>=1</v>
      </c>
      <c r="AW60" s="13">
        <f t="shared" ca="1" si="58"/>
        <v>27</v>
      </c>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O60" s="13"/>
      <c r="CP60" s="13"/>
      <c r="CR60" s="13"/>
      <c r="CS60" s="13"/>
      <c r="CU60" s="367" t="e">
        <f t="shared" ca="1" si="59"/>
        <v>#N/A</v>
      </c>
      <c r="CV60" s="367">
        <f ca="1">IF(ISNA(CU60),0,IF(uxb_works!$B$32=1,IF(ISEVEN(LEFT(TRIM(CX60),1)),2,1),INDEX($C$41:$C$110,CU60)))</f>
        <v>0</v>
      </c>
      <c r="CW60" s="367">
        <f t="shared" ca="1" si="60"/>
        <v>0</v>
      </c>
      <c r="CX60" s="367" t="str">
        <f t="shared" ca="1" si="61"/>
        <v/>
      </c>
      <c r="CY60" s="458" t="str">
        <f t="shared" ca="1" si="62"/>
        <v/>
      </c>
      <c r="CZ60" s="127" t="str">
        <f t="shared" ca="1" si="62"/>
        <v/>
      </c>
      <c r="DA60" s="127" t="str">
        <f ca="1">IF(CY60="","",IF(CY60&lt;=uxb_works!$B$122,1,IF(CY60&lt;=uxb_works!$B$121,2,IF(CY60&lt;=uxb_works!$B$120,3,4))))</f>
        <v/>
      </c>
      <c r="DB60" s="127" t="str">
        <f t="shared" ca="1" si="63"/>
        <v/>
      </c>
      <c r="DC60" s="127" t="str">
        <f t="shared" ca="1" si="64"/>
        <v/>
      </c>
      <c r="DD60" s="127" t="str">
        <f t="shared" ca="1" si="64"/>
        <v/>
      </c>
      <c r="DE60" s="127" t="str">
        <f ca="1">IF(DC60="","",IF(DC60&lt;=uxb_works!$B$122,1,IF(DC60&lt;=uxb_works!$B$121,2,IF(DC60&lt;=uxb_works!$B$120,3,4))))</f>
        <v/>
      </c>
      <c r="DK60" s="367">
        <f>tblIndiSets!B25</f>
        <v>14</v>
      </c>
      <c r="DL60" s="129">
        <f>IF(uxb_works!$B$32=1,2,IF(ISNA(DK60),0,IF(uxb_works!$B$32=1,IF(ISEVEN(LEFT(TRIM(DN60),1)),2,1),INDEX($C$41:$C$110,DK60))))</f>
        <v>2</v>
      </c>
      <c r="DM60" s="129">
        <f t="shared" si="65"/>
        <v>1</v>
      </c>
      <c r="DN60" s="367" t="str">
        <f t="shared" si="66"/>
        <v xml:space="preserve">   1.3.1) Mobile data affordability</v>
      </c>
      <c r="DO60" s="458">
        <f t="shared" si="67"/>
        <v>80.599999999999994</v>
      </c>
      <c r="DP60" s="127" t="str">
        <f t="shared" ca="1" si="67"/>
        <v>18</v>
      </c>
      <c r="DQ60" s="127">
        <f>IF(DO60="","",IF(DO60&lt;=uxb_works!$B$122,1,IF(DO60&lt;=uxb_works!$B$121,2,IF(DO60&lt;=uxb_works!$B$120,3,4))))</f>
        <v>4</v>
      </c>
      <c r="DR60" s="459"/>
      <c r="DS60" s="127">
        <f t="shared" si="68"/>
        <v>33</v>
      </c>
    </row>
    <row r="61" spans="1:123">
      <c r="A61" s="367">
        <f>IF(ISEVEN(tblIndicators!C22),1,2)</f>
        <v>1</v>
      </c>
      <c r="B61" s="367">
        <f>tblIndiSets!B32</f>
        <v>21</v>
      </c>
      <c r="C61" s="367">
        <f>tblIndiSets!D32</f>
        <v>2</v>
      </c>
      <c r="D61" s="367">
        <f>tblCategories!AN25</f>
        <v>0</v>
      </c>
      <c r="E61" s="367" t="str">
        <f>tblIndiSets!E32</f>
        <v xml:space="preserve">  2.2) Digital finance</v>
      </c>
      <c r="H61" s="367">
        <f t="shared" si="54"/>
        <v>58.5</v>
      </c>
      <c r="I61" s="13" t="str">
        <f t="shared" ca="1" si="55"/>
        <v>13</v>
      </c>
      <c r="J61" s="13">
        <f t="shared" ca="1" si="56"/>
        <v>1</v>
      </c>
      <c r="K61" s="367">
        <f t="shared" si="20"/>
        <v>65.599999999999994</v>
      </c>
      <c r="AV61" s="13" t="str">
        <f t="shared" ca="1" si="57"/>
        <v>5</v>
      </c>
      <c r="AW61" s="13">
        <f t="shared" ca="1" si="58"/>
        <v>1</v>
      </c>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O61" s="13"/>
      <c r="CP61" s="13"/>
      <c r="CR61" s="13"/>
      <c r="CS61" s="13"/>
      <c r="CU61" s="367" t="e">
        <f t="shared" ca="1" si="59"/>
        <v>#N/A</v>
      </c>
      <c r="CV61" s="367">
        <f ca="1">IF(ISNA(CU61),0,IF(uxb_works!$B$32=1,IF(ISEVEN(LEFT(TRIM(CX61),1)),2,1),INDEX($C$41:$C$110,CU61)))</f>
        <v>0</v>
      </c>
      <c r="CW61" s="367">
        <f t="shared" ca="1" si="60"/>
        <v>0</v>
      </c>
      <c r="CX61" s="367" t="str">
        <f t="shared" ca="1" si="61"/>
        <v/>
      </c>
      <c r="CY61" s="458" t="str">
        <f t="shared" ca="1" si="62"/>
        <v/>
      </c>
      <c r="CZ61" s="127" t="str">
        <f t="shared" ca="1" si="62"/>
        <v/>
      </c>
      <c r="DA61" s="127" t="str">
        <f ca="1">IF(CY61="","",IF(CY61&lt;=uxb_works!$B$122,1,IF(CY61&lt;=uxb_works!$B$121,2,IF(CY61&lt;=uxb_works!$B$120,3,4))))</f>
        <v/>
      </c>
      <c r="DB61" s="127" t="str">
        <f t="shared" ca="1" si="63"/>
        <v/>
      </c>
      <c r="DC61" s="127" t="str">
        <f t="shared" ca="1" si="64"/>
        <v/>
      </c>
      <c r="DD61" s="127" t="str">
        <f t="shared" ca="1" si="64"/>
        <v/>
      </c>
      <c r="DE61" s="127" t="str">
        <f ca="1">IF(DC61="","",IF(DC61&lt;=uxb_works!$B$122,1,IF(DC61&lt;=uxb_works!$B$121,2,IF(DC61&lt;=uxb_works!$B$120,3,4))))</f>
        <v/>
      </c>
      <c r="DK61" s="367">
        <f>tblIndiSets!B26</f>
        <v>15</v>
      </c>
      <c r="DL61" s="129">
        <f>IF(uxb_works!$B$32=1,2,IF(ISNA(DK61),0,IF(uxb_works!$B$32=1,IF(ISEVEN(LEFT(TRIM(DN61),1)),2,1),INDEX($C$41:$C$110,DK61))))</f>
        <v>2</v>
      </c>
      <c r="DM61" s="129">
        <f t="shared" si="65"/>
        <v>1</v>
      </c>
      <c r="DN61" s="367" t="str">
        <f t="shared" si="66"/>
        <v xml:space="preserve">   1.3.2) Fixed broadband affordability</v>
      </c>
      <c r="DO61" s="458">
        <f t="shared" si="67"/>
        <v>67.900000000000006</v>
      </c>
      <c r="DP61" s="127" t="str">
        <f t="shared" ca="1" si="67"/>
        <v>=17</v>
      </c>
      <c r="DQ61" s="127">
        <f>IF(DO61="","",IF(DO61&lt;=uxb_works!$B$122,1,IF(DO61&lt;=uxb_works!$B$121,2,IF(DO61&lt;=uxb_works!$B$120,3,4))))</f>
        <v>3</v>
      </c>
      <c r="DR61" s="459"/>
      <c r="DS61" s="127">
        <f t="shared" si="68"/>
        <v>28</v>
      </c>
    </row>
    <row r="62" spans="1:123">
      <c r="A62" s="367">
        <f>IF(ISEVEN(tblIndicators!C23),1,2)</f>
        <v>1</v>
      </c>
      <c r="B62" s="367">
        <f>tblIndiSets!B33</f>
        <v>22</v>
      </c>
      <c r="C62" s="367">
        <f>tblIndiSets!D33</f>
        <v>3</v>
      </c>
      <c r="D62" s="367">
        <f>tblCategories!AN26</f>
        <v>0</v>
      </c>
      <c r="E62" s="367" t="str">
        <f>tblIndiSets!E33</f>
        <v xml:space="preserve">   2.2.1) Digital platforms for banking and personal finance</v>
      </c>
      <c r="H62" s="367">
        <f t="shared" si="54"/>
        <v>56.5</v>
      </c>
      <c r="I62" s="13" t="str">
        <f t="shared" ca="1" si="55"/>
        <v>=13</v>
      </c>
      <c r="J62" s="13">
        <f t="shared" ca="1" si="56"/>
        <v>2</v>
      </c>
      <c r="K62" s="367">
        <f t="shared" si="20"/>
        <v>69.599999999999994</v>
      </c>
      <c r="AV62" s="13" t="str">
        <f t="shared" ca="1" si="57"/>
        <v>=9</v>
      </c>
      <c r="AW62" s="13">
        <f t="shared" ca="1" si="58"/>
        <v>2</v>
      </c>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O62" s="13"/>
      <c r="CP62" s="13"/>
      <c r="CR62" s="13"/>
      <c r="CS62" s="13"/>
      <c r="CU62" s="367" t="e">
        <f t="shared" ca="1" si="59"/>
        <v>#N/A</v>
      </c>
      <c r="CV62" s="367">
        <f ca="1">IF(ISNA(CU62),0,IF(uxb_works!$B$32=1,IF(ISEVEN(LEFT(TRIM(CX62),1)),2,1),INDEX($C$41:$C$110,CU62)))</f>
        <v>0</v>
      </c>
      <c r="CW62" s="367">
        <f t="shared" ca="1" si="60"/>
        <v>0</v>
      </c>
      <c r="CX62" s="367" t="str">
        <f t="shared" ca="1" si="61"/>
        <v/>
      </c>
      <c r="CY62" s="458" t="str">
        <f t="shared" ca="1" si="62"/>
        <v/>
      </c>
      <c r="CZ62" s="127" t="str">
        <f t="shared" ca="1" si="62"/>
        <v/>
      </c>
      <c r="DA62" s="127" t="str">
        <f ca="1">IF(CY62="","",IF(CY62&lt;=uxb_works!$B$122,1,IF(CY62&lt;=uxb_works!$B$121,2,IF(CY62&lt;=uxb_works!$B$120,3,4))))</f>
        <v/>
      </c>
      <c r="DB62" s="127" t="str">
        <f t="shared" ca="1" si="63"/>
        <v/>
      </c>
      <c r="DC62" s="127" t="str">
        <f t="shared" ca="1" si="64"/>
        <v/>
      </c>
      <c r="DD62" s="127" t="str">
        <f t="shared" ca="1" si="64"/>
        <v/>
      </c>
      <c r="DE62" s="127" t="str">
        <f ca="1">IF(DC62="","",IF(DC62&lt;=uxb_works!$B$122,1,IF(DC62&lt;=uxb_works!$B$121,2,IF(DC62&lt;=uxb_works!$B$120,3,4))))</f>
        <v/>
      </c>
      <c r="DK62" s="367">
        <f>tblIndiSets!B27</f>
        <v>16</v>
      </c>
      <c r="DL62" s="129">
        <f>IF(uxb_works!$B$32=1,2,IF(ISNA(DK62),0,IF(uxb_works!$B$32=1,IF(ISEVEN(LEFT(TRIM(DN62),1)),2,1),INDEX($C$41:$C$110,DK62))))</f>
        <v>2</v>
      </c>
      <c r="DM62" s="129">
        <f t="shared" si="65"/>
        <v>1</v>
      </c>
      <c r="DN62" s="367" t="str">
        <f t="shared" si="66"/>
        <v xml:space="preserve"> 2) SERVICES</v>
      </c>
      <c r="DO62" s="458">
        <f t="shared" si="67"/>
        <v>73.2</v>
      </c>
      <c r="DP62" s="127" t="str">
        <f t="shared" ca="1" si="67"/>
        <v>4</v>
      </c>
      <c r="DQ62" s="127">
        <f>IF(DO62="","",IF(DO62&lt;=uxb_works!$B$122,1,IF(DO62&lt;=uxb_works!$B$121,2,IF(DO62&lt;=uxb_works!$B$120,3,4))))</f>
        <v>3</v>
      </c>
      <c r="DR62" s="459"/>
      <c r="DS62" s="127">
        <f t="shared" si="68"/>
        <v>30</v>
      </c>
    </row>
    <row r="63" spans="1:123">
      <c r="A63" s="367">
        <f>IF(ISEVEN(tblIndicators!C24),1,2)</f>
        <v>1</v>
      </c>
      <c r="B63" s="367">
        <f>tblIndiSets!B34</f>
        <v>23</v>
      </c>
      <c r="C63" s="367">
        <f>tblIndiSets!D34</f>
        <v>3</v>
      </c>
      <c r="D63" s="367">
        <f>tblCategories!AN27</f>
        <v>0</v>
      </c>
      <c r="E63" s="367" t="str">
        <f>tblIndiSets!E34</f>
        <v xml:space="preserve">   2.2.2) Digital investment management tools</v>
      </c>
      <c r="H63" s="367">
        <f t="shared" si="54"/>
        <v>5.6</v>
      </c>
      <c r="I63" s="13" t="str">
        <f t="shared" ca="1" si="55"/>
        <v>=28</v>
      </c>
      <c r="J63" s="13">
        <f t="shared" ca="1" si="56"/>
        <v>2</v>
      </c>
      <c r="K63" s="367">
        <f t="shared" si="20"/>
        <v>19.7</v>
      </c>
      <c r="AV63" s="13" t="str">
        <f t="shared" ca="1" si="57"/>
        <v>20</v>
      </c>
      <c r="AW63" s="13">
        <f t="shared" ca="1" si="58"/>
        <v>1</v>
      </c>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O63" s="13"/>
      <c r="CP63" s="13"/>
      <c r="CR63" s="13"/>
      <c r="CS63" s="13"/>
      <c r="CU63" s="367" t="e">
        <f t="shared" ca="1" si="59"/>
        <v>#N/A</v>
      </c>
      <c r="CV63" s="367">
        <f ca="1">IF(ISNA(CU63),0,IF(uxb_works!$B$32=1,IF(ISEVEN(LEFT(TRIM(CX63),1)),2,1),INDEX($C$41:$C$110,CU63)))</f>
        <v>0</v>
      </c>
      <c r="CW63" s="367">
        <f t="shared" ca="1" si="60"/>
        <v>0</v>
      </c>
      <c r="CX63" s="367" t="str">
        <f t="shared" ca="1" si="61"/>
        <v/>
      </c>
      <c r="CY63" s="458" t="str">
        <f t="shared" ca="1" si="62"/>
        <v/>
      </c>
      <c r="CZ63" s="127" t="str">
        <f t="shared" ca="1" si="62"/>
        <v/>
      </c>
      <c r="DA63" s="127" t="str">
        <f ca="1">IF(CY63="","",IF(CY63&lt;=uxb_works!$B$122,1,IF(CY63&lt;=uxb_works!$B$121,2,IF(CY63&lt;=uxb_works!$B$120,3,4))))</f>
        <v/>
      </c>
      <c r="DB63" s="127" t="str">
        <f t="shared" ca="1" si="63"/>
        <v/>
      </c>
      <c r="DC63" s="127" t="str">
        <f t="shared" ca="1" si="64"/>
        <v/>
      </c>
      <c r="DD63" s="127" t="str">
        <f t="shared" ca="1" si="64"/>
        <v/>
      </c>
      <c r="DE63" s="127" t="str">
        <f ca="1">IF(DC63="","",IF(DC63&lt;=uxb_works!$B$122,1,IF(DC63&lt;=uxb_works!$B$121,2,IF(DC63&lt;=uxb_works!$B$120,3,4))))</f>
        <v/>
      </c>
      <c r="DK63" s="367">
        <f>tblIndiSets!B28</f>
        <v>17</v>
      </c>
      <c r="DL63" s="129">
        <f>IF(uxb_works!$B$32=1,2,IF(ISNA(DK63),0,IF(uxb_works!$B$32=1,IF(ISEVEN(LEFT(TRIM(DN63),1)),2,1),INDEX($C$41:$C$110,DK63))))</f>
        <v>2</v>
      </c>
      <c r="DM63" s="129">
        <f t="shared" si="65"/>
        <v>1</v>
      </c>
      <c r="DN63" s="367" t="str">
        <f t="shared" si="66"/>
        <v xml:space="preserve">  2.1) E-gov services for residents &amp; businesses</v>
      </c>
      <c r="DO63" s="458">
        <f t="shared" si="67"/>
        <v>48.6</v>
      </c>
      <c r="DP63" s="127" t="str">
        <f t="shared" ca="1" si="67"/>
        <v>29</v>
      </c>
      <c r="DQ63" s="127">
        <f>IF(DO63="","",IF(DO63&lt;=uxb_works!$B$122,1,IF(DO63&lt;=uxb_works!$B$121,2,IF(DO63&lt;=uxb_works!$B$120,3,4))))</f>
        <v>2</v>
      </c>
      <c r="DR63" s="459"/>
      <c r="DS63" s="127">
        <f t="shared" si="68"/>
        <v>20</v>
      </c>
    </row>
    <row r="64" spans="1:123">
      <c r="A64" s="367">
        <f>IF(ISEVEN(tblIndicators!C25),1,2)</f>
        <v>1</v>
      </c>
      <c r="B64" s="367">
        <f>tblIndiSets!B35</f>
        <v>24</v>
      </c>
      <c r="C64" s="367">
        <f>tblIndiSets!D35</f>
        <v>3</v>
      </c>
      <c r="D64" s="367">
        <f>tblCategories!AN28</f>
        <v>0</v>
      </c>
      <c r="E64" s="367" t="str">
        <f>tblIndiSets!E35</f>
        <v xml:space="preserve">   2.2.3) E-payments</v>
      </c>
      <c r="H64" s="367">
        <f t="shared" si="54"/>
        <v>88.3</v>
      </c>
      <c r="I64" s="13" t="str">
        <f t="shared" ca="1" si="55"/>
        <v>8</v>
      </c>
      <c r="J64" s="13">
        <f t="shared" ca="1" si="56"/>
        <v>1</v>
      </c>
      <c r="K64" s="367">
        <f t="shared" si="20"/>
        <v>86.8</v>
      </c>
      <c r="AV64" s="13" t="str">
        <f t="shared" ca="1" si="57"/>
        <v>10</v>
      </c>
      <c r="AW64" s="13">
        <f t="shared" ca="1" si="58"/>
        <v>1</v>
      </c>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O64" s="13"/>
      <c r="CP64" s="13"/>
      <c r="CR64" s="13"/>
      <c r="CS64" s="13"/>
      <c r="CU64" s="367" t="e">
        <f t="shared" ca="1" si="59"/>
        <v>#N/A</v>
      </c>
      <c r="CV64" s="367">
        <f ca="1">IF(ISNA(CU64),0,IF(uxb_works!$B$32=1,IF(ISEVEN(LEFT(TRIM(CX64),1)),2,1),INDEX($C$41:$C$110,CU64)))</f>
        <v>0</v>
      </c>
      <c r="CW64" s="367">
        <f t="shared" ca="1" si="60"/>
        <v>0</v>
      </c>
      <c r="CX64" s="367" t="str">
        <f t="shared" ca="1" si="61"/>
        <v/>
      </c>
      <c r="CY64" s="458" t="str">
        <f t="shared" ca="1" si="62"/>
        <v/>
      </c>
      <c r="CZ64" s="127" t="str">
        <f t="shared" ca="1" si="62"/>
        <v/>
      </c>
      <c r="DA64" s="127" t="str">
        <f ca="1">IF(CY64="","",IF(CY64&lt;=uxb_works!$B$122,1,IF(CY64&lt;=uxb_works!$B$121,2,IF(CY64&lt;=uxb_works!$B$120,3,4))))</f>
        <v/>
      </c>
      <c r="DB64" s="127" t="str">
        <f t="shared" ca="1" si="63"/>
        <v/>
      </c>
      <c r="DC64" s="127" t="str">
        <f t="shared" ca="1" si="64"/>
        <v/>
      </c>
      <c r="DD64" s="127" t="str">
        <f t="shared" ca="1" si="64"/>
        <v/>
      </c>
      <c r="DE64" s="127" t="str">
        <f ca="1">IF(DC64="","",IF(DC64&lt;=uxb_works!$B$122,1,IF(DC64&lt;=uxb_works!$B$121,2,IF(DC64&lt;=uxb_works!$B$120,3,4))))</f>
        <v/>
      </c>
      <c r="DK64" s="367">
        <f>tblIndiSets!B29</f>
        <v>18</v>
      </c>
      <c r="DL64" s="129">
        <f>IF(uxb_works!$B$32=1,2,IF(ISNA(DK64),0,IF(uxb_works!$B$32=1,IF(ISEVEN(LEFT(TRIM(DN64),1)),2,1),INDEX($C$41:$C$110,DK64))))</f>
        <v>2</v>
      </c>
      <c r="DM64" s="129">
        <f t="shared" si="65"/>
        <v>1</v>
      </c>
      <c r="DN64" s="367" t="str">
        <f t="shared" si="66"/>
        <v xml:space="preserve">   2.1.1) Mobile digital national ID</v>
      </c>
      <c r="DO64" s="458">
        <f t="shared" si="67"/>
        <v>0</v>
      </c>
      <c r="DP64" s="127" t="str">
        <f t="shared" ca="1" si="67"/>
        <v>=7</v>
      </c>
      <c r="DQ64" s="127">
        <f>IF(DO64="","",IF(DO64&lt;=uxb_works!$B$122,1,IF(DO64&lt;=uxb_works!$B$121,2,IF(DO64&lt;=uxb_works!$B$120,3,4))))</f>
        <v>1</v>
      </c>
      <c r="DR64" s="459"/>
      <c r="DS64" s="127">
        <f t="shared" si="68"/>
        <v>0</v>
      </c>
    </row>
    <row r="65" spans="1:123">
      <c r="A65" s="367">
        <f>IF(ISEVEN(tblIndicators!C26),1,2)</f>
        <v>1</v>
      </c>
      <c r="B65" s="367">
        <f>tblIndiSets!B36</f>
        <v>25</v>
      </c>
      <c r="C65" s="367">
        <f>tblIndiSets!D36</f>
        <v>2</v>
      </c>
      <c r="D65" s="367">
        <f>tblCategories!AN29</f>
        <v>0</v>
      </c>
      <c r="E65" s="367" t="str">
        <f>tblIndiSets!E36</f>
        <v xml:space="preserve">  2.3) Transportation</v>
      </c>
      <c r="H65" s="367">
        <f t="shared" si="54"/>
        <v>100</v>
      </c>
      <c r="I65" s="13" t="str">
        <f t="shared" ca="1" si="55"/>
        <v>=1</v>
      </c>
      <c r="J65" s="13">
        <f t="shared" ca="1" si="56"/>
        <v>7</v>
      </c>
      <c r="K65" s="367">
        <f t="shared" si="20"/>
        <v>41</v>
      </c>
      <c r="AV65" s="13" t="str">
        <f t="shared" ca="1" si="57"/>
        <v>24</v>
      </c>
      <c r="AW65" s="13">
        <f t="shared" ca="1" si="58"/>
        <v>1</v>
      </c>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O65" s="13"/>
      <c r="CP65" s="13"/>
      <c r="CR65" s="13"/>
      <c r="CS65" s="13"/>
      <c r="CU65" s="367" t="e">
        <f t="shared" ca="1" si="59"/>
        <v>#N/A</v>
      </c>
      <c r="CV65" s="367">
        <f ca="1">IF(ISNA(CU65),0,IF(uxb_works!$B$32=1,IF(ISEVEN(LEFT(TRIM(CX65),1)),2,1),INDEX($C$41:$C$110,CU65)))</f>
        <v>0</v>
      </c>
      <c r="CW65" s="367">
        <f t="shared" ca="1" si="60"/>
        <v>0</v>
      </c>
      <c r="CX65" s="367" t="str">
        <f t="shared" ca="1" si="61"/>
        <v/>
      </c>
      <c r="CY65" s="458" t="str">
        <f t="shared" ca="1" si="62"/>
        <v/>
      </c>
      <c r="CZ65" s="127" t="str">
        <f t="shared" ca="1" si="62"/>
        <v/>
      </c>
      <c r="DA65" s="127" t="str">
        <f ca="1">IF(CY65="","",IF(CY65&lt;=uxb_works!$B$122,1,IF(CY65&lt;=uxb_works!$B$121,2,IF(CY65&lt;=uxb_works!$B$120,3,4))))</f>
        <v/>
      </c>
      <c r="DB65" s="127" t="str">
        <f t="shared" ca="1" si="63"/>
        <v/>
      </c>
      <c r="DC65" s="127" t="str">
        <f t="shared" ca="1" si="64"/>
        <v/>
      </c>
      <c r="DD65" s="127" t="str">
        <f t="shared" ca="1" si="64"/>
        <v/>
      </c>
      <c r="DE65" s="127" t="str">
        <f ca="1">IF(DC65="","",IF(DC65&lt;=uxb_works!$B$122,1,IF(DC65&lt;=uxb_works!$B$121,2,IF(DC65&lt;=uxb_works!$B$120,3,4))))</f>
        <v/>
      </c>
      <c r="DK65" s="367">
        <f>tblIndiSets!B30</f>
        <v>19</v>
      </c>
      <c r="DL65" s="129">
        <f>IF(uxb_works!$B$32=1,2,IF(ISNA(DK65),0,IF(uxb_works!$B$32=1,IF(ISEVEN(LEFT(TRIM(DN65),1)),2,1),INDEX($C$41:$C$110,DK65))))</f>
        <v>2</v>
      </c>
      <c r="DM65" s="129">
        <f t="shared" si="65"/>
        <v>1</v>
      </c>
      <c r="DN65" s="367" t="str">
        <f t="shared" si="66"/>
        <v xml:space="preserve">   2.1.2) E-gov service portal for residents</v>
      </c>
      <c r="DO65" s="458">
        <f t="shared" si="67"/>
        <v>91</v>
      </c>
      <c r="DP65" s="127" t="str">
        <f t="shared" ca="1" si="67"/>
        <v>=11</v>
      </c>
      <c r="DQ65" s="127">
        <f>IF(DO65="","",IF(DO65&lt;=uxb_works!$B$122,1,IF(DO65&lt;=uxb_works!$B$121,2,IF(DO65&lt;=uxb_works!$B$120,3,4))))</f>
        <v>4</v>
      </c>
      <c r="DR65" s="459"/>
      <c r="DS65" s="127">
        <f t="shared" si="68"/>
        <v>37</v>
      </c>
    </row>
    <row r="66" spans="1:123">
      <c r="A66" s="367">
        <f>IF(ISEVEN(tblIndicators!C27),1,2)</f>
        <v>1</v>
      </c>
      <c r="B66" s="367">
        <f>tblIndiSets!B37</f>
        <v>26</v>
      </c>
      <c r="C66" s="367">
        <f>tblIndiSets!D37</f>
        <v>3</v>
      </c>
      <c r="D66" s="367">
        <f>tblCategories!AN30</f>
        <v>0</v>
      </c>
      <c r="E66" s="367" t="str">
        <f>tblIndiSets!E37</f>
        <v xml:space="preserve">   2.3.1) Integrated public transport apps</v>
      </c>
      <c r="H66" s="367">
        <f t="shared" si="54"/>
        <v>100</v>
      </c>
      <c r="I66" s="13" t="str">
        <f t="shared" ca="1" si="55"/>
        <v>=1</v>
      </c>
      <c r="J66" s="13">
        <f t="shared" ca="1" si="56"/>
        <v>11</v>
      </c>
      <c r="K66" s="367">
        <f t="shared" si="20"/>
        <v>33.299999999999997</v>
      </c>
      <c r="AV66" s="13" t="str">
        <f t="shared" ca="1" si="57"/>
        <v>=23</v>
      </c>
      <c r="AW66" s="13">
        <f t="shared" ca="1" si="58"/>
        <v>4</v>
      </c>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O66" s="13"/>
      <c r="CP66" s="13"/>
      <c r="CR66" s="13"/>
      <c r="CS66" s="13"/>
      <c r="CU66" s="367" t="e">
        <f t="shared" ca="1" si="59"/>
        <v>#N/A</v>
      </c>
      <c r="CV66" s="367">
        <f ca="1">IF(ISNA(CU66),0,IF(uxb_works!$B$32=1,IF(ISEVEN(LEFT(TRIM(CX66),1)),2,1),INDEX($C$41:$C$110,CU66)))</f>
        <v>0</v>
      </c>
      <c r="CW66" s="367">
        <f t="shared" ca="1" si="60"/>
        <v>0</v>
      </c>
      <c r="CX66" s="367" t="str">
        <f t="shared" ca="1" si="61"/>
        <v/>
      </c>
      <c r="CY66" s="458" t="str">
        <f t="shared" ca="1" si="62"/>
        <v/>
      </c>
      <c r="CZ66" s="127" t="str">
        <f t="shared" ca="1" si="62"/>
        <v/>
      </c>
      <c r="DA66" s="127" t="str">
        <f ca="1">IF(CY66="","",IF(CY66&lt;=uxb_works!$B$122,1,IF(CY66&lt;=uxb_works!$B$121,2,IF(CY66&lt;=uxb_works!$B$120,3,4))))</f>
        <v/>
      </c>
      <c r="DB66" s="127" t="str">
        <f t="shared" ca="1" si="63"/>
        <v/>
      </c>
      <c r="DC66" s="127" t="str">
        <f t="shared" ca="1" si="64"/>
        <v/>
      </c>
      <c r="DD66" s="127" t="str">
        <f t="shared" ca="1" si="64"/>
        <v/>
      </c>
      <c r="DE66" s="127" t="str">
        <f ca="1">IF(DC66="","",IF(DC66&lt;=uxb_works!$B$122,1,IF(DC66&lt;=uxb_works!$B$121,2,IF(DC66&lt;=uxb_works!$B$120,3,4))))</f>
        <v/>
      </c>
      <c r="DK66" s="367">
        <f>tblIndiSets!B31</f>
        <v>20</v>
      </c>
      <c r="DL66" s="129">
        <f>IF(uxb_works!$B$32=1,2,IF(ISNA(DK66),0,IF(uxb_works!$B$32=1,IF(ISEVEN(LEFT(TRIM(DN66),1)),2,1),INDEX($C$41:$C$110,DK66))))</f>
        <v>2</v>
      </c>
      <c r="DM66" s="129">
        <f t="shared" si="65"/>
        <v>1</v>
      </c>
      <c r="DN66" s="367" t="str">
        <f t="shared" si="66"/>
        <v xml:space="preserve">   2.1.3) E-gov service portal for businesses</v>
      </c>
      <c r="DO66" s="458">
        <f t="shared" si="67"/>
        <v>50</v>
      </c>
      <c r="DP66" s="127" t="str">
        <f t="shared" ca="1" si="67"/>
        <v>=28</v>
      </c>
      <c r="DQ66" s="127">
        <f>IF(DO66="","",IF(DO66&lt;=uxb_works!$B$122,1,IF(DO66&lt;=uxb_works!$B$121,2,IF(DO66&lt;=uxb_works!$B$120,3,4))))</f>
        <v>2</v>
      </c>
      <c r="DR66" s="459"/>
      <c r="DS66" s="127">
        <f t="shared" si="68"/>
        <v>20</v>
      </c>
    </row>
    <row r="67" spans="1:123">
      <c r="A67" s="367">
        <f>IF(ISEVEN(tblIndicators!C28),1,2)</f>
        <v>1</v>
      </c>
      <c r="B67" s="367">
        <f>tblIndiSets!B38</f>
        <v>27</v>
      </c>
      <c r="C67" s="367">
        <f>tblIndiSets!D38</f>
        <v>3</v>
      </c>
      <c r="D67" s="367">
        <f>tblCategories!AN31</f>
        <v>0</v>
      </c>
      <c r="E67" s="367" t="str">
        <f>tblIndiSets!E38</f>
        <v xml:space="preserve">   2.3.2) Digital identification at airports</v>
      </c>
      <c r="H67" s="367">
        <f t="shared" si="54"/>
        <v>100</v>
      </c>
      <c r="I67" s="13" t="str">
        <f t="shared" ca="1" si="55"/>
        <v>=1</v>
      </c>
      <c r="J67" s="13">
        <f t="shared" ca="1" si="56"/>
        <v>15</v>
      </c>
      <c r="K67" s="367">
        <f t="shared" si="20"/>
        <v>50</v>
      </c>
      <c r="AV67" s="13" t="str">
        <f t="shared" ca="1" si="57"/>
        <v>=16</v>
      </c>
      <c r="AW67" s="13">
        <f t="shared" ca="1" si="58"/>
        <v>12</v>
      </c>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O67" s="13"/>
      <c r="CP67" s="13"/>
      <c r="CR67" s="13"/>
      <c r="CS67" s="13"/>
      <c r="CU67" s="367" t="e">
        <f t="shared" ca="1" si="59"/>
        <v>#N/A</v>
      </c>
      <c r="CV67" s="367">
        <f ca="1">IF(ISNA(CU67),0,IF(uxb_works!$B$32=1,IF(ISEVEN(LEFT(TRIM(CX67),1)),2,1),INDEX($C$41:$C$110,CU67)))</f>
        <v>0</v>
      </c>
      <c r="CW67" s="367">
        <f t="shared" ca="1" si="60"/>
        <v>0</v>
      </c>
      <c r="CX67" s="367" t="str">
        <f t="shared" ca="1" si="61"/>
        <v/>
      </c>
      <c r="CY67" s="458" t="str">
        <f t="shared" ca="1" si="62"/>
        <v/>
      </c>
      <c r="CZ67" s="127" t="str">
        <f t="shared" ca="1" si="62"/>
        <v/>
      </c>
      <c r="DA67" s="127" t="str">
        <f ca="1">IF(CY67="","",IF(CY67&lt;=uxb_works!$B$122,1,IF(CY67&lt;=uxb_works!$B$121,2,IF(CY67&lt;=uxb_works!$B$120,3,4))))</f>
        <v/>
      </c>
      <c r="DB67" s="127" t="str">
        <f t="shared" ca="1" si="63"/>
        <v/>
      </c>
      <c r="DC67" s="127" t="str">
        <f t="shared" ca="1" si="64"/>
        <v/>
      </c>
      <c r="DD67" s="127" t="str">
        <f t="shared" ca="1" si="64"/>
        <v/>
      </c>
      <c r="DE67" s="127" t="str">
        <f ca="1">IF(DC67="","",IF(DC67&lt;=uxb_works!$B$122,1,IF(DC67&lt;=uxb_works!$B$121,2,IF(DC67&lt;=uxb_works!$B$120,3,4))))</f>
        <v/>
      </c>
      <c r="DK67" s="367">
        <f>tblIndiSets!B32</f>
        <v>21</v>
      </c>
      <c r="DL67" s="129">
        <f>IF(uxb_works!$B$32=1,2,IF(ISNA(DK67),0,IF(uxb_works!$B$32=1,IF(ISEVEN(LEFT(TRIM(DN67),1)),2,1),INDEX($C$41:$C$110,DK67))))</f>
        <v>2</v>
      </c>
      <c r="DM67" s="129">
        <f t="shared" si="65"/>
        <v>1</v>
      </c>
      <c r="DN67" s="367" t="str">
        <f t="shared" si="66"/>
        <v xml:space="preserve">  2.2) Digital finance</v>
      </c>
      <c r="DO67" s="458">
        <f t="shared" si="67"/>
        <v>58.5</v>
      </c>
      <c r="DP67" s="127" t="str">
        <f t="shared" ca="1" si="67"/>
        <v>13</v>
      </c>
      <c r="DQ67" s="127">
        <f>IF(DO67="","",IF(DO67&lt;=uxb_works!$B$122,1,IF(DO67&lt;=uxb_works!$B$121,2,IF(DO67&lt;=uxb_works!$B$120,3,4))))</f>
        <v>3</v>
      </c>
      <c r="DR67" s="459"/>
      <c r="DS67" s="127">
        <f t="shared" si="68"/>
        <v>24</v>
      </c>
    </row>
    <row r="68" spans="1:123">
      <c r="A68" s="367">
        <f>IF(ISEVEN(tblIndicators!C29),1,2)</f>
        <v>1</v>
      </c>
      <c r="B68" s="367">
        <f>tblIndiSets!B39</f>
        <v>28</v>
      </c>
      <c r="C68" s="367">
        <f>tblIndiSets!D39</f>
        <v>2</v>
      </c>
      <c r="D68" s="367">
        <f>tblCategories!AN32</f>
        <v>0</v>
      </c>
      <c r="E68" s="367" t="str">
        <f>tblIndiSets!E39</f>
        <v xml:space="preserve">  2.4) Healthcare</v>
      </c>
      <c r="H68" s="367">
        <f t="shared" si="54"/>
        <v>91.6</v>
      </c>
      <c r="I68" s="13" t="str">
        <f t="shared" ca="1" si="55"/>
        <v>7</v>
      </c>
      <c r="J68" s="13">
        <f t="shared" ca="1" si="56"/>
        <v>1</v>
      </c>
      <c r="K68" s="367">
        <f t="shared" si="20"/>
        <v>54.1</v>
      </c>
      <c r="AV68" s="13" t="str">
        <f t="shared" ca="1" si="57"/>
        <v>24</v>
      </c>
      <c r="AW68" s="13">
        <f t="shared" ca="1" si="58"/>
        <v>1</v>
      </c>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O68" s="13"/>
      <c r="CP68" s="13"/>
      <c r="CR68" s="13"/>
      <c r="CS68" s="13"/>
      <c r="CU68" s="367" t="e">
        <f t="shared" ca="1" si="59"/>
        <v>#N/A</v>
      </c>
      <c r="CV68" s="367">
        <f ca="1">IF(ISNA(CU68),0,IF(uxb_works!$B$32=1,IF(ISEVEN(LEFT(TRIM(CX68),1)),2,1),INDEX($C$41:$C$110,CU68)))</f>
        <v>0</v>
      </c>
      <c r="CW68" s="367">
        <f t="shared" ca="1" si="60"/>
        <v>0</v>
      </c>
      <c r="CX68" s="367" t="str">
        <f t="shared" ca="1" si="61"/>
        <v/>
      </c>
      <c r="CY68" s="458" t="str">
        <f t="shared" ca="1" si="62"/>
        <v/>
      </c>
      <c r="CZ68" s="127" t="str">
        <f t="shared" ca="1" si="62"/>
        <v/>
      </c>
      <c r="DA68" s="127" t="str">
        <f ca="1">IF(CY68="","",IF(CY68&lt;=uxb_works!$B$122,1,IF(CY68&lt;=uxb_works!$B$121,2,IF(CY68&lt;=uxb_works!$B$120,3,4))))</f>
        <v/>
      </c>
      <c r="DB68" s="127" t="str">
        <f t="shared" ca="1" si="63"/>
        <v/>
      </c>
      <c r="DC68" s="127" t="str">
        <f t="shared" ca="1" si="64"/>
        <v/>
      </c>
      <c r="DD68" s="127" t="str">
        <f t="shared" ca="1" si="64"/>
        <v/>
      </c>
      <c r="DE68" s="127" t="str">
        <f ca="1">IF(DC68="","",IF(DC68&lt;=uxb_works!$B$122,1,IF(DC68&lt;=uxb_works!$B$121,2,IF(DC68&lt;=uxb_works!$B$120,3,4))))</f>
        <v/>
      </c>
      <c r="DK68" s="367">
        <f>tblIndiSets!B33</f>
        <v>22</v>
      </c>
      <c r="DL68" s="129">
        <f>IF(uxb_works!$B$32=1,2,IF(ISNA(DK68),0,IF(uxb_works!$B$32=1,IF(ISEVEN(LEFT(TRIM(DN68),1)),2,1),INDEX($C$41:$C$110,DK68))))</f>
        <v>2</v>
      </c>
      <c r="DM68" s="129">
        <f t="shared" si="65"/>
        <v>1</v>
      </c>
      <c r="DN68" s="367" t="str">
        <f t="shared" si="66"/>
        <v xml:space="preserve">   2.2.1) Digital platforms for banking and personal finance</v>
      </c>
      <c r="DO68" s="458">
        <f t="shared" si="67"/>
        <v>56.5</v>
      </c>
      <c r="DP68" s="127" t="str">
        <f t="shared" ca="1" si="67"/>
        <v>=13</v>
      </c>
      <c r="DQ68" s="127">
        <f>IF(DO68="","",IF(DO68&lt;=uxb_works!$B$122,1,IF(DO68&lt;=uxb_works!$B$121,2,IF(DO68&lt;=uxb_works!$B$120,3,4))))</f>
        <v>3</v>
      </c>
      <c r="DR68" s="459"/>
      <c r="DS68" s="127">
        <f t="shared" si="68"/>
        <v>23</v>
      </c>
    </row>
    <row r="69" spans="1:123">
      <c r="A69" s="367">
        <f>IF(ISEVEN(tblIndicators!C30),1,2)</f>
        <v>1</v>
      </c>
      <c r="B69" s="367">
        <f>tblIndiSets!B40</f>
        <v>29</v>
      </c>
      <c r="C69" s="367">
        <f>tblIndiSets!D40</f>
        <v>3</v>
      </c>
      <c r="D69" s="367">
        <f>tblCategories!AN33</f>
        <v>0</v>
      </c>
      <c r="E69" s="367" t="str">
        <f>tblIndiSets!E40</f>
        <v xml:space="preserve">   2.4.1) Telehealth &amp; telemedicine</v>
      </c>
      <c r="H69" s="367">
        <f t="shared" si="54"/>
        <v>73.2</v>
      </c>
      <c r="I69" s="13" t="str">
        <f t="shared" ca="1" si="55"/>
        <v>14</v>
      </c>
      <c r="J69" s="13">
        <f t="shared" ca="1" si="56"/>
        <v>1</v>
      </c>
      <c r="K69" s="367">
        <f t="shared" si="20"/>
        <v>71.3</v>
      </c>
      <c r="AV69" s="13" t="str">
        <f t="shared" ca="1" si="57"/>
        <v>15</v>
      </c>
      <c r="AW69" s="13">
        <f t="shared" ca="1" si="58"/>
        <v>1</v>
      </c>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O69" s="13"/>
      <c r="CP69" s="13"/>
      <c r="CR69" s="13"/>
      <c r="CS69" s="13"/>
      <c r="CU69" s="367" t="e">
        <f t="shared" ca="1" si="59"/>
        <v>#N/A</v>
      </c>
      <c r="CV69" s="367">
        <f ca="1">IF(ISNA(CU69),0,IF(uxb_works!$B$32=1,IF(ISEVEN(LEFT(TRIM(CX69),1)),2,1),INDEX($C$41:$C$110,CU69)))</f>
        <v>0</v>
      </c>
      <c r="CW69" s="367">
        <f t="shared" ca="1" si="60"/>
        <v>0</v>
      </c>
      <c r="CX69" s="367" t="str">
        <f t="shared" ca="1" si="61"/>
        <v/>
      </c>
      <c r="CY69" s="458" t="str">
        <f t="shared" ca="1" si="62"/>
        <v/>
      </c>
      <c r="CZ69" s="127" t="str">
        <f t="shared" ca="1" si="62"/>
        <v/>
      </c>
      <c r="DA69" s="127" t="str">
        <f ca="1">IF(CY69="","",IF(CY69&lt;=uxb_works!$B$122,1,IF(CY69&lt;=uxb_works!$B$121,2,IF(CY69&lt;=uxb_works!$B$120,3,4))))</f>
        <v/>
      </c>
      <c r="DB69" s="127" t="str">
        <f t="shared" ca="1" si="63"/>
        <v/>
      </c>
      <c r="DC69" s="127" t="str">
        <f t="shared" ca="1" si="64"/>
        <v/>
      </c>
      <c r="DD69" s="127" t="str">
        <f t="shared" ca="1" si="64"/>
        <v/>
      </c>
      <c r="DE69" s="127" t="str">
        <f ca="1">IF(DC69="","",IF(DC69&lt;=uxb_works!$B$122,1,IF(DC69&lt;=uxb_works!$B$121,2,IF(DC69&lt;=uxb_works!$B$120,3,4))))</f>
        <v/>
      </c>
      <c r="DK69" s="367">
        <f>tblIndiSets!B34</f>
        <v>23</v>
      </c>
      <c r="DL69" s="129">
        <f>IF(uxb_works!$B$32=1,2,IF(ISNA(DK69),0,IF(uxb_works!$B$32=1,IF(ISEVEN(LEFT(TRIM(DN69),1)),2,1),INDEX($C$41:$C$110,DK69))))</f>
        <v>2</v>
      </c>
      <c r="DM69" s="129">
        <f t="shared" si="65"/>
        <v>1</v>
      </c>
      <c r="DN69" s="367" t="str">
        <f t="shared" si="66"/>
        <v xml:space="preserve">   2.2.2) Digital investment management tools</v>
      </c>
      <c r="DO69" s="458">
        <f t="shared" si="67"/>
        <v>5.6</v>
      </c>
      <c r="DP69" s="127" t="str">
        <f t="shared" ca="1" si="67"/>
        <v>=28</v>
      </c>
      <c r="DQ69" s="127">
        <f>IF(DO69="","",IF(DO69&lt;=uxb_works!$B$122,1,IF(DO69&lt;=uxb_works!$B$121,2,IF(DO69&lt;=uxb_works!$B$120,3,4))))</f>
        <v>1</v>
      </c>
      <c r="DR69" s="459"/>
      <c r="DS69" s="127">
        <f t="shared" si="68"/>
        <v>3</v>
      </c>
    </row>
    <row r="70" spans="1:123">
      <c r="A70" s="367">
        <f>IF(ISEVEN(tblIndicators!C31),1,2)</f>
        <v>1</v>
      </c>
      <c r="B70" s="367">
        <f>tblIndiSets!B41</f>
        <v>30</v>
      </c>
      <c r="C70" s="367">
        <f>tblIndiSets!D41</f>
        <v>3</v>
      </c>
      <c r="D70" s="367">
        <f>tblCategories!AN34</f>
        <v>0</v>
      </c>
      <c r="E70" s="367" t="str">
        <f>tblIndiSets!E41</f>
        <v xml:space="preserve">   2.4.2) Electronic health records</v>
      </c>
      <c r="H70" s="367">
        <f t="shared" si="54"/>
        <v>100</v>
      </c>
      <c r="I70" s="13" t="str">
        <f t="shared" ca="1" si="55"/>
        <v>=1</v>
      </c>
      <c r="J70" s="13">
        <f t="shared" ca="1" si="56"/>
        <v>16</v>
      </c>
      <c r="K70" s="367">
        <f t="shared" si="20"/>
        <v>0</v>
      </c>
      <c r="AV70" s="13" t="str">
        <f t="shared" ca="1" si="57"/>
        <v>=29</v>
      </c>
      <c r="AW70" s="13">
        <f t="shared" ca="1" si="58"/>
        <v>2</v>
      </c>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O70" s="13"/>
      <c r="CP70" s="13"/>
      <c r="CR70" s="13"/>
      <c r="CS70" s="13"/>
      <c r="CU70" s="367" t="e">
        <f t="shared" ca="1" si="59"/>
        <v>#N/A</v>
      </c>
      <c r="CV70" s="367">
        <f ca="1">IF(ISNA(CU70),0,IF(uxb_works!$B$32=1,IF(ISEVEN(LEFT(TRIM(CX70),1)),2,1),INDEX($C$41:$C$110,CU70)))</f>
        <v>0</v>
      </c>
      <c r="CW70" s="367">
        <f t="shared" ca="1" si="60"/>
        <v>0</v>
      </c>
      <c r="CX70" s="367" t="str">
        <f t="shared" ca="1" si="61"/>
        <v/>
      </c>
      <c r="CY70" s="458" t="str">
        <f t="shared" ca="1" si="62"/>
        <v/>
      </c>
      <c r="CZ70" s="127" t="str">
        <f t="shared" ca="1" si="62"/>
        <v/>
      </c>
      <c r="DA70" s="127" t="str">
        <f ca="1">IF(CY70="","",IF(CY70&lt;=uxb_works!$B$122,1,IF(CY70&lt;=uxb_works!$B$121,2,IF(CY70&lt;=uxb_works!$B$120,3,4))))</f>
        <v/>
      </c>
      <c r="DB70" s="127" t="str">
        <f t="shared" ca="1" si="63"/>
        <v/>
      </c>
      <c r="DC70" s="127" t="str">
        <f t="shared" ca="1" si="64"/>
        <v/>
      </c>
      <c r="DD70" s="127" t="str">
        <f t="shared" ca="1" si="64"/>
        <v/>
      </c>
      <c r="DE70" s="127" t="str">
        <f ca="1">IF(DC70="","",IF(DC70&lt;=uxb_works!$B$122,1,IF(DC70&lt;=uxb_works!$B$121,2,IF(DC70&lt;=uxb_works!$B$120,3,4))))</f>
        <v/>
      </c>
      <c r="DK70" s="367">
        <f>tblIndiSets!B35</f>
        <v>24</v>
      </c>
      <c r="DL70" s="129">
        <f>IF(uxb_works!$B$32=1,2,IF(ISNA(DK70),0,IF(uxb_works!$B$32=1,IF(ISEVEN(LEFT(TRIM(DN70),1)),2,1),INDEX($C$41:$C$110,DK70))))</f>
        <v>2</v>
      </c>
      <c r="DM70" s="129">
        <f t="shared" si="65"/>
        <v>1</v>
      </c>
      <c r="DN70" s="367" t="str">
        <f t="shared" si="66"/>
        <v xml:space="preserve">   2.2.3) E-payments</v>
      </c>
      <c r="DO70" s="458">
        <f t="shared" si="67"/>
        <v>88.3</v>
      </c>
      <c r="DP70" s="127" t="str">
        <f t="shared" ca="1" si="67"/>
        <v>8</v>
      </c>
      <c r="DQ70" s="127">
        <f>IF(DO70="","",IF(DO70&lt;=uxb_works!$B$122,1,IF(DO70&lt;=uxb_works!$B$121,2,IF(DO70&lt;=uxb_works!$B$120,3,4))))</f>
        <v>4</v>
      </c>
      <c r="DR70" s="459"/>
      <c r="DS70" s="127">
        <f t="shared" si="68"/>
        <v>36</v>
      </c>
    </row>
    <row r="71" spans="1:123">
      <c r="A71" s="367">
        <f>IF(ISEVEN(tblIndicators!C32),1,2)</f>
        <v>1</v>
      </c>
      <c r="B71" s="367">
        <f>tblIndiSets!B42</f>
        <v>31</v>
      </c>
      <c r="C71" s="367">
        <f>tblIndiSets!D42</f>
        <v>3</v>
      </c>
      <c r="D71" s="367">
        <f>tblCategories!AN35</f>
        <v>0</v>
      </c>
      <c r="E71" s="367" t="str">
        <f>tblIndiSets!E42</f>
        <v xml:space="preserve">   2.4.3) Pandemic-related applications</v>
      </c>
      <c r="H71" s="367">
        <f t="shared" si="54"/>
        <v>100</v>
      </c>
      <c r="I71" s="13" t="str">
        <f t="shared" ca="1" si="55"/>
        <v>=1</v>
      </c>
      <c r="J71" s="13">
        <f t="shared" ca="1" si="56"/>
        <v>26</v>
      </c>
      <c r="K71" s="367">
        <f t="shared" si="20"/>
        <v>100</v>
      </c>
      <c r="AV71" s="13" t="str">
        <f t="shared" ca="1" si="57"/>
        <v>=1</v>
      </c>
      <c r="AW71" s="13">
        <f t="shared" ca="1" si="58"/>
        <v>26</v>
      </c>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O71" s="13"/>
      <c r="CP71" s="13"/>
      <c r="CR71" s="13"/>
      <c r="CS71" s="13"/>
      <c r="CU71" s="367" t="e">
        <f t="shared" ca="1" si="59"/>
        <v>#N/A</v>
      </c>
      <c r="CV71" s="367">
        <f ca="1">IF(ISNA(CU71),0,IF(uxb_works!$B$32=1,IF(ISEVEN(LEFT(TRIM(CX71),1)),2,1),INDEX($C$41:$C$110,CU71)))</f>
        <v>0</v>
      </c>
      <c r="CW71" s="367">
        <f t="shared" ca="1" si="60"/>
        <v>0</v>
      </c>
      <c r="CX71" s="367" t="str">
        <f t="shared" ca="1" si="61"/>
        <v/>
      </c>
      <c r="CY71" s="458" t="str">
        <f t="shared" ca="1" si="62"/>
        <v/>
      </c>
      <c r="CZ71" s="127" t="str">
        <f t="shared" ca="1" si="62"/>
        <v/>
      </c>
      <c r="DA71" s="127" t="str">
        <f ca="1">IF(CY71="","",IF(CY71&lt;=uxb_works!$B$122,1,IF(CY71&lt;=uxb_works!$B$121,2,IF(CY71&lt;=uxb_works!$B$120,3,4))))</f>
        <v/>
      </c>
      <c r="DB71" s="127" t="str">
        <f t="shared" ca="1" si="63"/>
        <v/>
      </c>
      <c r="DC71" s="127" t="str">
        <f t="shared" ca="1" si="64"/>
        <v/>
      </c>
      <c r="DD71" s="127" t="str">
        <f t="shared" ca="1" si="64"/>
        <v/>
      </c>
      <c r="DE71" s="127" t="str">
        <f ca="1">IF(DC71="","",IF(DC71&lt;=uxb_works!$B$122,1,IF(DC71&lt;=uxb_works!$B$121,2,IF(DC71&lt;=uxb_works!$B$120,3,4))))</f>
        <v/>
      </c>
      <c r="DK71" s="367">
        <f>tblIndiSets!B36</f>
        <v>25</v>
      </c>
      <c r="DL71" s="129">
        <f>IF(uxb_works!$B$32=1,2,IF(ISNA(DK71),0,IF(uxb_works!$B$32=1,IF(ISEVEN(LEFT(TRIM(DN71),1)),2,1),INDEX($C$41:$C$110,DK71))))</f>
        <v>2</v>
      </c>
      <c r="DM71" s="129">
        <f t="shared" si="65"/>
        <v>1</v>
      </c>
      <c r="DN71" s="367" t="str">
        <f t="shared" si="66"/>
        <v xml:space="preserve">  2.3) Transportation</v>
      </c>
      <c r="DO71" s="458">
        <f t="shared" si="67"/>
        <v>100</v>
      </c>
      <c r="DP71" s="127" t="str">
        <f t="shared" ca="1" si="67"/>
        <v>=1</v>
      </c>
      <c r="DQ71" s="127">
        <f>IF(DO71="","",IF(DO71&lt;=uxb_works!$B$122,1,IF(DO71&lt;=uxb_works!$B$121,2,IF(DO71&lt;=uxb_works!$B$120,3,4))))</f>
        <v>4</v>
      </c>
      <c r="DR71" s="459"/>
      <c r="DS71" s="127">
        <f t="shared" si="68"/>
        <v>40</v>
      </c>
    </row>
    <row r="72" spans="1:123">
      <c r="A72" s="367">
        <f>IF(ISEVEN(tblIndicators!C33),1,2)</f>
        <v>1</v>
      </c>
      <c r="B72" s="367">
        <f>tblIndiSets!B43</f>
        <v>32</v>
      </c>
      <c r="C72" s="367">
        <f>tblIndiSets!D43</f>
        <v>2</v>
      </c>
      <c r="D72" s="367">
        <f>tblCategories!AN36</f>
        <v>0</v>
      </c>
      <c r="E72" s="367" t="str">
        <f>tblIndiSets!E43</f>
        <v xml:space="preserve">  2.5) Education</v>
      </c>
      <c r="H72" s="367">
        <f t="shared" si="54"/>
        <v>100</v>
      </c>
      <c r="I72" s="13" t="str">
        <f t="shared" ca="1" si="55"/>
        <v>=1</v>
      </c>
      <c r="J72" s="13">
        <f t="shared" ca="1" si="56"/>
        <v>16</v>
      </c>
      <c r="K72" s="367">
        <f t="shared" si="20"/>
        <v>50</v>
      </c>
      <c r="AV72" s="13" t="str">
        <f t="shared" ca="1" si="57"/>
        <v>=17</v>
      </c>
      <c r="AW72" s="13">
        <f t="shared" ca="1" si="58"/>
        <v>12</v>
      </c>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O72" s="13"/>
      <c r="CP72" s="13"/>
      <c r="CR72" s="13"/>
      <c r="CS72" s="13"/>
      <c r="CU72" s="367" t="e">
        <f t="shared" ca="1" si="59"/>
        <v>#N/A</v>
      </c>
      <c r="CV72" s="367">
        <f ca="1">IF(ISNA(CU72),0,IF(uxb_works!$B$32=1,IF(ISEVEN(LEFT(TRIM(CX72),1)),2,1),INDEX($C$41:$C$110,CU72)))</f>
        <v>0</v>
      </c>
      <c r="CW72" s="367">
        <f t="shared" ca="1" si="60"/>
        <v>0</v>
      </c>
      <c r="CX72" s="367" t="str">
        <f t="shared" ca="1" si="61"/>
        <v/>
      </c>
      <c r="CY72" s="458" t="str">
        <f t="shared" ca="1" si="62"/>
        <v/>
      </c>
      <c r="CZ72" s="127" t="str">
        <f t="shared" ca="1" si="62"/>
        <v/>
      </c>
      <c r="DA72" s="127" t="str">
        <f ca="1">IF(CY72="","",IF(CY72&lt;=uxb_works!$B$122,1,IF(CY72&lt;=uxb_works!$B$121,2,IF(CY72&lt;=uxb_works!$B$120,3,4))))</f>
        <v/>
      </c>
      <c r="DB72" s="127" t="str">
        <f t="shared" ca="1" si="63"/>
        <v/>
      </c>
      <c r="DC72" s="127" t="str">
        <f t="shared" ca="1" si="64"/>
        <v/>
      </c>
      <c r="DD72" s="127" t="str">
        <f t="shared" ca="1" si="64"/>
        <v/>
      </c>
      <c r="DE72" s="127" t="str">
        <f ca="1">IF(DC72="","",IF(DC72&lt;=uxb_works!$B$122,1,IF(DC72&lt;=uxb_works!$B$121,2,IF(DC72&lt;=uxb_works!$B$120,3,4))))</f>
        <v/>
      </c>
      <c r="DK72" s="367">
        <f>tblIndiSets!B37</f>
        <v>26</v>
      </c>
      <c r="DL72" s="129">
        <f>IF(uxb_works!$B$32=1,2,IF(ISNA(DK72),0,IF(uxb_works!$B$32=1,IF(ISEVEN(LEFT(TRIM(DN72),1)),2,1),INDEX($C$41:$C$110,DK72))))</f>
        <v>2</v>
      </c>
      <c r="DM72" s="129">
        <f t="shared" si="65"/>
        <v>1</v>
      </c>
      <c r="DN72" s="367" t="str">
        <f t="shared" si="66"/>
        <v xml:space="preserve">   2.3.1) Integrated public transport apps</v>
      </c>
      <c r="DO72" s="458">
        <f t="shared" si="67"/>
        <v>100</v>
      </c>
      <c r="DP72" s="127" t="str">
        <f t="shared" ca="1" si="67"/>
        <v>=1</v>
      </c>
      <c r="DQ72" s="127">
        <f>IF(DO72="","",IF(DO72&lt;=uxb_works!$B$122,1,IF(DO72&lt;=uxb_works!$B$121,2,IF(DO72&lt;=uxb_works!$B$120,3,4))))</f>
        <v>4</v>
      </c>
      <c r="DR72" s="459"/>
      <c r="DS72" s="127">
        <f t="shared" si="68"/>
        <v>40</v>
      </c>
    </row>
    <row r="73" spans="1:123">
      <c r="A73" s="367">
        <f>IF(ISEVEN(tblIndicators!C34),1,2)</f>
        <v>1</v>
      </c>
      <c r="B73" s="367">
        <f>tblIndiSets!B44</f>
        <v>33</v>
      </c>
      <c r="C73" s="367">
        <f>tblIndiSets!D44</f>
        <v>3</v>
      </c>
      <c r="D73" s="367">
        <f>tblCategories!AN37</f>
        <v>0</v>
      </c>
      <c r="E73" s="367" t="str">
        <f>tblIndiSets!E44</f>
        <v xml:space="preserve">   2.5.1) Digital education</v>
      </c>
      <c r="H73" s="367">
        <f t="shared" si="54"/>
        <v>100</v>
      </c>
      <c r="I73" s="13" t="str">
        <f t="shared" ca="1" si="55"/>
        <v>=1</v>
      </c>
      <c r="J73" s="13">
        <f t="shared" ca="1" si="56"/>
        <v>16</v>
      </c>
      <c r="K73" s="367">
        <f t="shared" si="20"/>
        <v>50</v>
      </c>
      <c r="AV73" s="13" t="str">
        <f t="shared" ca="1" si="57"/>
        <v>=17</v>
      </c>
      <c r="AW73" s="13">
        <f t="shared" ca="1" si="58"/>
        <v>12</v>
      </c>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O73" s="13"/>
      <c r="CP73" s="13"/>
      <c r="CR73" s="13"/>
      <c r="CS73" s="13"/>
      <c r="CU73" s="367" t="e">
        <f t="shared" ca="1" si="59"/>
        <v>#N/A</v>
      </c>
      <c r="CV73" s="367">
        <f ca="1">IF(ISNA(CU73),0,IF(uxb_works!$B$32=1,IF(ISEVEN(LEFT(TRIM(CX73),1)),2,1),INDEX($C$41:$C$110,CU73)))</f>
        <v>0</v>
      </c>
      <c r="CW73" s="367">
        <f t="shared" ca="1" si="60"/>
        <v>0</v>
      </c>
      <c r="CX73" s="367" t="str">
        <f t="shared" ca="1" si="61"/>
        <v/>
      </c>
      <c r="CY73" s="458" t="str">
        <f t="shared" ca="1" si="62"/>
        <v/>
      </c>
      <c r="CZ73" s="127" t="str">
        <f t="shared" ca="1" si="62"/>
        <v/>
      </c>
      <c r="DA73" s="127" t="str">
        <f ca="1">IF(CY73="","",IF(CY73&lt;=uxb_works!$B$122,1,IF(CY73&lt;=uxb_works!$B$121,2,IF(CY73&lt;=uxb_works!$B$120,3,4))))</f>
        <v/>
      </c>
      <c r="DB73" s="127" t="str">
        <f t="shared" ca="1" si="63"/>
        <v/>
      </c>
      <c r="DC73" s="127" t="str">
        <f t="shared" ca="1" si="64"/>
        <v/>
      </c>
      <c r="DD73" s="127" t="str">
        <f t="shared" ca="1" si="64"/>
        <v/>
      </c>
      <c r="DE73" s="127" t="str">
        <f ca="1">IF(DC73="","",IF(DC73&lt;=uxb_works!$B$122,1,IF(DC73&lt;=uxb_works!$B$121,2,IF(DC73&lt;=uxb_works!$B$120,3,4))))</f>
        <v/>
      </c>
      <c r="DK73" s="367">
        <f>tblIndiSets!B38</f>
        <v>27</v>
      </c>
      <c r="DL73" s="129">
        <f>IF(uxb_works!$B$32=1,2,IF(ISNA(DK73),0,IF(uxb_works!$B$32=1,IF(ISEVEN(LEFT(TRIM(DN73),1)),2,1),INDEX($C$41:$C$110,DK73))))</f>
        <v>2</v>
      </c>
      <c r="DM73" s="129">
        <f t="shared" si="65"/>
        <v>1</v>
      </c>
      <c r="DN73" s="367" t="str">
        <f t="shared" si="66"/>
        <v xml:space="preserve">   2.3.2) Digital identification at airports</v>
      </c>
      <c r="DO73" s="458">
        <f t="shared" si="67"/>
        <v>100</v>
      </c>
      <c r="DP73" s="127" t="str">
        <f t="shared" ca="1" si="67"/>
        <v>=1</v>
      </c>
      <c r="DQ73" s="127">
        <f>IF(DO73="","",IF(DO73&lt;=uxb_works!$B$122,1,IF(DO73&lt;=uxb_works!$B$121,2,IF(DO73&lt;=uxb_works!$B$120,3,4))))</f>
        <v>4</v>
      </c>
      <c r="DR73" s="459"/>
      <c r="DS73" s="127">
        <f t="shared" si="68"/>
        <v>40</v>
      </c>
    </row>
    <row r="74" spans="1:123">
      <c r="A74" s="367">
        <f>IF(ISEVEN(tblIndicators!C35),1,2)</f>
        <v>1</v>
      </c>
      <c r="B74" s="367">
        <f>tblIndiSets!B45</f>
        <v>34</v>
      </c>
      <c r="C74" s="367">
        <f>tblIndiSets!D45</f>
        <v>2</v>
      </c>
      <c r="D74" s="367">
        <f>tblCategories!AN38</f>
        <v>0</v>
      </c>
      <c r="E74" s="367" t="str">
        <f>tblIndiSets!E45</f>
        <v xml:space="preserve">  2.6) Retail and hospitality</v>
      </c>
      <c r="H74" s="367">
        <f t="shared" si="54"/>
        <v>40.299999999999997</v>
      </c>
      <c r="I74" s="13" t="str">
        <f t="shared" ca="1" si="55"/>
        <v>9</v>
      </c>
      <c r="J74" s="13">
        <f t="shared" ca="1" si="56"/>
        <v>1</v>
      </c>
      <c r="K74" s="367">
        <f t="shared" si="20"/>
        <v>19.2</v>
      </c>
      <c r="AV74" s="13" t="str">
        <f t="shared" ca="1" si="57"/>
        <v>21</v>
      </c>
      <c r="AW74" s="13">
        <f t="shared" ca="1" si="58"/>
        <v>1</v>
      </c>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O74" s="13"/>
      <c r="CP74" s="13"/>
      <c r="CR74" s="13"/>
      <c r="CS74" s="13"/>
      <c r="CU74" s="367" t="e">
        <f t="shared" ca="1" si="59"/>
        <v>#N/A</v>
      </c>
      <c r="CV74" s="367">
        <f ca="1">IF(ISNA(CU74),0,IF(uxb_works!$B$32=1,IF(ISEVEN(LEFT(TRIM(CX74),1)),2,1),INDEX($C$41:$C$110,CU74)))</f>
        <v>0</v>
      </c>
      <c r="CW74" s="367">
        <f t="shared" ca="1" si="60"/>
        <v>0</v>
      </c>
      <c r="CX74" s="367" t="str">
        <f t="shared" ca="1" si="61"/>
        <v/>
      </c>
      <c r="CY74" s="458" t="str">
        <f t="shared" ca="1" si="62"/>
        <v/>
      </c>
      <c r="CZ74" s="127" t="str">
        <f t="shared" ca="1" si="62"/>
        <v/>
      </c>
      <c r="DA74" s="127" t="str">
        <f ca="1">IF(CY74="","",IF(CY74&lt;=uxb_works!$B$122,1,IF(CY74&lt;=uxb_works!$B$121,2,IF(CY74&lt;=uxb_works!$B$120,3,4))))</f>
        <v/>
      </c>
      <c r="DB74" s="127" t="str">
        <f t="shared" ca="1" si="63"/>
        <v/>
      </c>
      <c r="DC74" s="127" t="str">
        <f t="shared" ca="1" si="64"/>
        <v/>
      </c>
      <c r="DD74" s="127" t="str">
        <f t="shared" ca="1" si="64"/>
        <v/>
      </c>
      <c r="DE74" s="127" t="str">
        <f ca="1">IF(DC74="","",IF(DC74&lt;=uxb_works!$B$122,1,IF(DC74&lt;=uxb_works!$B$121,2,IF(DC74&lt;=uxb_works!$B$120,3,4))))</f>
        <v/>
      </c>
      <c r="DK74" s="367">
        <f>tblIndiSets!B39</f>
        <v>28</v>
      </c>
      <c r="DL74" s="129">
        <f>IF(uxb_works!$B$32=1,2,IF(ISNA(DK74),0,IF(uxb_works!$B$32=1,IF(ISEVEN(LEFT(TRIM(DN74),1)),2,1),INDEX($C$41:$C$110,DK74))))</f>
        <v>2</v>
      </c>
      <c r="DM74" s="129">
        <f t="shared" si="65"/>
        <v>1</v>
      </c>
      <c r="DN74" s="367" t="str">
        <f t="shared" si="66"/>
        <v xml:space="preserve">  2.4) Healthcare</v>
      </c>
      <c r="DO74" s="458">
        <f t="shared" si="67"/>
        <v>91.6</v>
      </c>
      <c r="DP74" s="127" t="str">
        <f t="shared" ca="1" si="67"/>
        <v>7</v>
      </c>
      <c r="DQ74" s="127">
        <f>IF(DO74="","",IF(DO74&lt;=uxb_works!$B$122,1,IF(DO74&lt;=uxb_works!$B$121,2,IF(DO74&lt;=uxb_works!$B$120,3,4))))</f>
        <v>4</v>
      </c>
      <c r="DR74" s="459"/>
      <c r="DS74" s="127">
        <f t="shared" si="68"/>
        <v>37</v>
      </c>
    </row>
    <row r="75" spans="1:123">
      <c r="A75" s="367">
        <f>IF(ISEVEN(tblIndicators!C36),1,2)</f>
        <v>1</v>
      </c>
      <c r="B75" s="367">
        <f>tblIndiSets!B46</f>
        <v>35</v>
      </c>
      <c r="C75" s="367">
        <f>tblIndiSets!D46</f>
        <v>3</v>
      </c>
      <c r="D75" s="367">
        <f>tblCategories!AN39</f>
        <v>0</v>
      </c>
      <c r="E75" s="367" t="str">
        <f>tblIndiSets!E46</f>
        <v xml:space="preserve">   2.6.1) E-commerce penetration</v>
      </c>
      <c r="H75" s="367">
        <f t="shared" si="54"/>
        <v>71.2</v>
      </c>
      <c r="I75" s="13" t="str">
        <f t="shared" ca="1" si="55"/>
        <v>3</v>
      </c>
      <c r="J75" s="13">
        <f t="shared" ca="1" si="56"/>
        <v>1</v>
      </c>
      <c r="K75" s="367">
        <f t="shared" si="20"/>
        <v>34</v>
      </c>
      <c r="AV75" s="13" t="str">
        <f t="shared" ca="1" si="57"/>
        <v>19</v>
      </c>
      <c r="AW75" s="13">
        <f t="shared" ca="1" si="58"/>
        <v>1</v>
      </c>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O75" s="13"/>
      <c r="CP75" s="13"/>
      <c r="CR75" s="13"/>
      <c r="CS75" s="13"/>
      <c r="CU75" s="367" t="e">
        <f t="shared" ca="1" si="59"/>
        <v>#N/A</v>
      </c>
      <c r="CV75" s="367">
        <f ca="1">IF(ISNA(CU75),0,IF(uxb_works!$B$32=1,IF(ISEVEN(LEFT(TRIM(CX75),1)),2,1),INDEX($C$41:$C$110,CU75)))</f>
        <v>0</v>
      </c>
      <c r="CW75" s="367">
        <f t="shared" ca="1" si="60"/>
        <v>0</v>
      </c>
      <c r="CX75" s="367" t="str">
        <f t="shared" ca="1" si="61"/>
        <v/>
      </c>
      <c r="CY75" s="458" t="str">
        <f t="shared" ca="1" si="62"/>
        <v/>
      </c>
      <c r="CZ75" s="127" t="str">
        <f t="shared" ca="1" si="62"/>
        <v/>
      </c>
      <c r="DA75" s="127" t="str">
        <f ca="1">IF(CY75="","",IF(CY75&lt;=uxb_works!$B$122,1,IF(CY75&lt;=uxb_works!$B$121,2,IF(CY75&lt;=uxb_works!$B$120,3,4))))</f>
        <v/>
      </c>
      <c r="DB75" s="127" t="str">
        <f t="shared" ca="1" si="63"/>
        <v/>
      </c>
      <c r="DC75" s="127" t="str">
        <f t="shared" ca="1" si="64"/>
        <v/>
      </c>
      <c r="DD75" s="127" t="str">
        <f t="shared" ca="1" si="64"/>
        <v/>
      </c>
      <c r="DE75" s="127" t="str">
        <f ca="1">IF(DC75="","",IF(DC75&lt;=uxb_works!$B$122,1,IF(DC75&lt;=uxb_works!$B$121,2,IF(DC75&lt;=uxb_works!$B$120,3,4))))</f>
        <v/>
      </c>
      <c r="DK75" s="367">
        <f>tblIndiSets!B40</f>
        <v>29</v>
      </c>
      <c r="DL75" s="129">
        <f>IF(uxb_works!$B$32=1,2,IF(ISNA(DK75),0,IF(uxb_works!$B$32=1,IF(ISEVEN(LEFT(TRIM(DN75),1)),2,1),INDEX($C$41:$C$110,DK75))))</f>
        <v>2</v>
      </c>
      <c r="DM75" s="129">
        <f t="shared" si="65"/>
        <v>1</v>
      </c>
      <c r="DN75" s="367" t="str">
        <f t="shared" si="66"/>
        <v xml:space="preserve">   2.4.1) Telehealth &amp; telemedicine</v>
      </c>
      <c r="DO75" s="458">
        <f t="shared" si="67"/>
        <v>73.2</v>
      </c>
      <c r="DP75" s="127" t="str">
        <f t="shared" ca="1" si="67"/>
        <v>14</v>
      </c>
      <c r="DQ75" s="127">
        <f>IF(DO75="","",IF(DO75&lt;=uxb_works!$B$122,1,IF(DO75&lt;=uxb_works!$B$121,2,IF(DO75&lt;=uxb_works!$B$120,3,4))))</f>
        <v>3</v>
      </c>
      <c r="DR75" s="459"/>
      <c r="DS75" s="127">
        <f t="shared" si="68"/>
        <v>30</v>
      </c>
    </row>
    <row r="76" spans="1:123">
      <c r="A76" s="367">
        <f>IF(ISEVEN(tblIndicators!C37),1,2)</f>
        <v>1</v>
      </c>
      <c r="B76" s="367">
        <f>tblIndiSets!B47</f>
        <v>36</v>
      </c>
      <c r="C76" s="367">
        <f>tblIndiSets!D47</f>
        <v>3</v>
      </c>
      <c r="D76" s="367">
        <f>tblCategories!AN40</f>
        <v>0</v>
      </c>
      <c r="E76" s="367" t="str">
        <f>tblIndiSets!E47</f>
        <v xml:space="preserve">   2.6.2) Digital tourist passes</v>
      </c>
      <c r="H76" s="367">
        <f t="shared" si="54"/>
        <v>0</v>
      </c>
      <c r="I76" s="13" t="str">
        <f t="shared" ca="1" si="55"/>
        <v>=8</v>
      </c>
      <c r="J76" s="13">
        <f t="shared" ca="1" si="56"/>
        <v>23</v>
      </c>
      <c r="K76" s="367">
        <f t="shared" si="20"/>
        <v>0</v>
      </c>
      <c r="AV76" s="13" t="str">
        <f t="shared" ca="1" si="57"/>
        <v>=8</v>
      </c>
      <c r="AW76" s="13">
        <f t="shared" ca="1" si="58"/>
        <v>23</v>
      </c>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O76" s="13"/>
      <c r="CP76" s="13"/>
      <c r="CR76" s="13"/>
      <c r="CS76" s="13"/>
      <c r="CU76" s="367" t="e">
        <f t="shared" ca="1" si="59"/>
        <v>#N/A</v>
      </c>
      <c r="CV76" s="367">
        <f ca="1">IF(ISNA(CU76),0,IF(uxb_works!$B$32=1,IF(ISEVEN(LEFT(TRIM(CX76),1)),2,1),INDEX($C$41:$C$110,CU76)))</f>
        <v>0</v>
      </c>
      <c r="CW76" s="367">
        <f t="shared" ca="1" si="60"/>
        <v>0</v>
      </c>
      <c r="CX76" s="367" t="str">
        <f t="shared" ca="1" si="61"/>
        <v/>
      </c>
      <c r="CY76" s="458" t="str">
        <f t="shared" ca="1" si="62"/>
        <v/>
      </c>
      <c r="CZ76" s="127" t="str">
        <f t="shared" ca="1" si="62"/>
        <v/>
      </c>
      <c r="DA76" s="127" t="str">
        <f ca="1">IF(CY76="","",IF(CY76&lt;=uxb_works!$B$122,1,IF(CY76&lt;=uxb_works!$B$121,2,IF(CY76&lt;=uxb_works!$B$120,3,4))))</f>
        <v/>
      </c>
      <c r="DB76" s="127" t="str">
        <f t="shared" ca="1" si="63"/>
        <v/>
      </c>
      <c r="DC76" s="127" t="str">
        <f t="shared" ca="1" si="64"/>
        <v/>
      </c>
      <c r="DD76" s="127" t="str">
        <f t="shared" ca="1" si="64"/>
        <v/>
      </c>
      <c r="DE76" s="127" t="str">
        <f ca="1">IF(DC76="","",IF(DC76&lt;=uxb_works!$B$122,1,IF(DC76&lt;=uxb_works!$B$121,2,IF(DC76&lt;=uxb_works!$B$120,3,4))))</f>
        <v/>
      </c>
      <c r="DK76" s="367">
        <f>tblIndiSets!B41</f>
        <v>30</v>
      </c>
      <c r="DL76" s="129">
        <f>IF(uxb_works!$B$32=1,2,IF(ISNA(DK76),0,IF(uxb_works!$B$32=1,IF(ISEVEN(LEFT(TRIM(DN76),1)),2,1),INDEX($C$41:$C$110,DK76))))</f>
        <v>2</v>
      </c>
      <c r="DM76" s="129">
        <f t="shared" si="65"/>
        <v>1</v>
      </c>
      <c r="DN76" s="367" t="str">
        <f t="shared" si="66"/>
        <v xml:space="preserve">   2.4.2) Electronic health records</v>
      </c>
      <c r="DO76" s="458">
        <f t="shared" si="67"/>
        <v>100</v>
      </c>
      <c r="DP76" s="127" t="str">
        <f t="shared" ca="1" si="67"/>
        <v>=1</v>
      </c>
      <c r="DQ76" s="127">
        <f>IF(DO76="","",IF(DO76&lt;=uxb_works!$B$122,1,IF(DO76&lt;=uxb_works!$B$121,2,IF(DO76&lt;=uxb_works!$B$120,3,4))))</f>
        <v>4</v>
      </c>
      <c r="DR76" s="459"/>
      <c r="DS76" s="127">
        <f t="shared" si="68"/>
        <v>40</v>
      </c>
    </row>
    <row r="77" spans="1:123">
      <c r="A77" s="367">
        <f>IF(ISEVEN(tblIndicators!C38),1,2)</f>
        <v>2</v>
      </c>
      <c r="B77" s="367">
        <f>tblIndiSets!B48</f>
        <v>37</v>
      </c>
      <c r="C77" s="367">
        <f>tblIndiSets!D48</f>
        <v>1</v>
      </c>
      <c r="D77" s="367">
        <f>tblCategories!AN41</f>
        <v>1</v>
      </c>
      <c r="E77" s="367" t="str">
        <f>tblIndiSets!E48</f>
        <v xml:space="preserve"> 3) CULTURE</v>
      </c>
      <c r="H77" s="367">
        <f t="shared" si="54"/>
        <v>62.1</v>
      </c>
      <c r="I77" s="13" t="str">
        <f t="shared" ca="1" si="55"/>
        <v>15</v>
      </c>
      <c r="J77" s="13">
        <f t="shared" ca="1" si="56"/>
        <v>1</v>
      </c>
      <c r="K77" s="367">
        <f t="shared" si="20"/>
        <v>67</v>
      </c>
      <c r="AV77" s="13" t="str">
        <f t="shared" ca="1" si="57"/>
        <v>7</v>
      </c>
      <c r="AW77" s="13">
        <f t="shared" ca="1" si="58"/>
        <v>1</v>
      </c>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O77" s="13"/>
      <c r="CP77" s="13"/>
      <c r="CR77" s="13"/>
      <c r="CS77" s="13"/>
      <c r="CU77" s="367" t="e">
        <f t="shared" ca="1" si="59"/>
        <v>#N/A</v>
      </c>
      <c r="CV77" s="367">
        <f ca="1">IF(ISNA(CU77),0,IF(uxb_works!$B$32=1,IF(ISEVEN(LEFT(TRIM(CX77),1)),2,1),INDEX($C$41:$C$110,CU77)))</f>
        <v>0</v>
      </c>
      <c r="CW77" s="367">
        <f t="shared" ca="1" si="60"/>
        <v>0</v>
      </c>
      <c r="CX77" s="367" t="str">
        <f t="shared" ca="1" si="61"/>
        <v/>
      </c>
      <c r="CY77" s="458" t="str">
        <f t="shared" ca="1" si="62"/>
        <v/>
      </c>
      <c r="CZ77" s="127" t="str">
        <f t="shared" ca="1" si="62"/>
        <v/>
      </c>
      <c r="DA77" s="127" t="str">
        <f ca="1">IF(CY77="","",IF(CY77&lt;=uxb_works!$B$122,1,IF(CY77&lt;=uxb_works!$B$121,2,IF(CY77&lt;=uxb_works!$B$120,3,4))))</f>
        <v/>
      </c>
      <c r="DB77" s="127" t="str">
        <f t="shared" ca="1" si="63"/>
        <v/>
      </c>
      <c r="DC77" s="127" t="str">
        <f t="shared" ca="1" si="64"/>
        <v/>
      </c>
      <c r="DD77" s="127" t="str">
        <f t="shared" ca="1" si="64"/>
        <v/>
      </c>
      <c r="DE77" s="127" t="str">
        <f ca="1">IF(DC77="","",IF(DC77&lt;=uxb_works!$B$122,1,IF(DC77&lt;=uxb_works!$B$121,2,IF(DC77&lt;=uxb_works!$B$120,3,4))))</f>
        <v/>
      </c>
      <c r="DK77" s="367">
        <f>tblIndiSets!B42</f>
        <v>31</v>
      </c>
      <c r="DL77" s="129">
        <f>IF(uxb_works!$B$32=1,2,IF(ISNA(DK77),0,IF(uxb_works!$B$32=1,IF(ISEVEN(LEFT(TRIM(DN77),1)),2,1),INDEX($C$41:$C$110,DK77))))</f>
        <v>2</v>
      </c>
      <c r="DM77" s="129">
        <f t="shared" si="65"/>
        <v>1</v>
      </c>
      <c r="DN77" s="367" t="str">
        <f t="shared" si="66"/>
        <v xml:space="preserve">   2.4.3) Pandemic-related applications</v>
      </c>
      <c r="DO77" s="458">
        <f t="shared" si="67"/>
        <v>100</v>
      </c>
      <c r="DP77" s="127" t="str">
        <f t="shared" ca="1" si="67"/>
        <v>=1</v>
      </c>
      <c r="DQ77" s="127">
        <f>IF(DO77="","",IF(DO77&lt;=uxb_works!$B$122,1,IF(DO77&lt;=uxb_works!$B$121,2,IF(DO77&lt;=uxb_works!$B$120,3,4))))</f>
        <v>4</v>
      </c>
      <c r="DR77" s="459"/>
      <c r="DS77" s="127">
        <f t="shared" si="68"/>
        <v>40</v>
      </c>
    </row>
    <row r="78" spans="1:123">
      <c r="A78" s="367">
        <f>IF(ISEVEN(tblIndicators!C39),1,2)</f>
        <v>2</v>
      </c>
      <c r="B78" s="367">
        <f>tblIndiSets!B49</f>
        <v>38</v>
      </c>
      <c r="C78" s="367">
        <f>tblIndiSets!D49</f>
        <v>2</v>
      </c>
      <c r="D78" s="367">
        <f>tblCategories!AN42</f>
        <v>0</v>
      </c>
      <c r="E78" s="367" t="str">
        <f>tblIndiSets!E49</f>
        <v xml:space="preserve">  3.1) Digital inclusion</v>
      </c>
      <c r="H78" s="367">
        <f t="shared" si="54"/>
        <v>65.8</v>
      </c>
      <c r="I78" s="13" t="str">
        <f t="shared" ca="1" si="55"/>
        <v>22</v>
      </c>
      <c r="J78" s="13">
        <f t="shared" ca="1" si="56"/>
        <v>1</v>
      </c>
      <c r="K78" s="367">
        <f t="shared" si="20"/>
        <v>69.400000000000006</v>
      </c>
      <c r="AV78" s="13" t="str">
        <f t="shared" ca="1" si="57"/>
        <v>17</v>
      </c>
      <c r="AW78" s="13">
        <f t="shared" ca="1" si="58"/>
        <v>1</v>
      </c>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O78" s="13"/>
      <c r="CP78" s="13"/>
      <c r="CR78" s="13"/>
      <c r="CS78" s="13"/>
      <c r="CU78" s="367" t="e">
        <f t="shared" ca="1" si="59"/>
        <v>#N/A</v>
      </c>
      <c r="CV78" s="367">
        <f ca="1">IF(ISNA(CU78),0,IF(uxb_works!$B$32=1,IF(ISEVEN(LEFT(TRIM(CX78),1)),2,1),INDEX($C$41:$C$110,CU78)))</f>
        <v>0</v>
      </c>
      <c r="CW78" s="367">
        <f t="shared" ca="1" si="60"/>
        <v>0</v>
      </c>
      <c r="CX78" s="367" t="str">
        <f t="shared" ca="1" si="61"/>
        <v/>
      </c>
      <c r="CY78" s="458" t="str">
        <f t="shared" ca="1" si="62"/>
        <v/>
      </c>
      <c r="CZ78" s="127" t="str">
        <f t="shared" ca="1" si="62"/>
        <v/>
      </c>
      <c r="DA78" s="127" t="str">
        <f ca="1">IF(CY78="","",IF(CY78&lt;=uxb_works!$B$122,1,IF(CY78&lt;=uxb_works!$B$121,2,IF(CY78&lt;=uxb_works!$B$120,3,4))))</f>
        <v/>
      </c>
      <c r="DB78" s="127" t="str">
        <f t="shared" ca="1" si="63"/>
        <v/>
      </c>
      <c r="DC78" s="127" t="str">
        <f t="shared" ca="1" si="64"/>
        <v/>
      </c>
      <c r="DD78" s="127" t="str">
        <f t="shared" ca="1" si="64"/>
        <v/>
      </c>
      <c r="DE78" s="127" t="str">
        <f ca="1">IF(DC78="","",IF(DC78&lt;=uxb_works!$B$122,1,IF(DC78&lt;=uxb_works!$B$121,2,IF(DC78&lt;=uxb_works!$B$120,3,4))))</f>
        <v/>
      </c>
      <c r="DK78" s="367">
        <f>tblIndiSets!B43</f>
        <v>32</v>
      </c>
      <c r="DL78" s="129">
        <f>IF(uxb_works!$B$32=1,2,IF(ISNA(DK78),0,IF(uxb_works!$B$32=1,IF(ISEVEN(LEFT(TRIM(DN78),1)),2,1),INDEX($C$41:$C$110,DK78))))</f>
        <v>2</v>
      </c>
      <c r="DM78" s="129">
        <f t="shared" si="65"/>
        <v>1</v>
      </c>
      <c r="DN78" s="367" t="str">
        <f t="shared" si="66"/>
        <v xml:space="preserve">  2.5) Education</v>
      </c>
      <c r="DO78" s="458">
        <f t="shared" si="67"/>
        <v>100</v>
      </c>
      <c r="DP78" s="127" t="str">
        <f t="shared" ca="1" si="67"/>
        <v>=1</v>
      </c>
      <c r="DQ78" s="127">
        <f>IF(DO78="","",IF(DO78&lt;=uxb_works!$B$122,1,IF(DO78&lt;=uxb_works!$B$121,2,IF(DO78&lt;=uxb_works!$B$120,3,4))))</f>
        <v>4</v>
      </c>
      <c r="DR78" s="459"/>
      <c r="DS78" s="127">
        <f t="shared" si="68"/>
        <v>40</v>
      </c>
    </row>
    <row r="79" spans="1:123">
      <c r="A79" s="367">
        <f>IF(ISEVEN(tblIndicators!C40),1,2)</f>
        <v>2</v>
      </c>
      <c r="B79" s="367">
        <f>tblIndiSets!B50</f>
        <v>39</v>
      </c>
      <c r="C79" s="367">
        <f>tblIndiSets!D50</f>
        <v>3</v>
      </c>
      <c r="D79" s="367">
        <f>tblCategories!AN43</f>
        <v>0</v>
      </c>
      <c r="E79" s="367" t="str">
        <f>tblIndiSets!E50</f>
        <v xml:space="preserve">   3.1.1) Internet usage</v>
      </c>
      <c r="H79" s="367">
        <f t="shared" si="54"/>
        <v>87</v>
      </c>
      <c r="I79" s="13" t="str">
        <f t="shared" ca="1" si="55"/>
        <v>9</v>
      </c>
      <c r="J79" s="13">
        <f t="shared" ca="1" si="56"/>
        <v>1</v>
      </c>
      <c r="K79" s="367">
        <f t="shared" si="20"/>
        <v>85.2</v>
      </c>
      <c r="AV79" s="13" t="str">
        <f t="shared" ca="1" si="57"/>
        <v>11</v>
      </c>
      <c r="AW79" s="13">
        <f t="shared" ca="1" si="58"/>
        <v>1</v>
      </c>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O79" s="13"/>
      <c r="CP79" s="13"/>
      <c r="CR79" s="13"/>
      <c r="CS79" s="13"/>
      <c r="CU79" s="367" t="e">
        <f t="shared" ca="1" si="59"/>
        <v>#N/A</v>
      </c>
      <c r="CV79" s="367">
        <f ca="1">IF(ISNA(CU79),0,IF(uxb_works!$B$32=1,IF(ISEVEN(LEFT(TRIM(CX79),1)),2,1),INDEX($C$41:$C$110,CU79)))</f>
        <v>0</v>
      </c>
      <c r="CW79" s="367">
        <f t="shared" ca="1" si="60"/>
        <v>0</v>
      </c>
      <c r="CX79" s="367" t="str">
        <f t="shared" ca="1" si="61"/>
        <v/>
      </c>
      <c r="CY79" s="458" t="str">
        <f t="shared" ca="1" si="62"/>
        <v/>
      </c>
      <c r="CZ79" s="127" t="str">
        <f t="shared" ca="1" si="62"/>
        <v/>
      </c>
      <c r="DA79" s="127" t="str">
        <f ca="1">IF(CY79="","",IF(CY79&lt;=uxb_works!$B$122,1,IF(CY79&lt;=uxb_works!$B$121,2,IF(CY79&lt;=uxb_works!$B$120,3,4))))</f>
        <v/>
      </c>
      <c r="DB79" s="127" t="str">
        <f t="shared" ca="1" si="63"/>
        <v/>
      </c>
      <c r="DC79" s="127" t="str">
        <f t="shared" ca="1" si="64"/>
        <v/>
      </c>
      <c r="DD79" s="127" t="str">
        <f t="shared" ca="1" si="64"/>
        <v/>
      </c>
      <c r="DE79" s="127" t="str">
        <f ca="1">IF(DC79="","",IF(DC79&lt;=uxb_works!$B$122,1,IF(DC79&lt;=uxb_works!$B$121,2,IF(DC79&lt;=uxb_works!$B$120,3,4))))</f>
        <v/>
      </c>
      <c r="DK79" s="367">
        <f>tblIndiSets!B44</f>
        <v>33</v>
      </c>
      <c r="DL79" s="129">
        <f>IF(uxb_works!$B$32=1,2,IF(ISNA(DK79),0,IF(uxb_works!$B$32=1,IF(ISEVEN(LEFT(TRIM(DN79),1)),2,1),INDEX($C$41:$C$110,DK79))))</f>
        <v>2</v>
      </c>
      <c r="DM79" s="129">
        <f t="shared" si="65"/>
        <v>1</v>
      </c>
      <c r="DN79" s="367" t="str">
        <f t="shared" si="66"/>
        <v xml:space="preserve">   2.5.1) Digital education</v>
      </c>
      <c r="DO79" s="458">
        <f t="shared" si="67"/>
        <v>100</v>
      </c>
      <c r="DP79" s="127" t="str">
        <f t="shared" ca="1" si="67"/>
        <v>=1</v>
      </c>
      <c r="DQ79" s="127">
        <f>IF(DO79="","",IF(DO79&lt;=uxb_works!$B$122,1,IF(DO79&lt;=uxb_works!$B$121,2,IF(DO79&lt;=uxb_works!$B$120,3,4))))</f>
        <v>4</v>
      </c>
      <c r="DR79" s="459"/>
      <c r="DS79" s="127">
        <f t="shared" si="68"/>
        <v>40</v>
      </c>
    </row>
    <row r="80" spans="1:123">
      <c r="A80" s="367">
        <f>IF(ISEVEN(tblIndicators!C41),1,2)</f>
        <v>2</v>
      </c>
      <c r="B80" s="367">
        <f>tblIndiSets!B51</f>
        <v>40</v>
      </c>
      <c r="C80" s="367">
        <f>tblIndiSets!D51</f>
        <v>3</v>
      </c>
      <c r="D80" s="367">
        <f>tblCategories!AN44</f>
        <v>0</v>
      </c>
      <c r="E80" s="367" t="str">
        <f>tblIndiSets!E51</f>
        <v xml:space="preserve">   3.1.2) Gap between female and male access to the internet</v>
      </c>
      <c r="H80" s="367">
        <f t="shared" si="54"/>
        <v>94</v>
      </c>
      <c r="I80" s="13" t="str">
        <f t="shared" ca="1" si="55"/>
        <v>=23</v>
      </c>
      <c r="J80" s="13">
        <f t="shared" ca="1" si="56"/>
        <v>2</v>
      </c>
      <c r="K80" s="367">
        <f t="shared" si="20"/>
        <v>96.9</v>
      </c>
      <c r="AV80" s="13" t="str">
        <f t="shared" ca="1" si="57"/>
        <v>16</v>
      </c>
      <c r="AW80" s="13">
        <f t="shared" ca="1" si="58"/>
        <v>1</v>
      </c>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O80" s="13"/>
      <c r="CP80" s="13"/>
      <c r="CR80" s="13"/>
      <c r="CS80" s="13"/>
      <c r="CU80" s="367" t="e">
        <f t="shared" ca="1" si="59"/>
        <v>#N/A</v>
      </c>
      <c r="CV80" s="367">
        <f ca="1">IF(ISNA(CU80),0,IF(uxb_works!$B$32=1,IF(ISEVEN(LEFT(TRIM(CX80),1)),2,1),INDEX($C$41:$C$110,CU80)))</f>
        <v>0</v>
      </c>
      <c r="CW80" s="367">
        <f t="shared" ca="1" si="60"/>
        <v>0</v>
      </c>
      <c r="CX80" s="367" t="str">
        <f t="shared" ca="1" si="61"/>
        <v/>
      </c>
      <c r="CY80" s="458" t="str">
        <f t="shared" ca="1" si="62"/>
        <v/>
      </c>
      <c r="CZ80" s="127" t="str">
        <f t="shared" ca="1" si="62"/>
        <v/>
      </c>
      <c r="DA80" s="127" t="str">
        <f ca="1">IF(CY80="","",IF(CY80&lt;=uxb_works!$B$122,1,IF(CY80&lt;=uxb_works!$B$121,2,IF(CY80&lt;=uxb_works!$B$120,3,4))))</f>
        <v/>
      </c>
      <c r="DB80" s="127" t="str">
        <f t="shared" ca="1" si="63"/>
        <v/>
      </c>
      <c r="DC80" s="127" t="str">
        <f t="shared" ca="1" si="64"/>
        <v/>
      </c>
      <c r="DD80" s="127" t="str">
        <f t="shared" ca="1" si="64"/>
        <v/>
      </c>
      <c r="DE80" s="127" t="str">
        <f ca="1">IF(DC80="","",IF(DC80&lt;=uxb_works!$B$122,1,IF(DC80&lt;=uxb_works!$B$121,2,IF(DC80&lt;=uxb_works!$B$120,3,4))))</f>
        <v/>
      </c>
      <c r="DK80" s="367">
        <f>tblIndiSets!B45</f>
        <v>34</v>
      </c>
      <c r="DL80" s="129">
        <f>IF(uxb_works!$B$32=1,2,IF(ISNA(DK80),0,IF(uxb_works!$B$32=1,IF(ISEVEN(LEFT(TRIM(DN80),1)),2,1),INDEX($C$41:$C$110,DK80))))</f>
        <v>2</v>
      </c>
      <c r="DM80" s="129">
        <f t="shared" si="65"/>
        <v>1</v>
      </c>
      <c r="DN80" s="367" t="str">
        <f t="shared" si="66"/>
        <v xml:space="preserve">  2.6) Retail and hospitality</v>
      </c>
      <c r="DO80" s="458">
        <f t="shared" si="67"/>
        <v>40.299999999999997</v>
      </c>
      <c r="DP80" s="127" t="str">
        <f t="shared" ca="1" si="67"/>
        <v>9</v>
      </c>
      <c r="DQ80" s="127">
        <f>IF(DO80="","",IF(DO80&lt;=uxb_works!$B$122,1,IF(DO80&lt;=uxb_works!$B$121,2,IF(DO80&lt;=uxb_works!$B$120,3,4))))</f>
        <v>2</v>
      </c>
      <c r="DR80" s="459"/>
      <c r="DS80" s="127">
        <f t="shared" si="68"/>
        <v>17</v>
      </c>
    </row>
    <row r="81" spans="1:123">
      <c r="A81" s="367">
        <f>IF(ISEVEN(tblIndicators!C42),1,2)</f>
        <v>2</v>
      </c>
      <c r="B81" s="367">
        <f>tblIndiSets!B52</f>
        <v>41</v>
      </c>
      <c r="C81" s="367">
        <f>tblIndiSets!D52</f>
        <v>3</v>
      </c>
      <c r="D81" s="367">
        <f>tblCategories!AN45</f>
        <v>0</v>
      </c>
      <c r="E81" s="367" t="str">
        <f>tblIndiSets!E52</f>
        <v xml:space="preserve">   3.1.3) Digital skills</v>
      </c>
      <c r="H81" s="367">
        <f t="shared" si="54"/>
        <v>12.8</v>
      </c>
      <c r="I81" s="13" t="str">
        <f t="shared" ca="1" si="55"/>
        <v>27</v>
      </c>
      <c r="J81" s="13">
        <f t="shared" ca="1" si="56"/>
        <v>1</v>
      </c>
      <c r="K81" s="367">
        <f t="shared" si="20"/>
        <v>23.3</v>
      </c>
      <c r="AV81" s="13" t="str">
        <f t="shared" ca="1" si="57"/>
        <v>20</v>
      </c>
      <c r="AW81" s="13">
        <f t="shared" ca="1" si="58"/>
        <v>1</v>
      </c>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O81" s="13"/>
      <c r="CP81" s="13"/>
      <c r="CR81" s="13"/>
      <c r="CS81" s="13"/>
      <c r="CU81" s="367" t="e">
        <f t="shared" ca="1" si="59"/>
        <v>#N/A</v>
      </c>
      <c r="CV81" s="367">
        <f ca="1">IF(ISNA(CU81),0,IF(uxb_works!$B$32=1,IF(ISEVEN(LEFT(TRIM(CX81),1)),2,1),INDEX($C$41:$C$110,CU81)))</f>
        <v>0</v>
      </c>
      <c r="CW81" s="367">
        <f t="shared" ca="1" si="60"/>
        <v>0</v>
      </c>
      <c r="CX81" s="367" t="str">
        <f t="shared" ca="1" si="61"/>
        <v/>
      </c>
      <c r="CY81" s="458" t="str">
        <f t="shared" ca="1" si="62"/>
        <v/>
      </c>
      <c r="CZ81" s="127" t="str">
        <f t="shared" ca="1" si="62"/>
        <v/>
      </c>
      <c r="DA81" s="127" t="str">
        <f ca="1">IF(CY81="","",IF(CY81&lt;=uxb_works!$B$122,1,IF(CY81&lt;=uxb_works!$B$121,2,IF(CY81&lt;=uxb_works!$B$120,3,4))))</f>
        <v/>
      </c>
      <c r="DB81" s="127" t="str">
        <f t="shared" ca="1" si="63"/>
        <v/>
      </c>
      <c r="DC81" s="127" t="str">
        <f t="shared" ca="1" si="64"/>
        <v/>
      </c>
      <c r="DD81" s="127" t="str">
        <f t="shared" ca="1" si="64"/>
        <v/>
      </c>
      <c r="DE81" s="127" t="str">
        <f ca="1">IF(DC81="","",IF(DC81&lt;=uxb_works!$B$122,1,IF(DC81&lt;=uxb_works!$B$121,2,IF(DC81&lt;=uxb_works!$B$120,3,4))))</f>
        <v/>
      </c>
      <c r="DK81" s="367">
        <f>tblIndiSets!B46</f>
        <v>35</v>
      </c>
      <c r="DL81" s="129">
        <f>IF(uxb_works!$B$32=1,2,IF(ISNA(DK81),0,IF(uxb_works!$B$32=1,IF(ISEVEN(LEFT(TRIM(DN81),1)),2,1),INDEX($C$41:$C$110,DK81))))</f>
        <v>2</v>
      </c>
      <c r="DM81" s="129">
        <f t="shared" si="65"/>
        <v>1</v>
      </c>
      <c r="DN81" s="367" t="str">
        <f t="shared" si="66"/>
        <v xml:space="preserve">   2.6.1) E-commerce penetration</v>
      </c>
      <c r="DO81" s="458">
        <f t="shared" si="67"/>
        <v>71.2</v>
      </c>
      <c r="DP81" s="127" t="str">
        <f t="shared" ca="1" si="67"/>
        <v>3</v>
      </c>
      <c r="DQ81" s="127">
        <f>IF(DO81="","",IF(DO81&lt;=uxb_works!$B$122,1,IF(DO81&lt;=uxb_works!$B$121,2,IF(DO81&lt;=uxb_works!$B$120,3,4))))</f>
        <v>3</v>
      </c>
      <c r="DR81" s="459"/>
      <c r="DS81" s="127">
        <f t="shared" si="68"/>
        <v>29</v>
      </c>
    </row>
    <row r="82" spans="1:123">
      <c r="A82" s="367">
        <f>IF(ISEVEN(tblIndicators!C43),1,2)</f>
        <v>2</v>
      </c>
      <c r="B82" s="367">
        <f>tblIndiSets!B53</f>
        <v>42</v>
      </c>
      <c r="C82" s="367">
        <f>tblIndiSets!D53</f>
        <v>2</v>
      </c>
      <c r="D82" s="367">
        <f>tblCategories!AN46</f>
        <v>0</v>
      </c>
      <c r="E82" s="367" t="str">
        <f>tblIndiSets!E53</f>
        <v xml:space="preserve">  3.2) Government support</v>
      </c>
      <c r="H82" s="367">
        <f t="shared" si="54"/>
        <v>76</v>
      </c>
      <c r="I82" s="13" t="str">
        <f t="shared" ca="1" si="55"/>
        <v>15</v>
      </c>
      <c r="J82" s="13">
        <f t="shared" ca="1" si="56"/>
        <v>1</v>
      </c>
      <c r="K82" s="367">
        <f t="shared" si="20"/>
        <v>81.099999999999994</v>
      </c>
      <c r="AV82" s="13" t="str">
        <f t="shared" ca="1" si="57"/>
        <v>8</v>
      </c>
      <c r="AW82" s="13">
        <f t="shared" ca="1" si="58"/>
        <v>1</v>
      </c>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O82" s="13"/>
      <c r="CP82" s="13"/>
      <c r="CR82" s="13"/>
      <c r="CS82" s="13"/>
      <c r="CU82" s="367" t="e">
        <f t="shared" ca="1" si="59"/>
        <v>#N/A</v>
      </c>
      <c r="CV82" s="367">
        <f ca="1">IF(ISNA(CU82),0,IF(uxb_works!$B$32=1,IF(ISEVEN(LEFT(TRIM(CX82),1)),2,1),INDEX($C$41:$C$110,CU82)))</f>
        <v>0</v>
      </c>
      <c r="CW82" s="367">
        <f t="shared" ca="1" si="60"/>
        <v>0</v>
      </c>
      <c r="CX82" s="367" t="str">
        <f t="shared" ca="1" si="61"/>
        <v/>
      </c>
      <c r="CY82" s="458" t="str">
        <f t="shared" ca="1" si="62"/>
        <v/>
      </c>
      <c r="CZ82" s="127" t="str">
        <f t="shared" ca="1" si="62"/>
        <v/>
      </c>
      <c r="DA82" s="127" t="str">
        <f ca="1">IF(CY82="","",IF(CY82&lt;=uxb_works!$B$122,1,IF(CY82&lt;=uxb_works!$B$121,2,IF(CY82&lt;=uxb_works!$B$120,3,4))))</f>
        <v/>
      </c>
      <c r="DB82" s="127" t="str">
        <f t="shared" ca="1" si="63"/>
        <v/>
      </c>
      <c r="DC82" s="127" t="str">
        <f t="shared" ca="1" si="64"/>
        <v/>
      </c>
      <c r="DD82" s="127" t="str">
        <f t="shared" ca="1" si="64"/>
        <v/>
      </c>
      <c r="DE82" s="127" t="str">
        <f ca="1">IF(DC82="","",IF(DC82&lt;=uxb_works!$B$122,1,IF(DC82&lt;=uxb_works!$B$121,2,IF(DC82&lt;=uxb_works!$B$120,3,4))))</f>
        <v/>
      </c>
      <c r="DK82" s="367">
        <f>tblIndiSets!B47</f>
        <v>36</v>
      </c>
      <c r="DL82" s="129">
        <f>IF(uxb_works!$B$32=1,2,IF(ISNA(DK82),0,IF(uxb_works!$B$32=1,IF(ISEVEN(LEFT(TRIM(DN82),1)),2,1),INDEX($C$41:$C$110,DK82))))</f>
        <v>2</v>
      </c>
      <c r="DM82" s="129">
        <f t="shared" si="65"/>
        <v>1</v>
      </c>
      <c r="DN82" s="367" t="str">
        <f t="shared" si="66"/>
        <v xml:space="preserve">   2.6.2) Digital tourist passes</v>
      </c>
      <c r="DO82" s="458">
        <f t="shared" si="67"/>
        <v>0</v>
      </c>
      <c r="DP82" s="127" t="str">
        <f t="shared" ca="1" si="67"/>
        <v>=8</v>
      </c>
      <c r="DQ82" s="127">
        <f>IF(DO82="","",IF(DO82&lt;=uxb_works!$B$122,1,IF(DO82&lt;=uxb_works!$B$121,2,IF(DO82&lt;=uxb_works!$B$120,3,4))))</f>
        <v>1</v>
      </c>
      <c r="DR82" s="459"/>
      <c r="DS82" s="127">
        <f t="shared" si="68"/>
        <v>0</v>
      </c>
    </row>
    <row r="83" spans="1:123">
      <c r="A83" s="367">
        <f>IF(ISEVEN(tblIndicators!C44),1,2)</f>
        <v>2</v>
      </c>
      <c r="B83" s="367">
        <f>tblIndiSets!B54</f>
        <v>43</v>
      </c>
      <c r="C83" s="367">
        <f>tblIndiSets!D54</f>
        <v>3</v>
      </c>
      <c r="D83" s="367">
        <f>tblCategories!AN47</f>
        <v>0</v>
      </c>
      <c r="E83" s="367" t="str">
        <f>tblIndiSets!E54</f>
        <v xml:space="preserve">   3.2.1) Data protection law</v>
      </c>
      <c r="H83" s="367">
        <f t="shared" si="54"/>
        <v>100</v>
      </c>
      <c r="I83" s="13" t="str">
        <f t="shared" ca="1" si="55"/>
        <v>=1</v>
      </c>
      <c r="J83" s="13">
        <f t="shared" ca="1" si="56"/>
        <v>24</v>
      </c>
      <c r="K83" s="367">
        <f t="shared" si="20"/>
        <v>100</v>
      </c>
      <c r="AV83" s="13" t="str">
        <f t="shared" ca="1" si="57"/>
        <v>=1</v>
      </c>
      <c r="AW83" s="13">
        <f t="shared" ca="1" si="58"/>
        <v>24</v>
      </c>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O83" s="13"/>
      <c r="CP83" s="13"/>
      <c r="CR83" s="13"/>
      <c r="CS83" s="13"/>
      <c r="CU83" s="367" t="e">
        <f t="shared" ca="1" si="59"/>
        <v>#N/A</v>
      </c>
      <c r="CV83" s="367">
        <f ca="1">IF(ISNA(CU83),0,IF(uxb_works!$B$32=1,IF(ISEVEN(LEFT(TRIM(CX83),1)),2,1),INDEX($C$41:$C$110,CU83)))</f>
        <v>0</v>
      </c>
      <c r="CW83" s="367">
        <f t="shared" ca="1" si="60"/>
        <v>0</v>
      </c>
      <c r="CX83" s="367" t="str">
        <f t="shared" ca="1" si="61"/>
        <v/>
      </c>
      <c r="CY83" s="458" t="str">
        <f t="shared" ca="1" si="62"/>
        <v/>
      </c>
      <c r="CZ83" s="127" t="str">
        <f t="shared" ca="1" si="62"/>
        <v/>
      </c>
      <c r="DA83" s="127" t="str">
        <f ca="1">IF(CY83="","",IF(CY83&lt;=uxb_works!$B$122,1,IF(CY83&lt;=uxb_works!$B$121,2,IF(CY83&lt;=uxb_works!$B$120,3,4))))</f>
        <v/>
      </c>
      <c r="DB83" s="127" t="str">
        <f t="shared" ca="1" si="63"/>
        <v/>
      </c>
      <c r="DC83" s="127" t="str">
        <f t="shared" ca="1" si="64"/>
        <v/>
      </c>
      <c r="DD83" s="127" t="str">
        <f t="shared" ca="1" si="64"/>
        <v/>
      </c>
      <c r="DE83" s="127" t="str">
        <f ca="1">IF(DC83="","",IF(DC83&lt;=uxb_works!$B$122,1,IF(DC83&lt;=uxb_works!$B$121,2,IF(DC83&lt;=uxb_works!$B$120,3,4))))</f>
        <v/>
      </c>
      <c r="DK83" s="367">
        <f>tblIndiSets!B48</f>
        <v>37</v>
      </c>
      <c r="DL83" s="129">
        <f>IF(uxb_works!$B$32=1,2,IF(ISNA(DK83),0,IF(uxb_works!$B$32=1,IF(ISEVEN(LEFT(TRIM(DN83),1)),2,1),INDEX($C$41:$C$110,DK83))))</f>
        <v>2</v>
      </c>
      <c r="DM83" s="129">
        <f t="shared" si="65"/>
        <v>1</v>
      </c>
      <c r="DN83" s="367" t="str">
        <f t="shared" si="66"/>
        <v xml:space="preserve"> 3) CULTURE</v>
      </c>
      <c r="DO83" s="458">
        <f t="shared" si="67"/>
        <v>62.1</v>
      </c>
      <c r="DP83" s="127" t="str">
        <f t="shared" ca="1" si="67"/>
        <v>15</v>
      </c>
      <c r="DQ83" s="127">
        <f>IF(DO83="","",IF(DO83&lt;=uxb_works!$B$122,1,IF(DO83&lt;=uxb_works!$B$121,2,IF(DO83&lt;=uxb_works!$B$120,3,4))))</f>
        <v>3</v>
      </c>
      <c r="DR83" s="459"/>
      <c r="DS83" s="127">
        <f t="shared" si="68"/>
        <v>25</v>
      </c>
    </row>
    <row r="84" spans="1:123">
      <c r="A84" s="367">
        <f>IF(ISEVEN(tblIndicators!C45),1,2)</f>
        <v>2</v>
      </c>
      <c r="B84" s="367">
        <f>tblIndiSets!B55</f>
        <v>44</v>
      </c>
      <c r="C84" s="367">
        <f>tblIndiSets!D55</f>
        <v>3</v>
      </c>
      <c r="D84" s="367">
        <f>tblCategories!AN48</f>
        <v>0</v>
      </c>
      <c r="E84" s="367" t="str">
        <f>tblIndiSets!E55</f>
        <v xml:space="preserve">   3.2.2) Cyber security preparedness</v>
      </c>
      <c r="H84" s="367">
        <f t="shared" si="54"/>
        <v>75</v>
      </c>
      <c r="I84" s="13" t="str">
        <f t="shared" ca="1" si="55"/>
        <v>=10</v>
      </c>
      <c r="J84" s="13">
        <f t="shared" ca="1" si="56"/>
        <v>15</v>
      </c>
      <c r="K84" s="367">
        <f t="shared" si="20"/>
        <v>100</v>
      </c>
      <c r="AV84" s="13" t="str">
        <f t="shared" ca="1" si="57"/>
        <v>=1</v>
      </c>
      <c r="AW84" s="13">
        <f t="shared" ca="1" si="58"/>
        <v>9</v>
      </c>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O84" s="13"/>
      <c r="CP84" s="13"/>
      <c r="CR84" s="13"/>
      <c r="CS84" s="13"/>
      <c r="CU84" s="367" t="e">
        <f t="shared" ca="1" si="59"/>
        <v>#N/A</v>
      </c>
      <c r="CV84" s="367">
        <f ca="1">IF(ISNA(CU84),0,IF(uxb_works!$B$32=1,IF(ISEVEN(LEFT(TRIM(CX84),1)),2,1),INDEX($C$41:$C$110,CU84)))</f>
        <v>0</v>
      </c>
      <c r="CW84" s="367">
        <f t="shared" ca="1" si="60"/>
        <v>0</v>
      </c>
      <c r="CX84" s="367" t="str">
        <f t="shared" ca="1" si="61"/>
        <v/>
      </c>
      <c r="CY84" s="458" t="str">
        <f t="shared" ref="CY84:CZ110" ca="1" si="69">IF(ISNUMBER($CU84),INDEX($H$41:$CL$110,$CU84,CY$38),"")</f>
        <v/>
      </c>
      <c r="CZ84" s="127" t="str">
        <f t="shared" ca="1" si="69"/>
        <v/>
      </c>
      <c r="DA84" s="127" t="str">
        <f ca="1">IF(CY84="","",IF(CY84&lt;=uxb_works!$B$122,1,IF(CY84&lt;=uxb_works!$B$121,2,IF(CY84&lt;=uxb_works!$B$120,3,4))))</f>
        <v/>
      </c>
      <c r="DB84" s="127" t="str">
        <f t="shared" ca="1" si="63"/>
        <v/>
      </c>
      <c r="DC84" s="127" t="str">
        <f t="shared" ref="DC84:DD110" ca="1" si="70">IF(ISNUMBER($CU84),INDEX($H$41:$CL$110,$CU84,DC$38),"")</f>
        <v/>
      </c>
      <c r="DD84" s="127" t="str">
        <f t="shared" ca="1" si="70"/>
        <v/>
      </c>
      <c r="DE84" s="127" t="str">
        <f ca="1">IF(DC84="","",IF(DC84&lt;=uxb_works!$B$122,1,IF(DC84&lt;=uxb_works!$B$121,2,IF(DC84&lt;=uxb_works!$B$120,3,4))))</f>
        <v/>
      </c>
      <c r="DK84" s="367">
        <f>tblIndiSets!B49</f>
        <v>38</v>
      </c>
      <c r="DL84" s="129">
        <f>IF(uxb_works!$B$32=1,2,IF(ISNA(DK84),0,IF(uxb_works!$B$32=1,IF(ISEVEN(LEFT(TRIM(DN84),1)),2,1),INDEX($C$41:$C$110,DK84))))</f>
        <v>2</v>
      </c>
      <c r="DM84" s="129">
        <f t="shared" si="65"/>
        <v>1</v>
      </c>
      <c r="DN84" s="367" t="str">
        <f t="shared" si="66"/>
        <v xml:space="preserve">  3.1) Digital inclusion</v>
      </c>
      <c r="DO84" s="458">
        <f t="shared" ref="DO84:DP110" si="71">IF(ISNUMBER($DK84),INDEX($H$41:$CL$110,$DK84,DO$38),"")</f>
        <v>65.8</v>
      </c>
      <c r="DP84" s="127" t="str">
        <f t="shared" ca="1" si="71"/>
        <v>22</v>
      </c>
      <c r="DQ84" s="127">
        <f>IF(DO84="","",IF(DO84&lt;=uxb_works!$B$122,1,IF(DO84&lt;=uxb_works!$B$121,2,IF(DO84&lt;=uxb_works!$B$120,3,4))))</f>
        <v>3</v>
      </c>
      <c r="DR84" s="459"/>
      <c r="DS84" s="127">
        <f t="shared" si="68"/>
        <v>27</v>
      </c>
    </row>
    <row r="85" spans="1:123">
      <c r="A85" s="367">
        <f>IF(ISEVEN(tblIndicators!C46),1,2)</f>
        <v>2</v>
      </c>
      <c r="B85" s="367">
        <f>tblIndiSets!B56</f>
        <v>45</v>
      </c>
      <c r="C85" s="367">
        <f>tblIndiSets!D56</f>
        <v>3</v>
      </c>
      <c r="D85" s="367">
        <f>tblCategories!AN49</f>
        <v>0</v>
      </c>
      <c r="E85" s="367" t="str">
        <f>tblIndiSets!E56</f>
        <v xml:space="preserve">   3.2.3) Cyber security risk awareness</v>
      </c>
      <c r="H85" s="367">
        <f t="shared" si="54"/>
        <v>50</v>
      </c>
      <c r="I85" s="13" t="str">
        <f t="shared" ca="1" si="55"/>
        <v>=19</v>
      </c>
      <c r="J85" s="13">
        <f t="shared" ca="1" si="56"/>
        <v>11</v>
      </c>
      <c r="K85" s="367">
        <f t="shared" si="20"/>
        <v>50</v>
      </c>
      <c r="AV85" s="13" t="str">
        <f t="shared" ca="1" si="57"/>
        <v>=19</v>
      </c>
      <c r="AW85" s="13">
        <f t="shared" ca="1" si="58"/>
        <v>11</v>
      </c>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O85" s="13"/>
      <c r="CP85" s="13"/>
      <c r="CR85" s="13"/>
      <c r="CS85" s="13"/>
      <c r="CU85" s="367" t="e">
        <f t="shared" ca="1" si="59"/>
        <v>#N/A</v>
      </c>
      <c r="CV85" s="367">
        <f ca="1">IF(ISNA(CU85),0,IF(uxb_works!$B$32=1,IF(ISEVEN(LEFT(TRIM(CX85),1)),2,1),INDEX($C$41:$C$110,CU85)))</f>
        <v>0</v>
      </c>
      <c r="CW85" s="367">
        <f t="shared" ca="1" si="60"/>
        <v>0</v>
      </c>
      <c r="CX85" s="367" t="str">
        <f t="shared" ca="1" si="61"/>
        <v/>
      </c>
      <c r="CY85" s="458" t="str">
        <f t="shared" ca="1" si="69"/>
        <v/>
      </c>
      <c r="CZ85" s="127" t="str">
        <f t="shared" ca="1" si="69"/>
        <v/>
      </c>
      <c r="DA85" s="127" t="str">
        <f ca="1">IF(CY85="","",IF(CY85&lt;=uxb_works!$B$122,1,IF(CY85&lt;=uxb_works!$B$121,2,IF(CY85&lt;=uxb_works!$B$120,3,4))))</f>
        <v/>
      </c>
      <c r="DB85" s="127" t="str">
        <f t="shared" ca="1" si="63"/>
        <v/>
      </c>
      <c r="DC85" s="127" t="str">
        <f t="shared" ca="1" si="70"/>
        <v/>
      </c>
      <c r="DD85" s="127" t="str">
        <f t="shared" ca="1" si="70"/>
        <v/>
      </c>
      <c r="DE85" s="127" t="str">
        <f ca="1">IF(DC85="","",IF(DC85&lt;=uxb_works!$B$122,1,IF(DC85&lt;=uxb_works!$B$121,2,IF(DC85&lt;=uxb_works!$B$120,3,4))))</f>
        <v/>
      </c>
      <c r="DK85" s="367">
        <f>tblIndiSets!B50</f>
        <v>39</v>
      </c>
      <c r="DL85" s="129">
        <f>IF(uxb_works!$B$32=1,2,IF(ISNA(DK85),0,IF(uxb_works!$B$32=1,IF(ISEVEN(LEFT(TRIM(DN85),1)),2,1),INDEX($C$41:$C$110,DK85))))</f>
        <v>2</v>
      </c>
      <c r="DM85" s="129">
        <f t="shared" si="65"/>
        <v>1</v>
      </c>
      <c r="DN85" s="367" t="str">
        <f t="shared" si="66"/>
        <v xml:space="preserve">   3.1.1) Internet usage</v>
      </c>
      <c r="DO85" s="458">
        <f t="shared" si="71"/>
        <v>87</v>
      </c>
      <c r="DP85" s="127" t="str">
        <f t="shared" ca="1" si="71"/>
        <v>9</v>
      </c>
      <c r="DQ85" s="127">
        <f>IF(DO85="","",IF(DO85&lt;=uxb_works!$B$122,1,IF(DO85&lt;=uxb_works!$B$121,2,IF(DO85&lt;=uxb_works!$B$120,3,4))))</f>
        <v>4</v>
      </c>
      <c r="DR85" s="459"/>
      <c r="DS85" s="127">
        <f t="shared" si="68"/>
        <v>35</v>
      </c>
    </row>
    <row r="86" spans="1:123">
      <c r="A86" s="367">
        <f>IF(ISEVEN(tblIndicators!C47),1,2)</f>
        <v>2</v>
      </c>
      <c r="B86" s="367">
        <f>tblIndiSets!B57</f>
        <v>46</v>
      </c>
      <c r="C86" s="367">
        <f>tblIndiSets!D57</f>
        <v>3</v>
      </c>
      <c r="D86" s="367">
        <f>tblCategories!AN50</f>
        <v>0</v>
      </c>
      <c r="E86" s="367" t="str">
        <f>tblIndiSets!E57</f>
        <v xml:space="preserve">   3.2.4) Open data access and use</v>
      </c>
      <c r="H86" s="367">
        <f t="shared" si="54"/>
        <v>68.8</v>
      </c>
      <c r="I86" s="13" t="str">
        <f t="shared" ca="1" si="55"/>
        <v>=10</v>
      </c>
      <c r="J86" s="13">
        <f t="shared" ca="1" si="56"/>
        <v>2</v>
      </c>
      <c r="K86" s="367">
        <f t="shared" si="20"/>
        <v>73.8</v>
      </c>
      <c r="AV86" s="13" t="str">
        <f t="shared" ca="1" si="57"/>
        <v>9</v>
      </c>
      <c r="AW86" s="13">
        <f t="shared" ca="1" si="58"/>
        <v>1</v>
      </c>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O86" s="13"/>
      <c r="CP86" s="13"/>
      <c r="CR86" s="13"/>
      <c r="CS86" s="13"/>
      <c r="CU86" s="367" t="e">
        <f t="shared" ca="1" si="59"/>
        <v>#N/A</v>
      </c>
      <c r="CV86" s="367">
        <f ca="1">IF(ISNA(CU86),0,IF(uxb_works!$B$32=1,IF(ISEVEN(LEFT(TRIM(CX86),1)),2,1),INDEX($C$41:$C$110,CU86)))</f>
        <v>0</v>
      </c>
      <c r="CW86" s="367">
        <f t="shared" ca="1" si="60"/>
        <v>0</v>
      </c>
      <c r="CX86" s="367" t="str">
        <f t="shared" ca="1" si="61"/>
        <v/>
      </c>
      <c r="CY86" s="458" t="str">
        <f t="shared" ca="1" si="69"/>
        <v/>
      </c>
      <c r="CZ86" s="127" t="str">
        <f t="shared" ca="1" si="69"/>
        <v/>
      </c>
      <c r="DA86" s="127" t="str">
        <f ca="1">IF(CY86="","",IF(CY86&lt;=uxb_works!$B$122,1,IF(CY86&lt;=uxb_works!$B$121,2,IF(CY86&lt;=uxb_works!$B$120,3,4))))</f>
        <v/>
      </c>
      <c r="DB86" s="127" t="str">
        <f t="shared" ca="1" si="63"/>
        <v/>
      </c>
      <c r="DC86" s="127" t="str">
        <f t="shared" ca="1" si="70"/>
        <v/>
      </c>
      <c r="DD86" s="127" t="str">
        <f t="shared" ca="1" si="70"/>
        <v/>
      </c>
      <c r="DE86" s="127" t="str">
        <f ca="1">IF(DC86="","",IF(DC86&lt;=uxb_works!$B$122,1,IF(DC86&lt;=uxb_works!$B$121,2,IF(DC86&lt;=uxb_works!$B$120,3,4))))</f>
        <v/>
      </c>
      <c r="DK86" s="367">
        <f>tblIndiSets!B51</f>
        <v>40</v>
      </c>
      <c r="DL86" s="129">
        <f>IF(uxb_works!$B$32=1,2,IF(ISNA(DK86),0,IF(uxb_works!$B$32=1,IF(ISEVEN(LEFT(TRIM(DN86),1)),2,1),INDEX($C$41:$C$110,DK86))))</f>
        <v>2</v>
      </c>
      <c r="DM86" s="129">
        <f t="shared" si="65"/>
        <v>1</v>
      </c>
      <c r="DN86" s="367" t="str">
        <f t="shared" si="66"/>
        <v xml:space="preserve">   3.1.2) Gap between female and male access to the internet</v>
      </c>
      <c r="DO86" s="458">
        <f t="shared" si="71"/>
        <v>94</v>
      </c>
      <c r="DP86" s="127" t="str">
        <f t="shared" ca="1" si="71"/>
        <v>=23</v>
      </c>
      <c r="DQ86" s="127">
        <f>IF(DO86="","",IF(DO86&lt;=uxb_works!$B$122,1,IF(DO86&lt;=uxb_works!$B$121,2,IF(DO86&lt;=uxb_works!$B$120,3,4))))</f>
        <v>4</v>
      </c>
      <c r="DR86" s="459"/>
      <c r="DS86" s="127">
        <f t="shared" si="68"/>
        <v>38</v>
      </c>
    </row>
    <row r="87" spans="1:123">
      <c r="A87" s="367">
        <f>IF(ISEVEN(tblIndicators!C48),1,2)</f>
        <v>2</v>
      </c>
      <c r="B87" s="367">
        <f>tblIndiSets!B58</f>
        <v>47</v>
      </c>
      <c r="C87" s="367">
        <f>tblIndiSets!D58</f>
        <v>3</v>
      </c>
      <c r="D87" s="367">
        <f>tblCategories!AN51</f>
        <v>0</v>
      </c>
      <c r="E87" s="367" t="str">
        <f>tblIndiSets!E58</f>
        <v xml:space="preserve">   3.2.5) Internet freedom</v>
      </c>
      <c r="H87" s="367">
        <f t="shared" si="54"/>
        <v>86.4</v>
      </c>
      <c r="I87" s="13" t="str">
        <f t="shared" ca="1" si="55"/>
        <v>=5</v>
      </c>
      <c r="J87" s="13">
        <f t="shared" ca="1" si="56"/>
        <v>2</v>
      </c>
      <c r="K87" s="367">
        <f t="shared" si="20"/>
        <v>82</v>
      </c>
      <c r="AV87" s="13" t="str">
        <f t="shared" ca="1" si="57"/>
        <v>=11</v>
      </c>
      <c r="AW87" s="13">
        <f t="shared" ca="1" si="58"/>
        <v>5</v>
      </c>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O87" s="13"/>
      <c r="CP87" s="13"/>
      <c r="CR87" s="13"/>
      <c r="CS87" s="13"/>
      <c r="CU87" s="367" t="e">
        <f t="shared" ca="1" si="59"/>
        <v>#N/A</v>
      </c>
      <c r="CV87" s="367">
        <f ca="1">IF(ISNA(CU87),0,IF(uxb_works!$B$32=1,IF(ISEVEN(LEFT(TRIM(CX87),1)),2,1),INDEX($C$41:$C$110,CU87)))</f>
        <v>0</v>
      </c>
      <c r="CW87" s="367">
        <f t="shared" ca="1" si="60"/>
        <v>0</v>
      </c>
      <c r="CX87" s="367" t="str">
        <f t="shared" ca="1" si="61"/>
        <v/>
      </c>
      <c r="CY87" s="458" t="str">
        <f t="shared" ca="1" si="69"/>
        <v/>
      </c>
      <c r="CZ87" s="127" t="str">
        <f t="shared" ca="1" si="69"/>
        <v/>
      </c>
      <c r="DA87" s="127" t="str">
        <f ca="1">IF(CY87="","",IF(CY87&lt;=uxb_works!$B$122,1,IF(CY87&lt;=uxb_works!$B$121,2,IF(CY87&lt;=uxb_works!$B$120,3,4))))</f>
        <v/>
      </c>
      <c r="DB87" s="127" t="str">
        <f t="shared" ca="1" si="63"/>
        <v/>
      </c>
      <c r="DC87" s="127" t="str">
        <f t="shared" ca="1" si="70"/>
        <v/>
      </c>
      <c r="DD87" s="127" t="str">
        <f t="shared" ca="1" si="70"/>
        <v/>
      </c>
      <c r="DE87" s="127" t="str">
        <f ca="1">IF(DC87="","",IF(DC87&lt;=uxb_works!$B$122,1,IF(DC87&lt;=uxb_works!$B$121,2,IF(DC87&lt;=uxb_works!$B$120,3,4))))</f>
        <v/>
      </c>
      <c r="DK87" s="367">
        <f>tblIndiSets!B52</f>
        <v>41</v>
      </c>
      <c r="DL87" s="129">
        <f>IF(uxb_works!$B$32=1,2,IF(ISNA(DK87),0,IF(uxb_works!$B$32=1,IF(ISEVEN(LEFT(TRIM(DN87),1)),2,1),INDEX($C$41:$C$110,DK87))))</f>
        <v>2</v>
      </c>
      <c r="DM87" s="129">
        <f t="shared" si="65"/>
        <v>1</v>
      </c>
      <c r="DN87" s="367" t="str">
        <f t="shared" si="66"/>
        <v xml:space="preserve">   3.1.3) Digital skills</v>
      </c>
      <c r="DO87" s="458">
        <f t="shared" si="71"/>
        <v>12.8</v>
      </c>
      <c r="DP87" s="127" t="str">
        <f t="shared" ca="1" si="71"/>
        <v>27</v>
      </c>
      <c r="DQ87" s="127">
        <f>IF(DO87="","",IF(DO87&lt;=uxb_works!$B$122,1,IF(DO87&lt;=uxb_works!$B$121,2,IF(DO87&lt;=uxb_works!$B$120,3,4))))</f>
        <v>1</v>
      </c>
      <c r="DR87" s="459"/>
      <c r="DS87" s="127">
        <f t="shared" si="68"/>
        <v>6</v>
      </c>
    </row>
    <row r="88" spans="1:123">
      <c r="A88" s="367">
        <f>IF(ISEVEN(tblIndicators!C49),1,2)</f>
        <v>2</v>
      </c>
      <c r="B88" s="367">
        <f>tblIndiSets!B59</f>
        <v>48</v>
      </c>
      <c r="C88" s="367">
        <f>tblIndiSets!D59</f>
        <v>2</v>
      </c>
      <c r="D88" s="367">
        <f>tblCategories!AN52</f>
        <v>0</v>
      </c>
      <c r="E88" s="367" t="str">
        <f>tblIndiSets!E59</f>
        <v xml:space="preserve">  3.3) Innovation ecosystem</v>
      </c>
      <c r="H88" s="367">
        <f t="shared" si="54"/>
        <v>62</v>
      </c>
      <c r="I88" s="13" t="str">
        <f t="shared" ca="1" si="55"/>
        <v>9</v>
      </c>
      <c r="J88" s="13">
        <f t="shared" ca="1" si="56"/>
        <v>1</v>
      </c>
      <c r="K88" s="367">
        <f t="shared" si="20"/>
        <v>49.1</v>
      </c>
      <c r="AV88" s="13" t="str">
        <f t="shared" ca="1" si="57"/>
        <v>18</v>
      </c>
      <c r="AW88" s="13">
        <f t="shared" ca="1" si="58"/>
        <v>1</v>
      </c>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O88" s="13"/>
      <c r="CP88" s="13"/>
      <c r="CR88" s="13"/>
      <c r="CS88" s="13"/>
      <c r="CU88" s="367" t="e">
        <f t="shared" ca="1" si="59"/>
        <v>#N/A</v>
      </c>
      <c r="CV88" s="367">
        <f ca="1">IF(ISNA(CU88),0,IF(uxb_works!$B$32=1,IF(ISEVEN(LEFT(TRIM(CX88),1)),2,1),INDEX($C$41:$C$110,CU88)))</f>
        <v>0</v>
      </c>
      <c r="CW88" s="367">
        <f t="shared" ca="1" si="60"/>
        <v>0</v>
      </c>
      <c r="CX88" s="367" t="str">
        <f t="shared" ca="1" si="61"/>
        <v/>
      </c>
      <c r="CY88" s="458" t="str">
        <f t="shared" ca="1" si="69"/>
        <v/>
      </c>
      <c r="CZ88" s="127" t="str">
        <f t="shared" ca="1" si="69"/>
        <v/>
      </c>
      <c r="DA88" s="127" t="str">
        <f ca="1">IF(CY88="","",IF(CY88&lt;=uxb_works!$B$122,1,IF(CY88&lt;=uxb_works!$B$121,2,IF(CY88&lt;=uxb_works!$B$120,3,4))))</f>
        <v/>
      </c>
      <c r="DB88" s="127" t="str">
        <f t="shared" ca="1" si="63"/>
        <v/>
      </c>
      <c r="DC88" s="127" t="str">
        <f t="shared" ca="1" si="70"/>
        <v/>
      </c>
      <c r="DD88" s="127" t="str">
        <f t="shared" ca="1" si="70"/>
        <v/>
      </c>
      <c r="DE88" s="127" t="str">
        <f ca="1">IF(DC88="","",IF(DC88&lt;=uxb_works!$B$122,1,IF(DC88&lt;=uxb_works!$B$121,2,IF(DC88&lt;=uxb_works!$B$120,3,4))))</f>
        <v/>
      </c>
      <c r="DK88" s="367">
        <f>tblIndiSets!B53</f>
        <v>42</v>
      </c>
      <c r="DL88" s="129">
        <f>IF(uxb_works!$B$32=1,2,IF(ISNA(DK88),0,IF(uxb_works!$B$32=1,IF(ISEVEN(LEFT(TRIM(DN88),1)),2,1),INDEX($C$41:$C$110,DK88))))</f>
        <v>2</v>
      </c>
      <c r="DM88" s="129">
        <f t="shared" si="65"/>
        <v>1</v>
      </c>
      <c r="DN88" s="367" t="str">
        <f t="shared" si="66"/>
        <v xml:space="preserve">  3.2) Government support</v>
      </c>
      <c r="DO88" s="458">
        <f t="shared" si="71"/>
        <v>76</v>
      </c>
      <c r="DP88" s="127" t="str">
        <f t="shared" ca="1" si="71"/>
        <v>15</v>
      </c>
      <c r="DQ88" s="127">
        <f>IF(DO88="","",IF(DO88&lt;=uxb_works!$B$122,1,IF(DO88&lt;=uxb_works!$B$121,2,IF(DO88&lt;=uxb_works!$B$120,3,4))))</f>
        <v>4</v>
      </c>
      <c r="DR88" s="459"/>
      <c r="DS88" s="127">
        <f t="shared" si="68"/>
        <v>31</v>
      </c>
    </row>
    <row r="89" spans="1:123">
      <c r="A89" s="367">
        <f>IF(ISEVEN(tblIndicators!C50),1,2)</f>
        <v>2</v>
      </c>
      <c r="B89" s="367">
        <f>tblIndiSets!B60</f>
        <v>49</v>
      </c>
      <c r="C89" s="367">
        <f>tblIndiSets!D60</f>
        <v>3</v>
      </c>
      <c r="D89" s="367">
        <f>tblCategories!AN53</f>
        <v>0</v>
      </c>
      <c r="E89" s="367" t="str">
        <f>tblIndiSets!E60</f>
        <v xml:space="preserve">   3.3.1) AI readiness of government</v>
      </c>
      <c r="H89" s="367">
        <f t="shared" si="54"/>
        <v>76.099999999999994</v>
      </c>
      <c r="I89" s="13" t="str">
        <f t="shared" ca="1" si="55"/>
        <v>10</v>
      </c>
      <c r="J89" s="13">
        <f t="shared" ca="1" si="56"/>
        <v>1</v>
      </c>
      <c r="K89" s="367">
        <f t="shared" si="20"/>
        <v>59.2</v>
      </c>
      <c r="AV89" s="13" t="str">
        <f t="shared" ca="1" si="57"/>
        <v>19</v>
      </c>
      <c r="AW89" s="13">
        <f t="shared" ca="1" si="58"/>
        <v>1</v>
      </c>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O89" s="13"/>
      <c r="CP89" s="13"/>
      <c r="CR89" s="13"/>
      <c r="CS89" s="13"/>
      <c r="CU89" s="367" t="e">
        <f t="shared" ca="1" si="59"/>
        <v>#N/A</v>
      </c>
      <c r="CV89" s="367">
        <f ca="1">IF(ISNA(CU89),0,IF(uxb_works!$B$32=1,IF(ISEVEN(LEFT(TRIM(CX89),1)),2,1),INDEX($C$41:$C$110,CU89)))</f>
        <v>0</v>
      </c>
      <c r="CW89" s="367">
        <f t="shared" ca="1" si="60"/>
        <v>0</v>
      </c>
      <c r="CX89" s="367" t="str">
        <f t="shared" ca="1" si="61"/>
        <v/>
      </c>
      <c r="CY89" s="458" t="str">
        <f t="shared" ca="1" si="69"/>
        <v/>
      </c>
      <c r="CZ89" s="127" t="str">
        <f t="shared" ca="1" si="69"/>
        <v/>
      </c>
      <c r="DA89" s="127" t="str">
        <f ca="1">IF(CY89="","",IF(CY89&lt;=uxb_works!$B$122,1,IF(CY89&lt;=uxb_works!$B$121,2,IF(CY89&lt;=uxb_works!$B$120,3,4))))</f>
        <v/>
      </c>
      <c r="DB89" s="127" t="str">
        <f t="shared" ca="1" si="63"/>
        <v/>
      </c>
      <c r="DC89" s="127" t="str">
        <f t="shared" ca="1" si="70"/>
        <v/>
      </c>
      <c r="DD89" s="127" t="str">
        <f t="shared" ca="1" si="70"/>
        <v/>
      </c>
      <c r="DE89" s="127" t="str">
        <f ca="1">IF(DC89="","",IF(DC89&lt;=uxb_works!$B$122,1,IF(DC89&lt;=uxb_works!$B$121,2,IF(DC89&lt;=uxb_works!$B$120,3,4))))</f>
        <v/>
      </c>
      <c r="DK89" s="367">
        <f>tblIndiSets!B54</f>
        <v>43</v>
      </c>
      <c r="DL89" s="129">
        <f>IF(uxb_works!$B$32=1,2,IF(ISNA(DK89),0,IF(uxb_works!$B$32=1,IF(ISEVEN(LEFT(TRIM(DN89),1)),2,1),INDEX($C$41:$C$110,DK89))))</f>
        <v>2</v>
      </c>
      <c r="DM89" s="129">
        <f t="shared" si="65"/>
        <v>1</v>
      </c>
      <c r="DN89" s="367" t="str">
        <f t="shared" si="66"/>
        <v xml:space="preserve">   3.2.1) Data protection law</v>
      </c>
      <c r="DO89" s="458">
        <f t="shared" si="71"/>
        <v>100</v>
      </c>
      <c r="DP89" s="127" t="str">
        <f t="shared" ca="1" si="71"/>
        <v>=1</v>
      </c>
      <c r="DQ89" s="127">
        <f>IF(DO89="","",IF(DO89&lt;=uxb_works!$B$122,1,IF(DO89&lt;=uxb_works!$B$121,2,IF(DO89&lt;=uxb_works!$B$120,3,4))))</f>
        <v>4</v>
      </c>
      <c r="DR89" s="459"/>
      <c r="DS89" s="127">
        <f t="shared" si="68"/>
        <v>40</v>
      </c>
    </row>
    <row r="90" spans="1:123">
      <c r="A90" s="367">
        <f>IF(ISEVEN(tblIndicators!C51),1,2)</f>
        <v>2</v>
      </c>
      <c r="B90" s="367">
        <f>tblIndiSets!B61</f>
        <v>50</v>
      </c>
      <c r="C90" s="367">
        <f>tblIndiSets!D61</f>
        <v>3</v>
      </c>
      <c r="D90" s="367">
        <f>tblCategories!AN54</f>
        <v>0</v>
      </c>
      <c r="E90" s="367" t="str">
        <f>tblIndiSets!E61</f>
        <v xml:space="preserve">   3.3.2) Blockchain technology strategy</v>
      </c>
      <c r="H90" s="367">
        <f t="shared" si="54"/>
        <v>33.299999999999997</v>
      </c>
      <c r="I90" s="13" t="str">
        <f t="shared" ca="1" si="55"/>
        <v>=12</v>
      </c>
      <c r="J90" s="13">
        <f t="shared" ca="1" si="56"/>
        <v>4</v>
      </c>
      <c r="K90" s="367">
        <f t="shared" si="20"/>
        <v>0</v>
      </c>
      <c r="AV90" s="13" t="str">
        <f t="shared" ca="1" si="57"/>
        <v>=16</v>
      </c>
      <c r="AW90" s="13">
        <f t="shared" ca="1" si="58"/>
        <v>15</v>
      </c>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O90" s="13"/>
      <c r="CP90" s="13"/>
      <c r="CR90" s="13"/>
      <c r="CS90" s="13"/>
      <c r="CU90" s="367" t="e">
        <f t="shared" ca="1" si="59"/>
        <v>#N/A</v>
      </c>
      <c r="CV90" s="367">
        <f ca="1">IF(ISNA(CU90),0,IF(uxb_works!$B$32=1,IF(ISEVEN(LEFT(TRIM(CX90),1)),2,1),INDEX($C$41:$C$110,CU90)))</f>
        <v>0</v>
      </c>
      <c r="CW90" s="367">
        <f t="shared" ca="1" si="60"/>
        <v>0</v>
      </c>
      <c r="CX90" s="367" t="str">
        <f t="shared" ca="1" si="61"/>
        <v/>
      </c>
      <c r="CY90" s="458" t="str">
        <f t="shared" ca="1" si="69"/>
        <v/>
      </c>
      <c r="CZ90" s="127" t="str">
        <f t="shared" ca="1" si="69"/>
        <v/>
      </c>
      <c r="DA90" s="127" t="str">
        <f ca="1">IF(CY90="","",IF(CY90&lt;=uxb_works!$B$122,1,IF(CY90&lt;=uxb_works!$B$121,2,IF(CY90&lt;=uxb_works!$B$120,3,4))))</f>
        <v/>
      </c>
      <c r="DB90" s="127" t="str">
        <f t="shared" ca="1" si="63"/>
        <v/>
      </c>
      <c r="DC90" s="127" t="str">
        <f t="shared" ca="1" si="70"/>
        <v/>
      </c>
      <c r="DD90" s="127" t="str">
        <f t="shared" ca="1" si="70"/>
        <v/>
      </c>
      <c r="DE90" s="127" t="str">
        <f ca="1">IF(DC90="","",IF(DC90&lt;=uxb_works!$B$122,1,IF(DC90&lt;=uxb_works!$B$121,2,IF(DC90&lt;=uxb_works!$B$120,3,4))))</f>
        <v/>
      </c>
      <c r="DK90" s="367">
        <f>tblIndiSets!B55</f>
        <v>44</v>
      </c>
      <c r="DL90" s="129">
        <f>IF(uxb_works!$B$32=1,2,IF(ISNA(DK90),0,IF(uxb_works!$B$32=1,IF(ISEVEN(LEFT(TRIM(DN90),1)),2,1),INDEX($C$41:$C$110,DK90))))</f>
        <v>2</v>
      </c>
      <c r="DM90" s="129">
        <f t="shared" si="65"/>
        <v>1</v>
      </c>
      <c r="DN90" s="367" t="str">
        <f t="shared" si="66"/>
        <v xml:space="preserve">   3.2.2) Cyber security preparedness</v>
      </c>
      <c r="DO90" s="458">
        <f t="shared" si="71"/>
        <v>75</v>
      </c>
      <c r="DP90" s="127" t="str">
        <f t="shared" ca="1" si="71"/>
        <v>=10</v>
      </c>
      <c r="DQ90" s="127">
        <f>IF(DO90="","",IF(DO90&lt;=uxb_works!$B$122,1,IF(DO90&lt;=uxb_works!$B$121,2,IF(DO90&lt;=uxb_works!$B$120,3,4))))</f>
        <v>3</v>
      </c>
      <c r="DR90" s="459"/>
      <c r="DS90" s="127">
        <f t="shared" si="68"/>
        <v>30</v>
      </c>
    </row>
    <row r="91" spans="1:123">
      <c r="A91" s="367">
        <f>IF(ISEVEN(tblIndicators!C52),1,2)</f>
        <v>2</v>
      </c>
      <c r="B91" s="367">
        <f>tblIndiSets!B62</f>
        <v>51</v>
      </c>
      <c r="C91" s="367">
        <f>tblIndiSets!D62</f>
        <v>3</v>
      </c>
      <c r="D91" s="367">
        <f>tblCategories!AN55</f>
        <v>0</v>
      </c>
      <c r="E91" s="367" t="str">
        <f>tblIndiSets!E62</f>
        <v xml:space="preserve">   3.3.3) Tech startup ecosytem</v>
      </c>
      <c r="H91" s="367">
        <f t="shared" si="54"/>
        <v>8.6</v>
      </c>
      <c r="I91" s="13" t="str">
        <f t="shared" ca="1" si="55"/>
        <v>16</v>
      </c>
      <c r="J91" s="13">
        <f t="shared" ca="1" si="56"/>
        <v>1</v>
      </c>
      <c r="K91" s="367">
        <f t="shared" si="20"/>
        <v>0.3</v>
      </c>
      <c r="AV91" s="13" t="str">
        <f t="shared" ca="1" si="57"/>
        <v>29</v>
      </c>
      <c r="AW91" s="13">
        <f t="shared" ca="1" si="58"/>
        <v>1</v>
      </c>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O91" s="13"/>
      <c r="CP91" s="13"/>
      <c r="CR91" s="13"/>
      <c r="CS91" s="13"/>
      <c r="CU91" s="367" t="e">
        <f t="shared" ca="1" si="59"/>
        <v>#N/A</v>
      </c>
      <c r="CV91" s="367">
        <f ca="1">IF(ISNA(CU91),0,IF(uxb_works!$B$32=1,IF(ISEVEN(LEFT(TRIM(CX91),1)),2,1),INDEX($C$41:$C$110,CU91)))</f>
        <v>0</v>
      </c>
      <c r="CW91" s="367">
        <f t="shared" ca="1" si="60"/>
        <v>0</v>
      </c>
      <c r="CX91" s="367" t="str">
        <f t="shared" ca="1" si="61"/>
        <v/>
      </c>
      <c r="CY91" s="458" t="str">
        <f t="shared" ca="1" si="69"/>
        <v/>
      </c>
      <c r="CZ91" s="127" t="str">
        <f t="shared" ca="1" si="69"/>
        <v/>
      </c>
      <c r="DA91" s="127" t="str">
        <f ca="1">IF(CY91="","",IF(CY91&lt;=uxb_works!$B$122,1,IF(CY91&lt;=uxb_works!$B$121,2,IF(CY91&lt;=uxb_works!$B$120,3,4))))</f>
        <v/>
      </c>
      <c r="DB91" s="127" t="str">
        <f t="shared" ca="1" si="63"/>
        <v/>
      </c>
      <c r="DC91" s="127" t="str">
        <f t="shared" ca="1" si="70"/>
        <v/>
      </c>
      <c r="DD91" s="127" t="str">
        <f t="shared" ca="1" si="70"/>
        <v/>
      </c>
      <c r="DE91" s="127" t="str">
        <f ca="1">IF(DC91="","",IF(DC91&lt;=uxb_works!$B$122,1,IF(DC91&lt;=uxb_works!$B$121,2,IF(DC91&lt;=uxb_works!$B$120,3,4))))</f>
        <v/>
      </c>
      <c r="DK91" s="367">
        <f>tblIndiSets!B56</f>
        <v>45</v>
      </c>
      <c r="DL91" s="129">
        <f>IF(uxb_works!$B$32=1,2,IF(ISNA(DK91),0,IF(uxb_works!$B$32=1,IF(ISEVEN(LEFT(TRIM(DN91),1)),2,1),INDEX($C$41:$C$110,DK91))))</f>
        <v>2</v>
      </c>
      <c r="DM91" s="129">
        <f t="shared" si="65"/>
        <v>1</v>
      </c>
      <c r="DN91" s="367" t="str">
        <f t="shared" si="66"/>
        <v xml:space="preserve">   3.2.3) Cyber security risk awareness</v>
      </c>
      <c r="DO91" s="458">
        <f t="shared" si="71"/>
        <v>50</v>
      </c>
      <c r="DP91" s="127" t="str">
        <f t="shared" ca="1" si="71"/>
        <v>=19</v>
      </c>
      <c r="DQ91" s="127">
        <f>IF(DO91="","",IF(DO91&lt;=uxb_works!$B$122,1,IF(DO91&lt;=uxb_works!$B$121,2,IF(DO91&lt;=uxb_works!$B$120,3,4))))</f>
        <v>2</v>
      </c>
      <c r="DR91" s="459"/>
      <c r="DS91" s="127">
        <f t="shared" si="68"/>
        <v>20</v>
      </c>
    </row>
    <row r="92" spans="1:123">
      <c r="A92" s="367">
        <f>IF(ISEVEN(tblIndicators!C53),1,2)</f>
        <v>2</v>
      </c>
      <c r="B92" s="367">
        <f>tblIndiSets!B63</f>
        <v>52</v>
      </c>
      <c r="C92" s="367">
        <f>tblIndiSets!D63</f>
        <v>3</v>
      </c>
      <c r="D92" s="367">
        <f>tblCategories!AN56</f>
        <v>0</v>
      </c>
      <c r="E92" s="367" t="str">
        <f>tblIndiSets!E63</f>
        <v xml:space="preserve">   3.3.4) Intellectual Property Rights</v>
      </c>
      <c r="H92" s="367">
        <f t="shared" si="54"/>
        <v>100</v>
      </c>
      <c r="I92" s="13" t="str">
        <f t="shared" ca="1" si="55"/>
        <v>=1</v>
      </c>
      <c r="J92" s="13">
        <f t="shared" ca="1" si="56"/>
        <v>13</v>
      </c>
      <c r="K92" s="367">
        <f t="shared" si="20"/>
        <v>75</v>
      </c>
      <c r="AV92" s="13" t="str">
        <f t="shared" ca="1" si="57"/>
        <v>=14</v>
      </c>
      <c r="AW92" s="13">
        <f t="shared" ca="1" si="58"/>
        <v>7</v>
      </c>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O92" s="13"/>
      <c r="CP92" s="13"/>
      <c r="CR92" s="13"/>
      <c r="CS92" s="13"/>
      <c r="CU92" s="367" t="e">
        <f t="shared" ca="1" si="59"/>
        <v>#N/A</v>
      </c>
      <c r="CV92" s="367">
        <f ca="1">IF(ISNA(CU92),0,IF(uxb_works!$B$32=1,IF(ISEVEN(LEFT(TRIM(CX92),1)),2,1),INDEX($C$41:$C$110,CU92)))</f>
        <v>0</v>
      </c>
      <c r="CW92" s="367">
        <f t="shared" ca="1" si="60"/>
        <v>0</v>
      </c>
      <c r="CX92" s="367" t="str">
        <f t="shared" ca="1" si="61"/>
        <v/>
      </c>
      <c r="CY92" s="458" t="str">
        <f t="shared" ca="1" si="69"/>
        <v/>
      </c>
      <c r="CZ92" s="127" t="str">
        <f t="shared" ca="1" si="69"/>
        <v/>
      </c>
      <c r="DA92" s="127" t="str">
        <f ca="1">IF(CY92="","",IF(CY92&lt;=uxb_works!$B$122,1,IF(CY92&lt;=uxb_works!$B$121,2,IF(CY92&lt;=uxb_works!$B$120,3,4))))</f>
        <v/>
      </c>
      <c r="DB92" s="127" t="str">
        <f t="shared" ca="1" si="63"/>
        <v/>
      </c>
      <c r="DC92" s="127" t="str">
        <f t="shared" ca="1" si="70"/>
        <v/>
      </c>
      <c r="DD92" s="127" t="str">
        <f t="shared" ca="1" si="70"/>
        <v/>
      </c>
      <c r="DE92" s="127" t="str">
        <f ca="1">IF(DC92="","",IF(DC92&lt;=uxb_works!$B$122,1,IF(DC92&lt;=uxb_works!$B$121,2,IF(DC92&lt;=uxb_works!$B$120,3,4))))</f>
        <v/>
      </c>
      <c r="DK92" s="367">
        <f>tblIndiSets!B57</f>
        <v>46</v>
      </c>
      <c r="DL92" s="129">
        <f>IF(uxb_works!$B$32=1,2,IF(ISNA(DK92),0,IF(uxb_works!$B$32=1,IF(ISEVEN(LEFT(TRIM(DN92),1)),2,1),INDEX($C$41:$C$110,DK92))))</f>
        <v>2</v>
      </c>
      <c r="DM92" s="129">
        <f t="shared" si="65"/>
        <v>1</v>
      </c>
      <c r="DN92" s="367" t="str">
        <f t="shared" si="66"/>
        <v xml:space="preserve">   3.2.4) Open data access and use</v>
      </c>
      <c r="DO92" s="458">
        <f t="shared" si="71"/>
        <v>68.8</v>
      </c>
      <c r="DP92" s="127" t="str">
        <f t="shared" ca="1" si="71"/>
        <v>=10</v>
      </c>
      <c r="DQ92" s="127">
        <f>IF(DO92="","",IF(DO92&lt;=uxb_works!$B$122,1,IF(DO92&lt;=uxb_works!$B$121,2,IF(DO92&lt;=uxb_works!$B$120,3,4))))</f>
        <v>3</v>
      </c>
      <c r="DR92" s="459"/>
      <c r="DS92" s="127">
        <f t="shared" si="68"/>
        <v>28</v>
      </c>
    </row>
    <row r="93" spans="1:123">
      <c r="A93" s="367">
        <f>IF(ISEVEN(tblIndicators!C54),1,2)</f>
        <v>2</v>
      </c>
      <c r="B93" s="367">
        <f>tblIndiSets!B64</f>
        <v>53</v>
      </c>
      <c r="C93" s="367">
        <f>tblIndiSets!D64</f>
        <v>3</v>
      </c>
      <c r="D93" s="367">
        <f>tblCategories!AN57</f>
        <v>0</v>
      </c>
      <c r="E93" s="367" t="str">
        <f>tblIndiSets!E64</f>
        <v xml:space="preserve">   3.3.5) Business environment</v>
      </c>
      <c r="H93" s="367">
        <f t="shared" si="54"/>
        <v>88.9</v>
      </c>
      <c r="I93" s="13" t="str">
        <f t="shared" ca="1" si="55"/>
        <v>=7</v>
      </c>
      <c r="J93" s="13">
        <f t="shared" ca="1" si="56"/>
        <v>2</v>
      </c>
      <c r="K93" s="367">
        <f t="shared" si="20"/>
        <v>96.2</v>
      </c>
      <c r="AV93" s="13" t="str">
        <f t="shared" ca="1" si="57"/>
        <v>=4</v>
      </c>
      <c r="AW93" s="13">
        <f t="shared" ca="1" si="58"/>
        <v>3</v>
      </c>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O93" s="13"/>
      <c r="CP93" s="13"/>
      <c r="CR93" s="13"/>
      <c r="CS93" s="13"/>
      <c r="CU93" s="367" t="e">
        <f t="shared" ca="1" si="59"/>
        <v>#N/A</v>
      </c>
      <c r="CV93" s="367">
        <f ca="1">IF(ISNA(CU93),0,IF(uxb_works!$B$32=1,IF(ISEVEN(LEFT(TRIM(CX93),1)),2,1),INDEX($C$41:$C$110,CU93)))</f>
        <v>0</v>
      </c>
      <c r="CW93" s="367">
        <f t="shared" ca="1" si="60"/>
        <v>0</v>
      </c>
      <c r="CX93" s="367" t="str">
        <f t="shared" ca="1" si="61"/>
        <v/>
      </c>
      <c r="CY93" s="458" t="str">
        <f t="shared" ca="1" si="69"/>
        <v/>
      </c>
      <c r="CZ93" s="127" t="str">
        <f t="shared" ca="1" si="69"/>
        <v/>
      </c>
      <c r="DA93" s="127" t="str">
        <f ca="1">IF(CY93="","",IF(CY93&lt;=uxb_works!$B$122,1,IF(CY93&lt;=uxb_works!$B$121,2,IF(CY93&lt;=uxb_works!$B$120,3,4))))</f>
        <v/>
      </c>
      <c r="DB93" s="127" t="str">
        <f t="shared" ca="1" si="63"/>
        <v/>
      </c>
      <c r="DC93" s="127" t="str">
        <f t="shared" ca="1" si="70"/>
        <v/>
      </c>
      <c r="DD93" s="127" t="str">
        <f t="shared" ca="1" si="70"/>
        <v/>
      </c>
      <c r="DE93" s="127" t="str">
        <f ca="1">IF(DC93="","",IF(DC93&lt;=uxb_works!$B$122,1,IF(DC93&lt;=uxb_works!$B$121,2,IF(DC93&lt;=uxb_works!$B$120,3,4))))</f>
        <v/>
      </c>
      <c r="DK93" s="367">
        <f>tblIndiSets!B58</f>
        <v>47</v>
      </c>
      <c r="DL93" s="129">
        <f>IF(uxb_works!$B$32=1,2,IF(ISNA(DK93),0,IF(uxb_works!$B$32=1,IF(ISEVEN(LEFT(TRIM(DN93),1)),2,1),INDEX($C$41:$C$110,DK93))))</f>
        <v>2</v>
      </c>
      <c r="DM93" s="129">
        <f t="shared" si="65"/>
        <v>1</v>
      </c>
      <c r="DN93" s="367" t="str">
        <f t="shared" si="66"/>
        <v xml:space="preserve">   3.2.5) Internet freedom</v>
      </c>
      <c r="DO93" s="458">
        <f t="shared" si="71"/>
        <v>86.4</v>
      </c>
      <c r="DP93" s="127" t="str">
        <f t="shared" ca="1" si="71"/>
        <v>=5</v>
      </c>
      <c r="DQ93" s="127">
        <f>IF(DO93="","",IF(DO93&lt;=uxb_works!$B$122,1,IF(DO93&lt;=uxb_works!$B$121,2,IF(DO93&lt;=uxb_works!$B$120,3,4))))</f>
        <v>4</v>
      </c>
      <c r="DR93" s="459"/>
      <c r="DS93" s="127">
        <f t="shared" si="68"/>
        <v>35</v>
      </c>
    </row>
    <row r="94" spans="1:123">
      <c r="A94" s="367">
        <f>IF(ISEVEN(tblIndicators!C55),1,2)</f>
        <v>2</v>
      </c>
      <c r="B94" s="367">
        <f>tblIndiSets!B65</f>
        <v>54</v>
      </c>
      <c r="C94" s="367">
        <f>tblIndiSets!D65</f>
        <v>2</v>
      </c>
      <c r="D94" s="367">
        <f>tblCategories!AN58</f>
        <v>0</v>
      </c>
      <c r="E94" s="367" t="str">
        <f>tblIndiSets!E65</f>
        <v xml:space="preserve">  3.4) Public attitude and engagement</v>
      </c>
      <c r="H94" s="367">
        <f t="shared" si="54"/>
        <v>35.1</v>
      </c>
      <c r="I94" s="13" t="str">
        <f t="shared" ca="1" si="55"/>
        <v>20</v>
      </c>
      <c r="J94" s="13">
        <f t="shared" ca="1" si="56"/>
        <v>1</v>
      </c>
      <c r="K94" s="367">
        <f t="shared" si="20"/>
        <v>70.8</v>
      </c>
      <c r="AV94" s="13" t="str">
        <f t="shared" ca="1" si="57"/>
        <v>5</v>
      </c>
      <c r="AW94" s="13">
        <f t="shared" ca="1" si="58"/>
        <v>1</v>
      </c>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O94" s="13"/>
      <c r="CP94" s="13"/>
      <c r="CR94" s="13"/>
      <c r="CS94" s="13"/>
      <c r="CU94" s="367" t="e">
        <f t="shared" ca="1" si="59"/>
        <v>#N/A</v>
      </c>
      <c r="CV94" s="367">
        <f ca="1">IF(ISNA(CU94),0,IF(uxb_works!$B$32=1,IF(ISEVEN(LEFT(TRIM(CX94),1)),2,1),INDEX($C$41:$C$110,CU94)))</f>
        <v>0</v>
      </c>
      <c r="CW94" s="367">
        <f t="shared" ca="1" si="60"/>
        <v>0</v>
      </c>
      <c r="CX94" s="367" t="str">
        <f t="shared" ca="1" si="61"/>
        <v/>
      </c>
      <c r="CY94" s="458" t="str">
        <f t="shared" ca="1" si="69"/>
        <v/>
      </c>
      <c r="CZ94" s="127" t="str">
        <f t="shared" ca="1" si="69"/>
        <v/>
      </c>
      <c r="DA94" s="127" t="str">
        <f ca="1">IF(CY94="","",IF(CY94&lt;=uxb_works!$B$122,1,IF(CY94&lt;=uxb_works!$B$121,2,IF(CY94&lt;=uxb_works!$B$120,3,4))))</f>
        <v/>
      </c>
      <c r="DB94" s="127" t="str">
        <f t="shared" ca="1" si="63"/>
        <v/>
      </c>
      <c r="DC94" s="127" t="str">
        <f t="shared" ca="1" si="70"/>
        <v/>
      </c>
      <c r="DD94" s="127" t="str">
        <f t="shared" ca="1" si="70"/>
        <v/>
      </c>
      <c r="DE94" s="127" t="str">
        <f ca="1">IF(DC94="","",IF(DC94&lt;=uxb_works!$B$122,1,IF(DC94&lt;=uxb_works!$B$121,2,IF(DC94&lt;=uxb_works!$B$120,3,4))))</f>
        <v/>
      </c>
      <c r="DK94" s="367">
        <f>tblIndiSets!B59</f>
        <v>48</v>
      </c>
      <c r="DL94" s="129">
        <f>IF(uxb_works!$B$32=1,2,IF(ISNA(DK94),0,IF(uxb_works!$B$32=1,IF(ISEVEN(LEFT(TRIM(DN94),1)),2,1),INDEX($C$41:$C$110,DK94))))</f>
        <v>2</v>
      </c>
      <c r="DM94" s="129">
        <f t="shared" si="65"/>
        <v>1</v>
      </c>
      <c r="DN94" s="367" t="str">
        <f t="shared" si="66"/>
        <v xml:space="preserve">  3.3) Innovation ecosystem</v>
      </c>
      <c r="DO94" s="458">
        <f t="shared" si="71"/>
        <v>62</v>
      </c>
      <c r="DP94" s="127" t="str">
        <f t="shared" ca="1" si="71"/>
        <v>9</v>
      </c>
      <c r="DQ94" s="127">
        <f>IF(DO94="","",IF(DO94&lt;=uxb_works!$B$122,1,IF(DO94&lt;=uxb_works!$B$121,2,IF(DO94&lt;=uxb_works!$B$120,3,4))))</f>
        <v>3</v>
      </c>
      <c r="DR94" s="459"/>
      <c r="DS94" s="127">
        <f t="shared" si="68"/>
        <v>25</v>
      </c>
    </row>
    <row r="95" spans="1:123">
      <c r="A95" s="367">
        <f>IF(ISEVEN(tblIndicators!C56),1,2)</f>
        <v>2</v>
      </c>
      <c r="B95" s="367">
        <f>tblIndiSets!B66</f>
        <v>55</v>
      </c>
      <c r="C95" s="367">
        <f>tblIndiSets!D66</f>
        <v>3</v>
      </c>
      <c r="D95" s="367">
        <f>tblCategories!AN59</f>
        <v>0</v>
      </c>
      <c r="E95" s="367" t="str">
        <f>tblIndiSets!E66</f>
        <v xml:space="preserve">   3.4.1) Online public comfort</v>
      </c>
      <c r="H95" s="367">
        <f t="shared" si="54"/>
        <v>41.2</v>
      </c>
      <c r="I95" s="13" t="str">
        <f t="shared" ca="1" si="55"/>
        <v>=13</v>
      </c>
      <c r="J95" s="13">
        <f t="shared" ca="1" si="56"/>
        <v>12</v>
      </c>
      <c r="K95" s="367">
        <f t="shared" si="20"/>
        <v>100</v>
      </c>
      <c r="AV95" s="13" t="str">
        <f t="shared" ca="1" si="57"/>
        <v>1</v>
      </c>
      <c r="AW95" s="13">
        <f t="shared" ca="1" si="58"/>
        <v>1</v>
      </c>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O95" s="13"/>
      <c r="CP95" s="13"/>
      <c r="CR95" s="13"/>
      <c r="CS95" s="13"/>
      <c r="CU95" s="367" t="e">
        <f t="shared" ca="1" si="59"/>
        <v>#N/A</v>
      </c>
      <c r="CV95" s="367">
        <f ca="1">IF(ISNA(CU95),0,IF(uxb_works!$B$32=1,IF(ISEVEN(LEFT(TRIM(CX95),1)),2,1),INDEX($C$41:$C$110,CU95)))</f>
        <v>0</v>
      </c>
      <c r="CW95" s="367">
        <f t="shared" ca="1" si="60"/>
        <v>0</v>
      </c>
      <c r="CX95" s="367" t="str">
        <f t="shared" ca="1" si="61"/>
        <v/>
      </c>
      <c r="CY95" s="458" t="str">
        <f t="shared" ca="1" si="69"/>
        <v/>
      </c>
      <c r="CZ95" s="127" t="str">
        <f t="shared" ca="1" si="69"/>
        <v/>
      </c>
      <c r="DA95" s="127" t="str">
        <f ca="1">IF(CY95="","",IF(CY95&lt;=uxb_works!$B$122,1,IF(CY95&lt;=uxb_works!$B$121,2,IF(CY95&lt;=uxb_works!$B$120,3,4))))</f>
        <v/>
      </c>
      <c r="DB95" s="127" t="str">
        <f t="shared" ca="1" si="63"/>
        <v/>
      </c>
      <c r="DC95" s="127" t="str">
        <f t="shared" ca="1" si="70"/>
        <v/>
      </c>
      <c r="DD95" s="127" t="str">
        <f t="shared" ca="1" si="70"/>
        <v/>
      </c>
      <c r="DE95" s="127" t="str">
        <f ca="1">IF(DC95="","",IF(DC95&lt;=uxb_works!$B$122,1,IF(DC95&lt;=uxb_works!$B$121,2,IF(DC95&lt;=uxb_works!$B$120,3,4))))</f>
        <v/>
      </c>
      <c r="DK95" s="367">
        <f>tblIndiSets!B60</f>
        <v>49</v>
      </c>
      <c r="DL95" s="129">
        <f>IF(uxb_works!$B$32=1,2,IF(ISNA(DK95),0,IF(uxb_works!$B$32=1,IF(ISEVEN(LEFT(TRIM(DN95),1)),2,1),INDEX($C$41:$C$110,DK95))))</f>
        <v>2</v>
      </c>
      <c r="DM95" s="129">
        <f t="shared" si="65"/>
        <v>1</v>
      </c>
      <c r="DN95" s="367" t="str">
        <f t="shared" si="66"/>
        <v xml:space="preserve">   3.3.1) AI readiness of government</v>
      </c>
      <c r="DO95" s="458">
        <f t="shared" si="71"/>
        <v>76.099999999999994</v>
      </c>
      <c r="DP95" s="127" t="str">
        <f t="shared" ca="1" si="71"/>
        <v>10</v>
      </c>
      <c r="DQ95" s="127">
        <f>IF(DO95="","",IF(DO95&lt;=uxb_works!$B$122,1,IF(DO95&lt;=uxb_works!$B$121,2,IF(DO95&lt;=uxb_works!$B$120,3,4))))</f>
        <v>4</v>
      </c>
      <c r="DR95" s="459"/>
      <c r="DS95" s="127">
        <f t="shared" si="68"/>
        <v>31</v>
      </c>
    </row>
    <row r="96" spans="1:123">
      <c r="A96" s="367">
        <f>IF(ISEVEN(tblIndicators!C57),1,2)</f>
        <v>2</v>
      </c>
      <c r="B96" s="367">
        <f>tblIndiSets!B67</f>
        <v>56</v>
      </c>
      <c r="C96" s="367">
        <f>tblIndiSets!D67</f>
        <v>3</v>
      </c>
      <c r="D96" s="367">
        <f>tblCategories!AN60</f>
        <v>0</v>
      </c>
      <c r="E96" s="367" t="str">
        <f>tblIndiSets!E67</f>
        <v xml:space="preserve">   3.4.2) E-participation on government portals</v>
      </c>
      <c r="H96" s="367">
        <f t="shared" si="54"/>
        <v>29.1</v>
      </c>
      <c r="I96" s="13" t="str">
        <f t="shared" ca="1" si="55"/>
        <v>=22</v>
      </c>
      <c r="J96" s="13">
        <f t="shared" ca="1" si="56"/>
        <v>2</v>
      </c>
      <c r="K96" s="367">
        <f t="shared" si="20"/>
        <v>41.5</v>
      </c>
      <c r="AV96" s="13" t="str">
        <f t="shared" ca="1" si="57"/>
        <v>14</v>
      </c>
      <c r="AW96" s="13">
        <f t="shared" ca="1" si="58"/>
        <v>1</v>
      </c>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O96" s="13"/>
      <c r="CP96" s="13"/>
      <c r="CR96" s="13"/>
      <c r="CS96" s="13"/>
      <c r="CU96" s="367" t="e">
        <f t="shared" ca="1" si="59"/>
        <v>#N/A</v>
      </c>
      <c r="CV96" s="367">
        <f ca="1">IF(ISNA(CU96),0,IF(uxb_works!$B$32=1,IF(ISEVEN(LEFT(TRIM(CX96),1)),2,1),INDEX($C$41:$C$110,CU96)))</f>
        <v>0</v>
      </c>
      <c r="CW96" s="367">
        <f t="shared" ca="1" si="60"/>
        <v>0</v>
      </c>
      <c r="CX96" s="367" t="str">
        <f t="shared" ca="1" si="61"/>
        <v/>
      </c>
      <c r="CY96" s="458" t="str">
        <f t="shared" ca="1" si="69"/>
        <v/>
      </c>
      <c r="CZ96" s="127" t="str">
        <f t="shared" ca="1" si="69"/>
        <v/>
      </c>
      <c r="DA96" s="127" t="str">
        <f ca="1">IF(CY96="","",IF(CY96&lt;=uxb_works!$B$122,1,IF(CY96&lt;=uxb_works!$B$121,2,IF(CY96&lt;=uxb_works!$B$120,3,4))))</f>
        <v/>
      </c>
      <c r="DB96" s="127" t="str">
        <f t="shared" ca="1" si="63"/>
        <v/>
      </c>
      <c r="DC96" s="127" t="str">
        <f t="shared" ca="1" si="70"/>
        <v/>
      </c>
      <c r="DD96" s="127" t="str">
        <f t="shared" ca="1" si="70"/>
        <v/>
      </c>
      <c r="DE96" s="127" t="str">
        <f ca="1">IF(DC96="","",IF(DC96&lt;=uxb_works!$B$122,1,IF(DC96&lt;=uxb_works!$B$121,2,IF(DC96&lt;=uxb_works!$B$120,3,4))))</f>
        <v/>
      </c>
      <c r="DK96" s="367">
        <f>tblIndiSets!B61</f>
        <v>50</v>
      </c>
      <c r="DL96" s="129">
        <f>IF(uxb_works!$B$32=1,2,IF(ISNA(DK96),0,IF(uxb_works!$B$32=1,IF(ISEVEN(LEFT(TRIM(DN96),1)),2,1),INDEX($C$41:$C$110,DK96))))</f>
        <v>2</v>
      </c>
      <c r="DM96" s="129">
        <f t="shared" si="65"/>
        <v>1</v>
      </c>
      <c r="DN96" s="367" t="str">
        <f t="shared" si="66"/>
        <v xml:space="preserve">   3.3.2) Blockchain technology strategy</v>
      </c>
      <c r="DO96" s="458">
        <f t="shared" si="71"/>
        <v>33.299999999999997</v>
      </c>
      <c r="DP96" s="127" t="str">
        <f t="shared" ca="1" si="71"/>
        <v>=12</v>
      </c>
      <c r="DQ96" s="127">
        <f>IF(DO96="","",IF(DO96&lt;=uxb_works!$B$122,1,IF(DO96&lt;=uxb_works!$B$121,2,IF(DO96&lt;=uxb_works!$B$120,3,4))))</f>
        <v>2</v>
      </c>
      <c r="DR96" s="459"/>
      <c r="DS96" s="127">
        <f t="shared" si="68"/>
        <v>14</v>
      </c>
    </row>
    <row r="97" spans="1:123">
      <c r="A97" s="367">
        <f>IF(ISEVEN(tblIndicators!C58),1,2)</f>
        <v>1</v>
      </c>
      <c r="B97" s="367">
        <f>tblIndiSets!B68</f>
        <v>57</v>
      </c>
      <c r="C97" s="367">
        <f>tblIndiSets!D68</f>
        <v>1</v>
      </c>
      <c r="D97" s="367">
        <f>tblCategories!AN61</f>
        <v>1</v>
      </c>
      <c r="E97" s="367" t="str">
        <f>tblIndiSets!E68</f>
        <v xml:space="preserve"> 4) SUSTAINABILITY</v>
      </c>
      <c r="H97" s="367">
        <f t="shared" si="54"/>
        <v>85.4</v>
      </c>
      <c r="I97" s="13" t="str">
        <f t="shared" ca="1" si="55"/>
        <v>6</v>
      </c>
      <c r="J97" s="13">
        <f t="shared" ca="1" si="56"/>
        <v>1</v>
      </c>
      <c r="K97" s="367">
        <f t="shared" si="20"/>
        <v>68.099999999999994</v>
      </c>
      <c r="AV97" s="13" t="str">
        <f t="shared" ca="1" si="57"/>
        <v>17</v>
      </c>
      <c r="AW97" s="13">
        <f t="shared" ca="1" si="58"/>
        <v>1</v>
      </c>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O97" s="13"/>
      <c r="CP97" s="13"/>
      <c r="CR97" s="13"/>
      <c r="CS97" s="13"/>
      <c r="CU97" s="367" t="e">
        <f t="shared" ca="1" si="59"/>
        <v>#N/A</v>
      </c>
      <c r="CV97" s="367">
        <f ca="1">IF(ISNA(CU97),0,IF(uxb_works!$B$32=1,IF(ISEVEN(LEFT(TRIM(CX97),1)),2,1),INDEX($C$41:$C$110,CU97)))</f>
        <v>0</v>
      </c>
      <c r="CW97" s="367">
        <f t="shared" ca="1" si="60"/>
        <v>0</v>
      </c>
      <c r="CX97" s="367" t="str">
        <f t="shared" ca="1" si="61"/>
        <v/>
      </c>
      <c r="CY97" s="458" t="str">
        <f t="shared" ca="1" si="69"/>
        <v/>
      </c>
      <c r="CZ97" s="127" t="str">
        <f t="shared" ca="1" si="69"/>
        <v/>
      </c>
      <c r="DA97" s="127" t="str">
        <f ca="1">IF(CY97="","",IF(CY97&lt;=uxb_works!$B$122,1,IF(CY97&lt;=uxb_works!$B$121,2,IF(CY97&lt;=uxb_works!$B$120,3,4))))</f>
        <v/>
      </c>
      <c r="DB97" s="127" t="str">
        <f t="shared" ca="1" si="63"/>
        <v/>
      </c>
      <c r="DC97" s="127" t="str">
        <f t="shared" ca="1" si="70"/>
        <v/>
      </c>
      <c r="DD97" s="127" t="str">
        <f t="shared" ca="1" si="70"/>
        <v/>
      </c>
      <c r="DE97" s="127" t="str">
        <f ca="1">IF(DC97="","",IF(DC97&lt;=uxb_works!$B$122,1,IF(DC97&lt;=uxb_works!$B$121,2,IF(DC97&lt;=uxb_works!$B$120,3,4))))</f>
        <v/>
      </c>
      <c r="DK97" s="367">
        <f>tblIndiSets!B62</f>
        <v>51</v>
      </c>
      <c r="DL97" s="129">
        <f>IF(uxb_works!$B$32=1,2,IF(ISNA(DK97),0,IF(uxb_works!$B$32=1,IF(ISEVEN(LEFT(TRIM(DN97),1)),2,1),INDEX($C$41:$C$110,DK97))))</f>
        <v>2</v>
      </c>
      <c r="DM97" s="129">
        <f t="shared" si="65"/>
        <v>1</v>
      </c>
      <c r="DN97" s="367" t="str">
        <f t="shared" si="66"/>
        <v xml:space="preserve">   3.3.3) Tech startup ecosytem</v>
      </c>
      <c r="DO97" s="458">
        <f t="shared" si="71"/>
        <v>8.6</v>
      </c>
      <c r="DP97" s="127" t="str">
        <f t="shared" ca="1" si="71"/>
        <v>16</v>
      </c>
      <c r="DQ97" s="127">
        <f>IF(DO97="","",IF(DO97&lt;=uxb_works!$B$122,1,IF(DO97&lt;=uxb_works!$B$121,2,IF(DO97&lt;=uxb_works!$B$120,3,4))))</f>
        <v>1</v>
      </c>
      <c r="DR97" s="459"/>
      <c r="DS97" s="127">
        <f t="shared" si="68"/>
        <v>4</v>
      </c>
    </row>
    <row r="98" spans="1:123">
      <c r="A98" s="367">
        <f>IF(ISEVEN(tblIndicators!C59),1,2)</f>
        <v>1</v>
      </c>
      <c r="B98" s="367">
        <f>tblIndiSets!B69</f>
        <v>58</v>
      </c>
      <c r="C98" s="367">
        <f>tblIndiSets!D69</f>
        <v>2</v>
      </c>
      <c r="D98" s="367">
        <f>tblCategories!AN62</f>
        <v>0</v>
      </c>
      <c r="E98" s="367" t="str">
        <f>tblIndiSets!E69</f>
        <v xml:space="preserve">  4.1) Efficient resource management</v>
      </c>
      <c r="H98" s="367">
        <f t="shared" si="54"/>
        <v>87.5</v>
      </c>
      <c r="I98" s="13" t="str">
        <f t="shared" ca="1" si="55"/>
        <v>=11</v>
      </c>
      <c r="J98" s="13">
        <f t="shared" ca="1" si="56"/>
        <v>7</v>
      </c>
      <c r="K98" s="367">
        <f t="shared" si="20"/>
        <v>87.5</v>
      </c>
      <c r="AV98" s="13" t="str">
        <f t="shared" ca="1" si="57"/>
        <v>=11</v>
      </c>
      <c r="AW98" s="13">
        <f t="shared" ca="1" si="58"/>
        <v>7</v>
      </c>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O98" s="13"/>
      <c r="CP98" s="13"/>
      <c r="CR98" s="13"/>
      <c r="CS98" s="13"/>
      <c r="CU98" s="367" t="e">
        <f t="shared" ca="1" si="59"/>
        <v>#N/A</v>
      </c>
      <c r="CV98" s="367">
        <f ca="1">IF(ISNA(CU98),0,IF(uxb_works!$B$32=1,IF(ISEVEN(LEFT(TRIM(CX98),1)),2,1),INDEX($C$41:$C$110,CU98)))</f>
        <v>0</v>
      </c>
      <c r="CW98" s="367">
        <f t="shared" ca="1" si="60"/>
        <v>0</v>
      </c>
      <c r="CX98" s="367" t="str">
        <f t="shared" ca="1" si="61"/>
        <v/>
      </c>
      <c r="CY98" s="458" t="str">
        <f t="shared" ca="1" si="69"/>
        <v/>
      </c>
      <c r="CZ98" s="127" t="str">
        <f t="shared" ca="1" si="69"/>
        <v/>
      </c>
      <c r="DA98" s="127" t="str">
        <f ca="1">IF(CY98="","",IF(CY98&lt;=uxb_works!$B$122,1,IF(CY98&lt;=uxb_works!$B$121,2,IF(CY98&lt;=uxb_works!$B$120,3,4))))</f>
        <v/>
      </c>
      <c r="DB98" s="127" t="str">
        <f t="shared" ca="1" si="63"/>
        <v/>
      </c>
      <c r="DC98" s="127" t="str">
        <f t="shared" ca="1" si="70"/>
        <v/>
      </c>
      <c r="DD98" s="127" t="str">
        <f t="shared" ca="1" si="70"/>
        <v/>
      </c>
      <c r="DE98" s="127" t="str">
        <f ca="1">IF(DC98="","",IF(DC98&lt;=uxb_works!$B$122,1,IF(DC98&lt;=uxb_works!$B$121,2,IF(DC98&lt;=uxb_works!$B$120,3,4))))</f>
        <v/>
      </c>
      <c r="DK98" s="367">
        <f>tblIndiSets!B63</f>
        <v>52</v>
      </c>
      <c r="DL98" s="129">
        <f>IF(uxb_works!$B$32=1,2,IF(ISNA(DK98),0,IF(uxb_works!$B$32=1,IF(ISEVEN(LEFT(TRIM(DN98),1)),2,1),INDEX($C$41:$C$110,DK98))))</f>
        <v>2</v>
      </c>
      <c r="DM98" s="129">
        <f t="shared" si="65"/>
        <v>1</v>
      </c>
      <c r="DN98" s="367" t="str">
        <f t="shared" si="66"/>
        <v xml:space="preserve">   3.3.4) Intellectual Property Rights</v>
      </c>
      <c r="DO98" s="458">
        <f t="shared" si="71"/>
        <v>100</v>
      </c>
      <c r="DP98" s="127" t="str">
        <f t="shared" ca="1" si="71"/>
        <v>=1</v>
      </c>
      <c r="DQ98" s="127">
        <f>IF(DO98="","",IF(DO98&lt;=uxb_works!$B$122,1,IF(DO98&lt;=uxb_works!$B$121,2,IF(DO98&lt;=uxb_works!$B$120,3,4))))</f>
        <v>4</v>
      </c>
      <c r="DR98" s="459"/>
      <c r="DS98" s="127">
        <f t="shared" si="68"/>
        <v>40</v>
      </c>
    </row>
    <row r="99" spans="1:123">
      <c r="A99" s="367">
        <f>IF(ISEVEN(tblIndicators!C60),1,2)</f>
        <v>1</v>
      </c>
      <c r="B99" s="367">
        <f>tblIndiSets!B70</f>
        <v>59</v>
      </c>
      <c r="C99" s="367">
        <f>tblIndiSets!D70</f>
        <v>3</v>
      </c>
      <c r="D99" s="367">
        <f>tblCategories!AN63</f>
        <v>0</v>
      </c>
      <c r="E99" s="367" t="str">
        <f>tblIndiSets!E70</f>
        <v xml:space="preserve">   4.1.1) Smart utility management</v>
      </c>
      <c r="H99" s="367">
        <f t="shared" si="54"/>
        <v>75</v>
      </c>
      <c r="I99" s="13" t="str">
        <f t="shared" ca="1" si="55"/>
        <v>=11</v>
      </c>
      <c r="J99" s="13">
        <f t="shared" ca="1" si="56"/>
        <v>12</v>
      </c>
      <c r="K99" s="367">
        <f t="shared" si="20"/>
        <v>75</v>
      </c>
      <c r="AV99" s="13" t="str">
        <f t="shared" ca="1" si="57"/>
        <v>=11</v>
      </c>
      <c r="AW99" s="13">
        <f t="shared" ca="1" si="58"/>
        <v>12</v>
      </c>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O99" s="13"/>
      <c r="CP99" s="13"/>
      <c r="CR99" s="13"/>
      <c r="CS99" s="13"/>
      <c r="CU99" s="367" t="e">
        <f t="shared" ca="1" si="59"/>
        <v>#N/A</v>
      </c>
      <c r="CV99" s="367">
        <f ca="1">IF(ISNA(CU99),0,IF(uxb_works!$B$32=1,IF(ISEVEN(LEFT(TRIM(CX99),1)),2,1),INDEX($C$41:$C$110,CU99)))</f>
        <v>0</v>
      </c>
      <c r="CW99" s="367">
        <f t="shared" ca="1" si="60"/>
        <v>0</v>
      </c>
      <c r="CX99" s="367" t="str">
        <f t="shared" ca="1" si="61"/>
        <v/>
      </c>
      <c r="CY99" s="458" t="str">
        <f t="shared" ca="1" si="69"/>
        <v/>
      </c>
      <c r="CZ99" s="127" t="str">
        <f t="shared" ca="1" si="69"/>
        <v/>
      </c>
      <c r="DA99" s="127" t="str">
        <f ca="1">IF(CY99="","",IF(CY99&lt;=uxb_works!$B$122,1,IF(CY99&lt;=uxb_works!$B$121,2,IF(CY99&lt;=uxb_works!$B$120,3,4))))</f>
        <v/>
      </c>
      <c r="DB99" s="127" t="str">
        <f t="shared" ca="1" si="63"/>
        <v/>
      </c>
      <c r="DC99" s="127" t="str">
        <f t="shared" ca="1" si="70"/>
        <v/>
      </c>
      <c r="DD99" s="127" t="str">
        <f t="shared" ca="1" si="70"/>
        <v/>
      </c>
      <c r="DE99" s="127" t="str">
        <f ca="1">IF(DC99="","",IF(DC99&lt;=uxb_works!$B$122,1,IF(DC99&lt;=uxb_works!$B$121,2,IF(DC99&lt;=uxb_works!$B$120,3,4))))</f>
        <v/>
      </c>
      <c r="DK99" s="367">
        <f>tblIndiSets!B64</f>
        <v>53</v>
      </c>
      <c r="DL99" s="129">
        <f>IF(uxb_works!$B$32=1,2,IF(ISNA(DK99),0,IF(uxb_works!$B$32=1,IF(ISEVEN(LEFT(TRIM(DN99),1)),2,1),INDEX($C$41:$C$110,DK99))))</f>
        <v>2</v>
      </c>
      <c r="DM99" s="129">
        <f t="shared" si="65"/>
        <v>1</v>
      </c>
      <c r="DN99" s="367" t="str">
        <f t="shared" si="66"/>
        <v xml:space="preserve">   3.3.5) Business environment</v>
      </c>
      <c r="DO99" s="458">
        <f t="shared" si="71"/>
        <v>88.9</v>
      </c>
      <c r="DP99" s="127" t="str">
        <f t="shared" ca="1" si="71"/>
        <v>=7</v>
      </c>
      <c r="DQ99" s="127">
        <f>IF(DO99="","",IF(DO99&lt;=uxb_works!$B$122,1,IF(DO99&lt;=uxb_works!$B$121,2,IF(DO99&lt;=uxb_works!$B$120,3,4))))</f>
        <v>4</v>
      </c>
      <c r="DR99" s="459"/>
      <c r="DS99" s="127">
        <f t="shared" si="68"/>
        <v>36</v>
      </c>
    </row>
    <row r="100" spans="1:123">
      <c r="A100" s="367">
        <f>IF(ISEVEN(tblIndicators!C61),1,2)</f>
        <v>1</v>
      </c>
      <c r="B100" s="367">
        <f>tblIndiSets!B71</f>
        <v>60</v>
      </c>
      <c r="C100" s="367">
        <f>tblIndiSets!D71</f>
        <v>3</v>
      </c>
      <c r="D100" s="367">
        <f>tblCategories!AN64</f>
        <v>0</v>
      </c>
      <c r="E100" s="367" t="str">
        <f>tblIndiSets!E71</f>
        <v xml:space="preserve">   4.1.2) Smart urban agriculture</v>
      </c>
      <c r="H100" s="367">
        <f t="shared" si="54"/>
        <v>100</v>
      </c>
      <c r="I100" s="13" t="str">
        <f t="shared" ca="1" si="55"/>
        <v>=1</v>
      </c>
      <c r="J100" s="13">
        <f t="shared" ca="1" si="56"/>
        <v>23</v>
      </c>
      <c r="K100" s="367">
        <f t="shared" si="20"/>
        <v>100</v>
      </c>
      <c r="AV100" s="13" t="str">
        <f t="shared" ca="1" si="57"/>
        <v>=1</v>
      </c>
      <c r="AW100" s="13">
        <f t="shared" ca="1" si="58"/>
        <v>23</v>
      </c>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O100" s="13"/>
      <c r="CP100" s="13"/>
      <c r="CR100" s="13"/>
      <c r="CS100" s="13"/>
      <c r="CU100" s="367" t="e">
        <f t="shared" ca="1" si="59"/>
        <v>#N/A</v>
      </c>
      <c r="CV100" s="367">
        <f ca="1">IF(ISNA(CU100),0,IF(uxb_works!$B$32=1,IF(ISEVEN(LEFT(TRIM(CX100),1)),2,1),INDEX($C$41:$C$110,CU100)))</f>
        <v>0</v>
      </c>
      <c r="CW100" s="367">
        <f t="shared" ca="1" si="60"/>
        <v>0</v>
      </c>
      <c r="CX100" s="367" t="str">
        <f t="shared" ca="1" si="61"/>
        <v/>
      </c>
      <c r="CY100" s="458" t="str">
        <f t="shared" ca="1" si="69"/>
        <v/>
      </c>
      <c r="CZ100" s="127" t="str">
        <f t="shared" ca="1" si="69"/>
        <v/>
      </c>
      <c r="DA100" s="127" t="str">
        <f ca="1">IF(CY100="","",IF(CY100&lt;=uxb_works!$B$122,1,IF(CY100&lt;=uxb_works!$B$121,2,IF(CY100&lt;=uxb_works!$B$120,3,4))))</f>
        <v/>
      </c>
      <c r="DB100" s="127" t="str">
        <f t="shared" ca="1" si="63"/>
        <v/>
      </c>
      <c r="DC100" s="127" t="str">
        <f t="shared" ca="1" si="70"/>
        <v/>
      </c>
      <c r="DD100" s="127" t="str">
        <f t="shared" ca="1" si="70"/>
        <v/>
      </c>
      <c r="DE100" s="127" t="str">
        <f ca="1">IF(DC100="","",IF(DC100&lt;=uxb_works!$B$122,1,IF(DC100&lt;=uxb_works!$B$121,2,IF(DC100&lt;=uxb_works!$B$120,3,4))))</f>
        <v/>
      </c>
      <c r="DK100" s="367">
        <f>tblIndiSets!B65</f>
        <v>54</v>
      </c>
      <c r="DL100" s="129">
        <f>IF(uxb_works!$B$32=1,2,IF(ISNA(DK100),0,IF(uxb_works!$B$32=1,IF(ISEVEN(LEFT(TRIM(DN100),1)),2,1),INDEX($C$41:$C$110,DK100))))</f>
        <v>2</v>
      </c>
      <c r="DM100" s="129">
        <f t="shared" si="65"/>
        <v>1</v>
      </c>
      <c r="DN100" s="367" t="str">
        <f t="shared" si="66"/>
        <v xml:space="preserve">  3.4) Public attitude and engagement</v>
      </c>
      <c r="DO100" s="458">
        <f t="shared" si="71"/>
        <v>35.1</v>
      </c>
      <c r="DP100" s="127" t="str">
        <f t="shared" ca="1" si="71"/>
        <v>20</v>
      </c>
      <c r="DQ100" s="127">
        <f>IF(DO100="","",IF(DO100&lt;=uxb_works!$B$122,1,IF(DO100&lt;=uxb_works!$B$121,2,IF(DO100&lt;=uxb_works!$B$120,3,4))))</f>
        <v>2</v>
      </c>
      <c r="DR100" s="459"/>
      <c r="DS100" s="127">
        <f t="shared" si="68"/>
        <v>15</v>
      </c>
    </row>
    <row r="101" spans="1:123">
      <c r="A101" s="367">
        <f>IF(ISEVEN(tblIndicators!C62),1,2)</f>
        <v>1</v>
      </c>
      <c r="B101" s="367">
        <f>tblIndiSets!B72</f>
        <v>61</v>
      </c>
      <c r="C101" s="367">
        <f>tblIndiSets!D72</f>
        <v>3</v>
      </c>
      <c r="D101" s="367">
        <f>tblCategories!AN65</f>
        <v>0</v>
      </c>
      <c r="E101" s="367" t="str">
        <f>tblIndiSets!E72</f>
        <v xml:space="preserve">   4.1.3) Smart construction</v>
      </c>
      <c r="H101" s="367">
        <f t="shared" si="54"/>
        <v>100</v>
      </c>
      <c r="I101" s="13" t="str">
        <f t="shared" ca="1" si="55"/>
        <v>=1</v>
      </c>
      <c r="J101" s="13">
        <f t="shared" ca="1" si="56"/>
        <v>24</v>
      </c>
      <c r="K101" s="367">
        <f t="shared" si="20"/>
        <v>100</v>
      </c>
      <c r="AV101" s="13" t="str">
        <f t="shared" ca="1" si="57"/>
        <v>=1</v>
      </c>
      <c r="AW101" s="13">
        <f t="shared" ca="1" si="58"/>
        <v>24</v>
      </c>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O101" s="13"/>
      <c r="CP101" s="13"/>
      <c r="CR101" s="13"/>
      <c r="CS101" s="13"/>
      <c r="CU101" s="367" t="e">
        <f t="shared" ca="1" si="59"/>
        <v>#N/A</v>
      </c>
      <c r="CV101" s="367">
        <f ca="1">IF(ISNA(CU101),0,IF(uxb_works!$B$32=1,IF(ISEVEN(LEFT(TRIM(CX101),1)),2,1),INDEX($C$41:$C$110,CU101)))</f>
        <v>0</v>
      </c>
      <c r="CW101" s="367">
        <f t="shared" ca="1" si="60"/>
        <v>0</v>
      </c>
      <c r="CX101" s="367" t="str">
        <f t="shared" ca="1" si="61"/>
        <v/>
      </c>
      <c r="CY101" s="458" t="str">
        <f t="shared" ca="1" si="69"/>
        <v/>
      </c>
      <c r="CZ101" s="127" t="str">
        <f t="shared" ca="1" si="69"/>
        <v/>
      </c>
      <c r="DA101" s="127" t="str">
        <f ca="1">IF(CY101="","",IF(CY101&lt;=uxb_works!$B$122,1,IF(CY101&lt;=uxb_works!$B$121,2,IF(CY101&lt;=uxb_works!$B$120,3,4))))</f>
        <v/>
      </c>
      <c r="DB101" s="127" t="str">
        <f t="shared" ca="1" si="63"/>
        <v/>
      </c>
      <c r="DC101" s="127" t="str">
        <f t="shared" ca="1" si="70"/>
        <v/>
      </c>
      <c r="DD101" s="127" t="str">
        <f t="shared" ca="1" si="70"/>
        <v/>
      </c>
      <c r="DE101" s="127" t="str">
        <f ca="1">IF(DC101="","",IF(DC101&lt;=uxb_works!$B$122,1,IF(DC101&lt;=uxb_works!$B$121,2,IF(DC101&lt;=uxb_works!$B$120,3,4))))</f>
        <v/>
      </c>
      <c r="DK101" s="367">
        <f>tblIndiSets!B66</f>
        <v>55</v>
      </c>
      <c r="DL101" s="129">
        <f>IF(uxb_works!$B$32=1,2,IF(ISNA(DK101),0,IF(uxb_works!$B$32=1,IF(ISEVEN(LEFT(TRIM(DN101),1)),2,1),INDEX($C$41:$C$110,DK101))))</f>
        <v>2</v>
      </c>
      <c r="DM101" s="129">
        <f t="shared" si="65"/>
        <v>1</v>
      </c>
      <c r="DN101" s="367" t="str">
        <f t="shared" si="66"/>
        <v xml:space="preserve">   3.4.1) Online public comfort</v>
      </c>
      <c r="DO101" s="458">
        <f t="shared" si="71"/>
        <v>41.2</v>
      </c>
      <c r="DP101" s="127" t="str">
        <f t="shared" ca="1" si="71"/>
        <v>=13</v>
      </c>
      <c r="DQ101" s="127">
        <f>IF(DO101="","",IF(DO101&lt;=uxb_works!$B$122,1,IF(DO101&lt;=uxb_works!$B$121,2,IF(DO101&lt;=uxb_works!$B$120,3,4))))</f>
        <v>2</v>
      </c>
      <c r="DR101" s="459"/>
      <c r="DS101" s="127">
        <f t="shared" si="68"/>
        <v>17</v>
      </c>
    </row>
    <row r="102" spans="1:123">
      <c r="A102" s="367">
        <f>IF(ISEVEN(tblIndicators!C63),1,2)</f>
        <v>1</v>
      </c>
      <c r="B102" s="367">
        <f>tblIndiSets!B73</f>
        <v>62</v>
      </c>
      <c r="C102" s="367">
        <f>tblIndiSets!D73</f>
        <v>2</v>
      </c>
      <c r="D102" s="367">
        <f>tblCategories!AN66</f>
        <v>0</v>
      </c>
      <c r="E102" s="367" t="str">
        <f>tblIndiSets!E73</f>
        <v xml:space="preserve">  4.2) Emissions reduction</v>
      </c>
      <c r="H102" s="367">
        <f t="shared" si="54"/>
        <v>100</v>
      </c>
      <c r="I102" s="13" t="str">
        <f t="shared" ca="1" si="55"/>
        <v>=1</v>
      </c>
      <c r="J102" s="13">
        <f t="shared" ca="1" si="56"/>
        <v>5</v>
      </c>
      <c r="K102" s="367">
        <f t="shared" si="20"/>
        <v>77.599999999999994</v>
      </c>
      <c r="AV102" s="13" t="str">
        <f t="shared" ca="1" si="57"/>
        <v>=19</v>
      </c>
      <c r="AW102" s="13">
        <f t="shared" ca="1" si="58"/>
        <v>3</v>
      </c>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O102" s="13"/>
      <c r="CP102" s="13"/>
      <c r="CR102" s="13"/>
      <c r="CS102" s="13"/>
      <c r="CU102" s="367" t="e">
        <f t="shared" ca="1" si="59"/>
        <v>#N/A</v>
      </c>
      <c r="CV102" s="367">
        <f ca="1">IF(ISNA(CU102),0,IF(uxb_works!$B$32=1,IF(ISEVEN(LEFT(TRIM(CX102),1)),2,1),INDEX($C$41:$C$110,CU102)))</f>
        <v>0</v>
      </c>
      <c r="CW102" s="367">
        <f t="shared" ca="1" si="60"/>
        <v>0</v>
      </c>
      <c r="CX102" s="367" t="str">
        <f t="shared" ca="1" si="61"/>
        <v/>
      </c>
      <c r="CY102" s="458" t="str">
        <f t="shared" ca="1" si="69"/>
        <v/>
      </c>
      <c r="CZ102" s="127" t="str">
        <f t="shared" ca="1" si="69"/>
        <v/>
      </c>
      <c r="DA102" s="127" t="str">
        <f ca="1">IF(CY102="","",IF(CY102&lt;=uxb_works!$B$122,1,IF(CY102&lt;=uxb_works!$B$121,2,IF(CY102&lt;=uxb_works!$B$120,3,4))))</f>
        <v/>
      </c>
      <c r="DB102" s="127" t="str">
        <f t="shared" ca="1" si="63"/>
        <v/>
      </c>
      <c r="DC102" s="127" t="str">
        <f t="shared" ca="1" si="70"/>
        <v/>
      </c>
      <c r="DD102" s="127" t="str">
        <f t="shared" ca="1" si="70"/>
        <v/>
      </c>
      <c r="DE102" s="127" t="str">
        <f ca="1">IF(DC102="","",IF(DC102&lt;=uxb_works!$B$122,1,IF(DC102&lt;=uxb_works!$B$121,2,IF(DC102&lt;=uxb_works!$B$120,3,4))))</f>
        <v/>
      </c>
      <c r="DK102" s="367">
        <f>tblIndiSets!B67</f>
        <v>56</v>
      </c>
      <c r="DL102" s="129">
        <f>IF(uxb_works!$B$32=1,2,IF(ISNA(DK102),0,IF(uxb_works!$B$32=1,IF(ISEVEN(LEFT(TRIM(DN102),1)),2,1),INDEX($C$41:$C$110,DK102))))</f>
        <v>2</v>
      </c>
      <c r="DM102" s="129">
        <f t="shared" si="65"/>
        <v>1</v>
      </c>
      <c r="DN102" s="367" t="str">
        <f t="shared" si="66"/>
        <v xml:space="preserve">   3.4.2) E-participation on government portals</v>
      </c>
      <c r="DO102" s="458">
        <f t="shared" si="71"/>
        <v>29.1</v>
      </c>
      <c r="DP102" s="127" t="str">
        <f t="shared" ca="1" si="71"/>
        <v>=22</v>
      </c>
      <c r="DQ102" s="127">
        <f>IF(DO102="","",IF(DO102&lt;=uxb_works!$B$122,1,IF(DO102&lt;=uxb_works!$B$121,2,IF(DO102&lt;=uxb_works!$B$120,3,4))))</f>
        <v>2</v>
      </c>
      <c r="DR102" s="459"/>
      <c r="DS102" s="127">
        <f t="shared" si="68"/>
        <v>12</v>
      </c>
    </row>
    <row r="103" spans="1:123">
      <c r="A103" s="367">
        <f>IF(ISEVEN(tblIndicators!C64),1,2)</f>
        <v>1</v>
      </c>
      <c r="B103" s="367">
        <f>tblIndiSets!B74</f>
        <v>63</v>
      </c>
      <c r="C103" s="367">
        <f>tblIndiSets!D74</f>
        <v>3</v>
      </c>
      <c r="D103" s="367">
        <f>tblCategories!AN67</f>
        <v>0</v>
      </c>
      <c r="E103" s="367" t="str">
        <f>tblIndiSets!E74</f>
        <v xml:space="preserve">   4.2.1) Net-zero emission</v>
      </c>
      <c r="H103" s="367">
        <f t="shared" si="54"/>
        <v>100</v>
      </c>
      <c r="I103" s="13" t="str">
        <f t="shared" ca="1" si="55"/>
        <v>=1</v>
      </c>
      <c r="J103" s="13">
        <f t="shared" ca="1" si="56"/>
        <v>22</v>
      </c>
      <c r="K103" s="367">
        <f t="shared" si="20"/>
        <v>100</v>
      </c>
      <c r="AV103" s="13" t="str">
        <f t="shared" ca="1" si="57"/>
        <v>=1</v>
      </c>
      <c r="AW103" s="13">
        <f t="shared" ca="1" si="58"/>
        <v>22</v>
      </c>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O103" s="13"/>
      <c r="CP103" s="13"/>
      <c r="CR103" s="13"/>
      <c r="CS103" s="13"/>
      <c r="CU103" s="367" t="e">
        <f t="shared" ca="1" si="59"/>
        <v>#N/A</v>
      </c>
      <c r="CV103" s="367">
        <f ca="1">IF(ISNA(CU103),0,IF(uxb_works!$B$32=1,IF(ISEVEN(LEFT(TRIM(CX103),1)),2,1),INDEX($C$41:$C$110,CU103)))</f>
        <v>0</v>
      </c>
      <c r="CW103" s="367">
        <f t="shared" ca="1" si="60"/>
        <v>0</v>
      </c>
      <c r="CX103" s="367" t="str">
        <f t="shared" ca="1" si="61"/>
        <v/>
      </c>
      <c r="CY103" s="458" t="str">
        <f t="shared" ca="1" si="69"/>
        <v/>
      </c>
      <c r="CZ103" s="127" t="str">
        <f t="shared" ca="1" si="69"/>
        <v/>
      </c>
      <c r="DA103" s="127" t="str">
        <f ca="1">IF(CY103="","",IF(CY103&lt;=uxb_works!$B$122,1,IF(CY103&lt;=uxb_works!$B$121,2,IF(CY103&lt;=uxb_works!$B$120,3,4))))</f>
        <v/>
      </c>
      <c r="DB103" s="127" t="str">
        <f t="shared" ca="1" si="63"/>
        <v/>
      </c>
      <c r="DC103" s="127" t="str">
        <f t="shared" ca="1" si="70"/>
        <v/>
      </c>
      <c r="DD103" s="127" t="str">
        <f t="shared" ca="1" si="70"/>
        <v/>
      </c>
      <c r="DE103" s="127" t="str">
        <f ca="1">IF(DC103="","",IF(DC103&lt;=uxb_works!$B$122,1,IF(DC103&lt;=uxb_works!$B$121,2,IF(DC103&lt;=uxb_works!$B$120,3,4))))</f>
        <v/>
      </c>
      <c r="DK103" s="367">
        <f>tblIndiSets!B68</f>
        <v>57</v>
      </c>
      <c r="DL103" s="129">
        <f>IF(uxb_works!$B$32=1,2,IF(ISNA(DK103),0,IF(uxb_works!$B$32=1,IF(ISEVEN(LEFT(TRIM(DN103),1)),2,1),INDEX($C$41:$C$110,DK103))))</f>
        <v>2</v>
      </c>
      <c r="DM103" s="129">
        <f t="shared" si="65"/>
        <v>1</v>
      </c>
      <c r="DN103" s="367" t="str">
        <f t="shared" si="66"/>
        <v xml:space="preserve"> 4) SUSTAINABILITY</v>
      </c>
      <c r="DO103" s="458">
        <f t="shared" si="71"/>
        <v>85.4</v>
      </c>
      <c r="DP103" s="127" t="str">
        <f t="shared" ca="1" si="71"/>
        <v>6</v>
      </c>
      <c r="DQ103" s="127">
        <f>IF(DO103="","",IF(DO103&lt;=uxb_works!$B$122,1,IF(DO103&lt;=uxb_works!$B$121,2,IF(DO103&lt;=uxb_works!$B$120,3,4))))</f>
        <v>4</v>
      </c>
      <c r="DR103" s="459"/>
      <c r="DS103" s="127">
        <f t="shared" si="68"/>
        <v>35</v>
      </c>
    </row>
    <row r="104" spans="1:123">
      <c r="A104" s="367">
        <f>IF(ISEVEN(tblIndicators!C65),1,2)</f>
        <v>1</v>
      </c>
      <c r="B104" s="367">
        <f>tblIndiSets!B75</f>
        <v>64</v>
      </c>
      <c r="C104" s="367">
        <f>tblIndiSets!D75</f>
        <v>3</v>
      </c>
      <c r="D104" s="367">
        <f>tblCategories!AN68</f>
        <v>0</v>
      </c>
      <c r="E104" s="367" t="str">
        <f>tblIndiSets!E75</f>
        <v xml:space="preserve">   4.2.2) Traffic management </v>
      </c>
      <c r="H104" s="367">
        <f t="shared" si="54"/>
        <v>100</v>
      </c>
      <c r="I104" s="13" t="str">
        <f t="shared" ca="1" si="55"/>
        <v>=1</v>
      </c>
      <c r="J104" s="13">
        <f t="shared" ca="1" si="56"/>
        <v>6</v>
      </c>
      <c r="K104" s="367">
        <f t="shared" si="20"/>
        <v>80</v>
      </c>
      <c r="AV104" s="13" t="str">
        <f t="shared" ca="1" si="57"/>
        <v>=7</v>
      </c>
      <c r="AW104" s="13">
        <f t="shared" ca="1" si="58"/>
        <v>15</v>
      </c>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O104" s="13"/>
      <c r="CP104" s="13"/>
      <c r="CR104" s="13"/>
      <c r="CS104" s="13"/>
      <c r="CU104" s="367" t="e">
        <f t="shared" ca="1" si="59"/>
        <v>#N/A</v>
      </c>
      <c r="CV104" s="367">
        <f ca="1">IF(ISNA(CU104),0,IF(uxb_works!$B$32=1,IF(ISEVEN(LEFT(TRIM(CX104),1)),2,1),INDEX($C$41:$C$110,CU104)))</f>
        <v>0</v>
      </c>
      <c r="CW104" s="367">
        <f t="shared" ca="1" si="60"/>
        <v>0</v>
      </c>
      <c r="CX104" s="367" t="str">
        <f t="shared" ca="1" si="61"/>
        <v/>
      </c>
      <c r="CY104" s="458" t="str">
        <f t="shared" ca="1" si="69"/>
        <v/>
      </c>
      <c r="CZ104" s="127" t="str">
        <f t="shared" ca="1" si="69"/>
        <v/>
      </c>
      <c r="DA104" s="127" t="str">
        <f ca="1">IF(CY104="","",IF(CY104&lt;=uxb_works!$B$122,1,IF(CY104&lt;=uxb_works!$B$121,2,IF(CY104&lt;=uxb_works!$B$120,3,4))))</f>
        <v/>
      </c>
      <c r="DB104" s="127" t="str">
        <f t="shared" ca="1" si="63"/>
        <v/>
      </c>
      <c r="DC104" s="127" t="str">
        <f t="shared" ca="1" si="70"/>
        <v/>
      </c>
      <c r="DD104" s="127" t="str">
        <f t="shared" ca="1" si="70"/>
        <v/>
      </c>
      <c r="DE104" s="127" t="str">
        <f ca="1">IF(DC104="","",IF(DC104&lt;=uxb_works!$B$122,1,IF(DC104&lt;=uxb_works!$B$121,2,IF(DC104&lt;=uxb_works!$B$120,3,4))))</f>
        <v/>
      </c>
      <c r="DK104" s="367">
        <f>tblIndiSets!B69</f>
        <v>58</v>
      </c>
      <c r="DL104" s="129">
        <f>IF(uxb_works!$B$32=1,2,IF(ISNA(DK104),0,IF(uxb_works!$B$32=1,IF(ISEVEN(LEFT(TRIM(DN104),1)),2,1),INDEX($C$41:$C$110,DK104))))</f>
        <v>2</v>
      </c>
      <c r="DM104" s="129">
        <f t="shared" si="65"/>
        <v>1</v>
      </c>
      <c r="DN104" s="367" t="str">
        <f t="shared" si="66"/>
        <v xml:space="preserve">  4.1) Efficient resource management</v>
      </c>
      <c r="DO104" s="458">
        <f t="shared" si="71"/>
        <v>87.5</v>
      </c>
      <c r="DP104" s="127" t="str">
        <f t="shared" ca="1" si="71"/>
        <v>=11</v>
      </c>
      <c r="DQ104" s="127">
        <f>IF(DO104="","",IF(DO104&lt;=uxb_works!$B$122,1,IF(DO104&lt;=uxb_works!$B$121,2,IF(DO104&lt;=uxb_works!$B$120,3,4))))</f>
        <v>4</v>
      </c>
      <c r="DR104" s="459"/>
      <c r="DS104" s="127">
        <f t="shared" si="68"/>
        <v>35</v>
      </c>
    </row>
    <row r="105" spans="1:123">
      <c r="A105" s="367">
        <f>IF(ISEVEN(tblIndicators!C66),1,2)</f>
        <v>1</v>
      </c>
      <c r="B105" s="367">
        <f>tblIndiSets!B76</f>
        <v>65</v>
      </c>
      <c r="C105" s="367">
        <f>tblIndiSets!D76</f>
        <v>3</v>
      </c>
      <c r="D105" s="367">
        <f>tblCategories!AN69</f>
        <v>0</v>
      </c>
      <c r="E105" s="367" t="str">
        <f>tblIndiSets!E76</f>
        <v xml:space="preserve">   4.2.3) Support for autonomous vehicles</v>
      </c>
      <c r="H105" s="367">
        <f t="shared" si="54"/>
        <v>100</v>
      </c>
      <c r="I105" s="13" t="str">
        <f t="shared" ca="1" si="55"/>
        <v>=1</v>
      </c>
      <c r="J105" s="13">
        <f t="shared" ca="1" si="56"/>
        <v>21</v>
      </c>
      <c r="K105" s="367">
        <f t="shared" si="20"/>
        <v>50</v>
      </c>
      <c r="AV105" s="13" t="str">
        <f t="shared" ca="1" si="57"/>
        <v>=22</v>
      </c>
      <c r="AW105" s="13">
        <f t="shared" ca="1" si="58"/>
        <v>6</v>
      </c>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O105" s="13"/>
      <c r="CP105" s="13"/>
      <c r="CR105" s="13"/>
      <c r="CS105" s="13"/>
      <c r="CU105" s="367" t="e">
        <f t="shared" ca="1" si="59"/>
        <v>#N/A</v>
      </c>
      <c r="CV105" s="367">
        <f ca="1">IF(ISNA(CU105),0,IF(uxb_works!$B$32=1,IF(ISEVEN(LEFT(TRIM(CX105),1)),2,1),INDEX($C$41:$C$110,CU105)))</f>
        <v>0</v>
      </c>
      <c r="CW105" s="367">
        <f t="shared" ca="1" si="60"/>
        <v>0</v>
      </c>
      <c r="CX105" s="367" t="str">
        <f t="shared" ca="1" si="61"/>
        <v/>
      </c>
      <c r="CY105" s="458" t="str">
        <f t="shared" ca="1" si="69"/>
        <v/>
      </c>
      <c r="CZ105" s="127" t="str">
        <f t="shared" ca="1" si="69"/>
        <v/>
      </c>
      <c r="DA105" s="127" t="str">
        <f ca="1">IF(CY105="","",IF(CY105&lt;=uxb_works!$B$122,1,IF(CY105&lt;=uxb_works!$B$121,2,IF(CY105&lt;=uxb_works!$B$120,3,4))))</f>
        <v/>
      </c>
      <c r="DB105" s="127" t="str">
        <f t="shared" ca="1" si="63"/>
        <v/>
      </c>
      <c r="DC105" s="127" t="str">
        <f t="shared" ca="1" si="70"/>
        <v/>
      </c>
      <c r="DD105" s="127" t="str">
        <f t="shared" ca="1" si="70"/>
        <v/>
      </c>
      <c r="DE105" s="127" t="str">
        <f ca="1">IF(DC105="","",IF(DC105&lt;=uxb_works!$B$122,1,IF(DC105&lt;=uxb_works!$B$121,2,IF(DC105&lt;=uxb_works!$B$120,3,4))))</f>
        <v/>
      </c>
      <c r="DK105" s="367">
        <f>tblIndiSets!B70</f>
        <v>59</v>
      </c>
      <c r="DL105" s="129">
        <f>IF(uxb_works!$B$32=1,2,IF(ISNA(DK105),0,IF(uxb_works!$B$32=1,IF(ISEVEN(LEFT(TRIM(DN105),1)),2,1),INDEX($C$41:$C$110,DK105))))</f>
        <v>2</v>
      </c>
      <c r="DM105" s="129">
        <f t="shared" si="65"/>
        <v>1</v>
      </c>
      <c r="DN105" s="367" t="str">
        <f t="shared" si="66"/>
        <v xml:space="preserve">   4.1.1) Smart utility management</v>
      </c>
      <c r="DO105" s="458">
        <f t="shared" si="71"/>
        <v>75</v>
      </c>
      <c r="DP105" s="127" t="str">
        <f t="shared" ca="1" si="71"/>
        <v>=11</v>
      </c>
      <c r="DQ105" s="127">
        <f>IF(DO105="","",IF(DO105&lt;=uxb_works!$B$122,1,IF(DO105&lt;=uxb_works!$B$121,2,IF(DO105&lt;=uxb_works!$B$120,3,4))))</f>
        <v>3</v>
      </c>
      <c r="DR105" s="459"/>
      <c r="DS105" s="127">
        <f t="shared" si="68"/>
        <v>30</v>
      </c>
    </row>
    <row r="106" spans="1:123">
      <c r="A106" s="367">
        <f>IF(ISEVEN(tblIndicators!C67),1,2)</f>
        <v>1</v>
      </c>
      <c r="B106" s="367">
        <f>tblIndiSets!B77</f>
        <v>66</v>
      </c>
      <c r="C106" s="367">
        <f>tblIndiSets!D77</f>
        <v>2</v>
      </c>
      <c r="D106" s="367">
        <f>tblCategories!AN70</f>
        <v>0</v>
      </c>
      <c r="E106" s="367" t="str">
        <f>tblIndiSets!E77</f>
        <v xml:space="preserve">  4.3) Pollution</v>
      </c>
      <c r="H106" s="367">
        <f t="shared" si="54"/>
        <v>50</v>
      </c>
      <c r="I106" s="13" t="str">
        <f t="shared" ca="1" si="55"/>
        <v>=15</v>
      </c>
      <c r="J106" s="13">
        <f t="shared" ca="1" si="56"/>
        <v>13</v>
      </c>
      <c r="K106" s="367">
        <f t="shared" si="20"/>
        <v>100</v>
      </c>
      <c r="AV106" s="13" t="str">
        <f t="shared" ca="1" si="57"/>
        <v>1</v>
      </c>
      <c r="AW106" s="13">
        <f t="shared" ca="1" si="58"/>
        <v>1</v>
      </c>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O106" s="13"/>
      <c r="CP106" s="13"/>
      <c r="CR106" s="13"/>
      <c r="CS106" s="13"/>
      <c r="CU106" s="367" t="e">
        <f t="shared" ca="1" si="59"/>
        <v>#N/A</v>
      </c>
      <c r="CV106" s="367">
        <f ca="1">IF(ISNA(CU106),0,IF(uxb_works!$B$32=1,IF(ISEVEN(LEFT(TRIM(CX106),1)),2,1),INDEX($C$41:$C$110,CU106)))</f>
        <v>0</v>
      </c>
      <c r="CW106" s="367">
        <f t="shared" ca="1" si="60"/>
        <v>0</v>
      </c>
      <c r="CX106" s="367" t="str">
        <f t="shared" ca="1" si="61"/>
        <v/>
      </c>
      <c r="CY106" s="458" t="str">
        <f t="shared" ca="1" si="69"/>
        <v/>
      </c>
      <c r="CZ106" s="127" t="str">
        <f t="shared" ca="1" si="69"/>
        <v/>
      </c>
      <c r="DA106" s="127" t="str">
        <f ca="1">IF(CY106="","",IF(CY106&lt;=uxb_works!$B$122,1,IF(CY106&lt;=uxb_works!$B$121,2,IF(CY106&lt;=uxb_works!$B$120,3,4))))</f>
        <v/>
      </c>
      <c r="DB106" s="127" t="str">
        <f t="shared" ca="1" si="63"/>
        <v/>
      </c>
      <c r="DC106" s="127" t="str">
        <f t="shared" ca="1" si="70"/>
        <v/>
      </c>
      <c r="DD106" s="127" t="str">
        <f t="shared" ca="1" si="70"/>
        <v/>
      </c>
      <c r="DE106" s="127" t="str">
        <f ca="1">IF(DC106="","",IF(DC106&lt;=uxb_works!$B$122,1,IF(DC106&lt;=uxb_works!$B$121,2,IF(DC106&lt;=uxb_works!$B$120,3,4))))</f>
        <v/>
      </c>
      <c r="DK106" s="367">
        <f>tblIndiSets!B71</f>
        <v>60</v>
      </c>
      <c r="DL106" s="129">
        <f>IF(uxb_works!$B$32=1,2,IF(ISNA(DK106),0,IF(uxb_works!$B$32=1,IF(ISEVEN(LEFT(TRIM(DN106),1)),2,1),INDEX($C$41:$C$110,DK106))))</f>
        <v>2</v>
      </c>
      <c r="DM106" s="129">
        <f t="shared" si="65"/>
        <v>1</v>
      </c>
      <c r="DN106" s="367" t="str">
        <f t="shared" si="66"/>
        <v xml:space="preserve">   4.1.2) Smart urban agriculture</v>
      </c>
      <c r="DO106" s="458">
        <f t="shared" si="71"/>
        <v>100</v>
      </c>
      <c r="DP106" s="127" t="str">
        <f t="shared" ca="1" si="71"/>
        <v>=1</v>
      </c>
      <c r="DQ106" s="127">
        <f>IF(DO106="","",IF(DO106&lt;=uxb_works!$B$122,1,IF(DO106&lt;=uxb_works!$B$121,2,IF(DO106&lt;=uxb_works!$B$120,3,4))))</f>
        <v>4</v>
      </c>
      <c r="DR106" s="459"/>
      <c r="DS106" s="127">
        <f t="shared" si="68"/>
        <v>40</v>
      </c>
    </row>
    <row r="107" spans="1:123">
      <c r="A107" s="367">
        <f>IF(ISEVEN(tblIndicators!C68),1,2)</f>
        <v>1</v>
      </c>
      <c r="B107" s="367">
        <f>tblIndiSets!B78</f>
        <v>67</v>
      </c>
      <c r="C107" s="367">
        <f>tblIndiSets!D78</f>
        <v>3</v>
      </c>
      <c r="D107" s="367">
        <f>tblCategories!AN71</f>
        <v>0</v>
      </c>
      <c r="E107" s="367" t="str">
        <f>tblIndiSets!E78</f>
        <v xml:space="preserve">   4.3.1) Air pollution</v>
      </c>
      <c r="H107" s="367">
        <f t="shared" si="54"/>
        <v>50</v>
      </c>
      <c r="I107" s="13" t="str">
        <f t="shared" ca="1" si="55"/>
        <v>=15</v>
      </c>
      <c r="J107" s="13">
        <f t="shared" ca="1" si="56"/>
        <v>13</v>
      </c>
      <c r="K107" s="367">
        <f t="shared" si="20"/>
        <v>100</v>
      </c>
      <c r="AV107" s="13" t="str">
        <f t="shared" ca="1" si="57"/>
        <v>1</v>
      </c>
      <c r="AW107" s="13">
        <f t="shared" ca="1" si="58"/>
        <v>1</v>
      </c>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O107" s="13"/>
      <c r="CP107" s="13"/>
      <c r="CR107" s="13"/>
      <c r="CS107" s="13"/>
      <c r="CU107" s="367" t="e">
        <f t="shared" ca="1" si="59"/>
        <v>#N/A</v>
      </c>
      <c r="CV107" s="367">
        <f ca="1">IF(ISNA(CU107),0,IF(uxb_works!$B$32=1,IF(ISEVEN(LEFT(TRIM(CX107),1)),2,1),INDEX($C$41:$C$110,CU107)))</f>
        <v>0</v>
      </c>
      <c r="CW107" s="367">
        <f t="shared" ca="1" si="60"/>
        <v>0</v>
      </c>
      <c r="CX107" s="367" t="str">
        <f t="shared" ca="1" si="61"/>
        <v/>
      </c>
      <c r="CY107" s="458" t="str">
        <f t="shared" ca="1" si="69"/>
        <v/>
      </c>
      <c r="CZ107" s="127" t="str">
        <f t="shared" ca="1" si="69"/>
        <v/>
      </c>
      <c r="DA107" s="127" t="str">
        <f ca="1">IF(CY107="","",IF(CY107&lt;=uxb_works!$B$122,1,IF(CY107&lt;=uxb_works!$B$121,2,IF(CY107&lt;=uxb_works!$B$120,3,4))))</f>
        <v/>
      </c>
      <c r="DB107" s="127" t="str">
        <f t="shared" ca="1" si="63"/>
        <v/>
      </c>
      <c r="DC107" s="127" t="str">
        <f t="shared" ca="1" si="70"/>
        <v/>
      </c>
      <c r="DD107" s="127" t="str">
        <f t="shared" ca="1" si="70"/>
        <v/>
      </c>
      <c r="DE107" s="127" t="str">
        <f ca="1">IF(DC107="","",IF(DC107&lt;=uxb_works!$B$122,1,IF(DC107&lt;=uxb_works!$B$121,2,IF(DC107&lt;=uxb_works!$B$120,3,4))))</f>
        <v/>
      </c>
      <c r="DK107" s="367">
        <f>tblIndiSets!B72</f>
        <v>61</v>
      </c>
      <c r="DL107" s="129">
        <f>IF(uxb_works!$B$32=1,2,IF(ISNA(DK107),0,IF(uxb_works!$B$32=1,IF(ISEVEN(LEFT(TRIM(DN107),1)),2,1),INDEX($C$41:$C$110,DK107))))</f>
        <v>2</v>
      </c>
      <c r="DM107" s="129">
        <f t="shared" si="65"/>
        <v>1</v>
      </c>
      <c r="DN107" s="367" t="str">
        <f t="shared" si="66"/>
        <v xml:space="preserve">   4.1.3) Smart construction</v>
      </c>
      <c r="DO107" s="458">
        <f t="shared" si="71"/>
        <v>100</v>
      </c>
      <c r="DP107" s="127" t="str">
        <f t="shared" ca="1" si="71"/>
        <v>=1</v>
      </c>
      <c r="DQ107" s="127">
        <f>IF(DO107="","",IF(DO107&lt;=uxb_works!$B$122,1,IF(DO107&lt;=uxb_works!$B$121,2,IF(DO107&lt;=uxb_works!$B$120,3,4))))</f>
        <v>4</v>
      </c>
      <c r="DR107" s="459"/>
      <c r="DS107" s="127">
        <f t="shared" si="68"/>
        <v>40</v>
      </c>
    </row>
    <row r="108" spans="1:123">
      <c r="A108" s="367">
        <f>IF(ISEVEN(tblIndicators!C69),1,2)</f>
        <v>1</v>
      </c>
      <c r="B108" s="367">
        <f>tblIndiSets!B79</f>
        <v>68</v>
      </c>
      <c r="C108" s="367">
        <f>tblIndiSets!D79</f>
        <v>2</v>
      </c>
      <c r="D108" s="367">
        <f>tblCategories!AN72</f>
        <v>0</v>
      </c>
      <c r="E108" s="367" t="str">
        <f>tblIndiSets!E79</f>
        <v xml:space="preserve">  4.4) Circular economy</v>
      </c>
      <c r="H108" s="367">
        <f t="shared" si="54"/>
        <v>100</v>
      </c>
      <c r="I108" s="13" t="str">
        <f t="shared" ca="1" si="55"/>
        <v>=1</v>
      </c>
      <c r="J108" s="13">
        <f t="shared" ca="1" si="56"/>
        <v>6</v>
      </c>
      <c r="K108" s="367">
        <f t="shared" si="20"/>
        <v>0</v>
      </c>
      <c r="AV108" s="13" t="str">
        <f t="shared" ca="1" si="57"/>
        <v>=26</v>
      </c>
      <c r="AW108" s="13">
        <f t="shared" ca="1" si="58"/>
        <v>5</v>
      </c>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O108" s="13"/>
      <c r="CP108" s="13"/>
      <c r="CR108" s="13"/>
      <c r="CS108" s="13"/>
      <c r="CU108" s="367" t="e">
        <f t="shared" ca="1" si="59"/>
        <v>#N/A</v>
      </c>
      <c r="CV108" s="367">
        <f ca="1">IF(ISNA(CU108),0,IF(uxb_works!$B$32=1,IF(ISEVEN(LEFT(TRIM(CX108),1)),2,1),INDEX($C$41:$C$110,CU108)))</f>
        <v>0</v>
      </c>
      <c r="CW108" s="367">
        <f t="shared" ca="1" si="60"/>
        <v>0</v>
      </c>
      <c r="CX108" s="367" t="str">
        <f t="shared" ca="1" si="61"/>
        <v/>
      </c>
      <c r="CY108" s="458" t="str">
        <f t="shared" ca="1" si="69"/>
        <v/>
      </c>
      <c r="CZ108" s="127" t="str">
        <f t="shared" ca="1" si="69"/>
        <v/>
      </c>
      <c r="DA108" s="127" t="str">
        <f ca="1">IF(CY108="","",IF(CY108&lt;=uxb_works!$B$122,1,IF(CY108&lt;=uxb_works!$B$121,2,IF(CY108&lt;=uxb_works!$B$120,3,4))))</f>
        <v/>
      </c>
      <c r="DB108" s="127" t="str">
        <f t="shared" ca="1" si="63"/>
        <v/>
      </c>
      <c r="DC108" s="127" t="str">
        <f t="shared" ca="1" si="70"/>
        <v/>
      </c>
      <c r="DD108" s="127" t="str">
        <f t="shared" ca="1" si="70"/>
        <v/>
      </c>
      <c r="DE108" s="127" t="str">
        <f ca="1">IF(DC108="","",IF(DC108&lt;=uxb_works!$B$122,1,IF(DC108&lt;=uxb_works!$B$121,2,IF(DC108&lt;=uxb_works!$B$120,3,4))))</f>
        <v/>
      </c>
      <c r="DK108" s="367">
        <f>tblIndiSets!B73</f>
        <v>62</v>
      </c>
      <c r="DL108" s="129">
        <f>IF(uxb_works!$B$32=1,2,IF(ISNA(DK108),0,IF(uxb_works!$B$32=1,IF(ISEVEN(LEFT(TRIM(DN108),1)),2,1),INDEX($C$41:$C$110,DK108))))</f>
        <v>2</v>
      </c>
      <c r="DM108" s="129">
        <f t="shared" si="65"/>
        <v>1</v>
      </c>
      <c r="DN108" s="367" t="str">
        <f t="shared" si="66"/>
        <v xml:space="preserve">  4.2) Emissions reduction</v>
      </c>
      <c r="DO108" s="458">
        <f t="shared" si="71"/>
        <v>100</v>
      </c>
      <c r="DP108" s="127" t="str">
        <f t="shared" ca="1" si="71"/>
        <v>=1</v>
      </c>
      <c r="DQ108" s="127">
        <f>IF(DO108="","",IF(DO108&lt;=uxb_works!$B$122,1,IF(DO108&lt;=uxb_works!$B$121,2,IF(DO108&lt;=uxb_works!$B$120,3,4))))</f>
        <v>4</v>
      </c>
      <c r="DR108" s="459"/>
      <c r="DS108" s="127">
        <f t="shared" si="68"/>
        <v>40</v>
      </c>
    </row>
    <row r="109" spans="1:123">
      <c r="A109" s="367">
        <f>IF(ISEVEN(tblIndicators!C70),1,2)</f>
        <v>1</v>
      </c>
      <c r="B109" s="367">
        <f>tblIndiSets!B80</f>
        <v>69</v>
      </c>
      <c r="C109" s="367">
        <f>tblIndiSets!D80</f>
        <v>3</v>
      </c>
      <c r="D109" s="367">
        <f>tblCategories!AN73</f>
        <v>0</v>
      </c>
      <c r="E109" s="367" t="str">
        <f>tblIndiSets!E80</f>
        <v xml:space="preserve">   4.4.1) Development of sharing economy </v>
      </c>
      <c r="H109" s="367">
        <f t="shared" si="54"/>
        <v>100</v>
      </c>
      <c r="I109" s="13" t="str">
        <f t="shared" ca="1" si="55"/>
        <v>=1</v>
      </c>
      <c r="J109" s="13">
        <f t="shared" ca="1" si="56"/>
        <v>7</v>
      </c>
      <c r="K109" s="367">
        <f t="shared" si="20"/>
        <v>0</v>
      </c>
      <c r="AV109" s="13" t="str">
        <f t="shared" ca="1" si="57"/>
        <v>=11</v>
      </c>
      <c r="AW109" s="13">
        <f t="shared" ca="1" si="58"/>
        <v>20</v>
      </c>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O109" s="13"/>
      <c r="CP109" s="13"/>
      <c r="CR109" s="13"/>
      <c r="CS109" s="13"/>
      <c r="CU109" s="367" t="e">
        <f t="shared" ca="1" si="59"/>
        <v>#N/A</v>
      </c>
      <c r="CV109" s="367">
        <f ca="1">IF(ISNA(CU109),0,IF(uxb_works!$B$32=1,IF(ISEVEN(LEFT(TRIM(CX109),1)),2,1),INDEX($C$41:$C$110,CU109)))</f>
        <v>0</v>
      </c>
      <c r="CW109" s="367">
        <f t="shared" ca="1" si="60"/>
        <v>0</v>
      </c>
      <c r="CX109" s="367" t="str">
        <f t="shared" ca="1" si="61"/>
        <v/>
      </c>
      <c r="CY109" s="458" t="str">
        <f t="shared" ca="1" si="69"/>
        <v/>
      </c>
      <c r="CZ109" s="127" t="str">
        <f t="shared" ca="1" si="69"/>
        <v/>
      </c>
      <c r="DA109" s="127" t="str">
        <f ca="1">IF(CY109="","",IF(CY109&lt;=uxb_works!$B$122,1,IF(CY109&lt;=uxb_works!$B$121,2,IF(CY109&lt;=uxb_works!$B$120,3,4))))</f>
        <v/>
      </c>
      <c r="DB109" s="127" t="str">
        <f t="shared" ca="1" si="63"/>
        <v/>
      </c>
      <c r="DC109" s="127" t="str">
        <f t="shared" ca="1" si="70"/>
        <v/>
      </c>
      <c r="DD109" s="127" t="str">
        <f t="shared" ca="1" si="70"/>
        <v/>
      </c>
      <c r="DE109" s="127" t="str">
        <f ca="1">IF(DC109="","",IF(DC109&lt;=uxb_works!$B$122,1,IF(DC109&lt;=uxb_works!$B$121,2,IF(DC109&lt;=uxb_works!$B$120,3,4))))</f>
        <v/>
      </c>
      <c r="DK109" s="367">
        <f>tblIndiSets!B74</f>
        <v>63</v>
      </c>
      <c r="DL109" s="129">
        <f>IF(uxb_works!$B$32=1,2,IF(ISNA(DK109),0,IF(uxb_works!$B$32=1,IF(ISEVEN(LEFT(TRIM(DN109),1)),2,1),INDEX($C$41:$C$110,DK109))))</f>
        <v>2</v>
      </c>
      <c r="DM109" s="129">
        <f t="shared" si="65"/>
        <v>1</v>
      </c>
      <c r="DN109" s="367" t="str">
        <f t="shared" si="66"/>
        <v xml:space="preserve">   4.2.1) Net-zero emission</v>
      </c>
      <c r="DO109" s="458">
        <f t="shared" si="71"/>
        <v>100</v>
      </c>
      <c r="DP109" s="127" t="str">
        <f t="shared" ca="1" si="71"/>
        <v>=1</v>
      </c>
      <c r="DQ109" s="127">
        <f>IF(DO109="","",IF(DO109&lt;=uxb_works!$B$122,1,IF(DO109&lt;=uxb_works!$B$121,2,IF(DO109&lt;=uxb_works!$B$120,3,4))))</f>
        <v>4</v>
      </c>
      <c r="DR109" s="459"/>
      <c r="DS109" s="127">
        <f t="shared" si="68"/>
        <v>40</v>
      </c>
    </row>
    <row r="110" spans="1:123">
      <c r="A110" s="367">
        <f>IF(ISEVEN(tblIndicators!C71),1,2)</f>
        <v>1</v>
      </c>
      <c r="B110" s="367">
        <f>tblIndiSets!B81</f>
        <v>70</v>
      </c>
      <c r="C110" s="367">
        <f>tblIndiSets!D81</f>
        <v>3</v>
      </c>
      <c r="D110" s="367">
        <f>tblCategories!AN74</f>
        <v>0</v>
      </c>
      <c r="E110" s="367" t="str">
        <f>tblIndiSets!E81</f>
        <v xml:space="preserve">   4.4.2) E-waste management</v>
      </c>
      <c r="H110" s="367">
        <f t="shared" si="54"/>
        <v>100</v>
      </c>
      <c r="I110" s="13" t="str">
        <f t="shared" ca="1" si="55"/>
        <v>=1</v>
      </c>
      <c r="J110" s="13">
        <f t="shared" ca="1" si="56"/>
        <v>24</v>
      </c>
      <c r="K110" s="367">
        <f t="shared" si="20"/>
        <v>0</v>
      </c>
      <c r="AV110" s="13" t="str">
        <f t="shared" ca="1" si="57"/>
        <v>=25</v>
      </c>
      <c r="AW110" s="13">
        <f t="shared" ca="1" si="58"/>
        <v>6</v>
      </c>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O110" s="13"/>
      <c r="CP110" s="13"/>
      <c r="CR110" s="13"/>
      <c r="CS110" s="13"/>
      <c r="CU110" s="367" t="e">
        <f t="shared" ca="1" si="59"/>
        <v>#N/A</v>
      </c>
      <c r="CV110" s="367">
        <f ca="1">IF(ISNA(CU110),0,IF(uxb_works!$B$32=1,IF(ISEVEN(LEFT(TRIM(CX110),1)),2,1),INDEX($C$41:$C$110,CU110)))</f>
        <v>0</v>
      </c>
      <c r="CW110" s="367">
        <f t="shared" ca="1" si="60"/>
        <v>0</v>
      </c>
      <c r="CX110" s="367" t="str">
        <f t="shared" ca="1" si="61"/>
        <v/>
      </c>
      <c r="CY110" s="458" t="str">
        <f t="shared" ca="1" si="69"/>
        <v/>
      </c>
      <c r="CZ110" s="127" t="str">
        <f t="shared" ca="1" si="69"/>
        <v/>
      </c>
      <c r="DA110" s="127" t="str">
        <f ca="1">IF(CY110="","",IF(CY110&lt;=uxb_works!$B$122,1,IF(CY110&lt;=uxb_works!$B$121,2,IF(CY110&lt;=uxb_works!$B$120,3,4))))</f>
        <v/>
      </c>
      <c r="DB110" s="127" t="str">
        <f t="shared" ca="1" si="63"/>
        <v/>
      </c>
      <c r="DC110" s="127" t="str">
        <f t="shared" ca="1" si="70"/>
        <v/>
      </c>
      <c r="DD110" s="127" t="str">
        <f t="shared" ca="1" si="70"/>
        <v/>
      </c>
      <c r="DE110" s="127" t="str">
        <f ca="1">IF(DC110="","",IF(DC110&lt;=uxb_works!$B$122,1,IF(DC110&lt;=uxb_works!$B$121,2,IF(DC110&lt;=uxb_works!$B$120,3,4))))</f>
        <v/>
      </c>
      <c r="DK110" s="367">
        <f>tblIndiSets!B75</f>
        <v>64</v>
      </c>
      <c r="DL110" s="129">
        <f>IF(uxb_works!$B$32=1,2,IF(ISNA(DK110),0,IF(uxb_works!$B$32=1,IF(ISEVEN(LEFT(TRIM(DN110),1)),2,1),INDEX($C$41:$C$110,DK110))))</f>
        <v>2</v>
      </c>
      <c r="DM110" s="129">
        <f t="shared" si="65"/>
        <v>1</v>
      </c>
      <c r="DN110" s="367" t="str">
        <f t="shared" si="66"/>
        <v xml:space="preserve">   4.2.2) Traffic management </v>
      </c>
      <c r="DO110" s="458">
        <f t="shared" si="71"/>
        <v>100</v>
      </c>
      <c r="DP110" s="127" t="str">
        <f t="shared" ca="1" si="71"/>
        <v>=1</v>
      </c>
      <c r="DQ110" s="127">
        <f>IF(DO110="","",IF(DO110&lt;=uxb_works!$B$122,1,IF(DO110&lt;=uxb_works!$B$121,2,IF(DO110&lt;=uxb_works!$B$120,3,4))))</f>
        <v>4</v>
      </c>
      <c r="DR110" s="459"/>
      <c r="DS110" s="127">
        <f t="shared" si="68"/>
        <v>40</v>
      </c>
    </row>
  </sheetData>
  <mergeCells count="4">
    <mergeCell ref="H39:I39"/>
    <mergeCell ref="AX39:AY39"/>
    <mergeCell ref="CN39:CO39"/>
    <mergeCell ref="CQ39:CR39"/>
  </mergeCells>
  <pageMargins left="0.55118110236220474" right="0.55118110236220474" top="0.59055118110236227" bottom="0.78740157480314965" header="0.51181102362204722" footer="0.51181102362204722"/>
  <pageSetup paperSize="9" scale="23" orientation="landscape" r:id="rId1"/>
  <headerFooter alignWithMargins="0">
    <oddHeader>&amp;RCity Water Optimization Index: 2020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E2"/>
  <sheetViews>
    <sheetView showRowColHeaders="0" zoomScaleNormal="100" workbookViewId="0">
      <selection activeCell="X1" sqref="X1"/>
    </sheetView>
  </sheetViews>
  <sheetFormatPr defaultColWidth="8.7265625" defaultRowHeight="14.5"/>
  <sheetData>
    <row r="1" spans="1:5" ht="22.5" customHeight="1">
      <c r="A1" s="43" t="s">
        <v>73</v>
      </c>
      <c r="B1" s="43" t="s">
        <v>74</v>
      </c>
      <c r="C1" s="43" t="s">
        <v>75</v>
      </c>
      <c r="D1" s="44"/>
      <c r="E1" s="44"/>
    </row>
    <row r="2" spans="1:5" ht="63" customHeight="1">
      <c r="A2">
        <v>1</v>
      </c>
      <c r="B2">
        <v>2</v>
      </c>
    </row>
  </sheetData>
  <pageMargins left="0.55118110236220474" right="0.55118110236220474" top="0.59055118110236227" bottom="0.78740157480314965" header="0.51181102362204722" footer="0.51181102362204722"/>
  <pageSetup paperSize="9" orientation="landscape" r:id="rId1"/>
  <headerFooter alignWithMargins="0">
    <oddHeader>&amp;RCity Water Optimization Index: 2020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pageSetUpPr fitToPage="1"/>
  </sheetPr>
  <dimension ref="A1:I34"/>
  <sheetViews>
    <sheetView showRowColHeaders="0" zoomScaleNormal="100" workbookViewId="0">
      <selection activeCell="A14" sqref="A14"/>
    </sheetView>
  </sheetViews>
  <sheetFormatPr defaultColWidth="8.7265625" defaultRowHeight="14.5"/>
  <cols>
    <col min="1" max="1" width="8.7265625" style="367"/>
    <col min="2" max="9" width="9.1796875" style="367"/>
  </cols>
  <sheetData>
    <row r="1" spans="1:1" ht="22.5" customHeight="1">
      <c r="A1" s="367" t="s">
        <v>470</v>
      </c>
    </row>
    <row r="2" spans="1:1">
      <c r="A2" s="367" t="s">
        <v>966</v>
      </c>
    </row>
    <row r="3" spans="1:1">
      <c r="A3" s="367" t="s">
        <v>711</v>
      </c>
    </row>
    <row r="4" spans="1:1">
      <c r="A4" s="367" t="s">
        <v>471</v>
      </c>
    </row>
    <row r="5" spans="1:1">
      <c r="A5" s="367" t="s">
        <v>472</v>
      </c>
    </row>
    <row r="6" spans="1:1">
      <c r="A6" s="367" t="s">
        <v>967</v>
      </c>
    </row>
    <row r="7" spans="1:1">
      <c r="A7" s="367" t="s">
        <v>618</v>
      </c>
    </row>
    <row r="8" spans="1:1">
      <c r="A8" s="367" t="s">
        <v>968</v>
      </c>
    </row>
    <row r="9" spans="1:1">
      <c r="A9" s="367" t="s">
        <v>689</v>
      </c>
    </row>
    <row r="10" spans="1:1">
      <c r="A10" s="367" t="s">
        <v>690</v>
      </c>
    </row>
    <row r="11" spans="1:1">
      <c r="A11" s="367" t="s">
        <v>473</v>
      </c>
    </row>
    <row r="12" spans="1:1">
      <c r="A12" s="367" t="s">
        <v>382</v>
      </c>
    </row>
    <row r="13" spans="1:1">
      <c r="A13" s="367" t="s">
        <v>969</v>
      </c>
    </row>
    <row r="14" spans="1:1">
      <c r="A14" s="367" t="s">
        <v>475</v>
      </c>
    </row>
    <row r="15" spans="1:1">
      <c r="A15" s="367" t="s">
        <v>474</v>
      </c>
    </row>
    <row r="16" spans="1:1">
      <c r="A16" s="367" t="s">
        <v>480</v>
      </c>
    </row>
    <row r="17" spans="1:1">
      <c r="A17" s="367" t="s">
        <v>712</v>
      </c>
    </row>
    <row r="18" spans="1:1">
      <c r="A18" s="367" t="s">
        <v>970</v>
      </c>
    </row>
    <row r="19" spans="1:1">
      <c r="A19" s="367" t="s">
        <v>971</v>
      </c>
    </row>
    <row r="20" spans="1:1">
      <c r="A20" s="367" t="s">
        <v>972</v>
      </c>
    </row>
    <row r="21" spans="1:1">
      <c r="A21" s="367" t="s">
        <v>476</v>
      </c>
    </row>
    <row r="22" spans="1:1">
      <c r="A22" s="367" t="s">
        <v>478</v>
      </c>
    </row>
    <row r="23" spans="1:1">
      <c r="A23" s="367" t="s">
        <v>619</v>
      </c>
    </row>
    <row r="24" spans="1:1">
      <c r="A24" s="367" t="s">
        <v>691</v>
      </c>
    </row>
    <row r="25" spans="1:1">
      <c r="A25" s="367" t="s">
        <v>692</v>
      </c>
    </row>
    <row r="26" spans="1:1">
      <c r="A26" s="367" t="s">
        <v>693</v>
      </c>
    </row>
    <row r="27" spans="1:1">
      <c r="A27" s="367" t="s">
        <v>477</v>
      </c>
    </row>
    <row r="28" spans="1:1">
      <c r="A28" s="367" t="s">
        <v>483</v>
      </c>
    </row>
    <row r="29" spans="1:1">
      <c r="A29" s="367" t="s">
        <v>484</v>
      </c>
    </row>
    <row r="30" spans="1:1">
      <c r="A30" s="367" t="s">
        <v>485</v>
      </c>
    </row>
    <row r="31" spans="1:1">
      <c r="A31" s="367" t="s">
        <v>482</v>
      </c>
    </row>
    <row r="32" spans="1:1">
      <c r="A32" s="367" t="s">
        <v>481</v>
      </c>
    </row>
    <row r="33" spans="1:1">
      <c r="A33" s="367" t="s">
        <v>486</v>
      </c>
    </row>
    <row r="34" spans="1:1">
      <c r="A34" s="367" t="s">
        <v>479</v>
      </c>
    </row>
  </sheetData>
  <pageMargins left="0.55118110236220474" right="0.55118110236220474" top="0.59055118110236227" bottom="0.78740157480314965" header="0.51181102362204722" footer="0.51181102362204722"/>
  <pageSetup paperSize="9" scale="98" orientation="landscape" r:id="rId1"/>
  <headerFooter alignWithMargins="0">
    <oddHeader>&amp;RCity Water Optimization Index: 2020</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pageSetUpPr autoPageBreaks="0" fitToPage="1"/>
  </sheetPr>
  <dimension ref="A1:BY157"/>
  <sheetViews>
    <sheetView showGridLines="0" showRowColHeaders="0" zoomScaleNormal="100" workbookViewId="0">
      <pane ySplit="14" topLeftCell="A15" activePane="bottomLeft" state="frozen"/>
      <selection pane="bottomLeft"/>
    </sheetView>
  </sheetViews>
  <sheetFormatPr defaultColWidth="9.1796875" defaultRowHeight="0" customHeight="1" zeroHeight="1"/>
  <cols>
    <col min="1" max="1" width="2.7265625" style="156" customWidth="1"/>
    <col min="2" max="2" width="6.7265625" style="194" hidden="1" customWidth="1"/>
    <col min="3" max="3" width="8.1796875" style="194" hidden="1" customWidth="1"/>
    <col min="4" max="4" width="2" style="194" customWidth="1"/>
    <col min="5" max="5" width="5" style="194" customWidth="1"/>
    <col min="6" max="6" width="14.7265625" style="194" customWidth="1"/>
    <col min="7" max="7" width="8.81640625" style="741" customWidth="1"/>
    <col min="8" max="8" width="7.453125" style="194" customWidth="1"/>
    <col min="9" max="10" width="12.453125" style="194" hidden="1" customWidth="1"/>
    <col min="11" max="11" width="2" style="194" customWidth="1"/>
    <col min="12" max="12" width="5" style="194" customWidth="1"/>
    <col min="13" max="13" width="14.7265625" style="194" customWidth="1"/>
    <col min="14" max="14" width="8.81640625" style="741" customWidth="1"/>
    <col min="15" max="15" width="3.7265625" style="157" customWidth="1"/>
    <col min="16" max="17" width="12.453125" style="194" hidden="1" customWidth="1"/>
    <col min="18" max="18" width="2" style="194" customWidth="1"/>
    <col min="19" max="19" width="5" style="194" customWidth="1"/>
    <col min="20" max="20" width="14.7265625" style="194" customWidth="1"/>
    <col min="21" max="21" width="8.81640625" style="741" customWidth="1"/>
    <col min="22" max="22" width="3.7265625" style="194" customWidth="1"/>
    <col min="23" max="23" width="12.453125" style="194" hidden="1" customWidth="1"/>
    <col min="24" max="24" width="4.1796875" style="194" hidden="1" customWidth="1"/>
    <col min="25" max="25" width="2" style="194" customWidth="1"/>
    <col min="26" max="26" width="5" style="194" customWidth="1"/>
    <col min="27" max="27" width="14.7265625" style="194" customWidth="1"/>
    <col min="28" max="28" width="8.81640625" style="741" customWidth="1"/>
    <col min="29" max="29" width="3.7265625" style="194" customWidth="1"/>
    <col min="30" max="30" width="4.26953125" style="174" hidden="1" customWidth="1"/>
    <col min="31" max="31" width="4" style="194" hidden="1" customWidth="1"/>
    <col min="32" max="32" width="2" style="194" customWidth="1"/>
    <col min="33" max="33" width="5" style="194" customWidth="1"/>
    <col min="34" max="34" width="14.7265625" style="194" customWidth="1"/>
    <col min="35" max="35" width="8.81640625" style="741" customWidth="1"/>
    <col min="36" max="36" width="3.54296875" style="194" customWidth="1"/>
    <col min="37" max="40" width="9.1796875" style="194" customWidth="1"/>
    <col min="41" max="41" width="3.7265625" style="194" customWidth="1"/>
    <col min="42" max="42" width="5.26953125" style="194" customWidth="1"/>
    <col min="43" max="43" width="6.54296875" style="194" customWidth="1"/>
    <col min="44" max="44" width="4.1796875" style="194" customWidth="1"/>
    <col min="45" max="49" width="9.1796875" style="194"/>
    <col min="50" max="50" width="25.7265625" style="194" customWidth="1"/>
    <col min="51" max="51" width="9.1796875" style="194"/>
    <col min="52" max="55" width="5.7265625" style="194" hidden="1" customWidth="1"/>
    <col min="56" max="66" width="0" style="194" hidden="1" customWidth="1"/>
    <col min="67" max="71" width="9.1796875" style="194"/>
    <col min="72" max="72" width="25.7265625" style="194" customWidth="1"/>
    <col min="73" max="73" width="9.1796875" style="194"/>
    <col min="74" max="77" width="5.7265625" style="194" hidden="1" customWidth="1"/>
    <col min="78" max="88" width="0" style="194" hidden="1" customWidth="1"/>
    <col min="89" max="16384" width="9.1796875" style="194"/>
  </cols>
  <sheetData>
    <row r="1" spans="1:54" s="132" customFormat="1" ht="22.5" customHeight="1">
      <c r="A1" s="708" t="str">
        <f>uxb_works!$B$92</f>
        <v>Digital Cities Index</v>
      </c>
      <c r="B1" s="709"/>
      <c r="C1" s="709"/>
      <c r="D1" s="709"/>
      <c r="E1" s="709"/>
      <c r="F1" s="709"/>
      <c r="G1" s="710"/>
      <c r="H1" s="709"/>
      <c r="I1" s="709"/>
      <c r="J1" s="709"/>
      <c r="K1" s="709"/>
      <c r="L1" s="709"/>
      <c r="M1" s="709"/>
      <c r="N1" s="710"/>
      <c r="O1" s="711"/>
      <c r="P1" s="709"/>
      <c r="Q1" s="709"/>
      <c r="R1" s="709"/>
      <c r="S1" s="709"/>
      <c r="T1" s="709"/>
      <c r="U1" s="710"/>
      <c r="V1" s="709"/>
      <c r="W1" s="709"/>
      <c r="X1" s="709"/>
      <c r="Y1" s="709"/>
      <c r="Z1" s="709"/>
      <c r="AA1" s="709"/>
      <c r="AB1" s="710"/>
      <c r="AC1" s="709"/>
      <c r="AD1" s="709"/>
      <c r="AE1" s="709"/>
      <c r="AF1" s="709"/>
      <c r="AG1" s="709"/>
      <c r="AH1" s="709"/>
      <c r="AI1" s="710"/>
      <c r="AJ1" s="710"/>
      <c r="BA1" s="132">
        <v>1</v>
      </c>
      <c r="BB1" s="132">
        <v>1</v>
      </c>
    </row>
    <row r="2" spans="1:54" s="156" customFormat="1" ht="63" customHeight="1">
      <c r="A2" s="709"/>
      <c r="B2" s="709"/>
      <c r="C2" s="709"/>
      <c r="D2" s="709"/>
      <c r="E2" s="709"/>
      <c r="F2" s="709"/>
      <c r="G2" s="710"/>
      <c r="H2" s="709"/>
      <c r="I2" s="709"/>
      <c r="J2" s="709"/>
      <c r="K2" s="709"/>
      <c r="L2" s="709"/>
      <c r="M2" s="709"/>
      <c r="N2" s="710"/>
      <c r="O2" s="709"/>
      <c r="P2" s="709"/>
      <c r="Q2" s="709"/>
      <c r="R2" s="709"/>
      <c r="S2" s="709"/>
      <c r="T2" s="709"/>
      <c r="U2" s="710"/>
      <c r="V2" s="709"/>
      <c r="W2" s="709"/>
      <c r="X2" s="709"/>
      <c r="Y2" s="709"/>
      <c r="Z2" s="709"/>
      <c r="AA2" s="709"/>
      <c r="AB2" s="710"/>
      <c r="AC2" s="709"/>
      <c r="AD2" s="709"/>
      <c r="AE2" s="709"/>
      <c r="AF2" s="709"/>
      <c r="AG2" s="709"/>
      <c r="AH2" s="709"/>
      <c r="AI2" s="710"/>
      <c r="AJ2" s="710"/>
    </row>
    <row r="3" spans="1:54" s="156" customFormat="1" ht="3" customHeight="1">
      <c r="A3" s="369"/>
      <c r="B3" s="369"/>
      <c r="C3" s="369"/>
      <c r="D3" s="369"/>
      <c r="E3" s="369"/>
      <c r="F3" s="369"/>
      <c r="G3" s="369"/>
      <c r="H3" s="369"/>
      <c r="I3" s="369"/>
      <c r="J3" s="369"/>
      <c r="K3" s="369"/>
      <c r="L3" s="369"/>
      <c r="M3" s="369"/>
      <c r="N3" s="369"/>
      <c r="O3" s="369"/>
      <c r="P3" s="369"/>
      <c r="Q3" s="369"/>
      <c r="R3" s="369"/>
      <c r="S3" s="369"/>
      <c r="T3" s="369"/>
      <c r="U3" s="369"/>
      <c r="V3" s="369"/>
      <c r="W3" s="369"/>
      <c r="X3" s="369"/>
      <c r="Y3" s="369"/>
      <c r="Z3" s="369"/>
      <c r="AA3" s="369"/>
      <c r="AB3" s="369"/>
      <c r="AC3" s="369"/>
      <c r="AD3" s="1051"/>
      <c r="AE3" s="369"/>
      <c r="AF3" s="369"/>
      <c r="AG3" s="369"/>
      <c r="AH3" s="369"/>
      <c r="AI3" s="369"/>
      <c r="AJ3" s="369"/>
    </row>
    <row r="4" spans="1:54" s="156" customFormat="1" ht="50.15" customHeight="1">
      <c r="A4" s="370"/>
      <c r="B4" s="370"/>
      <c r="C4" s="370"/>
      <c r="D4" s="370"/>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1052"/>
      <c r="AE4" s="370"/>
      <c r="AF4" s="370"/>
      <c r="AG4" s="370"/>
      <c r="AH4" s="370"/>
      <c r="AI4" s="370"/>
      <c r="AJ4" s="370"/>
    </row>
    <row r="5" spans="1:54" s="156" customFormat="1" ht="3" customHeight="1">
      <c r="A5" s="369"/>
      <c r="B5" s="369"/>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1051"/>
      <c r="AE5" s="369"/>
      <c r="AF5" s="369"/>
      <c r="AG5" s="369"/>
      <c r="AH5" s="369"/>
      <c r="AI5" s="369"/>
      <c r="AJ5" s="369"/>
    </row>
    <row r="6" spans="1:54" s="197" customFormat="1" ht="15" hidden="1" customHeight="1">
      <c r="A6" s="405"/>
      <c r="B6" s="405"/>
      <c r="C6" s="405"/>
      <c r="D6" s="712" t="str">
        <f>uxb_works!$C$5</f>
        <v>The active weight profile has been changed from its default setting</v>
      </c>
      <c r="E6" s="405"/>
      <c r="F6" s="405"/>
      <c r="G6" s="713"/>
      <c r="H6" s="405"/>
      <c r="I6" s="405"/>
      <c r="J6" s="405"/>
      <c r="K6" s="405"/>
      <c r="L6" s="405"/>
      <c r="M6" s="405"/>
      <c r="N6" s="713"/>
      <c r="O6" s="405"/>
      <c r="P6" s="405"/>
      <c r="Q6" s="405"/>
      <c r="R6" s="405"/>
      <c r="S6" s="405"/>
      <c r="T6" s="405"/>
      <c r="U6" s="713"/>
      <c r="V6" s="405"/>
      <c r="W6" s="405"/>
      <c r="X6" s="405"/>
      <c r="Y6" s="405"/>
      <c r="Z6" s="405"/>
      <c r="AA6" s="405"/>
      <c r="AB6" s="713"/>
      <c r="AC6" s="405"/>
      <c r="AD6" s="1053"/>
      <c r="AE6" s="405"/>
      <c r="AF6" s="405"/>
      <c r="AG6" s="405"/>
      <c r="AH6" s="405"/>
      <c r="AI6" s="713"/>
      <c r="AJ6" s="713"/>
    </row>
    <row r="7" spans="1:54" s="197" customFormat="1" ht="15.75" hidden="1" customHeight="1">
      <c r="A7" s="171"/>
      <c r="B7" s="171"/>
      <c r="C7" s="171"/>
      <c r="D7" s="171"/>
      <c r="E7" s="171"/>
      <c r="F7" s="171"/>
      <c r="G7" s="258"/>
      <c r="H7" s="171"/>
      <c r="I7" s="171"/>
      <c r="J7" s="171"/>
      <c r="K7" s="171"/>
      <c r="L7" s="171"/>
      <c r="M7" s="171"/>
      <c r="N7" s="258"/>
      <c r="O7" s="171"/>
      <c r="P7" s="171"/>
      <c r="Q7" s="171"/>
      <c r="R7" s="171"/>
      <c r="S7" s="171"/>
      <c r="T7" s="171"/>
      <c r="U7" s="258"/>
      <c r="V7" s="171"/>
      <c r="W7" s="171"/>
      <c r="X7" s="171"/>
      <c r="Y7" s="171"/>
      <c r="Z7" s="171"/>
      <c r="AA7" s="171"/>
      <c r="AB7" s="258"/>
      <c r="AC7" s="171"/>
      <c r="AD7" s="1054"/>
      <c r="AE7" s="171"/>
      <c r="AF7" s="171"/>
      <c r="AG7" s="171"/>
      <c r="AH7" s="171"/>
      <c r="AI7" s="258"/>
      <c r="AJ7" s="258"/>
    </row>
    <row r="8" spans="1:54" s="201" customFormat="1" ht="15" hidden="1" customHeight="1">
      <c r="A8" s="714"/>
      <c r="B8" s="714"/>
      <c r="C8" s="714"/>
      <c r="D8" s="715" t="str">
        <f>uxb_works!$D$67</f>
        <v>There are 30 cities in the active filter set</v>
      </c>
      <c r="E8" s="714"/>
      <c r="F8" s="714"/>
      <c r="G8" s="716"/>
      <c r="H8" s="717"/>
      <c r="I8" s="714"/>
      <c r="J8" s="714"/>
      <c r="K8" s="714"/>
      <c r="L8" s="714"/>
      <c r="M8" s="714"/>
      <c r="N8" s="716"/>
      <c r="O8" s="714"/>
      <c r="P8" s="714"/>
      <c r="Q8" s="714"/>
      <c r="R8" s="714"/>
      <c r="S8" s="714"/>
      <c r="T8" s="714"/>
      <c r="U8" s="716"/>
      <c r="V8" s="714"/>
      <c r="W8" s="714"/>
      <c r="X8" s="714"/>
      <c r="Y8" s="714"/>
      <c r="Z8" s="714"/>
      <c r="AA8" s="714"/>
      <c r="AB8" s="716"/>
      <c r="AC8" s="714"/>
      <c r="AD8" s="1055"/>
      <c r="AE8" s="714"/>
      <c r="AF8" s="714"/>
      <c r="AG8" s="714"/>
      <c r="AH8" s="714"/>
      <c r="AI8" s="716"/>
      <c r="AJ8" s="716"/>
    </row>
    <row r="9" spans="1:54" s="197" customFormat="1" ht="60" hidden="1" customHeight="1" thickBot="1">
      <c r="A9" s="718"/>
      <c r="B9" s="718"/>
      <c r="C9" s="718"/>
      <c r="D9" s="718"/>
      <c r="E9" s="718"/>
      <c r="F9" s="718"/>
      <c r="G9" s="719"/>
      <c r="H9" s="718"/>
      <c r="I9" s="718"/>
      <c r="J9" s="718"/>
      <c r="K9" s="718"/>
      <c r="L9" s="718"/>
      <c r="M9" s="718"/>
      <c r="N9" s="719"/>
      <c r="O9" s="718"/>
      <c r="P9" s="718"/>
      <c r="Q9" s="718"/>
      <c r="R9" s="718"/>
      <c r="S9" s="718"/>
      <c r="T9" s="718"/>
      <c r="U9" s="719"/>
      <c r="V9" s="718"/>
      <c r="W9" s="718"/>
      <c r="X9" s="718"/>
      <c r="Y9" s="718"/>
      <c r="Z9" s="718"/>
      <c r="AA9" s="718"/>
      <c r="AB9" s="719"/>
      <c r="AC9" s="718"/>
      <c r="AD9" s="1056"/>
      <c r="AE9" s="718"/>
      <c r="AF9" s="718"/>
      <c r="AG9" s="718"/>
      <c r="AH9" s="718"/>
      <c r="AI9" s="719"/>
      <c r="AJ9" s="719"/>
    </row>
    <row r="10" spans="1:54" ht="16.5" customHeight="1">
      <c r="B10" s="290"/>
      <c r="C10" s="290"/>
      <c r="D10" s="290"/>
      <c r="E10" s="290"/>
      <c r="F10" s="290"/>
      <c r="G10" s="720"/>
      <c r="H10" s="290"/>
      <c r="I10" s="290"/>
      <c r="J10" s="290"/>
      <c r="K10" s="290"/>
      <c r="L10" s="290"/>
      <c r="M10" s="290"/>
      <c r="N10" s="720"/>
      <c r="S10" s="156"/>
      <c r="T10" s="156"/>
      <c r="U10" s="721"/>
      <c r="V10" s="156"/>
      <c r="W10" s="156"/>
      <c r="X10" s="156"/>
      <c r="Y10" s="156"/>
      <c r="Z10" s="156"/>
      <c r="AA10" s="156"/>
      <c r="AB10" s="721"/>
      <c r="AC10" s="156"/>
      <c r="AD10" s="166"/>
      <c r="AE10" s="156"/>
      <c r="AF10" s="156"/>
      <c r="AG10" s="156"/>
      <c r="AH10" s="156"/>
      <c r="AI10" s="721"/>
      <c r="AJ10" s="721"/>
    </row>
    <row r="11" spans="1:54" ht="12" customHeight="1">
      <c r="B11" s="722"/>
      <c r="C11" s="722"/>
      <c r="D11" s="722"/>
      <c r="E11" s="722"/>
      <c r="F11" s="722"/>
      <c r="G11" s="723"/>
      <c r="H11" s="722"/>
      <c r="I11" s="722"/>
      <c r="J11" s="722"/>
      <c r="K11" s="722"/>
      <c r="L11" s="722"/>
      <c r="M11" s="722"/>
      <c r="N11" s="723"/>
      <c r="S11" s="156"/>
      <c r="T11" s="156"/>
      <c r="U11" s="721"/>
      <c r="V11" s="156"/>
      <c r="W11" s="156"/>
      <c r="X11" s="156"/>
      <c r="Y11" s="156"/>
      <c r="Z11" s="156"/>
      <c r="AA11" s="156"/>
      <c r="AB11" s="721"/>
      <c r="AC11" s="156"/>
      <c r="AD11" s="166"/>
      <c r="AE11" s="156"/>
      <c r="AF11" s="156"/>
      <c r="AG11" s="156"/>
      <c r="AH11" s="156"/>
      <c r="AI11" s="721"/>
    </row>
    <row r="12" spans="1:54" ht="32.25" customHeight="1">
      <c r="B12" s="722"/>
      <c r="C12" s="722"/>
      <c r="D12" s="722"/>
      <c r="E12" s="722"/>
      <c r="F12" s="722"/>
      <c r="G12" s="723"/>
      <c r="H12" s="722"/>
      <c r="I12" s="722"/>
      <c r="J12" s="722"/>
      <c r="K12" s="722"/>
      <c r="L12" s="722"/>
      <c r="M12" s="722"/>
      <c r="N12" s="723"/>
      <c r="S12" s="156"/>
      <c r="T12" s="156"/>
      <c r="U12" s="721"/>
      <c r="V12" s="156"/>
      <c r="W12" s="156"/>
      <c r="X12" s="156"/>
      <c r="Y12" s="156"/>
      <c r="Z12" s="156"/>
      <c r="AA12" s="156"/>
      <c r="AB12" s="721"/>
      <c r="AC12" s="156"/>
      <c r="AD12" s="166"/>
      <c r="AE12" s="156"/>
      <c r="AF12" s="156"/>
      <c r="AG12" s="156"/>
      <c r="AH12" s="156"/>
      <c r="AI12" s="721"/>
    </row>
    <row r="13" spans="1:54" s="728" customFormat="1" ht="51" customHeight="1">
      <c r="A13" s="724"/>
      <c r="B13" s="725">
        <f>COUNTIF(B15:B45,"&lt;&gt;0")</f>
        <v>31</v>
      </c>
      <c r="C13" s="725"/>
      <c r="D13" s="1095" t="str">
        <f>iSummary1!R6</f>
        <v>OVERALL SCORE</v>
      </c>
      <c r="E13" s="1096"/>
      <c r="F13" s="1096"/>
      <c r="G13" s="1096"/>
      <c r="H13" s="726"/>
      <c r="I13" s="725">
        <f>COUNTIF(I15:I45,"&lt;&gt;0")</f>
        <v>31</v>
      </c>
      <c r="J13" s="725"/>
      <c r="K13" s="1097" t="str">
        <f>iSummary1!AM6</f>
        <v>1) CONNECTIVITY</v>
      </c>
      <c r="L13" s="1098"/>
      <c r="M13" s="1098"/>
      <c r="N13" s="1098"/>
      <c r="O13" s="727"/>
      <c r="P13" s="725"/>
      <c r="Q13" s="725"/>
      <c r="R13" s="1097" t="str">
        <f>iSummary1!BH6</f>
        <v>2) SERVICES</v>
      </c>
      <c r="S13" s="1098"/>
      <c r="T13" s="1098"/>
      <c r="U13" s="1098"/>
      <c r="V13" s="727"/>
      <c r="W13" s="725"/>
      <c r="X13" s="725"/>
      <c r="Y13" s="1097" t="str">
        <f>iSummary1!CC6</f>
        <v>3) CULTURE</v>
      </c>
      <c r="Z13" s="1098"/>
      <c r="AA13" s="1098"/>
      <c r="AB13" s="1098"/>
      <c r="AC13" s="727"/>
      <c r="AD13" s="1057"/>
      <c r="AE13" s="725"/>
      <c r="AF13" s="1097" t="str">
        <f>iSummary1!CX6</f>
        <v>4) SUSTAINABILITY</v>
      </c>
      <c r="AG13" s="1098"/>
      <c r="AH13" s="1098"/>
      <c r="AI13" s="1099"/>
    </row>
    <row r="14" spans="1:54" s="367" customFormat="1" ht="3" customHeight="1">
      <c r="G14" s="729"/>
      <c r="N14" s="729"/>
      <c r="U14" s="729"/>
      <c r="AB14" s="729"/>
      <c r="AD14" s="21"/>
      <c r="AI14" s="729"/>
    </row>
    <row r="15" spans="1:54" ht="15" customHeight="1">
      <c r="B15" s="730">
        <f>iSummary1!Q8</f>
        <v>1</v>
      </c>
      <c r="C15" s="731">
        <f t="shared" ref="C15:C17" si="0">IF(B15=0,0,IF(G15=-100,5,IF(G15&lt;=G$49,1,IF(G15&lt;=G$50,2,IF(G15&lt;=G$51,3,4)))))</f>
        <v>4</v>
      </c>
      <c r="D15" s="732"/>
      <c r="E15" s="733">
        <f>iSummary1!R8</f>
        <v>1</v>
      </c>
      <c r="F15" s="734" t="str">
        <f>iSummary1!S8</f>
        <v>Copenhagen</v>
      </c>
      <c r="G15" s="735">
        <f>iSummary1!T8</f>
        <v>81.5</v>
      </c>
      <c r="H15" s="730"/>
      <c r="I15" s="730">
        <f>iSummary1!AL8</f>
        <v>1</v>
      </c>
      <c r="J15" s="731">
        <f t="shared" ref="J15:J17" si="1">IF(I15=0,0,IF(N15=-100,5,IF(N15&lt;=N$49,1,IF(N15&lt;=N$50,2,IF(N15&lt;=N$51,3,4)))))</f>
        <v>4</v>
      </c>
      <c r="K15" s="732"/>
      <c r="L15" s="733">
        <f>iSummary1!AM8</f>
        <v>1</v>
      </c>
      <c r="M15" s="734" t="str">
        <f>iSummary1!AN8</f>
        <v>Copenhagen</v>
      </c>
      <c r="N15" s="735">
        <f>iSummary1!AO8</f>
        <v>85.4</v>
      </c>
      <c r="P15" s="736">
        <f>iSummary1!BG8</f>
        <v>1</v>
      </c>
      <c r="Q15" s="731">
        <f t="shared" ref="Q15:Q17" si="2">IF(P15=0,0,IF(U15=-100,5,IF(U15&lt;=U$49,1,IF(U15&lt;=U$50,2,IF(U15&lt;=U$51,3,4)))))</f>
        <v>4</v>
      </c>
      <c r="R15" s="732"/>
      <c r="S15" s="733">
        <f>iSummary1!BH8</f>
        <v>1</v>
      </c>
      <c r="T15" s="737" t="str">
        <f>iSummary1!BI8</f>
        <v>Copenhagen</v>
      </c>
      <c r="U15" s="735">
        <f>iSummary1!BJ8</f>
        <v>79.3</v>
      </c>
      <c r="V15" s="156"/>
      <c r="W15" s="736">
        <f>iSummary1!CB8</f>
        <v>1</v>
      </c>
      <c r="X15" s="731">
        <f t="shared" ref="X15:X17" si="3">IF(W15=0,0,IF(AB15=-100,5,IF(AB15&lt;=AB$49,1,IF(AB15&lt;=AB$50,2,IF(AB15&lt;=AB$51,3,4)))))</f>
        <v>3</v>
      </c>
      <c r="Y15" s="732"/>
      <c r="Z15" s="738">
        <f>iSummary1!CC8</f>
        <v>1</v>
      </c>
      <c r="AA15" s="737" t="str">
        <f>iSummary1!CD8</f>
        <v>New York</v>
      </c>
      <c r="AB15" s="739">
        <f>iSummary1!CE8</f>
        <v>73.599999999999994</v>
      </c>
      <c r="AC15" s="156"/>
      <c r="AD15" s="1058">
        <f>iSummary1!CW8</f>
        <v>1</v>
      </c>
      <c r="AE15" s="731">
        <f t="shared" ref="AE15:AE45" si="4">IF(AD15=0,0,IF(AI15=-100,5,IF(AI15&lt;=AI$49,1,IF(AI15&lt;=AI$50,2,IF(AI15&lt;=AI$51,3,4)))))</f>
        <v>4</v>
      </c>
      <c r="AF15" s="732"/>
      <c r="AG15" s="738">
        <f>iSummary1!CX8</f>
        <v>1</v>
      </c>
      <c r="AH15" s="737" t="str">
        <f>iSummary1!CY8</f>
        <v>Copenhagen</v>
      </c>
      <c r="AI15" s="739">
        <f>iSummary1!CZ8</f>
        <v>92.6</v>
      </c>
    </row>
    <row r="16" spans="1:54" ht="15" customHeight="1">
      <c r="B16" s="730">
        <f>iSummary1!Q9</f>
        <v>1</v>
      </c>
      <c r="C16" s="731">
        <f t="shared" si="0"/>
        <v>3</v>
      </c>
      <c r="D16" s="732"/>
      <c r="E16" s="733">
        <f>iSummary1!R9</f>
        <v>2</v>
      </c>
      <c r="F16" s="734" t="str">
        <f>iSummary1!S9</f>
        <v>Amsterdam</v>
      </c>
      <c r="G16" s="735">
        <f>iSummary1!T9</f>
        <v>74.599999999999994</v>
      </c>
      <c r="H16" s="730"/>
      <c r="I16" s="730">
        <f>iSummary1!AL9</f>
        <v>1</v>
      </c>
      <c r="J16" s="731">
        <f t="shared" si="1"/>
        <v>4</v>
      </c>
      <c r="K16" s="732"/>
      <c r="L16" s="733">
        <f>iSummary1!AM9</f>
        <v>2</v>
      </c>
      <c r="M16" s="734" t="str">
        <f>iSummary1!AN9</f>
        <v>Singapore</v>
      </c>
      <c r="N16" s="735">
        <f>iSummary1!AO9</f>
        <v>83.1</v>
      </c>
      <c r="P16" s="736">
        <f>iSummary1!BG9</f>
        <v>1</v>
      </c>
      <c r="Q16" s="731">
        <f t="shared" si="2"/>
        <v>3</v>
      </c>
      <c r="R16" s="732"/>
      <c r="S16" s="733">
        <f>iSummary1!BH9</f>
        <v>2</v>
      </c>
      <c r="T16" s="737" t="str">
        <f>iSummary1!BI9</f>
        <v>Berlin</v>
      </c>
      <c r="U16" s="735">
        <f>iSummary1!BJ9</f>
        <v>73.8</v>
      </c>
      <c r="V16" s="156"/>
      <c r="W16" s="736">
        <f>iSummary1!CB9</f>
        <v>1</v>
      </c>
      <c r="X16" s="731">
        <f t="shared" si="3"/>
        <v>3</v>
      </c>
      <c r="Y16" s="732"/>
      <c r="Z16" s="738">
        <f>iSummary1!CC9</f>
        <v>2</v>
      </c>
      <c r="AA16" s="740" t="str">
        <f>iSummary1!CD9</f>
        <v>Washington DC</v>
      </c>
      <c r="AB16" s="739">
        <f>iSummary1!CE9</f>
        <v>69.2</v>
      </c>
      <c r="AC16" s="156"/>
      <c r="AD16" s="1058">
        <f>iSummary1!CW9</f>
        <v>1</v>
      </c>
      <c r="AE16" s="731">
        <f t="shared" si="4"/>
        <v>4</v>
      </c>
      <c r="AF16" s="732"/>
      <c r="AG16" s="738">
        <f>iSummary1!CX9</f>
        <v>2</v>
      </c>
      <c r="AH16" s="740" t="str">
        <f>iSummary1!CY9</f>
        <v>Seoul</v>
      </c>
      <c r="AI16" s="739">
        <f>iSummary1!CZ9</f>
        <v>92.1</v>
      </c>
    </row>
    <row r="17" spans="2:35" ht="15" customHeight="1">
      <c r="B17" s="730">
        <f>iSummary1!Q10</f>
        <v>1</v>
      </c>
      <c r="C17" s="731">
        <f t="shared" si="0"/>
        <v>3</v>
      </c>
      <c r="D17" s="732"/>
      <c r="E17" s="733">
        <f>iSummary1!R10</f>
        <v>3</v>
      </c>
      <c r="F17" s="734" t="str">
        <f>iSummary1!S10</f>
        <v>Beijing</v>
      </c>
      <c r="G17" s="735">
        <f>iSummary1!T10</f>
        <v>73.7</v>
      </c>
      <c r="H17" s="730"/>
      <c r="I17" s="730">
        <f>iSummary1!AL10</f>
        <v>1</v>
      </c>
      <c r="J17" s="731">
        <f t="shared" si="1"/>
        <v>4</v>
      </c>
      <c r="K17" s="732"/>
      <c r="L17" s="733">
        <f>iSummary1!AM10</f>
        <v>3</v>
      </c>
      <c r="M17" s="734" t="str">
        <f>iSummary1!AN10</f>
        <v>Zurich</v>
      </c>
      <c r="N17" s="735">
        <f>iSummary1!AO10</f>
        <v>81</v>
      </c>
      <c r="P17" s="736">
        <f>iSummary1!BG10</f>
        <v>1</v>
      </c>
      <c r="Q17" s="731">
        <f t="shared" si="2"/>
        <v>3</v>
      </c>
      <c r="R17" s="732"/>
      <c r="S17" s="733">
        <f>iSummary1!BH10</f>
        <v>3</v>
      </c>
      <c r="T17" s="737" t="str">
        <f>iSummary1!BI10</f>
        <v>London</v>
      </c>
      <c r="U17" s="735">
        <f>iSummary1!BJ10</f>
        <v>73.5</v>
      </c>
      <c r="V17" s="156"/>
      <c r="W17" s="736">
        <f>iSummary1!CB10</f>
        <v>1</v>
      </c>
      <c r="X17" s="731">
        <f t="shared" si="3"/>
        <v>3</v>
      </c>
      <c r="Y17" s="732"/>
      <c r="Z17" s="738">
        <f>iSummary1!CC10</f>
        <v>3</v>
      </c>
      <c r="AA17" s="740" t="str">
        <f>iSummary1!CD10</f>
        <v>Toronto</v>
      </c>
      <c r="AB17" s="739">
        <f>iSummary1!CE10</f>
        <v>68.400000000000006</v>
      </c>
      <c r="AC17" s="156"/>
      <c r="AD17" s="1058">
        <f>iSummary1!CW10</f>
        <v>1</v>
      </c>
      <c r="AE17" s="731">
        <f t="shared" si="4"/>
        <v>4</v>
      </c>
      <c r="AF17" s="732"/>
      <c r="AG17" s="738">
        <f>iSummary1!CX10</f>
        <v>3</v>
      </c>
      <c r="AH17" s="740" t="str">
        <f>iSummary1!CY10</f>
        <v>Toronto</v>
      </c>
      <c r="AI17" s="739">
        <f>iSummary1!CZ10</f>
        <v>90.5</v>
      </c>
    </row>
    <row r="18" spans="2:35" ht="15" customHeight="1">
      <c r="B18" s="730">
        <f>iSummary1!Q11</f>
        <v>1</v>
      </c>
      <c r="C18" s="731">
        <f t="shared" ref="C18:C45" si="5">IF(B18=0,0,IF(G18=-100,5,IF(G18&lt;=G$49,1,IF(G18&lt;=G$50,2,IF(G18&lt;=G$51,3,4)))))</f>
        <v>3</v>
      </c>
      <c r="D18" s="732"/>
      <c r="E18" s="733" t="str">
        <f>iSummary1!R11</f>
        <v>=4</v>
      </c>
      <c r="F18" s="734" t="str">
        <f>iSummary1!S11</f>
        <v>London</v>
      </c>
      <c r="G18" s="735">
        <f>iSummary1!T11</f>
        <v>73.599999999999994</v>
      </c>
      <c r="H18" s="730"/>
      <c r="I18" s="730">
        <f>iSummary1!AL11</f>
        <v>1</v>
      </c>
      <c r="J18" s="731">
        <f t="shared" ref="J18:J45" si="6">IF(I18=0,0,IF(N18=-100,5,IF(N18&lt;=N$49,1,IF(N18&lt;=N$50,2,IF(N18&lt;=N$51,3,4)))))</f>
        <v>4</v>
      </c>
      <c r="K18" s="732"/>
      <c r="L18" s="733">
        <f>iSummary1!AM11</f>
        <v>4</v>
      </c>
      <c r="M18" s="734" t="str">
        <f>iSummary1!AN11</f>
        <v>Beijing</v>
      </c>
      <c r="N18" s="735">
        <f>iSummary1!AO11</f>
        <v>80.7</v>
      </c>
      <c r="P18" s="736">
        <f>iSummary1!BG11</f>
        <v>1</v>
      </c>
      <c r="Q18" s="731">
        <f t="shared" ref="Q18:Q45" si="7">IF(P18=0,0,IF(U18=-100,5,IF(U18&lt;=U$49,1,IF(U18&lt;=U$50,2,IF(U18&lt;=U$51,3,4)))))</f>
        <v>3</v>
      </c>
      <c r="R18" s="732"/>
      <c r="S18" s="733">
        <f>iSummary1!BH11</f>
        <v>4</v>
      </c>
      <c r="T18" s="737" t="str">
        <f>iSummary1!BI11</f>
        <v>Amsterdam</v>
      </c>
      <c r="U18" s="735">
        <f>iSummary1!BJ11</f>
        <v>73.2</v>
      </c>
      <c r="V18" s="156"/>
      <c r="W18" s="736">
        <f>iSummary1!CB11</f>
        <v>1</v>
      </c>
      <c r="X18" s="731">
        <f t="shared" ref="X18:X45" si="8">IF(W18=0,0,IF(AB18=-100,5,IF(AB18&lt;=AB$49,1,IF(AB18&lt;=AB$50,2,IF(AB18&lt;=AB$51,3,4)))))</f>
        <v>3</v>
      </c>
      <c r="Y18" s="732"/>
      <c r="Z18" s="738">
        <f>iSummary1!CC11</f>
        <v>4</v>
      </c>
      <c r="AA18" s="740" t="str">
        <f>iSummary1!CD11</f>
        <v>Copenhagen</v>
      </c>
      <c r="AB18" s="739">
        <f>iSummary1!CE11</f>
        <v>67.900000000000006</v>
      </c>
      <c r="AC18" s="156"/>
      <c r="AD18" s="1058">
        <f>iSummary1!CW11</f>
        <v>1</v>
      </c>
      <c r="AE18" s="731">
        <f t="shared" si="4"/>
        <v>4</v>
      </c>
      <c r="AF18" s="732"/>
      <c r="AG18" s="738">
        <f>iSummary1!CX11</f>
        <v>4</v>
      </c>
      <c r="AH18" s="740" t="str">
        <f>iSummary1!CY11</f>
        <v>Barcelona</v>
      </c>
      <c r="AI18" s="739">
        <f>iSummary1!CZ11</f>
        <v>87.3</v>
      </c>
    </row>
    <row r="19" spans="2:35" ht="15" customHeight="1">
      <c r="B19" s="730">
        <f>iSummary1!Q12</f>
        <v>1</v>
      </c>
      <c r="C19" s="731">
        <f t="shared" si="5"/>
        <v>3</v>
      </c>
      <c r="D19" s="732"/>
      <c r="E19" s="733" t="str">
        <f>iSummary1!R12</f>
        <v>=4</v>
      </c>
      <c r="F19" s="734" t="str">
        <f>iSummary1!S12</f>
        <v>Seoul</v>
      </c>
      <c r="G19" s="735">
        <f>iSummary1!T12</f>
        <v>73.599999999999994</v>
      </c>
      <c r="H19" s="730"/>
      <c r="I19" s="730">
        <f>iSummary1!AL12</f>
        <v>1</v>
      </c>
      <c r="J19" s="731">
        <f t="shared" si="6"/>
        <v>4</v>
      </c>
      <c r="K19" s="732"/>
      <c r="L19" s="733">
        <f>iSummary1!AM12</f>
        <v>5</v>
      </c>
      <c r="M19" s="734" t="str">
        <f>iSummary1!AN12</f>
        <v>Sydney</v>
      </c>
      <c r="N19" s="735">
        <f>iSummary1!AO12</f>
        <v>78</v>
      </c>
      <c r="P19" s="736">
        <f>iSummary1!BG12</f>
        <v>1</v>
      </c>
      <c r="Q19" s="731">
        <f t="shared" si="7"/>
        <v>3</v>
      </c>
      <c r="R19" s="732"/>
      <c r="S19" s="733">
        <f>iSummary1!BH12</f>
        <v>5</v>
      </c>
      <c r="T19" s="737" t="str">
        <f>iSummary1!BI12</f>
        <v>Singapore</v>
      </c>
      <c r="U19" s="735">
        <f>iSummary1!BJ12</f>
        <v>72.7</v>
      </c>
      <c r="V19" s="156"/>
      <c r="W19" s="736">
        <f>iSummary1!CB12</f>
        <v>1</v>
      </c>
      <c r="X19" s="731">
        <f t="shared" si="8"/>
        <v>3</v>
      </c>
      <c r="Y19" s="732"/>
      <c r="Z19" s="738" t="str">
        <f>iSummary1!CC12</f>
        <v>=5</v>
      </c>
      <c r="AA19" s="740" t="str">
        <f>iSummary1!CD12</f>
        <v>Dallas</v>
      </c>
      <c r="AB19" s="739">
        <f>iSummary1!CE12</f>
        <v>67.5</v>
      </c>
      <c r="AC19" s="156"/>
      <c r="AD19" s="1058">
        <f>iSummary1!CW12</f>
        <v>1</v>
      </c>
      <c r="AE19" s="731">
        <f t="shared" si="4"/>
        <v>4</v>
      </c>
      <c r="AF19" s="732"/>
      <c r="AG19" s="738">
        <f>iSummary1!CX12</f>
        <v>5</v>
      </c>
      <c r="AH19" s="740" t="str">
        <f>iSummary1!CY12</f>
        <v>Beijing</v>
      </c>
      <c r="AI19" s="739">
        <f>iSummary1!CZ12</f>
        <v>86.8</v>
      </c>
    </row>
    <row r="20" spans="2:35" ht="15" customHeight="1">
      <c r="B20" s="730">
        <f>iSummary1!Q13</f>
        <v>1</v>
      </c>
      <c r="C20" s="731">
        <f t="shared" si="5"/>
        <v>3</v>
      </c>
      <c r="D20" s="732"/>
      <c r="E20" s="733">
        <f>iSummary1!R13</f>
        <v>6</v>
      </c>
      <c r="F20" s="734" t="str">
        <f>iSummary1!S13</f>
        <v>New York</v>
      </c>
      <c r="G20" s="735">
        <f>iSummary1!T13</f>
        <v>73.3</v>
      </c>
      <c r="H20" s="730"/>
      <c r="I20" s="730">
        <f>iSummary1!AL13</f>
        <v>1</v>
      </c>
      <c r="J20" s="731">
        <f t="shared" si="6"/>
        <v>4</v>
      </c>
      <c r="K20" s="732"/>
      <c r="L20" s="733">
        <f>iSummary1!AM13</f>
        <v>6</v>
      </c>
      <c r="M20" s="734" t="str">
        <f>iSummary1!AN13</f>
        <v>Amsterdam</v>
      </c>
      <c r="N20" s="735">
        <f>iSummary1!AO13</f>
        <v>77</v>
      </c>
      <c r="P20" s="736">
        <f>iSummary1!BG13</f>
        <v>1</v>
      </c>
      <c r="Q20" s="731">
        <f t="shared" si="7"/>
        <v>3</v>
      </c>
      <c r="R20" s="732"/>
      <c r="S20" s="733">
        <f>iSummary1!BH13</f>
        <v>6</v>
      </c>
      <c r="T20" s="737" t="str">
        <f>iSummary1!BI13</f>
        <v>Paris</v>
      </c>
      <c r="U20" s="735">
        <f>iSummary1!BJ13</f>
        <v>72.5</v>
      </c>
      <c r="V20" s="156"/>
      <c r="W20" s="736">
        <f>iSummary1!CB13</f>
        <v>1</v>
      </c>
      <c r="X20" s="731">
        <f t="shared" si="8"/>
        <v>3</v>
      </c>
      <c r="Y20" s="732"/>
      <c r="Z20" s="738" t="str">
        <f>iSummary1!CC13</f>
        <v>=5</v>
      </c>
      <c r="AA20" s="740" t="str">
        <f>iSummary1!CD13</f>
        <v>Seoul</v>
      </c>
      <c r="AB20" s="739">
        <f>iSummary1!CE13</f>
        <v>67.5</v>
      </c>
      <c r="AC20" s="156"/>
      <c r="AD20" s="1058">
        <f>iSummary1!CW13</f>
        <v>1</v>
      </c>
      <c r="AE20" s="731">
        <f t="shared" si="4"/>
        <v>4</v>
      </c>
      <c r="AF20" s="732"/>
      <c r="AG20" s="738">
        <f>iSummary1!CX13</f>
        <v>6</v>
      </c>
      <c r="AH20" s="740" t="str">
        <f>iSummary1!CY13</f>
        <v>Amsterdam</v>
      </c>
      <c r="AI20" s="739">
        <f>iSummary1!CZ13</f>
        <v>85.4</v>
      </c>
    </row>
    <row r="21" spans="2:35" ht="15" customHeight="1">
      <c r="B21" s="730">
        <f>iSummary1!Q14</f>
        <v>1</v>
      </c>
      <c r="C21" s="731">
        <f t="shared" si="5"/>
        <v>3</v>
      </c>
      <c r="D21" s="732"/>
      <c r="E21" s="733">
        <f>iSummary1!R14</f>
        <v>7</v>
      </c>
      <c r="F21" s="734" t="str">
        <f>iSummary1!S14</f>
        <v>Sydney</v>
      </c>
      <c r="G21" s="735">
        <f>iSummary1!T14</f>
        <v>72.599999999999994</v>
      </c>
      <c r="H21" s="730"/>
      <c r="I21" s="730">
        <f>iSummary1!AL14</f>
        <v>1</v>
      </c>
      <c r="J21" s="731">
        <f t="shared" si="6"/>
        <v>4</v>
      </c>
      <c r="K21" s="732"/>
      <c r="L21" s="733">
        <f>iSummary1!AM14</f>
        <v>7</v>
      </c>
      <c r="M21" s="734" t="str">
        <f>iSummary1!AN14</f>
        <v>Hong Kong</v>
      </c>
      <c r="N21" s="735">
        <f>iSummary1!AO14</f>
        <v>76.599999999999994</v>
      </c>
      <c r="P21" s="736">
        <f>iSummary1!BG14</f>
        <v>1</v>
      </c>
      <c r="Q21" s="731">
        <f t="shared" si="7"/>
        <v>3</v>
      </c>
      <c r="R21" s="732"/>
      <c r="S21" s="733">
        <f>iSummary1!BH14</f>
        <v>7</v>
      </c>
      <c r="T21" s="737" t="str">
        <f>iSummary1!BI14</f>
        <v>Barcelona</v>
      </c>
      <c r="U21" s="735">
        <f>iSummary1!BJ14</f>
        <v>72</v>
      </c>
      <c r="V21" s="156"/>
      <c r="W21" s="736">
        <f>iSummary1!CB14</f>
        <v>1</v>
      </c>
      <c r="X21" s="731">
        <f t="shared" si="8"/>
        <v>3</v>
      </c>
      <c r="Y21" s="732"/>
      <c r="Z21" s="738">
        <f>iSummary1!CC14</f>
        <v>7</v>
      </c>
      <c r="AA21" s="740" t="str">
        <f>iSummary1!CD14</f>
        <v>Auckland</v>
      </c>
      <c r="AB21" s="739">
        <f>iSummary1!CE14</f>
        <v>67</v>
      </c>
      <c r="AC21" s="156"/>
      <c r="AD21" s="1058">
        <f>iSummary1!CW14</f>
        <v>1</v>
      </c>
      <c r="AE21" s="731">
        <f t="shared" si="4"/>
        <v>4</v>
      </c>
      <c r="AF21" s="732"/>
      <c r="AG21" s="738">
        <f>iSummary1!CX14</f>
        <v>7</v>
      </c>
      <c r="AH21" s="740" t="str">
        <f>iSummary1!CY14</f>
        <v>London</v>
      </c>
      <c r="AI21" s="739">
        <f>iSummary1!CZ14</f>
        <v>85.2</v>
      </c>
    </row>
    <row r="22" spans="2:35" ht="15" customHeight="1">
      <c r="B22" s="730">
        <f>iSummary1!Q15</f>
        <v>1</v>
      </c>
      <c r="C22" s="731">
        <f t="shared" si="5"/>
        <v>3</v>
      </c>
      <c r="D22" s="732"/>
      <c r="E22" s="733">
        <f>iSummary1!R15</f>
        <v>8</v>
      </c>
      <c r="F22" s="734" t="str">
        <f>iSummary1!S15</f>
        <v>Singapore</v>
      </c>
      <c r="G22" s="735">
        <f>iSummary1!T15</f>
        <v>71.400000000000006</v>
      </c>
      <c r="H22" s="730"/>
      <c r="I22" s="730">
        <f>iSummary1!AL15</f>
        <v>1</v>
      </c>
      <c r="J22" s="731">
        <f t="shared" si="6"/>
        <v>4</v>
      </c>
      <c r="K22" s="732"/>
      <c r="L22" s="733">
        <f>iSummary1!AM15</f>
        <v>8</v>
      </c>
      <c r="M22" s="734" t="str">
        <f>iSummary1!AN15</f>
        <v>New York</v>
      </c>
      <c r="N22" s="735">
        <f>iSummary1!AO15</f>
        <v>76.2</v>
      </c>
      <c r="P22" s="736">
        <f>iSummary1!BG15</f>
        <v>1</v>
      </c>
      <c r="Q22" s="731">
        <f t="shared" si="7"/>
        <v>3</v>
      </c>
      <c r="R22" s="732"/>
      <c r="S22" s="733">
        <f>iSummary1!BH15</f>
        <v>8</v>
      </c>
      <c r="T22" s="737" t="str">
        <f>iSummary1!BI15</f>
        <v>Sydney</v>
      </c>
      <c r="U22" s="735">
        <f>iSummary1!BJ15</f>
        <v>70.8</v>
      </c>
      <c r="V22" s="156"/>
      <c r="W22" s="736">
        <f>iSummary1!CB15</f>
        <v>1</v>
      </c>
      <c r="X22" s="731">
        <f t="shared" si="8"/>
        <v>3</v>
      </c>
      <c r="Y22" s="732"/>
      <c r="Z22" s="738">
        <f>iSummary1!CC15</f>
        <v>8</v>
      </c>
      <c r="AA22" s="740" t="str">
        <f>iSummary1!CD15</f>
        <v>London</v>
      </c>
      <c r="AB22" s="739">
        <f>iSummary1!CE15</f>
        <v>65.400000000000006</v>
      </c>
      <c r="AC22" s="156"/>
      <c r="AD22" s="1058">
        <f>iSummary1!CW15</f>
        <v>1</v>
      </c>
      <c r="AE22" s="731">
        <f t="shared" si="4"/>
        <v>4</v>
      </c>
      <c r="AF22" s="732"/>
      <c r="AG22" s="738">
        <f>iSummary1!CX15</f>
        <v>8</v>
      </c>
      <c r="AH22" s="740" t="str">
        <f>iSummary1!CY15</f>
        <v>Sydney</v>
      </c>
      <c r="AI22" s="739">
        <f>iSummary1!CZ15</f>
        <v>78.599999999999994</v>
      </c>
    </row>
    <row r="23" spans="2:35" ht="15" customHeight="1">
      <c r="B23" s="730">
        <f>iSummary1!Q16</f>
        <v>1</v>
      </c>
      <c r="C23" s="731">
        <f t="shared" si="5"/>
        <v>3</v>
      </c>
      <c r="D23" s="732"/>
      <c r="E23" s="733">
        <f>iSummary1!R16</f>
        <v>9</v>
      </c>
      <c r="F23" s="734" t="str">
        <f>iSummary1!S16</f>
        <v>Washington DC</v>
      </c>
      <c r="G23" s="735">
        <f>iSummary1!T16</f>
        <v>71.2</v>
      </c>
      <c r="H23" s="730"/>
      <c r="I23" s="730">
        <f>iSummary1!AL16</f>
        <v>1</v>
      </c>
      <c r="J23" s="731">
        <f t="shared" si="6"/>
        <v>4</v>
      </c>
      <c r="K23" s="732"/>
      <c r="L23" s="733">
        <f>iSummary1!AM16</f>
        <v>9</v>
      </c>
      <c r="M23" s="734" t="str">
        <f>iSummary1!AN16</f>
        <v>Washington DC</v>
      </c>
      <c r="N23" s="735">
        <f>iSummary1!AO16</f>
        <v>75.599999999999994</v>
      </c>
      <c r="P23" s="736">
        <f>iSummary1!BG16</f>
        <v>1</v>
      </c>
      <c r="Q23" s="731">
        <f t="shared" si="7"/>
        <v>3</v>
      </c>
      <c r="R23" s="732"/>
      <c r="S23" s="733">
        <f>iSummary1!BH16</f>
        <v>9</v>
      </c>
      <c r="T23" s="737" t="str">
        <f>iSummary1!BI16</f>
        <v>Hong Kong</v>
      </c>
      <c r="U23" s="735">
        <f>iSummary1!BJ16</f>
        <v>70.2</v>
      </c>
      <c r="V23" s="156"/>
      <c r="W23" s="736">
        <f>iSummary1!CB16</f>
        <v>1</v>
      </c>
      <c r="X23" s="731">
        <f t="shared" si="8"/>
        <v>3</v>
      </c>
      <c r="Y23" s="732"/>
      <c r="Z23" s="738">
        <f>iSummary1!CC16</f>
        <v>9</v>
      </c>
      <c r="AA23" s="740" t="str">
        <f>iSummary1!CD16</f>
        <v>Dubai</v>
      </c>
      <c r="AB23" s="739">
        <f>iSummary1!CE16</f>
        <v>65.2</v>
      </c>
      <c r="AC23" s="156"/>
      <c r="AD23" s="1058">
        <f>iSummary1!CW16</f>
        <v>1</v>
      </c>
      <c r="AE23" s="731">
        <f t="shared" si="4"/>
        <v>4</v>
      </c>
      <c r="AF23" s="732"/>
      <c r="AG23" s="738">
        <f>iSummary1!CX16</f>
        <v>9</v>
      </c>
      <c r="AH23" s="740" t="str">
        <f>iSummary1!CY16</f>
        <v>New York</v>
      </c>
      <c r="AI23" s="739">
        <f>iSummary1!CZ16</f>
        <v>76.7</v>
      </c>
    </row>
    <row r="24" spans="2:35" ht="15" customHeight="1">
      <c r="B24" s="730">
        <f>iSummary1!Q17</f>
        <v>1</v>
      </c>
      <c r="C24" s="731">
        <f t="shared" si="5"/>
        <v>3</v>
      </c>
      <c r="D24" s="732"/>
      <c r="E24" s="733">
        <f>iSummary1!R17</f>
        <v>10</v>
      </c>
      <c r="F24" s="734" t="str">
        <f>iSummary1!S17</f>
        <v>Paris</v>
      </c>
      <c r="G24" s="735">
        <f>iSummary1!T17</f>
        <v>70.2</v>
      </c>
      <c r="H24" s="730"/>
      <c r="I24" s="730">
        <f>iSummary1!AL17</f>
        <v>1</v>
      </c>
      <c r="J24" s="731">
        <f t="shared" si="6"/>
        <v>4</v>
      </c>
      <c r="K24" s="732"/>
      <c r="L24" s="733">
        <f>iSummary1!AM17</f>
        <v>10</v>
      </c>
      <c r="M24" s="734" t="str">
        <f>iSummary1!AN17</f>
        <v>Seoul</v>
      </c>
      <c r="N24" s="735">
        <f>iSummary1!AO17</f>
        <v>75.3</v>
      </c>
      <c r="P24" s="736">
        <f>iSummary1!BG17</f>
        <v>1</v>
      </c>
      <c r="Q24" s="731">
        <f t="shared" si="7"/>
        <v>3</v>
      </c>
      <c r="R24" s="732"/>
      <c r="S24" s="733">
        <f>iSummary1!BH17</f>
        <v>10</v>
      </c>
      <c r="T24" s="737" t="str">
        <f>iSummary1!BI17</f>
        <v>Frankfurt</v>
      </c>
      <c r="U24" s="735">
        <f>iSummary1!BJ17</f>
        <v>69.900000000000006</v>
      </c>
      <c r="V24" s="156"/>
      <c r="W24" s="736">
        <f>iSummary1!CB17</f>
        <v>1</v>
      </c>
      <c r="X24" s="731">
        <f t="shared" si="8"/>
        <v>3</v>
      </c>
      <c r="Y24" s="732"/>
      <c r="Z24" s="738">
        <f>iSummary1!CC17</f>
        <v>10</v>
      </c>
      <c r="AA24" s="740" t="str">
        <f>iSummary1!CD17</f>
        <v>Paris</v>
      </c>
      <c r="AB24" s="739">
        <f>iSummary1!CE17</f>
        <v>64.099999999999994</v>
      </c>
      <c r="AC24" s="156"/>
      <c r="AD24" s="1058">
        <f>iSummary1!CW17</f>
        <v>1</v>
      </c>
      <c r="AE24" s="731">
        <f t="shared" si="4"/>
        <v>4</v>
      </c>
      <c r="AF24" s="732"/>
      <c r="AG24" s="738">
        <f>iSummary1!CX17</f>
        <v>10</v>
      </c>
      <c r="AH24" s="740" t="str">
        <f>iSummary1!CY17</f>
        <v>Washington DC</v>
      </c>
      <c r="AI24" s="739">
        <f>iSummary1!CZ17</f>
        <v>75.400000000000006</v>
      </c>
    </row>
    <row r="25" spans="2:35" ht="15" customHeight="1">
      <c r="B25" s="730">
        <f>iSummary1!Q18</f>
        <v>1</v>
      </c>
      <c r="C25" s="731">
        <f t="shared" si="5"/>
        <v>3</v>
      </c>
      <c r="D25" s="732"/>
      <c r="E25" s="733" t="str">
        <f>iSummary1!R18</f>
        <v>=11</v>
      </c>
      <c r="F25" s="734" t="str">
        <f>iSummary1!S18</f>
        <v>Toronto</v>
      </c>
      <c r="G25" s="735">
        <f>iSummary1!T18</f>
        <v>70.099999999999994</v>
      </c>
      <c r="H25" s="730"/>
      <c r="I25" s="730">
        <f>iSummary1!AL18</f>
        <v>1</v>
      </c>
      <c r="J25" s="731">
        <f t="shared" si="6"/>
        <v>3</v>
      </c>
      <c r="K25" s="732"/>
      <c r="L25" s="733">
        <f>iSummary1!AM18</f>
        <v>11</v>
      </c>
      <c r="M25" s="734" t="str">
        <f>iSummary1!AN18</f>
        <v>Dallas</v>
      </c>
      <c r="N25" s="735">
        <f>iSummary1!AO18</f>
        <v>74.2</v>
      </c>
      <c r="P25" s="736">
        <f>iSummary1!BG18</f>
        <v>1</v>
      </c>
      <c r="Q25" s="731">
        <f t="shared" si="7"/>
        <v>3</v>
      </c>
      <c r="R25" s="732"/>
      <c r="S25" s="733">
        <f>iSummary1!BH18</f>
        <v>11</v>
      </c>
      <c r="T25" s="737" t="str">
        <f>iSummary1!BI18</f>
        <v>Dubai</v>
      </c>
      <c r="U25" s="735">
        <f>iSummary1!BJ18</f>
        <v>69.8</v>
      </c>
      <c r="V25" s="156"/>
      <c r="W25" s="736">
        <f>iSummary1!CB18</f>
        <v>1</v>
      </c>
      <c r="X25" s="731">
        <f t="shared" si="8"/>
        <v>3</v>
      </c>
      <c r="Y25" s="732"/>
      <c r="Z25" s="738">
        <f>iSummary1!CC18</f>
        <v>11</v>
      </c>
      <c r="AA25" s="740" t="str">
        <f>iSummary1!CD18</f>
        <v>Zurich</v>
      </c>
      <c r="AB25" s="739">
        <f>iSummary1!CE18</f>
        <v>64</v>
      </c>
      <c r="AC25" s="156"/>
      <c r="AD25" s="1058">
        <f>iSummary1!CW18</f>
        <v>1</v>
      </c>
      <c r="AE25" s="731">
        <f t="shared" si="4"/>
        <v>3</v>
      </c>
      <c r="AF25" s="732"/>
      <c r="AG25" s="738">
        <f>iSummary1!CX18</f>
        <v>11</v>
      </c>
      <c r="AH25" s="740" t="str">
        <f>iSummary1!CY18</f>
        <v>Hong Kong</v>
      </c>
      <c r="AI25" s="739">
        <f>iSummary1!CZ18</f>
        <v>72.599999999999994</v>
      </c>
    </row>
    <row r="26" spans="2:35" ht="15" customHeight="1">
      <c r="B26" s="730">
        <f>iSummary1!Q19</f>
        <v>1</v>
      </c>
      <c r="C26" s="731">
        <f t="shared" si="5"/>
        <v>3</v>
      </c>
      <c r="D26" s="732"/>
      <c r="E26" s="733" t="str">
        <f>iSummary1!R19</f>
        <v>=11</v>
      </c>
      <c r="F26" s="734" t="str">
        <f>iSummary1!S19</f>
        <v>Zurich</v>
      </c>
      <c r="G26" s="735">
        <f>iSummary1!T19</f>
        <v>70.099999999999994</v>
      </c>
      <c r="H26" s="730"/>
      <c r="I26" s="730">
        <f>iSummary1!AL19</f>
        <v>1</v>
      </c>
      <c r="J26" s="731">
        <f t="shared" si="6"/>
        <v>3</v>
      </c>
      <c r="K26" s="732"/>
      <c r="L26" s="733">
        <f>iSummary1!AM19</f>
        <v>12</v>
      </c>
      <c r="M26" s="734" t="str">
        <f>iSummary1!AN19</f>
        <v>Paris</v>
      </c>
      <c r="N26" s="735">
        <f>iSummary1!AO19</f>
        <v>71.900000000000006</v>
      </c>
      <c r="P26" s="736">
        <f>iSummary1!BG19</f>
        <v>1</v>
      </c>
      <c r="Q26" s="731">
        <f t="shared" si="7"/>
        <v>3</v>
      </c>
      <c r="R26" s="732"/>
      <c r="S26" s="733">
        <f>iSummary1!BH19</f>
        <v>12</v>
      </c>
      <c r="T26" s="737" t="str">
        <f>iSummary1!BI19</f>
        <v>Beijing</v>
      </c>
      <c r="U26" s="735">
        <f>iSummary1!BJ19</f>
        <v>68.3</v>
      </c>
      <c r="V26" s="156"/>
      <c r="W26" s="736">
        <f>iSummary1!CB19</f>
        <v>1</v>
      </c>
      <c r="X26" s="731">
        <f t="shared" si="8"/>
        <v>3</v>
      </c>
      <c r="Y26" s="732"/>
      <c r="Z26" s="738">
        <f>iSummary1!CC19</f>
        <v>12</v>
      </c>
      <c r="AA26" s="740" t="str">
        <f>iSummary1!CD19</f>
        <v>Singapore</v>
      </c>
      <c r="AB26" s="739">
        <f>iSummary1!CE19</f>
        <v>63.7</v>
      </c>
      <c r="AC26" s="156"/>
      <c r="AD26" s="1058">
        <f>iSummary1!CW19</f>
        <v>1</v>
      </c>
      <c r="AE26" s="731">
        <f t="shared" si="4"/>
        <v>3</v>
      </c>
      <c r="AF26" s="732"/>
      <c r="AG26" s="738">
        <f>iSummary1!CX19</f>
        <v>12</v>
      </c>
      <c r="AH26" s="740" t="str">
        <f>iSummary1!CY19</f>
        <v>Tokyo</v>
      </c>
      <c r="AI26" s="739">
        <f>iSummary1!CZ19</f>
        <v>72.2</v>
      </c>
    </row>
    <row r="27" spans="2:35" ht="15" customHeight="1">
      <c r="B27" s="730">
        <f>iSummary1!Q20</f>
        <v>1</v>
      </c>
      <c r="C27" s="731">
        <f t="shared" si="5"/>
        <v>3</v>
      </c>
      <c r="D27" s="732"/>
      <c r="E27" s="733">
        <f>iSummary1!R20</f>
        <v>13</v>
      </c>
      <c r="F27" s="734" t="str">
        <f>iSummary1!S20</f>
        <v>Barcelona</v>
      </c>
      <c r="G27" s="735">
        <f>iSummary1!T20</f>
        <v>69.7</v>
      </c>
      <c r="H27" s="730"/>
      <c r="I27" s="730">
        <f>iSummary1!AL20</f>
        <v>1</v>
      </c>
      <c r="J27" s="731">
        <f t="shared" si="6"/>
        <v>3</v>
      </c>
      <c r="K27" s="732"/>
      <c r="L27" s="733" t="str">
        <f>iSummary1!AM20</f>
        <v>=13</v>
      </c>
      <c r="M27" s="734" t="str">
        <f>iSummary1!AN20</f>
        <v>London</v>
      </c>
      <c r="N27" s="735">
        <f>iSummary1!AO20</f>
        <v>71.3</v>
      </c>
      <c r="P27" s="736">
        <f>iSummary1!BG20</f>
        <v>1</v>
      </c>
      <c r="Q27" s="731">
        <f t="shared" si="7"/>
        <v>3</v>
      </c>
      <c r="R27" s="732"/>
      <c r="S27" s="733">
        <f>iSummary1!BH20</f>
        <v>13</v>
      </c>
      <c r="T27" s="737" t="str">
        <f>iSummary1!BI20</f>
        <v>Dallas</v>
      </c>
      <c r="U27" s="735">
        <f>iSummary1!BJ20</f>
        <v>67.5</v>
      </c>
      <c r="V27" s="156"/>
      <c r="W27" s="736">
        <f>iSummary1!CB20</f>
        <v>1</v>
      </c>
      <c r="X27" s="731">
        <f t="shared" si="8"/>
        <v>3</v>
      </c>
      <c r="Y27" s="732"/>
      <c r="Z27" s="738" t="str">
        <f>iSummary1!CC20</f>
        <v>=13</v>
      </c>
      <c r="AA27" s="740" t="str">
        <f>iSummary1!CD20</f>
        <v>Berlin</v>
      </c>
      <c r="AB27" s="739">
        <f>iSummary1!CE20</f>
        <v>62.7</v>
      </c>
      <c r="AC27" s="156"/>
      <c r="AD27" s="1058">
        <f>iSummary1!CW20</f>
        <v>1</v>
      </c>
      <c r="AE27" s="731">
        <f t="shared" si="4"/>
        <v>3</v>
      </c>
      <c r="AF27" s="732"/>
      <c r="AG27" s="738">
        <f>iSummary1!CX20</f>
        <v>13</v>
      </c>
      <c r="AH27" s="740" t="str">
        <f>iSummary1!CY20</f>
        <v>Frankfurt</v>
      </c>
      <c r="AI27" s="739">
        <f>iSummary1!CZ20</f>
        <v>71.7</v>
      </c>
    </row>
    <row r="28" spans="2:35" ht="15" customHeight="1">
      <c r="B28" s="730">
        <f>iSummary1!Q21</f>
        <v>1</v>
      </c>
      <c r="C28" s="731">
        <f t="shared" si="5"/>
        <v>3</v>
      </c>
      <c r="D28" s="732"/>
      <c r="E28" s="733">
        <f>iSummary1!R21</f>
        <v>14</v>
      </c>
      <c r="F28" s="734" t="str">
        <f>iSummary1!S21</f>
        <v>Frankfurt</v>
      </c>
      <c r="G28" s="735">
        <f>iSummary1!T21</f>
        <v>69.099999999999994</v>
      </c>
      <c r="H28" s="730"/>
      <c r="I28" s="730">
        <f>iSummary1!AL21</f>
        <v>1</v>
      </c>
      <c r="J28" s="731">
        <f t="shared" si="6"/>
        <v>3</v>
      </c>
      <c r="K28" s="732"/>
      <c r="L28" s="733" t="str">
        <f>iSummary1!AM21</f>
        <v>=13</v>
      </c>
      <c r="M28" s="734" t="str">
        <f>iSummary1!AN21</f>
        <v>Tokyo</v>
      </c>
      <c r="N28" s="735">
        <f>iSummary1!AO21</f>
        <v>71.3</v>
      </c>
      <c r="P28" s="736">
        <f>iSummary1!BG21</f>
        <v>1</v>
      </c>
      <c r="Q28" s="731">
        <f t="shared" si="7"/>
        <v>3</v>
      </c>
      <c r="R28" s="732"/>
      <c r="S28" s="733">
        <f>iSummary1!BH21</f>
        <v>14</v>
      </c>
      <c r="T28" s="737" t="str">
        <f>iSummary1!BI21</f>
        <v>New York</v>
      </c>
      <c r="U28" s="735">
        <f>iSummary1!BJ21</f>
        <v>67.2</v>
      </c>
      <c r="V28" s="156"/>
      <c r="W28" s="736">
        <f>iSummary1!CB21</f>
        <v>1</v>
      </c>
      <c r="X28" s="731">
        <f t="shared" si="8"/>
        <v>3</v>
      </c>
      <c r="Y28" s="732"/>
      <c r="Z28" s="738" t="str">
        <f>iSummary1!CC21</f>
        <v>=13</v>
      </c>
      <c r="AA28" s="740" t="str">
        <f>iSummary1!CD21</f>
        <v>Frankfurt</v>
      </c>
      <c r="AB28" s="739">
        <f>iSummary1!CE21</f>
        <v>62.7</v>
      </c>
      <c r="AC28" s="156"/>
      <c r="AD28" s="1058">
        <f>iSummary1!CW21</f>
        <v>1</v>
      </c>
      <c r="AE28" s="731">
        <f t="shared" si="4"/>
        <v>3</v>
      </c>
      <c r="AF28" s="732"/>
      <c r="AG28" s="738">
        <f>iSummary1!CX21</f>
        <v>14</v>
      </c>
      <c r="AH28" s="740" t="str">
        <f>iSummary1!CY21</f>
        <v>Paris</v>
      </c>
      <c r="AI28" s="739">
        <f>iSummary1!CZ21</f>
        <v>70.900000000000006</v>
      </c>
    </row>
    <row r="29" spans="2:35" ht="15" customHeight="1">
      <c r="B29" s="730">
        <f>iSummary1!Q22</f>
        <v>1</v>
      </c>
      <c r="C29" s="731">
        <f t="shared" si="5"/>
        <v>3</v>
      </c>
      <c r="D29" s="732"/>
      <c r="E29" s="733">
        <f>iSummary1!R22</f>
        <v>15</v>
      </c>
      <c r="F29" s="734" t="str">
        <f>iSummary1!S22</f>
        <v>Dallas</v>
      </c>
      <c r="G29" s="735">
        <f>iSummary1!T22</f>
        <v>68.7</v>
      </c>
      <c r="H29" s="730"/>
      <c r="I29" s="730">
        <f>iSummary1!AL22</f>
        <v>1</v>
      </c>
      <c r="J29" s="731">
        <f t="shared" si="6"/>
        <v>3</v>
      </c>
      <c r="K29" s="732"/>
      <c r="L29" s="733">
        <f>iSummary1!AM22</f>
        <v>15</v>
      </c>
      <c r="M29" s="734" t="str">
        <f>iSummary1!AN22</f>
        <v>Frankfurt</v>
      </c>
      <c r="N29" s="735">
        <f>iSummary1!AO22</f>
        <v>71.2</v>
      </c>
      <c r="P29" s="736">
        <f>iSummary1!BG22</f>
        <v>1</v>
      </c>
      <c r="Q29" s="731">
        <f t="shared" si="7"/>
        <v>3</v>
      </c>
      <c r="R29" s="732"/>
      <c r="S29" s="733">
        <f>iSummary1!BH22</f>
        <v>15</v>
      </c>
      <c r="T29" s="737" t="str">
        <f>iSummary1!BI22</f>
        <v>Zurich</v>
      </c>
      <c r="U29" s="735">
        <f>iSummary1!BJ22</f>
        <v>65.7</v>
      </c>
      <c r="V29" s="156"/>
      <c r="W29" s="736">
        <f>iSummary1!CB22</f>
        <v>1</v>
      </c>
      <c r="X29" s="731">
        <f t="shared" si="8"/>
        <v>3</v>
      </c>
      <c r="Y29" s="732"/>
      <c r="Z29" s="738">
        <f>iSummary1!CC22</f>
        <v>15</v>
      </c>
      <c r="AA29" s="740" t="str">
        <f>iSummary1!CD22</f>
        <v>Amsterdam</v>
      </c>
      <c r="AB29" s="739">
        <f>iSummary1!CE22</f>
        <v>62.1</v>
      </c>
      <c r="AC29" s="156"/>
      <c r="AD29" s="1058">
        <f>iSummary1!CW22</f>
        <v>1</v>
      </c>
      <c r="AE29" s="731">
        <f t="shared" si="4"/>
        <v>3</v>
      </c>
      <c r="AF29" s="732"/>
      <c r="AG29" s="738">
        <f>iSummary1!CX22</f>
        <v>15</v>
      </c>
      <c r="AH29" s="740" t="str">
        <f>iSummary1!CY22</f>
        <v>Berlin</v>
      </c>
      <c r="AI29" s="739">
        <f>iSummary1!CZ22</f>
        <v>69.599999999999994</v>
      </c>
    </row>
    <row r="30" spans="2:35" ht="15" customHeight="1">
      <c r="B30" s="730">
        <f>iSummary1!Q23</f>
        <v>1</v>
      </c>
      <c r="C30" s="731">
        <f t="shared" si="5"/>
        <v>3</v>
      </c>
      <c r="D30" s="732"/>
      <c r="E30" s="733">
        <f>iSummary1!R23</f>
        <v>16</v>
      </c>
      <c r="F30" s="734" t="str">
        <f>iSummary1!S23</f>
        <v>Berlin</v>
      </c>
      <c r="G30" s="735">
        <f>iSummary1!T23</f>
        <v>68.2</v>
      </c>
      <c r="H30" s="730"/>
      <c r="I30" s="730">
        <f>iSummary1!AL23</f>
        <v>1</v>
      </c>
      <c r="J30" s="731">
        <f t="shared" si="6"/>
        <v>3</v>
      </c>
      <c r="K30" s="732"/>
      <c r="L30" s="733">
        <f>iSummary1!AM23</f>
        <v>16</v>
      </c>
      <c r="M30" s="734" t="str">
        <f>iSummary1!AN23</f>
        <v>Berlin</v>
      </c>
      <c r="N30" s="735">
        <f>iSummary1!AO23</f>
        <v>65.900000000000006</v>
      </c>
      <c r="P30" s="736">
        <f>iSummary1!BG23</f>
        <v>1</v>
      </c>
      <c r="Q30" s="731">
        <f t="shared" si="7"/>
        <v>3</v>
      </c>
      <c r="R30" s="732"/>
      <c r="S30" s="733">
        <f>iSummary1!BH23</f>
        <v>16</v>
      </c>
      <c r="T30" s="737" t="str">
        <f>iSummary1!BI23</f>
        <v>Rome</v>
      </c>
      <c r="U30" s="735">
        <f>iSummary1!BJ23</f>
        <v>65.3</v>
      </c>
      <c r="V30" s="156"/>
      <c r="W30" s="736">
        <f>iSummary1!CB23</f>
        <v>1</v>
      </c>
      <c r="X30" s="731">
        <f t="shared" si="8"/>
        <v>3</v>
      </c>
      <c r="Y30" s="732"/>
      <c r="Z30" s="738">
        <f>iSummary1!CC23</f>
        <v>16</v>
      </c>
      <c r="AA30" s="740" t="str">
        <f>iSummary1!CD23</f>
        <v>Sydney</v>
      </c>
      <c r="AB30" s="739">
        <f>iSummary1!CE23</f>
        <v>61.4</v>
      </c>
      <c r="AC30" s="156"/>
      <c r="AD30" s="1058">
        <f>iSummary1!CW23</f>
        <v>1</v>
      </c>
      <c r="AE30" s="731">
        <f t="shared" si="4"/>
        <v>3</v>
      </c>
      <c r="AF30" s="732"/>
      <c r="AG30" s="738">
        <f>iSummary1!CX23</f>
        <v>16</v>
      </c>
      <c r="AH30" s="740" t="str">
        <f>iSummary1!CY23</f>
        <v>Madrid</v>
      </c>
      <c r="AI30" s="739">
        <f>iSummary1!CZ23</f>
        <v>69.5</v>
      </c>
    </row>
    <row r="31" spans="2:35" ht="15" customHeight="1">
      <c r="B31" s="730">
        <f>iSummary1!Q24</f>
        <v>1</v>
      </c>
      <c r="C31" s="731">
        <f t="shared" si="5"/>
        <v>3</v>
      </c>
      <c r="D31" s="732"/>
      <c r="E31" s="733">
        <f>iSummary1!R24</f>
        <v>17</v>
      </c>
      <c r="F31" s="734" t="str">
        <f>iSummary1!S24</f>
        <v>Hong Kong</v>
      </c>
      <c r="G31" s="735">
        <f>iSummary1!T24</f>
        <v>68</v>
      </c>
      <c r="H31" s="730"/>
      <c r="I31" s="730">
        <f>iSummary1!AL24</f>
        <v>4</v>
      </c>
      <c r="J31" s="731">
        <f t="shared" si="6"/>
        <v>3</v>
      </c>
      <c r="K31" s="732"/>
      <c r="L31" s="733" t="str">
        <f>iSummary1!AM24</f>
        <v/>
      </c>
      <c r="M31" s="734" t="str">
        <f>iSummary1!AN24</f>
        <v>AVERAGE</v>
      </c>
      <c r="N31" s="735">
        <f>iSummary1!AO24</f>
        <v>65.900000000000006</v>
      </c>
      <c r="P31" s="736">
        <f>iSummary1!BG24</f>
        <v>1</v>
      </c>
      <c r="Q31" s="731">
        <f t="shared" si="7"/>
        <v>3</v>
      </c>
      <c r="R31" s="732"/>
      <c r="S31" s="733">
        <f>iSummary1!BH24</f>
        <v>17</v>
      </c>
      <c r="T31" s="737" t="str">
        <f>iSummary1!BI24</f>
        <v>Washington DC</v>
      </c>
      <c r="U31" s="735">
        <f>iSummary1!BJ24</f>
        <v>64.900000000000006</v>
      </c>
      <c r="V31" s="156"/>
      <c r="W31" s="736">
        <f>iSummary1!CB24</f>
        <v>1</v>
      </c>
      <c r="X31" s="731">
        <f t="shared" si="8"/>
        <v>3</v>
      </c>
      <c r="Y31" s="732"/>
      <c r="Z31" s="738">
        <f>iSummary1!CC24</f>
        <v>17</v>
      </c>
      <c r="AA31" s="740" t="str">
        <f>iSummary1!CD24</f>
        <v>Barcelona</v>
      </c>
      <c r="AB31" s="739">
        <f>iSummary1!CE24</f>
        <v>60.6</v>
      </c>
      <c r="AC31" s="156"/>
      <c r="AD31" s="1058">
        <f>iSummary1!CW24</f>
        <v>1</v>
      </c>
      <c r="AE31" s="731">
        <f t="shared" si="4"/>
        <v>3</v>
      </c>
      <c r="AF31" s="732"/>
      <c r="AG31" s="738">
        <f>iSummary1!CX24</f>
        <v>17</v>
      </c>
      <c r="AH31" s="740" t="str">
        <f>iSummary1!CY24</f>
        <v>Auckland</v>
      </c>
      <c r="AI31" s="739">
        <f>iSummary1!CZ24</f>
        <v>68.099999999999994</v>
      </c>
    </row>
    <row r="32" spans="2:35" ht="15" customHeight="1">
      <c r="B32" s="730">
        <f>iSummary1!Q25</f>
        <v>1</v>
      </c>
      <c r="C32" s="731">
        <f t="shared" si="5"/>
        <v>3</v>
      </c>
      <c r="D32" s="732"/>
      <c r="E32" s="733">
        <f>iSummary1!R25</f>
        <v>18</v>
      </c>
      <c r="F32" s="734" t="str">
        <f>iSummary1!S25</f>
        <v>Dubai</v>
      </c>
      <c r="G32" s="735">
        <f>iSummary1!T25</f>
        <v>63.8</v>
      </c>
      <c r="H32" s="730"/>
      <c r="I32" s="730">
        <f>iSummary1!AL25</f>
        <v>1</v>
      </c>
      <c r="J32" s="731">
        <f t="shared" si="6"/>
        <v>3</v>
      </c>
      <c r="K32" s="732"/>
      <c r="L32" s="733">
        <f>iSummary1!AM25</f>
        <v>17</v>
      </c>
      <c r="M32" s="734" t="str">
        <f>iSummary1!AN25</f>
        <v>Rome</v>
      </c>
      <c r="N32" s="735">
        <f>iSummary1!AO25</f>
        <v>64.900000000000006</v>
      </c>
      <c r="P32" s="736">
        <f>iSummary1!BG25</f>
        <v>1</v>
      </c>
      <c r="Q32" s="731">
        <f t="shared" si="7"/>
        <v>3</v>
      </c>
      <c r="R32" s="732"/>
      <c r="S32" s="733">
        <f>iSummary1!BH25</f>
        <v>18</v>
      </c>
      <c r="T32" s="737" t="str">
        <f>iSummary1!BI25</f>
        <v>Toronto</v>
      </c>
      <c r="U32" s="735">
        <f>iSummary1!BJ25</f>
        <v>64</v>
      </c>
      <c r="V32" s="156"/>
      <c r="W32" s="736">
        <f>iSummary1!CB25</f>
        <v>4</v>
      </c>
      <c r="X32" s="731">
        <f t="shared" si="8"/>
        <v>3</v>
      </c>
      <c r="Y32" s="732"/>
      <c r="Z32" s="738" t="str">
        <f>iSummary1!CC25</f>
        <v/>
      </c>
      <c r="AA32" s="740" t="str">
        <f>iSummary1!CD25</f>
        <v>AVERAGE</v>
      </c>
      <c r="AB32" s="739">
        <f>iSummary1!CE25</f>
        <v>59.2</v>
      </c>
      <c r="AC32" s="156"/>
      <c r="AD32" s="1058">
        <f>iSummary1!CW25</f>
        <v>1</v>
      </c>
      <c r="AE32" s="731">
        <f t="shared" si="4"/>
        <v>3</v>
      </c>
      <c r="AF32" s="732"/>
      <c r="AG32" s="738">
        <f>iSummary1!CX25</f>
        <v>18</v>
      </c>
      <c r="AH32" s="740" t="str">
        <f>iSummary1!CY25</f>
        <v>Zurich</v>
      </c>
      <c r="AI32" s="739">
        <f>iSummary1!CZ25</f>
        <v>66.3</v>
      </c>
    </row>
    <row r="33" spans="1:35" ht="15" customHeight="1">
      <c r="B33" s="730">
        <f>iSummary1!Q26</f>
        <v>4</v>
      </c>
      <c r="C33" s="731">
        <f t="shared" si="5"/>
        <v>3</v>
      </c>
      <c r="D33" s="732"/>
      <c r="E33" s="733" t="str">
        <f>iSummary1!R26</f>
        <v/>
      </c>
      <c r="F33" s="734" t="str">
        <f>iSummary1!S26</f>
        <v>AVERAGE</v>
      </c>
      <c r="G33" s="735">
        <f>iSummary1!T26</f>
        <v>63.3</v>
      </c>
      <c r="H33" s="730"/>
      <c r="I33" s="730">
        <f>iSummary1!AL26</f>
        <v>1</v>
      </c>
      <c r="J33" s="731">
        <f t="shared" si="6"/>
        <v>3</v>
      </c>
      <c r="K33" s="732"/>
      <c r="L33" s="733">
        <f>iSummary1!AM26</f>
        <v>18</v>
      </c>
      <c r="M33" s="734" t="str">
        <f>iSummary1!AN26</f>
        <v>Madrid</v>
      </c>
      <c r="N33" s="735">
        <f>iSummary1!AO26</f>
        <v>64.599999999999994</v>
      </c>
      <c r="P33" s="736">
        <f>iSummary1!BG26</f>
        <v>1</v>
      </c>
      <c r="Q33" s="731">
        <f t="shared" si="7"/>
        <v>3</v>
      </c>
      <c r="R33" s="732"/>
      <c r="S33" s="733">
        <f>iSummary1!BH26</f>
        <v>19</v>
      </c>
      <c r="T33" s="737" t="str">
        <f>iSummary1!BI26</f>
        <v>Seoul</v>
      </c>
      <c r="U33" s="735">
        <f>iSummary1!BJ26</f>
        <v>62.5</v>
      </c>
      <c r="V33" s="156"/>
      <c r="W33" s="736">
        <f>iSummary1!CB26</f>
        <v>1</v>
      </c>
      <c r="X33" s="731">
        <f t="shared" si="8"/>
        <v>3</v>
      </c>
      <c r="Y33" s="732"/>
      <c r="Z33" s="738">
        <f>iSummary1!CC26</f>
        <v>18</v>
      </c>
      <c r="AA33" s="740" t="str">
        <f>iSummary1!CD26</f>
        <v>Beijing</v>
      </c>
      <c r="AB33" s="739">
        <f>iSummary1!CE26</f>
        <v>57.9</v>
      </c>
      <c r="AC33" s="156"/>
      <c r="AD33" s="1058">
        <f>iSummary1!CW26</f>
        <v>4</v>
      </c>
      <c r="AE33" s="731">
        <f t="shared" si="4"/>
        <v>3</v>
      </c>
      <c r="AF33" s="732"/>
      <c r="AG33" s="738" t="str">
        <f>iSummary1!CX26</f>
        <v/>
      </c>
      <c r="AH33" s="740" t="str">
        <f>iSummary1!CY26</f>
        <v>AVERAGE</v>
      </c>
      <c r="AI33" s="739">
        <f>iSummary1!CZ26</f>
        <v>66.3</v>
      </c>
    </row>
    <row r="34" spans="1:35" ht="15" customHeight="1">
      <c r="B34" s="730">
        <f>iSummary1!Q27</f>
        <v>1</v>
      </c>
      <c r="C34" s="731">
        <f t="shared" si="5"/>
        <v>3</v>
      </c>
      <c r="D34" s="732"/>
      <c r="E34" s="733">
        <f>iSummary1!R27</f>
        <v>19</v>
      </c>
      <c r="F34" s="734" t="str">
        <f>iSummary1!S27</f>
        <v>Madrid</v>
      </c>
      <c r="G34" s="735">
        <f>iSummary1!T27</f>
        <v>63.2</v>
      </c>
      <c r="H34" s="730"/>
      <c r="I34" s="730">
        <f>iSummary1!AL27</f>
        <v>1</v>
      </c>
      <c r="J34" s="731">
        <f t="shared" si="6"/>
        <v>3</v>
      </c>
      <c r="K34" s="732"/>
      <c r="L34" s="733">
        <f>iSummary1!AM27</f>
        <v>19</v>
      </c>
      <c r="M34" s="734" t="str">
        <f>iSummary1!AN27</f>
        <v>Dubai</v>
      </c>
      <c r="N34" s="735">
        <f>iSummary1!AO27</f>
        <v>63.5</v>
      </c>
      <c r="P34" s="736">
        <f>iSummary1!BG27</f>
        <v>1</v>
      </c>
      <c r="Q34" s="731">
        <f t="shared" si="7"/>
        <v>3</v>
      </c>
      <c r="R34" s="732"/>
      <c r="S34" s="733">
        <f>iSummary1!BH27</f>
        <v>20</v>
      </c>
      <c r="T34" s="737" t="str">
        <f>iSummary1!BI27</f>
        <v>Madrid</v>
      </c>
      <c r="U34" s="735">
        <f>iSummary1!BJ27</f>
        <v>61.5</v>
      </c>
      <c r="V34" s="156"/>
      <c r="W34" s="736">
        <f>iSummary1!CB27</f>
        <v>1</v>
      </c>
      <c r="X34" s="731">
        <f t="shared" si="8"/>
        <v>3</v>
      </c>
      <c r="Y34" s="732"/>
      <c r="Z34" s="738">
        <f>iSummary1!CC27</f>
        <v>19</v>
      </c>
      <c r="AA34" s="740" t="str">
        <f>iSummary1!CD27</f>
        <v>Sao Paulo</v>
      </c>
      <c r="AB34" s="739">
        <f>iSummary1!CE27</f>
        <v>57</v>
      </c>
      <c r="AC34" s="156"/>
      <c r="AD34" s="1058">
        <f>iSummary1!CW27</f>
        <v>1</v>
      </c>
      <c r="AE34" s="731">
        <f t="shared" si="4"/>
        <v>3</v>
      </c>
      <c r="AF34" s="732"/>
      <c r="AG34" s="738">
        <f>iSummary1!CX27</f>
        <v>19</v>
      </c>
      <c r="AH34" s="740" t="str">
        <f>iSummary1!CY27</f>
        <v>Kuala Lumpur</v>
      </c>
      <c r="AI34" s="739">
        <f>iSummary1!CZ27</f>
        <v>66</v>
      </c>
    </row>
    <row r="35" spans="1:35" ht="15" customHeight="1">
      <c r="B35" s="730">
        <f>iSummary1!Q28</f>
        <v>1</v>
      </c>
      <c r="C35" s="731">
        <f t="shared" si="5"/>
        <v>3</v>
      </c>
      <c r="D35" s="732"/>
      <c r="E35" s="733">
        <f>iSummary1!R28</f>
        <v>20</v>
      </c>
      <c r="F35" s="734" t="str">
        <f>iSummary1!S28</f>
        <v>Tokyo</v>
      </c>
      <c r="G35" s="735">
        <f>iSummary1!T28</f>
        <v>63</v>
      </c>
      <c r="H35" s="730"/>
      <c r="I35" s="730">
        <f>iSummary1!AL28</f>
        <v>1</v>
      </c>
      <c r="J35" s="731">
        <f t="shared" si="6"/>
        <v>3</v>
      </c>
      <c r="K35" s="732"/>
      <c r="L35" s="733">
        <f>iSummary1!AM28</f>
        <v>20</v>
      </c>
      <c r="M35" s="734" t="str">
        <f>iSummary1!AN28</f>
        <v>Toronto</v>
      </c>
      <c r="N35" s="735">
        <f>iSummary1!AO28</f>
        <v>62.8</v>
      </c>
      <c r="P35" s="736">
        <f>iSummary1!BG28</f>
        <v>4</v>
      </c>
      <c r="Q35" s="731">
        <f t="shared" si="7"/>
        <v>3</v>
      </c>
      <c r="R35" s="732"/>
      <c r="S35" s="733" t="str">
        <f>iSummary1!BH28</f>
        <v/>
      </c>
      <c r="T35" s="737" t="str">
        <f>iSummary1!BI28</f>
        <v>AVERAGE</v>
      </c>
      <c r="U35" s="735">
        <f>iSummary1!BJ28</f>
        <v>61.4</v>
      </c>
      <c r="V35" s="156"/>
      <c r="W35" s="736">
        <f>iSummary1!CB28</f>
        <v>1</v>
      </c>
      <c r="X35" s="731">
        <f t="shared" si="8"/>
        <v>3</v>
      </c>
      <c r="Y35" s="732"/>
      <c r="Z35" s="738" t="str">
        <f>iSummary1!CC28</f>
        <v>=20</v>
      </c>
      <c r="AA35" s="740" t="str">
        <f>iSummary1!CD28</f>
        <v>Kuala Lumpur</v>
      </c>
      <c r="AB35" s="739">
        <f>iSummary1!CE28</f>
        <v>56.9</v>
      </c>
      <c r="AC35" s="156"/>
      <c r="AD35" s="1058">
        <f>iSummary1!CW28</f>
        <v>1</v>
      </c>
      <c r="AE35" s="731">
        <f t="shared" si="4"/>
        <v>3</v>
      </c>
      <c r="AF35" s="732"/>
      <c r="AG35" s="738">
        <f>iSummary1!CX28</f>
        <v>20</v>
      </c>
      <c r="AH35" s="740" t="str">
        <f>iSummary1!CY28</f>
        <v>Dallas</v>
      </c>
      <c r="AI35" s="739">
        <f>iSummary1!CZ28</f>
        <v>63.7</v>
      </c>
    </row>
    <row r="36" spans="1:35" ht="15" customHeight="1">
      <c r="B36" s="730">
        <f>iSummary1!Q29</f>
        <v>1</v>
      </c>
      <c r="C36" s="731">
        <f t="shared" si="5"/>
        <v>3</v>
      </c>
      <c r="D36" s="732"/>
      <c r="E36" s="733">
        <f>iSummary1!R29</f>
        <v>21</v>
      </c>
      <c r="F36" s="734" t="str">
        <f>iSummary1!S29</f>
        <v>Rome</v>
      </c>
      <c r="G36" s="735">
        <f>iSummary1!T29</f>
        <v>61.2</v>
      </c>
      <c r="H36" s="730"/>
      <c r="I36" s="730">
        <f>iSummary1!AL29</f>
        <v>1</v>
      </c>
      <c r="J36" s="731">
        <f t="shared" si="6"/>
        <v>3</v>
      </c>
      <c r="K36" s="732"/>
      <c r="L36" s="733">
        <f>iSummary1!AM29</f>
        <v>21</v>
      </c>
      <c r="M36" s="734" t="str">
        <f>iSummary1!AN29</f>
        <v>Barcelona</v>
      </c>
      <c r="N36" s="735">
        <f>iSummary1!AO29</f>
        <v>61.6</v>
      </c>
      <c r="P36" s="736">
        <f>iSummary1!BG29</f>
        <v>1</v>
      </c>
      <c r="Q36" s="731">
        <f t="shared" si="7"/>
        <v>3</v>
      </c>
      <c r="R36" s="732"/>
      <c r="S36" s="733">
        <f>iSummary1!BH29</f>
        <v>21</v>
      </c>
      <c r="T36" s="737" t="str">
        <f>iSummary1!BI29</f>
        <v>New Delhi</v>
      </c>
      <c r="U36" s="735">
        <f>iSummary1!BJ29</f>
        <v>54.3</v>
      </c>
      <c r="V36" s="156"/>
      <c r="W36" s="736">
        <f>iSummary1!CB29</f>
        <v>1</v>
      </c>
      <c r="X36" s="731">
        <f t="shared" si="8"/>
        <v>3</v>
      </c>
      <c r="Y36" s="732"/>
      <c r="Z36" s="738" t="str">
        <f>iSummary1!CC29</f>
        <v>=20</v>
      </c>
      <c r="AA36" s="740" t="str">
        <f>iSummary1!CD29</f>
        <v>Madrid</v>
      </c>
      <c r="AB36" s="739">
        <f>iSummary1!CE29</f>
        <v>56.9</v>
      </c>
      <c r="AC36" s="156"/>
      <c r="AD36" s="1058">
        <f>iSummary1!CW29</f>
        <v>1</v>
      </c>
      <c r="AE36" s="731">
        <f t="shared" si="4"/>
        <v>3</v>
      </c>
      <c r="AF36" s="732"/>
      <c r="AG36" s="738">
        <f>iSummary1!CX29</f>
        <v>21</v>
      </c>
      <c r="AH36" s="740" t="str">
        <f>iSummary1!CY29</f>
        <v>Rome</v>
      </c>
      <c r="AI36" s="739">
        <f>iSummary1!CZ29</f>
        <v>61.7</v>
      </c>
    </row>
    <row r="37" spans="1:35" ht="15" customHeight="1">
      <c r="B37" s="730">
        <f>iSummary1!Q30</f>
        <v>1</v>
      </c>
      <c r="C37" s="731">
        <f t="shared" si="5"/>
        <v>3</v>
      </c>
      <c r="D37" s="732"/>
      <c r="E37" s="733">
        <f>iSummary1!R30</f>
        <v>22</v>
      </c>
      <c r="F37" s="734" t="str">
        <f>iSummary1!S30</f>
        <v>Auckland</v>
      </c>
      <c r="G37" s="735">
        <f>iSummary1!T30</f>
        <v>60.1</v>
      </c>
      <c r="H37" s="730"/>
      <c r="I37" s="730">
        <f>iSummary1!AL30</f>
        <v>1</v>
      </c>
      <c r="J37" s="731">
        <f t="shared" si="6"/>
        <v>3</v>
      </c>
      <c r="K37" s="732"/>
      <c r="L37" s="733">
        <f>iSummary1!AM30</f>
        <v>22</v>
      </c>
      <c r="M37" s="734" t="str">
        <f>iSummary1!AN30</f>
        <v>Auckland</v>
      </c>
      <c r="N37" s="735">
        <f>iSummary1!AO30</f>
        <v>59.7</v>
      </c>
      <c r="P37" s="736">
        <f>iSummary1!BG30</f>
        <v>1</v>
      </c>
      <c r="Q37" s="731">
        <f t="shared" si="7"/>
        <v>3</v>
      </c>
      <c r="R37" s="732"/>
      <c r="S37" s="733">
        <f>iSummary1!BH30</f>
        <v>22</v>
      </c>
      <c r="T37" s="737" t="str">
        <f>iSummary1!BI30</f>
        <v>Tokyo</v>
      </c>
      <c r="U37" s="735">
        <f>iSummary1!BJ30</f>
        <v>52.8</v>
      </c>
      <c r="V37" s="156"/>
      <c r="W37" s="736">
        <f>iSummary1!CB30</f>
        <v>1</v>
      </c>
      <c r="X37" s="731">
        <f t="shared" si="8"/>
        <v>3</v>
      </c>
      <c r="Y37" s="732"/>
      <c r="Z37" s="738">
        <f>iSummary1!CC30</f>
        <v>22</v>
      </c>
      <c r="AA37" s="740" t="str">
        <f>iSummary1!CD30</f>
        <v>Tokyo</v>
      </c>
      <c r="AB37" s="739">
        <f>iSummary1!CE30</f>
        <v>55.5</v>
      </c>
      <c r="AC37" s="156"/>
      <c r="AD37" s="1058">
        <f>iSummary1!CW30</f>
        <v>1</v>
      </c>
      <c r="AE37" s="731">
        <f t="shared" si="4"/>
        <v>3</v>
      </c>
      <c r="AF37" s="732"/>
      <c r="AG37" s="738">
        <f>iSummary1!CX30</f>
        <v>22</v>
      </c>
      <c r="AH37" s="740" t="str">
        <f>iSummary1!CY30</f>
        <v>Singapore</v>
      </c>
      <c r="AI37" s="739">
        <f>iSummary1!CZ30</f>
        <v>60.8</v>
      </c>
    </row>
    <row r="38" spans="1:35" ht="15" customHeight="1">
      <c r="B38" s="730">
        <f>iSummary1!Q31</f>
        <v>1</v>
      </c>
      <c r="C38" s="731">
        <f t="shared" si="5"/>
        <v>3</v>
      </c>
      <c r="D38" s="732"/>
      <c r="E38" s="733">
        <f>iSummary1!R31</f>
        <v>23</v>
      </c>
      <c r="F38" s="734" t="str">
        <f>iSummary1!S31</f>
        <v>Kuala Lumpur</v>
      </c>
      <c r="G38" s="735">
        <f>iSummary1!T31</f>
        <v>58.2</v>
      </c>
      <c r="H38" s="730"/>
      <c r="I38" s="730">
        <f>iSummary1!AL31</f>
        <v>1</v>
      </c>
      <c r="J38" s="731">
        <f t="shared" si="6"/>
        <v>3</v>
      </c>
      <c r="K38" s="732"/>
      <c r="L38" s="733">
        <f>iSummary1!AM31</f>
        <v>23</v>
      </c>
      <c r="M38" s="734" t="str">
        <f>iSummary1!AN31</f>
        <v>Kuala Lumpur</v>
      </c>
      <c r="N38" s="735">
        <f>iSummary1!AO31</f>
        <v>58.9</v>
      </c>
      <c r="P38" s="736">
        <f>iSummary1!BG31</f>
        <v>1</v>
      </c>
      <c r="Q38" s="731">
        <f t="shared" si="7"/>
        <v>3</v>
      </c>
      <c r="R38" s="732"/>
      <c r="S38" s="733" t="str">
        <f>iSummary1!BH31</f>
        <v>=23</v>
      </c>
      <c r="T38" s="737" t="str">
        <f>iSummary1!BI31</f>
        <v>Bangkok</v>
      </c>
      <c r="U38" s="735">
        <f>iSummary1!BJ31</f>
        <v>52.6</v>
      </c>
      <c r="V38" s="156"/>
      <c r="W38" s="736">
        <f>iSummary1!CB31</f>
        <v>1</v>
      </c>
      <c r="X38" s="731">
        <f t="shared" si="8"/>
        <v>2</v>
      </c>
      <c r="Y38" s="732"/>
      <c r="Z38" s="738">
        <f>iSummary1!CC31</f>
        <v>23</v>
      </c>
      <c r="AA38" s="740" t="str">
        <f>iSummary1!CD31</f>
        <v>Rome</v>
      </c>
      <c r="AB38" s="739">
        <f>iSummary1!CE31</f>
        <v>50</v>
      </c>
      <c r="AC38" s="156"/>
      <c r="AD38" s="1058">
        <f>iSummary1!CW31</f>
        <v>1</v>
      </c>
      <c r="AE38" s="731">
        <f t="shared" si="4"/>
        <v>3</v>
      </c>
      <c r="AF38" s="732"/>
      <c r="AG38" s="738">
        <f>iSummary1!CX31</f>
        <v>23</v>
      </c>
      <c r="AH38" s="740" t="str">
        <f>iSummary1!CY31</f>
        <v>Dubai</v>
      </c>
      <c r="AI38" s="739">
        <f>iSummary1!CZ31</f>
        <v>54.8</v>
      </c>
    </row>
    <row r="39" spans="1:35" ht="15" customHeight="1">
      <c r="B39" s="730">
        <f>iSummary1!Q32</f>
        <v>1</v>
      </c>
      <c r="C39" s="731">
        <f t="shared" si="5"/>
        <v>3</v>
      </c>
      <c r="D39" s="732"/>
      <c r="E39" s="733">
        <f>iSummary1!R32</f>
        <v>24</v>
      </c>
      <c r="F39" s="734" t="str">
        <f>iSummary1!S32</f>
        <v>Sao Paulo</v>
      </c>
      <c r="G39" s="735">
        <f>iSummary1!T32</f>
        <v>50.7</v>
      </c>
      <c r="H39" s="730"/>
      <c r="I39" s="730">
        <f>iSummary1!AL32</f>
        <v>1</v>
      </c>
      <c r="J39" s="731">
        <f t="shared" si="6"/>
        <v>3</v>
      </c>
      <c r="K39" s="732"/>
      <c r="L39" s="733">
        <f>iSummary1!AM32</f>
        <v>24</v>
      </c>
      <c r="M39" s="734" t="str">
        <f>iSummary1!AN32</f>
        <v>Sao Paulo</v>
      </c>
      <c r="N39" s="735">
        <f>iSummary1!AO32</f>
        <v>56.5</v>
      </c>
      <c r="P39" s="736">
        <f>iSummary1!BG32</f>
        <v>1</v>
      </c>
      <c r="Q39" s="731">
        <f t="shared" si="7"/>
        <v>3</v>
      </c>
      <c r="R39" s="732"/>
      <c r="S39" s="733" t="str">
        <f>iSummary1!BH32</f>
        <v>=23</v>
      </c>
      <c r="T39" s="737" t="str">
        <f>iSummary1!BI32</f>
        <v>Kuala Lumpur</v>
      </c>
      <c r="U39" s="735">
        <f>iSummary1!BJ32</f>
        <v>52.6</v>
      </c>
      <c r="V39" s="156"/>
      <c r="W39" s="736">
        <f>iSummary1!CB32</f>
        <v>1</v>
      </c>
      <c r="X39" s="731">
        <f t="shared" si="8"/>
        <v>2</v>
      </c>
      <c r="Y39" s="732"/>
      <c r="Z39" s="738">
        <f>iSummary1!CC32</f>
        <v>24</v>
      </c>
      <c r="AA39" s="740" t="str">
        <f>iSummary1!CD32</f>
        <v>Buenos Aires</v>
      </c>
      <c r="AB39" s="739">
        <f>iSummary1!CE32</f>
        <v>48.7</v>
      </c>
      <c r="AC39" s="156"/>
      <c r="AD39" s="1058">
        <f>iSummary1!CW32</f>
        <v>1</v>
      </c>
      <c r="AE39" s="731">
        <f t="shared" si="4"/>
        <v>3</v>
      </c>
      <c r="AF39" s="732"/>
      <c r="AG39" s="738">
        <f>iSummary1!CX32</f>
        <v>24</v>
      </c>
      <c r="AH39" s="740" t="str">
        <f>iSummary1!CY32</f>
        <v>Buenos Aires</v>
      </c>
      <c r="AI39" s="739">
        <f>iSummary1!CZ32</f>
        <v>51.5</v>
      </c>
    </row>
    <row r="40" spans="1:35" ht="15" customHeight="1">
      <c r="B40" s="730">
        <f>iSummary1!Q33</f>
        <v>1</v>
      </c>
      <c r="C40" s="731">
        <f t="shared" si="5"/>
        <v>2</v>
      </c>
      <c r="D40" s="732"/>
      <c r="E40" s="733">
        <f>iSummary1!R33</f>
        <v>25</v>
      </c>
      <c r="F40" s="734" t="str">
        <f>iSummary1!S33</f>
        <v>Bangkok</v>
      </c>
      <c r="G40" s="735">
        <f>iSummary1!T33</f>
        <v>49.1</v>
      </c>
      <c r="H40" s="730"/>
      <c r="I40" s="730">
        <f>iSummary1!AL33</f>
        <v>1</v>
      </c>
      <c r="J40" s="731">
        <f t="shared" si="6"/>
        <v>3</v>
      </c>
      <c r="K40" s="732"/>
      <c r="L40" s="733">
        <f>iSummary1!AM33</f>
        <v>25</v>
      </c>
      <c r="M40" s="734" t="str">
        <f>iSummary1!AN33</f>
        <v>Bangkok</v>
      </c>
      <c r="N40" s="735">
        <f>iSummary1!AO33</f>
        <v>55.3</v>
      </c>
      <c r="P40" s="736">
        <f>iSummary1!BG33</f>
        <v>1</v>
      </c>
      <c r="Q40" s="731">
        <f t="shared" si="7"/>
        <v>2</v>
      </c>
      <c r="R40" s="732"/>
      <c r="S40" s="733">
        <f>iSummary1!BH33</f>
        <v>25</v>
      </c>
      <c r="T40" s="737" t="str">
        <f>iSummary1!BI33</f>
        <v>Auckland</v>
      </c>
      <c r="U40" s="735">
        <f>iSummary1!BJ33</f>
        <v>49.5</v>
      </c>
      <c r="V40" s="156"/>
      <c r="W40" s="736">
        <f>iSummary1!CB33</f>
        <v>1</v>
      </c>
      <c r="X40" s="731">
        <f t="shared" si="8"/>
        <v>2</v>
      </c>
      <c r="Y40" s="732"/>
      <c r="Z40" s="738" t="str">
        <f>iSummary1!CC33</f>
        <v>=25</v>
      </c>
      <c r="AA40" s="740" t="str">
        <f>iSummary1!CD33</f>
        <v>Hong Kong</v>
      </c>
      <c r="AB40" s="739">
        <f>iSummary1!CE33</f>
        <v>48.3</v>
      </c>
      <c r="AC40" s="156"/>
      <c r="AD40" s="1058">
        <f>iSummary1!CW33</f>
        <v>1</v>
      </c>
      <c r="AE40" s="731">
        <f t="shared" si="4"/>
        <v>2</v>
      </c>
      <c r="AF40" s="732"/>
      <c r="AG40" s="738">
        <f>iSummary1!CX33</f>
        <v>25</v>
      </c>
      <c r="AH40" s="740" t="str">
        <f>iSummary1!CY33</f>
        <v>Sao Paulo</v>
      </c>
      <c r="AI40" s="739">
        <f>iSummary1!CZ33</f>
        <v>48.8</v>
      </c>
    </row>
    <row r="41" spans="1:35" ht="15" customHeight="1">
      <c r="B41" s="730">
        <f>iSummary1!Q34</f>
        <v>1</v>
      </c>
      <c r="C41" s="731">
        <f t="shared" si="5"/>
        <v>2</v>
      </c>
      <c r="D41" s="732"/>
      <c r="E41" s="733">
        <f>iSummary1!R34</f>
        <v>26</v>
      </c>
      <c r="F41" s="734" t="str">
        <f>iSummary1!S34</f>
        <v>Buenos Aires</v>
      </c>
      <c r="G41" s="735">
        <f>iSummary1!T34</f>
        <v>45.1</v>
      </c>
      <c r="H41" s="730"/>
      <c r="I41" s="730">
        <f>iSummary1!AL34</f>
        <v>1</v>
      </c>
      <c r="J41" s="731">
        <f t="shared" si="6"/>
        <v>3</v>
      </c>
      <c r="K41" s="732"/>
      <c r="L41" s="733">
        <f>iSummary1!AM34</f>
        <v>26</v>
      </c>
      <c r="M41" s="734" t="str">
        <f>iSummary1!AN34</f>
        <v>Mexico City</v>
      </c>
      <c r="N41" s="735">
        <f>iSummary1!AO34</f>
        <v>53</v>
      </c>
      <c r="P41" s="736">
        <f>iSummary1!BG34</f>
        <v>1</v>
      </c>
      <c r="Q41" s="731">
        <f t="shared" si="7"/>
        <v>2</v>
      </c>
      <c r="R41" s="732"/>
      <c r="S41" s="733">
        <f>iSummary1!BH34</f>
        <v>26</v>
      </c>
      <c r="T41" s="737" t="str">
        <f>iSummary1!BI34</f>
        <v>Jakarta</v>
      </c>
      <c r="U41" s="735">
        <f>iSummary1!BJ34</f>
        <v>42.5</v>
      </c>
      <c r="V41" s="156"/>
      <c r="W41" s="736">
        <f>iSummary1!CB34</f>
        <v>1</v>
      </c>
      <c r="X41" s="731">
        <f t="shared" si="8"/>
        <v>2</v>
      </c>
      <c r="Y41" s="732"/>
      <c r="Z41" s="738" t="str">
        <f>iSummary1!CC34</f>
        <v>=25</v>
      </c>
      <c r="AA41" s="740" t="str">
        <f>iSummary1!CD34</f>
        <v>Mexico City</v>
      </c>
      <c r="AB41" s="739">
        <f>iSummary1!CE34</f>
        <v>48.3</v>
      </c>
      <c r="AC41" s="156"/>
      <c r="AD41" s="1058">
        <f>iSummary1!CW34</f>
        <v>1</v>
      </c>
      <c r="AE41" s="731">
        <f t="shared" si="4"/>
        <v>2</v>
      </c>
      <c r="AF41" s="732"/>
      <c r="AG41" s="738">
        <f>iSummary1!CX34</f>
        <v>26</v>
      </c>
      <c r="AH41" s="740" t="str">
        <f>iSummary1!CY34</f>
        <v>Bangkok</v>
      </c>
      <c r="AI41" s="739">
        <f>iSummary1!CZ34</f>
        <v>41.3</v>
      </c>
    </row>
    <row r="42" spans="1:35" ht="15" customHeight="1">
      <c r="B42" s="730">
        <f>iSummary1!Q35</f>
        <v>1</v>
      </c>
      <c r="C42" s="731">
        <f t="shared" si="5"/>
        <v>2</v>
      </c>
      <c r="D42" s="732"/>
      <c r="E42" s="733">
        <f>iSummary1!R35</f>
        <v>27</v>
      </c>
      <c r="F42" s="734" t="str">
        <f>iSummary1!S35</f>
        <v>Jakarta</v>
      </c>
      <c r="G42" s="735">
        <f>iSummary1!T35</f>
        <v>43.5</v>
      </c>
      <c r="H42" s="730"/>
      <c r="I42" s="730">
        <f>iSummary1!AL35</f>
        <v>1</v>
      </c>
      <c r="J42" s="731">
        <f t="shared" si="6"/>
        <v>2</v>
      </c>
      <c r="K42" s="732"/>
      <c r="L42" s="733">
        <f>iSummary1!AM35</f>
        <v>27</v>
      </c>
      <c r="M42" s="734" t="str">
        <f>iSummary1!AN35</f>
        <v>Jakarta</v>
      </c>
      <c r="N42" s="735">
        <f>iSummary1!AO35</f>
        <v>48.1</v>
      </c>
      <c r="P42" s="736">
        <f>iSummary1!BG35</f>
        <v>1</v>
      </c>
      <c r="Q42" s="731">
        <f t="shared" si="7"/>
        <v>2</v>
      </c>
      <c r="R42" s="732"/>
      <c r="S42" s="733">
        <f>iSummary1!BH35</f>
        <v>27</v>
      </c>
      <c r="T42" s="737" t="str">
        <f>iSummary1!BI35</f>
        <v>Buenos Aires</v>
      </c>
      <c r="U42" s="735">
        <f>iSummary1!BJ35</f>
        <v>42.2</v>
      </c>
      <c r="V42" s="156"/>
      <c r="W42" s="736">
        <f>iSummary1!CB35</f>
        <v>1</v>
      </c>
      <c r="X42" s="731">
        <f t="shared" si="8"/>
        <v>2</v>
      </c>
      <c r="Y42" s="732"/>
      <c r="Z42" s="738">
        <f>iSummary1!CC35</f>
        <v>27</v>
      </c>
      <c r="AA42" s="740" t="str">
        <f>iSummary1!CD35</f>
        <v>Jakarta</v>
      </c>
      <c r="AB42" s="739">
        <f>iSummary1!CE35</f>
        <v>47.2</v>
      </c>
      <c r="AC42" s="156"/>
      <c r="AD42" s="1058">
        <f>iSummary1!CW35</f>
        <v>1</v>
      </c>
      <c r="AE42" s="731">
        <f t="shared" si="4"/>
        <v>2</v>
      </c>
      <c r="AF42" s="732"/>
      <c r="AG42" s="738">
        <f>iSummary1!CX35</f>
        <v>27</v>
      </c>
      <c r="AH42" s="740" t="str">
        <f>iSummary1!CY35</f>
        <v>Jakarta</v>
      </c>
      <c r="AI42" s="739">
        <f>iSummary1!CZ35</f>
        <v>34.700000000000003</v>
      </c>
    </row>
    <row r="43" spans="1:35" ht="15" customHeight="1">
      <c r="B43" s="730">
        <f>iSummary1!Q36</f>
        <v>1</v>
      </c>
      <c r="C43" s="731">
        <f t="shared" si="5"/>
        <v>2</v>
      </c>
      <c r="D43" s="732"/>
      <c r="E43" s="733">
        <f>iSummary1!R36</f>
        <v>28</v>
      </c>
      <c r="F43" s="734" t="str">
        <f>iSummary1!S36</f>
        <v>Mexico City</v>
      </c>
      <c r="G43" s="735">
        <f>iSummary1!T36</f>
        <v>42.6</v>
      </c>
      <c r="H43" s="730"/>
      <c r="I43" s="730">
        <f>iSummary1!AL36</f>
        <v>1</v>
      </c>
      <c r="J43" s="731">
        <f t="shared" si="6"/>
        <v>2</v>
      </c>
      <c r="K43" s="732"/>
      <c r="L43" s="733">
        <f>iSummary1!AM36</f>
        <v>28</v>
      </c>
      <c r="M43" s="734" t="str">
        <f>iSummary1!AN36</f>
        <v>Manila</v>
      </c>
      <c r="N43" s="735">
        <f>iSummary1!AO36</f>
        <v>43.8</v>
      </c>
      <c r="P43" s="736">
        <f>iSummary1!BG36</f>
        <v>1</v>
      </c>
      <c r="Q43" s="731">
        <f t="shared" si="7"/>
        <v>2</v>
      </c>
      <c r="R43" s="732"/>
      <c r="S43" s="733">
        <f>iSummary1!BH36</f>
        <v>28</v>
      </c>
      <c r="T43" s="737" t="str">
        <f>iSummary1!BI36</f>
        <v>Sao Paulo</v>
      </c>
      <c r="U43" s="735">
        <f>iSummary1!BJ36</f>
        <v>41.3</v>
      </c>
      <c r="V43" s="156"/>
      <c r="W43" s="736">
        <f>iSummary1!CB36</f>
        <v>1</v>
      </c>
      <c r="X43" s="731">
        <f t="shared" si="8"/>
        <v>2</v>
      </c>
      <c r="Y43" s="732"/>
      <c r="Z43" s="738">
        <f>iSummary1!CC36</f>
        <v>28</v>
      </c>
      <c r="AA43" s="740" t="str">
        <f>iSummary1!CD36</f>
        <v>Manila</v>
      </c>
      <c r="AB43" s="739">
        <f>iSummary1!CE36</f>
        <v>46.8</v>
      </c>
      <c r="AC43" s="156"/>
      <c r="AD43" s="1058">
        <f>iSummary1!CW36</f>
        <v>1</v>
      </c>
      <c r="AE43" s="731">
        <f t="shared" si="4"/>
        <v>2</v>
      </c>
      <c r="AF43" s="732"/>
      <c r="AG43" s="738">
        <f>iSummary1!CX36</f>
        <v>28</v>
      </c>
      <c r="AH43" s="740" t="str">
        <f>iSummary1!CY36</f>
        <v>New Delhi</v>
      </c>
      <c r="AI43" s="739">
        <f>iSummary1!CZ36</f>
        <v>32.9</v>
      </c>
    </row>
    <row r="44" spans="1:35" ht="15" customHeight="1">
      <c r="B44" s="730">
        <f>iSummary1!Q37</f>
        <v>1</v>
      </c>
      <c r="C44" s="731">
        <f t="shared" si="5"/>
        <v>2</v>
      </c>
      <c r="D44" s="732"/>
      <c r="E44" s="733">
        <f>iSummary1!R37</f>
        <v>29</v>
      </c>
      <c r="F44" s="734" t="str">
        <f>iSummary1!S37</f>
        <v>New Delhi</v>
      </c>
      <c r="G44" s="735">
        <f>iSummary1!T37</f>
        <v>40.299999999999997</v>
      </c>
      <c r="H44" s="730"/>
      <c r="I44" s="730">
        <f>iSummary1!AL37</f>
        <v>1</v>
      </c>
      <c r="J44" s="731">
        <f t="shared" si="6"/>
        <v>2</v>
      </c>
      <c r="K44" s="732"/>
      <c r="L44" s="733">
        <f>iSummary1!AM37</f>
        <v>29</v>
      </c>
      <c r="M44" s="734" t="str">
        <f>iSummary1!AN37</f>
        <v>Buenos Aires</v>
      </c>
      <c r="N44" s="735">
        <f>iSummary1!AO37</f>
        <v>40.799999999999997</v>
      </c>
      <c r="P44" s="736">
        <f>iSummary1!BG37</f>
        <v>1</v>
      </c>
      <c r="Q44" s="731">
        <f t="shared" si="7"/>
        <v>2</v>
      </c>
      <c r="R44" s="732"/>
      <c r="S44" s="733">
        <f>iSummary1!BH37</f>
        <v>29</v>
      </c>
      <c r="T44" s="737" t="str">
        <f>iSummary1!BI37</f>
        <v>Manila</v>
      </c>
      <c r="U44" s="735">
        <f>iSummary1!BJ37</f>
        <v>36.5</v>
      </c>
      <c r="V44" s="156"/>
      <c r="W44" s="736">
        <f>iSummary1!CB37</f>
        <v>1</v>
      </c>
      <c r="X44" s="731">
        <f t="shared" si="8"/>
        <v>2</v>
      </c>
      <c r="Y44" s="732"/>
      <c r="Z44" s="738">
        <f>iSummary1!CC37</f>
        <v>29</v>
      </c>
      <c r="AA44" s="740" t="str">
        <f>iSummary1!CD37</f>
        <v>New Delhi</v>
      </c>
      <c r="AB44" s="739">
        <f>iSummary1!CE37</f>
        <v>46.1</v>
      </c>
      <c r="AC44" s="156"/>
      <c r="AD44" s="1058">
        <f>iSummary1!CW37</f>
        <v>1</v>
      </c>
      <c r="AE44" s="731">
        <f t="shared" si="4"/>
        <v>2</v>
      </c>
      <c r="AF44" s="732"/>
      <c r="AG44" s="738">
        <f>iSummary1!CX37</f>
        <v>29</v>
      </c>
      <c r="AH44" s="740" t="str">
        <f>iSummary1!CY37</f>
        <v>Mexico City</v>
      </c>
      <c r="AI44" s="739">
        <f>iSummary1!CZ37</f>
        <v>32.799999999999997</v>
      </c>
    </row>
    <row r="45" spans="1:35" ht="15" customHeight="1">
      <c r="B45" s="730">
        <f>iSummary1!Q38</f>
        <v>1</v>
      </c>
      <c r="C45" s="731">
        <f t="shared" si="5"/>
        <v>2</v>
      </c>
      <c r="D45" s="732"/>
      <c r="E45" s="733">
        <f>iSummary1!R38</f>
        <v>30</v>
      </c>
      <c r="F45" s="734" t="str">
        <f>iSummary1!S38</f>
        <v>Manila</v>
      </c>
      <c r="G45" s="735">
        <f>iSummary1!T38</f>
        <v>39.1</v>
      </c>
      <c r="H45" s="730"/>
      <c r="I45" s="730">
        <f>iSummary1!AL38</f>
        <v>1</v>
      </c>
      <c r="J45" s="731">
        <f t="shared" si="6"/>
        <v>2</v>
      </c>
      <c r="K45" s="732"/>
      <c r="L45" s="733">
        <f>iSummary1!AM38</f>
        <v>30</v>
      </c>
      <c r="M45" s="734" t="str">
        <f>iSummary1!AN38</f>
        <v>New Delhi</v>
      </c>
      <c r="N45" s="735">
        <f>iSummary1!AO38</f>
        <v>28.4</v>
      </c>
      <c r="P45" s="736">
        <f>iSummary1!BG38</f>
        <v>1</v>
      </c>
      <c r="Q45" s="731">
        <f t="shared" si="7"/>
        <v>2</v>
      </c>
      <c r="R45" s="732"/>
      <c r="S45" s="733">
        <f>iSummary1!BH38</f>
        <v>30</v>
      </c>
      <c r="T45" s="737" t="str">
        <f>iSummary1!BI38</f>
        <v>Mexico City</v>
      </c>
      <c r="U45" s="735">
        <f>iSummary1!BJ38</f>
        <v>34.4</v>
      </c>
      <c r="V45" s="156"/>
      <c r="W45" s="736">
        <f>iSummary1!CB38</f>
        <v>1</v>
      </c>
      <c r="X45" s="731">
        <f t="shared" si="8"/>
        <v>2</v>
      </c>
      <c r="Y45" s="732"/>
      <c r="Z45" s="738">
        <f>iSummary1!CC38</f>
        <v>30</v>
      </c>
      <c r="AA45" s="740" t="str">
        <f>iSummary1!CD38</f>
        <v>Bangkok</v>
      </c>
      <c r="AB45" s="739">
        <f>iSummary1!CE38</f>
        <v>43.4</v>
      </c>
      <c r="AC45" s="156"/>
      <c r="AD45" s="1058">
        <f>iSummary1!CW38</f>
        <v>1</v>
      </c>
      <c r="AE45" s="731">
        <f t="shared" si="4"/>
        <v>2</v>
      </c>
      <c r="AF45" s="732"/>
      <c r="AG45" s="738">
        <f>iSummary1!CX38</f>
        <v>30</v>
      </c>
      <c r="AH45" s="740" t="str">
        <f>iSummary1!CY38</f>
        <v>Manila</v>
      </c>
      <c r="AI45" s="739">
        <f>iSummary1!CZ38</f>
        <v>28</v>
      </c>
    </row>
    <row r="46" spans="1:35" ht="14.5"/>
    <row r="47" spans="1:35" ht="14.5"/>
    <row r="48" spans="1:35" s="428" customFormat="1" ht="26.25" customHeight="1">
      <c r="A48" s="177"/>
      <c r="G48" s="742"/>
      <c r="N48" s="742"/>
      <c r="O48" s="177"/>
      <c r="U48" s="742"/>
      <c r="AB48" s="742"/>
      <c r="AD48" s="174"/>
      <c r="AI48" s="742"/>
    </row>
    <row r="49" spans="1:77" s="428" customFormat="1" ht="26.25" hidden="1" customHeight="1">
      <c r="A49" s="177"/>
      <c r="G49" s="785">
        <v>25</v>
      </c>
      <c r="H49" s="786"/>
      <c r="I49" s="786"/>
      <c r="J49" s="786"/>
      <c r="K49" s="786"/>
      <c r="L49" s="786"/>
      <c r="M49" s="786">
        <v>0.25</v>
      </c>
      <c r="N49" s="785">
        <v>25</v>
      </c>
      <c r="O49" s="787"/>
      <c r="P49" s="786"/>
      <c r="Q49" s="786"/>
      <c r="R49" s="786"/>
      <c r="S49" s="786"/>
      <c r="T49" s="786">
        <f>M49</f>
        <v>0.25</v>
      </c>
      <c r="U49" s="785">
        <v>25</v>
      </c>
      <c r="V49" s="786"/>
      <c r="W49" s="786"/>
      <c r="X49" s="786"/>
      <c r="Y49" s="786"/>
      <c r="Z49" s="786"/>
      <c r="AA49" s="786">
        <f>T49</f>
        <v>0.25</v>
      </c>
      <c r="AB49" s="785">
        <v>25</v>
      </c>
      <c r="AC49" s="786"/>
      <c r="AD49" s="1059"/>
      <c r="AE49" s="786"/>
      <c r="AF49" s="786"/>
      <c r="AG49" s="786"/>
      <c r="AH49" s="786">
        <f>AA49</f>
        <v>0.25</v>
      </c>
      <c r="AI49" s="785">
        <v>25</v>
      </c>
    </row>
    <row r="50" spans="1:77" s="428" customFormat="1" ht="26.25" hidden="1" customHeight="1">
      <c r="A50" s="177"/>
      <c r="G50" s="785">
        <v>50</v>
      </c>
      <c r="H50" s="786"/>
      <c r="I50" s="786"/>
      <c r="J50" s="786"/>
      <c r="K50" s="786"/>
      <c r="L50" s="786"/>
      <c r="M50" s="786">
        <v>0.5</v>
      </c>
      <c r="N50" s="785">
        <v>50</v>
      </c>
      <c r="O50" s="787"/>
      <c r="P50" s="786"/>
      <c r="Q50" s="786"/>
      <c r="R50" s="786"/>
      <c r="S50" s="786"/>
      <c r="T50" s="786">
        <f>M50</f>
        <v>0.5</v>
      </c>
      <c r="U50" s="785">
        <v>50</v>
      </c>
      <c r="V50" s="786"/>
      <c r="W50" s="786"/>
      <c r="X50" s="786"/>
      <c r="Y50" s="786"/>
      <c r="Z50" s="786"/>
      <c r="AA50" s="786">
        <f t="shared" ref="AA50:AA51" si="9">T50</f>
        <v>0.5</v>
      </c>
      <c r="AB50" s="785">
        <v>50</v>
      </c>
      <c r="AC50" s="786"/>
      <c r="AD50" s="1059"/>
      <c r="AE50" s="786"/>
      <c r="AF50" s="786"/>
      <c r="AG50" s="786"/>
      <c r="AH50" s="786">
        <f t="shared" ref="AH50:AH51" si="10">AA50</f>
        <v>0.5</v>
      </c>
      <c r="AI50" s="785">
        <v>50</v>
      </c>
    </row>
    <row r="51" spans="1:77" s="428" customFormat="1" ht="26.25" hidden="1" customHeight="1">
      <c r="A51" s="177"/>
      <c r="G51" s="785">
        <v>75</v>
      </c>
      <c r="H51" s="786"/>
      <c r="I51" s="786"/>
      <c r="J51" s="786"/>
      <c r="K51" s="786"/>
      <c r="L51" s="786"/>
      <c r="M51" s="786">
        <v>0.75</v>
      </c>
      <c r="N51" s="785">
        <v>75</v>
      </c>
      <c r="O51" s="787"/>
      <c r="P51" s="786"/>
      <c r="Q51" s="786"/>
      <c r="R51" s="786"/>
      <c r="S51" s="786"/>
      <c r="T51" s="786">
        <f>M51</f>
        <v>0.75</v>
      </c>
      <c r="U51" s="785">
        <v>75</v>
      </c>
      <c r="V51" s="786"/>
      <c r="W51" s="786"/>
      <c r="X51" s="786"/>
      <c r="Y51" s="786"/>
      <c r="Z51" s="786"/>
      <c r="AA51" s="786">
        <f t="shared" si="9"/>
        <v>0.75</v>
      </c>
      <c r="AB51" s="785">
        <v>75</v>
      </c>
      <c r="AC51" s="786"/>
      <c r="AD51" s="1059"/>
      <c r="AE51" s="786"/>
      <c r="AF51" s="786"/>
      <c r="AG51" s="786"/>
      <c r="AH51" s="786">
        <f t="shared" si="10"/>
        <v>0.75</v>
      </c>
      <c r="AI51" s="785">
        <v>75</v>
      </c>
    </row>
    <row r="52" spans="1:77" s="428" customFormat="1" ht="26.25" hidden="1" customHeight="1">
      <c r="A52" s="177"/>
      <c r="G52" s="785"/>
      <c r="H52" s="786"/>
      <c r="I52" s="786"/>
      <c r="J52" s="786"/>
      <c r="K52" s="786"/>
      <c r="L52" s="786"/>
      <c r="M52" s="786"/>
      <c r="N52" s="785"/>
      <c r="O52" s="787"/>
      <c r="P52" s="786"/>
      <c r="Q52" s="786"/>
      <c r="R52" s="786"/>
      <c r="S52" s="786"/>
      <c r="T52" s="786"/>
      <c r="U52" s="785"/>
      <c r="V52" s="786"/>
      <c r="W52" s="786"/>
      <c r="X52" s="786"/>
      <c r="Y52" s="786"/>
      <c r="Z52" s="786"/>
      <c r="AA52" s="786"/>
      <c r="AB52" s="785"/>
      <c r="AC52" s="786"/>
      <c r="AD52" s="1059"/>
      <c r="AE52" s="786"/>
      <c r="AF52" s="786"/>
      <c r="AG52" s="786"/>
      <c r="AH52" s="786"/>
      <c r="AI52" s="785"/>
    </row>
    <row r="53" spans="1:77" s="428" customFormat="1" ht="26.25" customHeight="1">
      <c r="A53" s="177"/>
      <c r="G53" s="742"/>
      <c r="N53" s="742"/>
      <c r="O53" s="177"/>
      <c r="U53" s="742"/>
      <c r="AB53" s="742"/>
      <c r="AD53" s="174"/>
      <c r="AI53" s="742"/>
    </row>
    <row r="54" spans="1:77" s="428" customFormat="1" ht="21" hidden="1" customHeight="1">
      <c r="A54" s="177"/>
      <c r="G54" s="742">
        <f>COUNTIF(G15:G45,"&gt;=0")-uxb_works!$C$49</f>
        <v>30</v>
      </c>
      <c r="N54" s="742">
        <f>COUNTIF(N15:N45,"&gt;=0")-uxb_works!$C$49</f>
        <v>30</v>
      </c>
      <c r="O54" s="177"/>
      <c r="U54" s="742">
        <f>COUNTIF(U15:U45,"&gt;=0")</f>
        <v>31</v>
      </c>
      <c r="AB54" s="742">
        <f>COUNTIF(AB15:AB45,"&gt;=0")</f>
        <v>31</v>
      </c>
      <c r="AD54" s="174"/>
      <c r="AI54" s="742">
        <f>COUNTIF(AI15:AI45,"&gt;=0")</f>
        <v>31</v>
      </c>
    </row>
    <row r="55" spans="1:77" s="253" customFormat="1" ht="21" customHeight="1">
      <c r="A55" s="155"/>
      <c r="G55" s="743"/>
      <c r="N55" s="743"/>
      <c r="O55" s="155"/>
      <c r="U55" s="743"/>
      <c r="AB55" s="743"/>
      <c r="AD55" s="174"/>
      <c r="AI55" s="743"/>
    </row>
    <row r="56" spans="1:77" ht="14.5"/>
    <row r="57" spans="1:77" ht="14.5"/>
    <row r="58" spans="1:77" ht="14.5"/>
    <row r="59" spans="1:77" ht="14.5"/>
    <row r="60" spans="1:77" s="156" customFormat="1" ht="14.5">
      <c r="B60" s="194"/>
      <c r="C60" s="194"/>
      <c r="D60" s="194"/>
      <c r="E60" s="194"/>
      <c r="F60" s="194"/>
      <c r="G60" s="741"/>
      <c r="H60" s="194"/>
      <c r="I60" s="194"/>
      <c r="J60" s="194"/>
      <c r="K60" s="194"/>
      <c r="L60" s="194"/>
      <c r="M60" s="194"/>
      <c r="N60" s="741"/>
      <c r="O60" s="157"/>
      <c r="P60" s="194"/>
      <c r="Q60" s="194"/>
      <c r="R60" s="194"/>
      <c r="S60" s="194"/>
      <c r="T60" s="194"/>
      <c r="U60" s="741"/>
      <c r="V60" s="194"/>
      <c r="W60" s="194"/>
      <c r="X60" s="194"/>
      <c r="Y60" s="194"/>
      <c r="Z60" s="194"/>
      <c r="AA60" s="194"/>
      <c r="AB60" s="741"/>
      <c r="AC60" s="194"/>
      <c r="AD60" s="174"/>
      <c r="AE60" s="194"/>
      <c r="AF60" s="194"/>
      <c r="AG60" s="194"/>
      <c r="AH60" s="194"/>
      <c r="AI60" s="741"/>
      <c r="AJ60" s="194"/>
      <c r="AK60" s="194"/>
      <c r="AL60" s="194"/>
      <c r="AM60" s="194"/>
      <c r="AN60" s="194"/>
      <c r="AO60" s="194"/>
      <c r="AP60" s="194"/>
      <c r="AQ60" s="194"/>
      <c r="AR60" s="194"/>
      <c r="AS60" s="194"/>
      <c r="AT60" s="194"/>
      <c r="AU60" s="194"/>
      <c r="AV60" s="194"/>
      <c r="AW60" s="194"/>
      <c r="AX60" s="194"/>
      <c r="AY60" s="194"/>
      <c r="AZ60" s="194"/>
      <c r="BA60" s="194"/>
      <c r="BB60" s="194"/>
      <c r="BC60" s="194"/>
      <c r="BD60" s="194"/>
      <c r="BE60" s="194"/>
      <c r="BF60" s="194"/>
      <c r="BG60" s="194"/>
      <c r="BH60" s="194"/>
      <c r="BI60" s="194"/>
      <c r="BJ60" s="194"/>
      <c r="BK60" s="194"/>
      <c r="BL60" s="194"/>
      <c r="BM60" s="194"/>
      <c r="BN60" s="194"/>
      <c r="BO60" s="194"/>
      <c r="BP60" s="194"/>
      <c r="BQ60" s="194"/>
      <c r="BR60" s="194"/>
      <c r="BS60" s="194"/>
      <c r="BT60" s="194"/>
      <c r="BU60" s="194"/>
      <c r="BV60" s="194"/>
      <c r="BW60" s="194"/>
      <c r="BX60" s="194"/>
      <c r="BY60" s="194"/>
    </row>
    <row r="61" spans="1:77" ht="15" customHeight="1"/>
    <row r="62" spans="1:77" ht="15" customHeight="1"/>
    <row r="63" spans="1:77" ht="15" customHeight="1"/>
    <row r="64" spans="1:7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spans="2:77" ht="15" customHeight="1"/>
    <row r="130" spans="2:77" ht="15" customHeight="1"/>
    <row r="131" spans="2:77" ht="15" customHeight="1"/>
    <row r="132" spans="2:77" ht="15" customHeight="1"/>
    <row r="133" spans="2:77" ht="15" customHeight="1"/>
    <row r="134" spans="2:77" ht="15" customHeight="1"/>
    <row r="135" spans="2:77" ht="15" customHeight="1"/>
    <row r="136" spans="2:77" s="156" customFormat="1" ht="14.5">
      <c r="B136" s="194"/>
      <c r="C136" s="194"/>
      <c r="D136" s="194"/>
      <c r="E136" s="194"/>
      <c r="F136" s="194"/>
      <c r="G136" s="741"/>
      <c r="H136" s="194"/>
      <c r="I136" s="194"/>
      <c r="J136" s="194"/>
      <c r="K136" s="194"/>
      <c r="L136" s="194"/>
      <c r="M136" s="194"/>
      <c r="N136" s="741"/>
      <c r="O136" s="157"/>
      <c r="P136" s="194"/>
      <c r="Q136" s="194"/>
      <c r="R136" s="194"/>
      <c r="S136" s="194"/>
      <c r="T136" s="194"/>
      <c r="U136" s="741"/>
      <c r="V136" s="194"/>
      <c r="W136" s="194"/>
      <c r="X136" s="194"/>
      <c r="Y136" s="194"/>
      <c r="Z136" s="194"/>
      <c r="AA136" s="194"/>
      <c r="AB136" s="741"/>
      <c r="AC136" s="194"/>
      <c r="AD136" s="174"/>
      <c r="AE136" s="194"/>
      <c r="AF136" s="194"/>
      <c r="AG136" s="194"/>
      <c r="AH136" s="194"/>
      <c r="AI136" s="741"/>
      <c r="AJ136" s="194"/>
      <c r="AK136" s="194"/>
      <c r="AL136" s="194"/>
      <c r="AM136" s="194"/>
      <c r="AN136" s="194"/>
      <c r="AO136" s="194"/>
      <c r="AP136" s="194"/>
      <c r="AQ136" s="194"/>
      <c r="AR136" s="194"/>
      <c r="AS136" s="194"/>
      <c r="AT136" s="194"/>
      <c r="AU136" s="194"/>
      <c r="AV136" s="194"/>
      <c r="AW136" s="194"/>
      <c r="AX136" s="194"/>
      <c r="AY136" s="194"/>
      <c r="AZ136" s="194"/>
      <c r="BA136" s="194"/>
      <c r="BB136" s="194"/>
      <c r="BC136" s="194"/>
      <c r="BD136" s="194"/>
      <c r="BE136" s="194"/>
      <c r="BF136" s="194"/>
      <c r="BG136" s="194"/>
      <c r="BH136" s="194"/>
      <c r="BI136" s="194"/>
      <c r="BJ136" s="194"/>
      <c r="BK136" s="194"/>
      <c r="BL136" s="194"/>
      <c r="BM136" s="194"/>
      <c r="BN136" s="194"/>
      <c r="BO136" s="194"/>
      <c r="BP136" s="194"/>
      <c r="BQ136" s="194"/>
      <c r="BR136" s="194"/>
      <c r="BS136" s="194"/>
      <c r="BT136" s="194"/>
      <c r="BU136" s="194"/>
      <c r="BV136" s="194"/>
      <c r="BW136" s="194"/>
      <c r="BX136" s="194"/>
      <c r="BY136" s="194"/>
    </row>
    <row r="137" spans="2:77" ht="15" customHeight="1"/>
    <row r="138" spans="2:77" ht="15" customHeight="1"/>
    <row r="139" spans="2:77" ht="15" customHeight="1"/>
    <row r="140" spans="2:77" ht="15" customHeight="1"/>
    <row r="141" spans="2:77" ht="15" customHeight="1"/>
    <row r="142" spans="2:77" ht="15" customHeight="1"/>
    <row r="143" spans="2:77" ht="15" customHeight="1"/>
    <row r="144" spans="2:77"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sheetData>
  <mergeCells count="5">
    <mergeCell ref="D13:G13"/>
    <mergeCell ref="K13:N13"/>
    <mergeCell ref="R13:U13"/>
    <mergeCell ref="Y13:AB13"/>
    <mergeCell ref="AF13:AI13"/>
  </mergeCells>
  <conditionalFormatting sqref="K15:K45 R15:R45 Y15:Y45 D15:D45">
    <cfRule type="expression" dxfId="291" priority="11">
      <formula>C15=5</formula>
    </cfRule>
    <cfRule type="expression" dxfId="290" priority="20">
      <formula>C15=4</formula>
    </cfRule>
    <cfRule type="expression" dxfId="289" priority="21">
      <formula>C15=3</formula>
    </cfRule>
    <cfRule type="expression" dxfId="288" priority="31">
      <formula>C15=2</formula>
    </cfRule>
    <cfRule type="expression" dxfId="287" priority="32">
      <formula>C15=1</formula>
    </cfRule>
  </conditionalFormatting>
  <conditionalFormatting sqref="N15:N45 U15:U45 AB15:AB45">
    <cfRule type="expression" dxfId="286" priority="19">
      <formula>N15=-100</formula>
    </cfRule>
  </conditionalFormatting>
  <conditionalFormatting sqref="G15:G45">
    <cfRule type="expression" dxfId="285" priority="14">
      <formula>G15=-100</formula>
    </cfRule>
  </conditionalFormatting>
  <conditionalFormatting sqref="E15:G45">
    <cfRule type="expression" dxfId="284" priority="17">
      <formula>$B15=4</formula>
    </cfRule>
    <cfRule type="expression" dxfId="283" priority="18">
      <formula>$B15=3</formula>
    </cfRule>
    <cfRule type="expression" dxfId="282" priority="22">
      <formula>$B15=2</formula>
    </cfRule>
    <cfRule type="expression" dxfId="281" priority="23">
      <formula>$B15=0</formula>
    </cfRule>
  </conditionalFormatting>
  <conditionalFormatting sqref="L15:N45">
    <cfRule type="expression" dxfId="280" priority="25">
      <formula>$I15=4</formula>
    </cfRule>
    <cfRule type="expression" dxfId="279" priority="29">
      <formula>$I15=3</formula>
    </cfRule>
    <cfRule type="expression" dxfId="278" priority="30">
      <formula>$I15=2</formula>
    </cfRule>
    <cfRule type="expression" dxfId="277" priority="33">
      <formula>$I15=0</formula>
    </cfRule>
  </conditionalFormatting>
  <conditionalFormatting sqref="S15:U45">
    <cfRule type="expression" dxfId="276" priority="24">
      <formula>$P15=4</formula>
    </cfRule>
    <cfRule type="expression" dxfId="275" priority="26">
      <formula>$P15=3</formula>
    </cfRule>
    <cfRule type="expression" dxfId="274" priority="27">
      <formula>$P15=2</formula>
    </cfRule>
    <cfRule type="expression" dxfId="273" priority="28">
      <formula>$P15=0</formula>
    </cfRule>
  </conditionalFormatting>
  <conditionalFormatting sqref="Z15:AB45">
    <cfRule type="expression" dxfId="272" priority="12">
      <formula>$W15=4</formula>
    </cfRule>
    <cfRule type="expression" dxfId="271" priority="13">
      <formula>$W15=3</formula>
    </cfRule>
    <cfRule type="expression" dxfId="270" priority="15">
      <formula>$W15=2</formula>
    </cfRule>
    <cfRule type="expression" dxfId="269" priority="16">
      <formula>$W15=0</formula>
    </cfRule>
  </conditionalFormatting>
  <conditionalFormatting sqref="AF15:AF45">
    <cfRule type="expression" dxfId="268" priority="1">
      <formula>AE15=5</formula>
    </cfRule>
    <cfRule type="expression" dxfId="267" priority="7">
      <formula>AE15=4</formula>
    </cfRule>
    <cfRule type="expression" dxfId="266" priority="8">
      <formula>AE15=3</formula>
    </cfRule>
    <cfRule type="expression" dxfId="265" priority="9">
      <formula>AE15=2</formula>
    </cfRule>
    <cfRule type="expression" dxfId="264" priority="10">
      <formula>AE15=1</formula>
    </cfRule>
  </conditionalFormatting>
  <conditionalFormatting sqref="AI15:AI45">
    <cfRule type="expression" dxfId="263" priority="6">
      <formula>AI15=-100</formula>
    </cfRule>
  </conditionalFormatting>
  <conditionalFormatting sqref="AG15:AI45">
    <cfRule type="expression" dxfId="262" priority="2">
      <formula>$AD15=4</formula>
    </cfRule>
    <cfRule type="expression" dxfId="261" priority="3">
      <formula>$AD15=3</formula>
    </cfRule>
    <cfRule type="expression" dxfId="260" priority="4">
      <formula>$AD15=2</formula>
    </cfRule>
    <cfRule type="expression" dxfId="259" priority="5">
      <formula>$AD15=0</formula>
    </cfRule>
  </conditionalFormatting>
  <pageMargins left="0.55118110236220474" right="0.55118110236220474" top="0.59055118110236227" bottom="0.78740157480314965" header="0.51181102362204722" footer="0.51181102362204722"/>
  <pageSetup paperSize="9" orientation="landscape" r:id="rId1"/>
  <headerFooter alignWithMargins="0">
    <oddHeader>&amp;RFood Sustainability Index: 2021</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524417" r:id="rId4" name="S_Show_Average">
              <controlPr defaultSize="0" autoFill="0" autoLine="0" autoPict="0" macro="[0]!UniversalChanger">
                <anchor>
                  <from>
                    <xdr:col>14</xdr:col>
                    <xdr:colOff>0</xdr:colOff>
                    <xdr:row>1</xdr:row>
                    <xdr:rowOff>508000</xdr:rowOff>
                  </from>
                  <to>
                    <xdr:col>20</xdr:col>
                    <xdr:colOff>222250</xdr:colOff>
                    <xdr:row>1</xdr:row>
                    <xdr:rowOff>762000</xdr:rowOff>
                  </to>
                </anchor>
              </controlPr>
            </control>
          </mc:Choice>
        </mc:AlternateContent>
        <mc:AlternateContent xmlns:mc="http://schemas.openxmlformats.org/markup-compatibility/2006">
          <mc:Choice Requires="x14">
            <control shapeId="14524418" r:id="rId5" name="R_HIGHLIGHT">
              <controlPr defaultSize="0" autoLine="0" autoPict="0">
                <anchor>
                  <from>
                    <xdr:col>7</xdr:col>
                    <xdr:colOff>114300</xdr:colOff>
                    <xdr:row>1</xdr:row>
                    <xdr:rowOff>533400</xdr:rowOff>
                  </from>
                  <to>
                    <xdr:col>12</xdr:col>
                    <xdr:colOff>971550</xdr:colOff>
                    <xdr:row>1</xdr:row>
                    <xdr:rowOff>742950</xdr:rowOff>
                  </to>
                </anchor>
              </controlPr>
            </control>
          </mc:Choice>
        </mc:AlternateContent>
        <mc:AlternateContent xmlns:mc="http://schemas.openxmlformats.org/markup-compatibility/2006">
          <mc:Choice Requires="x14">
            <control shapeId="14524419" r:id="rId6" name="C_Highlight">
              <controlPr defaultSize="0" autoLine="0" autoPict="0" macro="[0]!UniversalChanger">
                <anchor>
                  <from>
                    <xdr:col>0</xdr:col>
                    <xdr:colOff>127000</xdr:colOff>
                    <xdr:row>1</xdr:row>
                    <xdr:rowOff>527050</xdr:rowOff>
                  </from>
                  <to>
                    <xdr:col>6</xdr:col>
                    <xdr:colOff>317500</xdr:colOff>
                    <xdr:row>1</xdr:row>
                    <xdr:rowOff>742950</xdr:rowOff>
                  </to>
                </anchor>
              </controlPr>
            </control>
          </mc:Choice>
        </mc:AlternateContent>
        <mc:AlternateContent xmlns:mc="http://schemas.openxmlformats.org/markup-compatibility/2006">
          <mc:Choice Requires="x14">
            <control shapeId="14524428" r:id="rId7" name="INCOME_FILTER">
              <controlPr defaultSize="0" print="0" autoLine="0" autoPict="0" macro="[0]!UniversalChanger">
                <anchor>
                  <from>
                    <xdr:col>11</xdr:col>
                    <xdr:colOff>228600</xdr:colOff>
                    <xdr:row>3</xdr:row>
                    <xdr:rowOff>336550</xdr:rowOff>
                  </from>
                  <to>
                    <xdr:col>14</xdr:col>
                    <xdr:colOff>127000</xdr:colOff>
                    <xdr:row>3</xdr:row>
                    <xdr:rowOff>552450</xdr:rowOff>
                  </to>
                </anchor>
              </controlPr>
            </control>
          </mc:Choice>
        </mc:AlternateContent>
        <mc:AlternateContent xmlns:mc="http://schemas.openxmlformats.org/markup-compatibility/2006">
          <mc:Choice Requires="x14">
            <control shapeId="14524429" r:id="rId8" name="R_FILTER">
              <controlPr defaultSize="0" print="0" autoLine="0" autoPict="0" macro="[0]!UniversalChanger">
                <anchor>
                  <from>
                    <xdr:col>5</xdr:col>
                    <xdr:colOff>260350</xdr:colOff>
                    <xdr:row>3</xdr:row>
                    <xdr:rowOff>323850</xdr:rowOff>
                  </from>
                  <to>
                    <xdr:col>7</xdr:col>
                    <xdr:colOff>488950</xdr:colOff>
                    <xdr:row>3</xdr:row>
                    <xdr:rowOff>533400</xdr:rowOff>
                  </to>
                </anchor>
              </controlPr>
            </control>
          </mc:Choice>
        </mc:AlternateContent>
        <mc:AlternateContent xmlns:mc="http://schemas.openxmlformats.org/markup-compatibility/2006">
          <mc:Choice Requires="x14">
            <control shapeId="14524430" r:id="rId9" name="L_Weights">
              <controlPr defaultSize="0" print="0" autoLine="0" autoPict="0" macro="[0]!UniversalChanger">
                <anchor>
                  <from>
                    <xdr:col>32</xdr:col>
                    <xdr:colOff>190500</xdr:colOff>
                    <xdr:row>3</xdr:row>
                    <xdr:rowOff>323850</xdr:rowOff>
                  </from>
                  <to>
                    <xdr:col>35</xdr:col>
                    <xdr:colOff>88900</xdr:colOff>
                    <xdr:row>3</xdr:row>
                    <xdr:rowOff>546100</xdr:rowOff>
                  </to>
                </anchor>
              </controlPr>
            </control>
          </mc:Choice>
        </mc:AlternateContent>
        <mc:AlternateContent xmlns:mc="http://schemas.openxmlformats.org/markup-compatibility/2006">
          <mc:Choice Requires="x14">
            <control shapeId="14524431" r:id="rId10" name="POP_DD">
              <controlPr defaultSize="0" print="0" autoLine="0" autoPict="0" macro="[0]!UniversalChanger">
                <anchor>
                  <from>
                    <xdr:col>18</xdr:col>
                    <xdr:colOff>114300</xdr:colOff>
                    <xdr:row>3</xdr:row>
                    <xdr:rowOff>323850</xdr:rowOff>
                  </from>
                  <to>
                    <xdr:col>21</xdr:col>
                    <xdr:colOff>19050</xdr:colOff>
                    <xdr:row>3</xdr:row>
                    <xdr:rowOff>533400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C000"/>
    <pageSetUpPr fitToPage="1"/>
  </sheetPr>
  <dimension ref="A1:BJ74"/>
  <sheetViews>
    <sheetView showRowColHeaders="0" zoomScaleNormal="100" workbookViewId="0">
      <pane xSplit="4" ySplit="4" topLeftCell="V43" activePane="bottomRight" state="frozen"/>
      <selection activeCell="X1" sqref="X1"/>
      <selection pane="topRight" activeCell="X1" sqref="X1"/>
      <selection pane="bottomLeft" activeCell="X1" sqref="X1"/>
      <selection pane="bottomRight" activeCell="BE71" sqref="BE71"/>
    </sheetView>
  </sheetViews>
  <sheetFormatPr defaultColWidth="9.1796875" defaultRowHeight="14.5"/>
  <cols>
    <col min="1" max="1" width="6.1796875" customWidth="1"/>
    <col min="2" max="2" width="4.453125" bestFit="1" customWidth="1"/>
    <col min="3" max="3" width="15" customWidth="1"/>
    <col min="4" max="4" width="22.7265625" customWidth="1"/>
    <col min="6" max="6" width="6.453125" customWidth="1"/>
    <col min="8" max="9" width="3.1796875" customWidth="1"/>
    <col min="10" max="10" width="10.453125" customWidth="1"/>
    <col min="11" max="11" width="3.1796875" customWidth="1"/>
    <col min="13" max="16" width="5.7265625" style="635" customWidth="1"/>
    <col min="17" max="18" width="5.7265625" style="830" customWidth="1"/>
    <col min="22" max="25" width="4.26953125" style="595" customWidth="1"/>
    <col min="26" max="26" width="4.26953125" style="830" customWidth="1"/>
    <col min="27" max="27" width="4.26953125" style="844" customWidth="1"/>
    <col min="30" max="30" width="10.453125" bestFit="1" customWidth="1"/>
    <col min="31" max="34" width="4.7265625" style="595" customWidth="1"/>
    <col min="35" max="36" width="4.7265625" style="830" customWidth="1"/>
    <col min="38" max="38" width="9.1796875" style="367"/>
    <col min="39" max="39" width="10.453125" style="367" bestFit="1" customWidth="1"/>
    <col min="40" max="56" width="5.7265625" style="566" customWidth="1"/>
    <col min="57" max="62" width="5.7265625" style="844" customWidth="1"/>
  </cols>
  <sheetData>
    <row r="1" spans="1:62" s="3" customFormat="1" ht="22.5" customHeight="1">
      <c r="B1" s="131"/>
      <c r="C1" s="131"/>
      <c r="D1" s="6"/>
      <c r="H1" s="9"/>
      <c r="J1" s="3">
        <v>3</v>
      </c>
      <c r="M1" s="131"/>
      <c r="N1" s="131">
        <v>1</v>
      </c>
      <c r="O1" s="131">
        <v>2</v>
      </c>
      <c r="P1" s="131">
        <v>3</v>
      </c>
      <c r="Q1" s="131">
        <v>4</v>
      </c>
      <c r="R1" s="131">
        <v>5</v>
      </c>
      <c r="U1" s="23"/>
      <c r="V1" s="600"/>
      <c r="W1" s="131"/>
      <c r="X1" s="131">
        <f>N1</f>
        <v>1</v>
      </c>
      <c r="Y1" s="131">
        <f>O1</f>
        <v>2</v>
      </c>
      <c r="Z1" s="131">
        <f>P1</f>
        <v>3</v>
      </c>
      <c r="AA1" s="131">
        <f>Q1</f>
        <v>4</v>
      </c>
      <c r="AC1" s="89"/>
      <c r="AE1" s="131"/>
      <c r="AF1" s="131"/>
      <c r="AG1" s="131"/>
      <c r="AH1" s="131"/>
      <c r="AI1" s="131"/>
      <c r="AJ1" s="131"/>
      <c r="AK1"/>
      <c r="AL1" s="89"/>
      <c r="AN1" s="593">
        <v>0</v>
      </c>
      <c r="AO1" s="593">
        <f>AN1+1</f>
        <v>1</v>
      </c>
      <c r="AP1" s="593">
        <f t="shared" ref="AP1:BD1" si="0">AO1+1</f>
        <v>2</v>
      </c>
      <c r="AQ1" s="593">
        <f t="shared" si="0"/>
        <v>3</v>
      </c>
      <c r="AR1" s="593">
        <f t="shared" si="0"/>
        <v>4</v>
      </c>
      <c r="AS1" s="593">
        <f t="shared" si="0"/>
        <v>5</v>
      </c>
      <c r="AT1" s="593">
        <f t="shared" si="0"/>
        <v>6</v>
      </c>
      <c r="AU1" s="593">
        <f t="shared" si="0"/>
        <v>7</v>
      </c>
      <c r="AV1" s="593">
        <f t="shared" si="0"/>
        <v>8</v>
      </c>
      <c r="AW1" s="593">
        <f t="shared" si="0"/>
        <v>9</v>
      </c>
      <c r="AX1" s="593">
        <f t="shared" si="0"/>
        <v>10</v>
      </c>
      <c r="AY1" s="593">
        <f t="shared" si="0"/>
        <v>11</v>
      </c>
      <c r="AZ1" s="593">
        <f t="shared" si="0"/>
        <v>12</v>
      </c>
      <c r="BA1" s="593">
        <f t="shared" si="0"/>
        <v>13</v>
      </c>
      <c r="BB1" s="593">
        <f t="shared" si="0"/>
        <v>14</v>
      </c>
      <c r="BC1" s="593">
        <f t="shared" si="0"/>
        <v>15</v>
      </c>
      <c r="BD1" s="593">
        <f t="shared" si="0"/>
        <v>16</v>
      </c>
      <c r="BE1" s="593">
        <f t="shared" ref="BE1" si="1">BD1+1</f>
        <v>17</v>
      </c>
      <c r="BF1" s="593">
        <f t="shared" ref="BF1" si="2">BE1+1</f>
        <v>18</v>
      </c>
      <c r="BG1" s="593">
        <f t="shared" ref="BG1" si="3">BF1+1</f>
        <v>19</v>
      </c>
      <c r="BH1" s="593">
        <f t="shared" ref="BH1" si="4">BG1+1</f>
        <v>20</v>
      </c>
      <c r="BI1" s="593">
        <f t="shared" ref="BI1" si="5">BH1+1</f>
        <v>21</v>
      </c>
      <c r="BJ1" s="593">
        <f t="shared" ref="BJ1" si="6">BI1+1</f>
        <v>22</v>
      </c>
    </row>
    <row r="2" spans="1:62" s="3" customFormat="1" ht="25.5" customHeight="1">
      <c r="B2" s="131"/>
      <c r="C2" s="131"/>
      <c r="D2" s="6"/>
      <c r="H2" s="9"/>
      <c r="M2" s="131"/>
      <c r="N2" s="131">
        <v>1</v>
      </c>
      <c r="O2" s="131">
        <v>1</v>
      </c>
      <c r="P2" s="131">
        <v>2</v>
      </c>
      <c r="Q2" s="131">
        <v>2</v>
      </c>
      <c r="R2" s="131">
        <v>2</v>
      </c>
      <c r="U2" s="23"/>
      <c r="V2" s="600"/>
      <c r="W2" s="131"/>
      <c r="X2" s="131"/>
      <c r="Y2" s="131"/>
      <c r="Z2" s="131"/>
      <c r="AA2" s="131"/>
      <c r="AC2" s="89"/>
      <c r="AE2" s="131"/>
      <c r="AF2" s="131"/>
      <c r="AG2" s="131"/>
      <c r="AH2" s="131"/>
      <c r="AI2" s="131"/>
      <c r="AJ2" s="131"/>
      <c r="AK2"/>
      <c r="AL2" s="89"/>
      <c r="AN2" s="131"/>
      <c r="AO2" s="131"/>
      <c r="AP2" s="131"/>
      <c r="AQ2" s="131"/>
      <c r="AR2" s="131"/>
      <c r="AS2" s="131"/>
      <c r="AT2" s="131"/>
      <c r="AU2" s="131"/>
      <c r="AV2" s="131"/>
      <c r="AW2" s="131"/>
      <c r="AX2" s="131"/>
      <c r="AY2" s="131"/>
      <c r="AZ2" s="131"/>
      <c r="BA2" s="131"/>
      <c r="BB2" s="131"/>
      <c r="BC2" s="131"/>
      <c r="BD2" s="131"/>
      <c r="BE2" s="131"/>
      <c r="BF2" s="131"/>
      <c r="BG2" s="131"/>
      <c r="BH2" s="131"/>
      <c r="BI2" s="131"/>
      <c r="BJ2" s="131"/>
    </row>
    <row r="3" spans="1:62" s="3" customFormat="1">
      <c r="A3" s="1" t="s">
        <v>111</v>
      </c>
      <c r="B3" s="130" t="s">
        <v>155</v>
      </c>
      <c r="C3" s="130"/>
      <c r="D3" s="91" t="s">
        <v>45</v>
      </c>
      <c r="E3" s="1" t="s">
        <v>23</v>
      </c>
      <c r="F3" s="1" t="s">
        <v>46</v>
      </c>
      <c r="G3" s="2"/>
      <c r="H3" s="7"/>
      <c r="M3" s="131" t="s">
        <v>231</v>
      </c>
      <c r="N3" s="131"/>
      <c r="O3" s="131"/>
      <c r="P3" s="131">
        <f t="shared" ref="P3" si="7">O3+1</f>
        <v>1</v>
      </c>
      <c r="Q3" s="131">
        <f t="shared" ref="Q3" si="8">P3+1</f>
        <v>2</v>
      </c>
      <c r="R3" s="131">
        <f t="shared" ref="R3" si="9">Q3+1</f>
        <v>3</v>
      </c>
      <c r="U3" s="23"/>
      <c r="V3" s="600"/>
      <c r="W3" s="131" t="s">
        <v>230</v>
      </c>
      <c r="X3" s="131"/>
      <c r="Y3" s="131"/>
      <c r="Z3" s="131"/>
      <c r="AA3" s="131"/>
      <c r="AC3" s="89"/>
      <c r="AE3" s="131"/>
      <c r="AF3" s="131"/>
      <c r="AG3" s="131"/>
      <c r="AH3" s="131"/>
      <c r="AI3" s="131"/>
      <c r="AJ3" s="131"/>
      <c r="AK3"/>
      <c r="AL3" s="89"/>
      <c r="AN3" s="131"/>
      <c r="AO3" s="131"/>
      <c r="AP3" s="131"/>
      <c r="AQ3" s="131"/>
      <c r="AR3" s="131"/>
      <c r="AS3" s="131"/>
      <c r="AT3" s="131"/>
      <c r="AU3" s="131"/>
      <c r="AV3" s="131"/>
      <c r="AW3" s="131"/>
      <c r="AX3" s="131"/>
      <c r="AY3" s="131"/>
      <c r="AZ3" s="131"/>
      <c r="BA3" s="131"/>
      <c r="BB3" s="131"/>
      <c r="BC3" s="131"/>
      <c r="BD3" s="131"/>
      <c r="BE3" s="131"/>
      <c r="BF3" s="131"/>
      <c r="BG3" s="131"/>
      <c r="BH3" s="131"/>
      <c r="BI3" s="131"/>
      <c r="BJ3" s="131"/>
    </row>
    <row r="4" spans="1:62" s="3" customFormat="1">
      <c r="A4" s="3">
        <v>0</v>
      </c>
      <c r="B4" s="131"/>
      <c r="C4" s="131"/>
      <c r="D4" s="6" t="s">
        <v>12</v>
      </c>
      <c r="E4" s="3" t="str">
        <f t="shared" ref="E4" si="10">D4</f>
        <v>&lt;none&gt;</v>
      </c>
      <c r="G4" s="4"/>
      <c r="H4" s="8"/>
      <c r="J4" s="5"/>
      <c r="L4" s="3" t="s">
        <v>110</v>
      </c>
      <c r="M4" s="131"/>
      <c r="N4" s="131" t="str">
        <f>INDEX($L$5:$L$10,N1)</f>
        <v>OVERALL SCORE</v>
      </c>
      <c r="O4" s="131" t="str">
        <f t="shared" ref="O4:P4" si="11">INDEX($L$5:$L$10,O1)</f>
        <v>1) CONNECTIVITY</v>
      </c>
      <c r="P4" s="131" t="str">
        <f t="shared" si="11"/>
        <v>2) SERVICES</v>
      </c>
      <c r="Q4" s="131" t="str">
        <f t="shared" ref="Q4:R4" si="12">INDEX($L$5:$L$10,Q1)</f>
        <v>3) CULTURE</v>
      </c>
      <c r="R4" s="131" t="str">
        <f t="shared" si="12"/>
        <v>4) SUSTAINABILITY</v>
      </c>
      <c r="U4" s="23"/>
      <c r="V4" s="592">
        <f>uxb_works!$B$130</f>
        <v>1</v>
      </c>
      <c r="W4" s="131" t="str">
        <f>N4</f>
        <v>OVERALL SCORE</v>
      </c>
      <c r="X4" s="131" t="str">
        <f>O4</f>
        <v>1) CONNECTIVITY</v>
      </c>
      <c r="Y4" s="131" t="str">
        <f>P4</f>
        <v>2) SERVICES</v>
      </c>
      <c r="Z4" s="131" t="str">
        <f t="shared" ref="Z4:AA4" si="13">Q4</f>
        <v>3) CULTURE</v>
      </c>
      <c r="AA4" s="131" t="str">
        <f t="shared" si="13"/>
        <v>4) SUSTAINABILITY</v>
      </c>
      <c r="AC4" s="89"/>
      <c r="AD4" s="3" t="s">
        <v>144</v>
      </c>
      <c r="AE4" s="592">
        <f>uxb_works!$B$130</f>
        <v>1</v>
      </c>
      <c r="AF4" s="131" t="str">
        <f>W4</f>
        <v>OVERALL SCORE</v>
      </c>
      <c r="AG4" s="131" t="str">
        <f t="shared" ref="AG4:AJ4" si="14">X4</f>
        <v>1) CONNECTIVITY</v>
      </c>
      <c r="AH4" s="131" t="str">
        <f t="shared" si="14"/>
        <v>2) SERVICES</v>
      </c>
      <c r="AI4" s="131" t="str">
        <f t="shared" si="14"/>
        <v>3) CULTURE</v>
      </c>
      <c r="AJ4" s="131" t="str">
        <f t="shared" si="14"/>
        <v>4) SUSTAINABILITY</v>
      </c>
      <c r="AK4"/>
      <c r="AL4" s="89"/>
      <c r="AM4" s="3" t="s">
        <v>464</v>
      </c>
      <c r="AN4" s="592">
        <f>uxb_works!$B$32</f>
        <v>1</v>
      </c>
      <c r="AO4" s="638" t="str" cm="1">
        <f t="array" ref="AO4">INDEX(tblIndiSets!$E$86:$E$107,tblCategories!AO1)</f>
        <v>OVERALL SCORE</v>
      </c>
      <c r="AP4" s="638" t="str" cm="1">
        <f t="array" ref="AP4">INDEX(tblIndiSets!$E$86:$E$107,tblCategories!AP1)</f>
        <v>1) CONNECTIVITY</v>
      </c>
      <c r="AQ4" s="638" t="str" cm="1">
        <f t="array" ref="AQ4">INDEX(tblIndiSets!$E$86:$E$107,tblCategories!AQ1)</f>
        <v>1.1) Digital infrastructure</v>
      </c>
      <c r="AR4" s="638" t="str" cm="1">
        <f t="array" ref="AR4">INDEX(tblIndiSets!$E$86:$E$107,tblCategories!AR1)</f>
        <v>1.2) Quality</v>
      </c>
      <c r="AS4" s="638" t="str" cm="1">
        <f t="array" ref="AS4">INDEX(tblIndiSets!$E$86:$E$107,tblCategories!AS1)</f>
        <v>1.3) Affordability</v>
      </c>
      <c r="AT4" s="638" t="str" cm="1">
        <f t="array" ref="AT4">INDEX(tblIndiSets!$E$86:$E$107,tblCategories!AT1)</f>
        <v>2) SERVICES</v>
      </c>
      <c r="AU4" s="638" t="str" cm="1">
        <f t="array" ref="AU4">INDEX(tblIndiSets!$E$86:$E$107,tblCategories!AU1)</f>
        <v>2.1) E-gov services for residents &amp; businesses</v>
      </c>
      <c r="AV4" s="638" t="str" cm="1">
        <f t="array" ref="AV4">INDEX(tblIndiSets!$E$86:$E$107,tblCategories!AV1)</f>
        <v>2.2) Digital finance</v>
      </c>
      <c r="AW4" s="638" t="str" cm="1">
        <f t="array" ref="AW4">INDEX(tblIndiSets!$E$86:$E$107,tblCategories!AW1)</f>
        <v>2.3) Transportation</v>
      </c>
      <c r="AX4" s="638" t="str" cm="1">
        <f t="array" ref="AX4">INDEX(tblIndiSets!$E$86:$E$107,tblCategories!AX1)</f>
        <v>2.4) Healthcare</v>
      </c>
      <c r="AY4" s="638" t="str" cm="1">
        <f t="array" ref="AY4">INDEX(tblIndiSets!$E$86:$E$107,tblCategories!AY1)</f>
        <v>2.5) Education</v>
      </c>
      <c r="AZ4" s="638" t="str" cm="1">
        <f t="array" ref="AZ4">INDEX(tblIndiSets!$E$86:$E$107,tblCategories!AZ1)</f>
        <v>2.6) Retail and hospitality</v>
      </c>
      <c r="BA4" s="638" t="str" cm="1">
        <f t="array" ref="BA4">INDEX(tblIndiSets!$E$86:$E$107,tblCategories!BA1)</f>
        <v>3) CULTURE</v>
      </c>
      <c r="BB4" s="638" t="str" cm="1">
        <f t="array" ref="BB4">INDEX(tblIndiSets!$E$86:$E$107,tblCategories!BB1)</f>
        <v>3.1) Digital inclusion</v>
      </c>
      <c r="BC4" s="638" t="str" cm="1">
        <f t="array" ref="BC4">INDEX(tblIndiSets!$E$86:$E$107,tblCategories!BC1)</f>
        <v>3.2) Government support</v>
      </c>
      <c r="BD4" s="638" t="str" cm="1">
        <f t="array" ref="BD4">INDEX(tblIndiSets!$E$86:$E$107,tblCategories!BD1)</f>
        <v>3.3) Innovation ecosystem</v>
      </c>
      <c r="BE4" s="638" t="str" cm="1">
        <f t="array" ref="BE4">INDEX(tblIndiSets!$E$86:$E$107,tblCategories!BE1)</f>
        <v>3.4) Public attitude and engagement</v>
      </c>
      <c r="BF4" s="638" t="str" cm="1">
        <f t="array" ref="BF4">INDEX(tblIndiSets!$E$86:$E$107,tblCategories!BF1)</f>
        <v>4) SUSTAINABILITY</v>
      </c>
      <c r="BG4" s="638" t="str" cm="1">
        <f t="array" ref="BG4">INDEX(tblIndiSets!$E$86:$E$107,tblCategories!BG1)</f>
        <v>4.1) Efficient resource management</v>
      </c>
      <c r="BH4" s="638" t="str" cm="1">
        <f t="array" ref="BH4">INDEX(tblIndiSets!$E$86:$E$107,tblCategories!BH1)</f>
        <v>4.2) Emissions reduction</v>
      </c>
      <c r="BI4" s="638" t="str" cm="1">
        <f t="array" ref="BI4">INDEX(tblIndiSets!$E$86:$E$107,tblCategories!BI1)</f>
        <v>4.3) Pollution</v>
      </c>
      <c r="BJ4" s="638" t="str" cm="1">
        <f t="array" ref="BJ4">INDEX(tblIndiSets!$E$86:$E$107,tblCategories!BJ1)</f>
        <v>4.4) Circular economy</v>
      </c>
    </row>
    <row r="5" spans="1:62">
      <c r="A5">
        <f>A4+1</f>
        <v>1</v>
      </c>
      <c r="B5">
        <f>tblIndicators!G2</f>
        <v>0</v>
      </c>
      <c r="C5">
        <f>tblIndicators!C2</f>
        <v>0</v>
      </c>
      <c r="D5" t="str">
        <f>tblIndicators!AL2</f>
        <v>OVERALL SCORE</v>
      </c>
      <c r="E5" t="str">
        <f t="shared" ref="E5" si="15">D5</f>
        <v>OVERALL SCORE</v>
      </c>
      <c r="J5" t="str">
        <f>LEFT(D5,$J$1)</f>
        <v>OVE</v>
      </c>
      <c r="L5" t="str">
        <f>tblIndiSets!C5</f>
        <v>OVERALL SCORE</v>
      </c>
      <c r="M5" s="635">
        <v>0</v>
      </c>
      <c r="N5" s="635">
        <f>IF($B5=2,1,0)</f>
        <v>0</v>
      </c>
      <c r="O5" s="635">
        <f>IF(AND(OR($B5=2,$B5=3,$B5=4),$C5=(O$1-1)),1,0)</f>
        <v>0</v>
      </c>
      <c r="P5" s="635">
        <f t="shared" ref="P5:R9" si="16">IF(AND(OR($B5=2,$B5=3,$B5=4),$C5=(P$1-1)),1,0)</f>
        <v>0</v>
      </c>
      <c r="Q5" s="830">
        <f t="shared" si="16"/>
        <v>0</v>
      </c>
      <c r="R5" s="830">
        <f t="shared" si="16"/>
        <v>0</v>
      </c>
      <c r="U5" s="23"/>
      <c r="V5" s="595">
        <f t="shared" ref="V5:V8" si="17">INDEX(W5:AA5,$V$4)</f>
        <v>1</v>
      </c>
      <c r="W5" s="595">
        <v>1</v>
      </c>
      <c r="X5" s="595">
        <v>0</v>
      </c>
      <c r="Y5" s="595">
        <v>0</v>
      </c>
      <c r="Z5" s="830">
        <v>0</v>
      </c>
      <c r="AA5" s="844">
        <v>0</v>
      </c>
      <c r="AC5" s="89"/>
      <c r="AE5" s="595">
        <f>INDEX(AF5:AJ5,$AE$4)</f>
        <v>1</v>
      </c>
      <c r="AF5" s="595">
        <v>1</v>
      </c>
      <c r="AG5" s="595">
        <v>0</v>
      </c>
      <c r="AH5" s="595">
        <v>0</v>
      </c>
      <c r="AI5" s="830">
        <v>0</v>
      </c>
      <c r="AJ5" s="830">
        <v>0</v>
      </c>
      <c r="AL5" s="89"/>
      <c r="AN5" s="566">
        <f t="shared" ref="AN5:AN37" si="18">INDEX(AO5:BJ5,$AN$4)</f>
        <v>1</v>
      </c>
      <c r="AO5" s="566">
        <v>1</v>
      </c>
      <c r="AP5" s="566">
        <v>0</v>
      </c>
      <c r="AQ5" s="566">
        <v>0</v>
      </c>
      <c r="AR5" s="566">
        <v>0</v>
      </c>
      <c r="AS5" s="566">
        <v>0</v>
      </c>
      <c r="AT5" s="566">
        <v>0</v>
      </c>
      <c r="AU5" s="566">
        <v>0</v>
      </c>
      <c r="AV5" s="566">
        <v>0</v>
      </c>
      <c r="AW5" s="566">
        <v>0</v>
      </c>
      <c r="AX5" s="566">
        <v>0</v>
      </c>
      <c r="AY5" s="566">
        <v>0</v>
      </c>
      <c r="AZ5" s="566">
        <v>0</v>
      </c>
      <c r="BA5" s="566">
        <v>0</v>
      </c>
      <c r="BB5" s="566">
        <v>0</v>
      </c>
      <c r="BC5" s="566">
        <v>0</v>
      </c>
      <c r="BD5" s="566">
        <v>0</v>
      </c>
      <c r="BE5" s="844">
        <v>0</v>
      </c>
      <c r="BF5" s="844">
        <v>0</v>
      </c>
      <c r="BG5" s="844">
        <v>0</v>
      </c>
      <c r="BH5" s="844">
        <v>0</v>
      </c>
      <c r="BI5" s="844">
        <v>0</v>
      </c>
      <c r="BJ5" s="844">
        <v>0</v>
      </c>
    </row>
    <row r="6" spans="1:62" ht="17.25" customHeight="1">
      <c r="A6">
        <f t="shared" ref="A6:A74" si="19">A5+1</f>
        <v>2</v>
      </c>
      <c r="B6">
        <f>tblIndicators!G3</f>
        <v>1</v>
      </c>
      <c r="C6">
        <f>tblIndicators!C3</f>
        <v>1</v>
      </c>
      <c r="D6" t="str">
        <f>tblIndicators!AL3</f>
        <v>1) CONNECTIVITY</v>
      </c>
      <c r="E6" t="str">
        <f t="shared" ref="E6" si="20">D6</f>
        <v>1) CONNECTIVITY</v>
      </c>
      <c r="J6">
        <v>1</v>
      </c>
      <c r="L6" s="367" t="str">
        <f>tblIndiSets!C6</f>
        <v>1) CONNECTIVITY</v>
      </c>
      <c r="M6" s="635">
        <v>1</v>
      </c>
      <c r="N6" s="635">
        <f t="shared" ref="N6:N9" si="21">IF($B6=2,1,0)</f>
        <v>0</v>
      </c>
      <c r="O6" s="635">
        <f t="shared" ref="O6:O9" si="22">IF(AND(OR($B6=2,$B6=3,$B6=4),$C6=(O$1-1)),1,0)</f>
        <v>0</v>
      </c>
      <c r="P6" s="635">
        <f t="shared" si="16"/>
        <v>0</v>
      </c>
      <c r="Q6" s="830">
        <f t="shared" si="16"/>
        <v>0</v>
      </c>
      <c r="R6" s="830">
        <f t="shared" si="16"/>
        <v>0</v>
      </c>
      <c r="U6" s="23"/>
      <c r="V6" s="595">
        <f t="shared" si="17"/>
        <v>1</v>
      </c>
      <c r="W6" s="595">
        <v>1</v>
      </c>
      <c r="X6" s="844">
        <v>1</v>
      </c>
      <c r="Y6" s="844">
        <v>0</v>
      </c>
      <c r="Z6" s="844">
        <v>0</v>
      </c>
      <c r="AA6" s="844">
        <v>0</v>
      </c>
      <c r="AC6" s="89"/>
      <c r="AE6" s="595">
        <f t="shared" ref="AE6:AE68" si="23">INDEX(AF6:AJ6,$AE$4)</f>
        <v>1</v>
      </c>
      <c r="AF6" s="595">
        <v>1</v>
      </c>
      <c r="AG6" s="844">
        <v>1</v>
      </c>
      <c r="AH6" s="844">
        <v>0</v>
      </c>
      <c r="AI6" s="844">
        <v>0</v>
      </c>
      <c r="AJ6" s="844">
        <v>0</v>
      </c>
      <c r="AL6" s="89"/>
      <c r="AN6" s="612">
        <f t="shared" si="18"/>
        <v>1</v>
      </c>
      <c r="AO6" s="566">
        <v>1</v>
      </c>
      <c r="AP6" s="566">
        <v>1</v>
      </c>
      <c r="AQ6" s="566">
        <v>0</v>
      </c>
      <c r="AR6" s="566">
        <v>0</v>
      </c>
      <c r="AS6" s="566">
        <v>0</v>
      </c>
      <c r="AT6" s="566">
        <v>0</v>
      </c>
      <c r="AU6" s="566">
        <v>0</v>
      </c>
      <c r="AV6" s="566">
        <v>0</v>
      </c>
      <c r="AW6" s="566">
        <v>0</v>
      </c>
      <c r="AX6" s="566">
        <v>0</v>
      </c>
      <c r="AY6" s="566">
        <v>0</v>
      </c>
      <c r="AZ6" s="566">
        <v>0</v>
      </c>
      <c r="BA6" s="566">
        <v>0</v>
      </c>
      <c r="BB6" s="566">
        <v>0</v>
      </c>
      <c r="BC6" s="566">
        <v>0</v>
      </c>
      <c r="BD6" s="566">
        <v>0</v>
      </c>
      <c r="BE6" s="844">
        <v>0</v>
      </c>
      <c r="BF6" s="844">
        <v>0</v>
      </c>
      <c r="BG6" s="844">
        <v>0</v>
      </c>
      <c r="BH6" s="844">
        <v>0</v>
      </c>
      <c r="BI6" s="844">
        <v>0</v>
      </c>
      <c r="BJ6" s="844">
        <v>0</v>
      </c>
    </row>
    <row r="7" spans="1:62" s="367" customFormat="1" ht="17.25" customHeight="1">
      <c r="A7" s="367">
        <f t="shared" si="19"/>
        <v>3</v>
      </c>
      <c r="B7" s="367">
        <f>tblIndicators!G4</f>
        <v>2</v>
      </c>
      <c r="C7" s="367">
        <f>tblIndicators!C4</f>
        <v>1</v>
      </c>
      <c r="D7" s="367" t="str">
        <f>tblIndicators!AL4</f>
        <v>1.1) Digital infrastructure</v>
      </c>
      <c r="E7" s="367" t="str">
        <f t="shared" ref="E7:E8" si="24">D7</f>
        <v>1.1) Digital infrastructure</v>
      </c>
      <c r="J7" s="367">
        <v>1</v>
      </c>
      <c r="L7" s="367" t="str">
        <f>tblIndiSets!C7</f>
        <v>2) SERVICES</v>
      </c>
      <c r="M7" s="830">
        <v>1</v>
      </c>
      <c r="N7" s="830">
        <f t="shared" si="21"/>
        <v>1</v>
      </c>
      <c r="O7" s="830">
        <v>0</v>
      </c>
      <c r="P7" s="830">
        <f t="shared" si="16"/>
        <v>0</v>
      </c>
      <c r="Q7" s="830">
        <f t="shared" si="16"/>
        <v>0</v>
      </c>
      <c r="R7" s="830">
        <f t="shared" si="16"/>
        <v>0</v>
      </c>
      <c r="U7" s="23"/>
      <c r="V7" s="595">
        <f t="shared" si="17"/>
        <v>0</v>
      </c>
      <c r="W7" s="595">
        <v>0</v>
      </c>
      <c r="X7" s="844">
        <v>1</v>
      </c>
      <c r="Y7" s="844">
        <v>0</v>
      </c>
      <c r="Z7" s="844">
        <v>0</v>
      </c>
      <c r="AA7" s="844">
        <v>0</v>
      </c>
      <c r="AC7" s="89"/>
      <c r="AE7" s="595">
        <f t="shared" si="23"/>
        <v>1</v>
      </c>
      <c r="AF7" s="595">
        <v>1</v>
      </c>
      <c r="AG7" s="844">
        <v>1</v>
      </c>
      <c r="AH7" s="844">
        <v>0</v>
      </c>
      <c r="AI7" s="844">
        <v>0</v>
      </c>
      <c r="AJ7" s="844">
        <v>0</v>
      </c>
      <c r="AL7" s="89"/>
      <c r="AN7" s="612">
        <f t="shared" si="18"/>
        <v>0</v>
      </c>
      <c r="AO7" s="566">
        <v>0</v>
      </c>
      <c r="AP7" s="844">
        <v>1</v>
      </c>
      <c r="AQ7" s="844">
        <v>1</v>
      </c>
      <c r="AR7" s="844">
        <v>0</v>
      </c>
      <c r="AS7" s="844">
        <v>0</v>
      </c>
      <c r="AT7" s="844">
        <v>0</v>
      </c>
      <c r="AU7" s="844">
        <v>0</v>
      </c>
      <c r="AV7" s="844">
        <v>0</v>
      </c>
      <c r="AW7" s="844">
        <v>0</v>
      </c>
      <c r="AX7" s="844">
        <v>0</v>
      </c>
      <c r="AY7" s="844">
        <v>0</v>
      </c>
      <c r="AZ7" s="844">
        <v>0</v>
      </c>
      <c r="BA7" s="844">
        <v>0</v>
      </c>
      <c r="BB7" s="844">
        <v>0</v>
      </c>
      <c r="BC7" s="844">
        <v>0</v>
      </c>
      <c r="BD7" s="844">
        <v>0</v>
      </c>
      <c r="BE7" s="844">
        <v>0</v>
      </c>
      <c r="BF7" s="844">
        <v>0</v>
      </c>
      <c r="BG7" s="844">
        <v>0</v>
      </c>
      <c r="BH7" s="844">
        <v>0</v>
      </c>
      <c r="BI7" s="844">
        <v>0</v>
      </c>
      <c r="BJ7" s="844">
        <v>0</v>
      </c>
    </row>
    <row r="8" spans="1:62" s="367" customFormat="1" ht="17.25" customHeight="1">
      <c r="A8" s="367">
        <f t="shared" si="19"/>
        <v>4</v>
      </c>
      <c r="B8" s="367">
        <f>tblIndicators!G5</f>
        <v>3</v>
      </c>
      <c r="C8" s="367">
        <f>tblIndicators!C5</f>
        <v>1</v>
      </c>
      <c r="D8" s="367" t="str">
        <f>tblIndicators!AL5</f>
        <v>1.1.1) Mobile broadband subscriptions</v>
      </c>
      <c r="E8" s="367" t="str">
        <f t="shared" si="24"/>
        <v>1.1.1) Mobile broadband subscriptions</v>
      </c>
      <c r="J8" s="367">
        <v>1</v>
      </c>
      <c r="L8" s="367" t="str">
        <f>tblIndiSets!C8</f>
        <v>3) CULTURE</v>
      </c>
      <c r="M8" s="830">
        <v>1</v>
      </c>
      <c r="N8" s="830">
        <f t="shared" si="21"/>
        <v>0</v>
      </c>
      <c r="O8" s="830">
        <f t="shared" si="22"/>
        <v>1</v>
      </c>
      <c r="P8" s="830">
        <f t="shared" si="16"/>
        <v>0</v>
      </c>
      <c r="Q8" s="830">
        <f t="shared" si="16"/>
        <v>0</v>
      </c>
      <c r="R8" s="830">
        <f t="shared" si="16"/>
        <v>0</v>
      </c>
      <c r="U8" s="23"/>
      <c r="V8" s="595">
        <f t="shared" si="17"/>
        <v>0</v>
      </c>
      <c r="W8" s="595">
        <v>0</v>
      </c>
      <c r="X8" s="844">
        <v>0</v>
      </c>
      <c r="Y8" s="844">
        <v>0</v>
      </c>
      <c r="Z8" s="844">
        <v>0</v>
      </c>
      <c r="AA8" s="844">
        <v>0</v>
      </c>
      <c r="AC8" s="89"/>
      <c r="AE8" s="595">
        <f t="shared" si="23"/>
        <v>0</v>
      </c>
      <c r="AF8" s="595">
        <v>0</v>
      </c>
      <c r="AG8" s="844">
        <v>1</v>
      </c>
      <c r="AH8" s="844">
        <v>0</v>
      </c>
      <c r="AI8" s="844">
        <v>0</v>
      </c>
      <c r="AJ8" s="844">
        <v>0</v>
      </c>
      <c r="AL8" s="89"/>
      <c r="AN8" s="612">
        <f t="shared" si="18"/>
        <v>0</v>
      </c>
      <c r="AO8" s="844">
        <v>0</v>
      </c>
      <c r="AP8" s="844">
        <v>0</v>
      </c>
      <c r="AQ8" s="844">
        <v>1</v>
      </c>
      <c r="AR8" s="844">
        <v>0</v>
      </c>
      <c r="AS8" s="844">
        <v>0</v>
      </c>
      <c r="AT8" s="844">
        <v>0</v>
      </c>
      <c r="AU8" s="844">
        <v>0</v>
      </c>
      <c r="AV8" s="844">
        <v>0</v>
      </c>
      <c r="AW8" s="844">
        <v>0</v>
      </c>
      <c r="AX8" s="844">
        <v>0</v>
      </c>
      <c r="AY8" s="844">
        <v>0</v>
      </c>
      <c r="AZ8" s="844">
        <v>0</v>
      </c>
      <c r="BA8" s="844">
        <v>0</v>
      </c>
      <c r="BB8" s="844">
        <v>0</v>
      </c>
      <c r="BC8" s="844">
        <v>0</v>
      </c>
      <c r="BD8" s="844">
        <v>0</v>
      </c>
      <c r="BE8" s="844">
        <v>0</v>
      </c>
      <c r="BF8" s="844">
        <v>0</v>
      </c>
      <c r="BG8" s="844">
        <v>0</v>
      </c>
      <c r="BH8" s="844">
        <v>0</v>
      </c>
      <c r="BI8" s="844">
        <v>0</v>
      </c>
      <c r="BJ8" s="844">
        <v>0</v>
      </c>
    </row>
    <row r="9" spans="1:62" s="367" customFormat="1" ht="17.25" customHeight="1">
      <c r="A9" s="367">
        <f t="shared" si="19"/>
        <v>5</v>
      </c>
      <c r="B9" s="367">
        <f>tblIndicators!G6</f>
        <v>3</v>
      </c>
      <c r="C9" s="367">
        <f>tblIndicators!C6</f>
        <v>1</v>
      </c>
      <c r="D9" s="367" t="str">
        <f>tblIndicators!AL6</f>
        <v>1.1.2) Fixed broadband susbcriptions</v>
      </c>
      <c r="E9" s="367" t="str">
        <f t="shared" ref="E9:E71" si="25">D9</f>
        <v>1.1.2) Fixed broadband susbcriptions</v>
      </c>
      <c r="J9" s="367">
        <v>1</v>
      </c>
      <c r="L9" s="367" t="str">
        <f>tblIndiSets!C9</f>
        <v>4) SUSTAINABILITY</v>
      </c>
      <c r="M9" s="830">
        <v>1</v>
      </c>
      <c r="N9" s="830">
        <f t="shared" si="21"/>
        <v>0</v>
      </c>
      <c r="O9" s="830">
        <f t="shared" si="22"/>
        <v>1</v>
      </c>
      <c r="P9" s="830">
        <f t="shared" si="16"/>
        <v>0</v>
      </c>
      <c r="Q9" s="830">
        <f t="shared" si="16"/>
        <v>0</v>
      </c>
      <c r="R9" s="830">
        <f t="shared" si="16"/>
        <v>0</v>
      </c>
      <c r="U9" s="23"/>
      <c r="V9" s="595">
        <f t="shared" ref="V9:V71" si="26">INDEX(W9:AA9,$V$4)</f>
        <v>0</v>
      </c>
      <c r="W9" s="595">
        <v>0</v>
      </c>
      <c r="X9" s="844">
        <v>0</v>
      </c>
      <c r="Y9" s="844">
        <v>0</v>
      </c>
      <c r="Z9" s="844">
        <v>0</v>
      </c>
      <c r="AA9" s="844">
        <v>0</v>
      </c>
      <c r="AC9" s="89"/>
      <c r="AE9" s="595">
        <f t="shared" si="23"/>
        <v>0</v>
      </c>
      <c r="AF9" s="595">
        <v>0</v>
      </c>
      <c r="AG9" s="844">
        <v>1</v>
      </c>
      <c r="AH9" s="844">
        <v>0</v>
      </c>
      <c r="AI9" s="844">
        <v>0</v>
      </c>
      <c r="AJ9" s="844">
        <v>0</v>
      </c>
      <c r="AL9" s="89"/>
      <c r="AN9" s="612">
        <f t="shared" si="18"/>
        <v>0</v>
      </c>
      <c r="AO9" s="844">
        <v>0</v>
      </c>
      <c r="AP9" s="844">
        <v>0</v>
      </c>
      <c r="AQ9" s="844">
        <v>1</v>
      </c>
      <c r="AR9" s="844">
        <v>0</v>
      </c>
      <c r="AS9" s="844">
        <v>0</v>
      </c>
      <c r="AT9" s="844">
        <v>0</v>
      </c>
      <c r="AU9" s="844">
        <v>0</v>
      </c>
      <c r="AV9" s="844">
        <v>0</v>
      </c>
      <c r="AW9" s="844">
        <v>0</v>
      </c>
      <c r="AX9" s="844">
        <v>0</v>
      </c>
      <c r="AY9" s="844">
        <v>0</v>
      </c>
      <c r="AZ9" s="844">
        <v>0</v>
      </c>
      <c r="BA9" s="844">
        <v>0</v>
      </c>
      <c r="BB9" s="844">
        <v>0</v>
      </c>
      <c r="BC9" s="844">
        <v>0</v>
      </c>
      <c r="BD9" s="844">
        <v>0</v>
      </c>
      <c r="BE9" s="844">
        <v>0</v>
      </c>
      <c r="BF9" s="844">
        <v>0</v>
      </c>
      <c r="BG9" s="844">
        <v>0</v>
      </c>
      <c r="BH9" s="844">
        <v>0</v>
      </c>
      <c r="BI9" s="844">
        <v>0</v>
      </c>
      <c r="BJ9" s="844">
        <v>0</v>
      </c>
    </row>
    <row r="10" spans="1:62" s="367" customFormat="1" ht="17.25" customHeight="1">
      <c r="A10" s="367">
        <f t="shared" si="19"/>
        <v>6</v>
      </c>
      <c r="B10" s="367">
        <f>tblIndicators!G7</f>
        <v>3</v>
      </c>
      <c r="C10" s="367">
        <f>tblIndicators!C7</f>
        <v>1</v>
      </c>
      <c r="D10" s="367" t="str">
        <f>tblIndicators!AL7</f>
        <v>1.1.3) 5G readiness</v>
      </c>
      <c r="E10" s="367" t="str">
        <f t="shared" si="25"/>
        <v>1.1.3) 5G readiness</v>
      </c>
      <c r="J10" s="367">
        <v>1</v>
      </c>
      <c r="M10" s="635"/>
      <c r="N10" s="635"/>
      <c r="O10" s="635"/>
      <c r="P10" s="635"/>
      <c r="Q10" s="830"/>
      <c r="R10" s="830"/>
      <c r="U10" s="23"/>
      <c r="V10" s="595">
        <f t="shared" si="26"/>
        <v>0</v>
      </c>
      <c r="W10" s="595">
        <v>0</v>
      </c>
      <c r="X10" s="844">
        <v>0</v>
      </c>
      <c r="Y10" s="844">
        <v>0</v>
      </c>
      <c r="Z10" s="844">
        <v>0</v>
      </c>
      <c r="AA10" s="844">
        <v>0</v>
      </c>
      <c r="AC10" s="89"/>
      <c r="AE10" s="595">
        <f t="shared" si="23"/>
        <v>0</v>
      </c>
      <c r="AF10" s="595">
        <v>0</v>
      </c>
      <c r="AG10" s="844">
        <v>1</v>
      </c>
      <c r="AH10" s="844">
        <v>0</v>
      </c>
      <c r="AI10" s="844">
        <v>0</v>
      </c>
      <c r="AJ10" s="844">
        <v>0</v>
      </c>
      <c r="AL10" s="89"/>
      <c r="AN10" s="612">
        <f t="shared" si="18"/>
        <v>0</v>
      </c>
      <c r="AO10" s="844">
        <v>0</v>
      </c>
      <c r="AP10" s="844">
        <v>0</v>
      </c>
      <c r="AQ10" s="844">
        <v>1</v>
      </c>
      <c r="AR10" s="844">
        <v>0</v>
      </c>
      <c r="AS10" s="844">
        <v>0</v>
      </c>
      <c r="AT10" s="844">
        <v>0</v>
      </c>
      <c r="AU10" s="844">
        <v>0</v>
      </c>
      <c r="AV10" s="844">
        <v>0</v>
      </c>
      <c r="AW10" s="844">
        <v>0</v>
      </c>
      <c r="AX10" s="844">
        <v>0</v>
      </c>
      <c r="AY10" s="844">
        <v>0</v>
      </c>
      <c r="AZ10" s="844">
        <v>0</v>
      </c>
      <c r="BA10" s="844">
        <v>0</v>
      </c>
      <c r="BB10" s="844">
        <v>0</v>
      </c>
      <c r="BC10" s="844">
        <v>0</v>
      </c>
      <c r="BD10" s="844">
        <v>0</v>
      </c>
      <c r="BE10" s="844">
        <v>0</v>
      </c>
      <c r="BF10" s="844">
        <v>0</v>
      </c>
      <c r="BG10" s="844">
        <v>0</v>
      </c>
      <c r="BH10" s="844">
        <v>0</v>
      </c>
      <c r="BI10" s="844">
        <v>0</v>
      </c>
      <c r="BJ10" s="844">
        <v>0</v>
      </c>
    </row>
    <row r="11" spans="1:62" s="367" customFormat="1" ht="17.25" customHeight="1">
      <c r="A11" s="367">
        <f t="shared" si="19"/>
        <v>7</v>
      </c>
      <c r="B11" s="367">
        <f>tblIndicators!G8</f>
        <v>3</v>
      </c>
      <c r="C11" s="367">
        <f>tblIndicators!C8</f>
        <v>1</v>
      </c>
      <c r="D11" s="367" t="str">
        <f>tblIndicators!AL8</f>
        <v>1.1.4) 5G deployment</v>
      </c>
      <c r="E11" s="367" t="str">
        <f t="shared" si="25"/>
        <v>1.1.4) 5G deployment</v>
      </c>
      <c r="J11" s="367">
        <v>1</v>
      </c>
      <c r="M11" s="635"/>
      <c r="N11" s="635"/>
      <c r="O11" s="635"/>
      <c r="P11" s="635"/>
      <c r="Q11" s="830"/>
      <c r="R11" s="830"/>
      <c r="U11" s="23"/>
      <c r="V11" s="595">
        <f t="shared" si="26"/>
        <v>0</v>
      </c>
      <c r="W11" s="595">
        <v>0</v>
      </c>
      <c r="X11" s="844">
        <v>0</v>
      </c>
      <c r="Y11" s="844">
        <v>0</v>
      </c>
      <c r="Z11" s="844">
        <v>0</v>
      </c>
      <c r="AA11" s="844">
        <v>0</v>
      </c>
      <c r="AC11" s="89"/>
      <c r="AE11" s="613">
        <f t="shared" si="23"/>
        <v>0</v>
      </c>
      <c r="AF11" s="595">
        <v>0</v>
      </c>
      <c r="AG11" s="844">
        <v>1</v>
      </c>
      <c r="AH11" s="844">
        <v>0</v>
      </c>
      <c r="AI11" s="844">
        <v>0</v>
      </c>
      <c r="AJ11" s="844">
        <v>0</v>
      </c>
      <c r="AL11" s="89"/>
      <c r="AN11" s="612">
        <f t="shared" si="18"/>
        <v>0</v>
      </c>
      <c r="AO11" s="844">
        <v>0</v>
      </c>
      <c r="AP11" s="844">
        <v>0</v>
      </c>
      <c r="AQ11" s="844">
        <v>1</v>
      </c>
      <c r="AR11" s="844">
        <v>0</v>
      </c>
      <c r="AS11" s="844">
        <v>0</v>
      </c>
      <c r="AT11" s="844">
        <v>0</v>
      </c>
      <c r="AU11" s="844">
        <v>0</v>
      </c>
      <c r="AV11" s="844">
        <v>0</v>
      </c>
      <c r="AW11" s="844">
        <v>0</v>
      </c>
      <c r="AX11" s="844">
        <v>0</v>
      </c>
      <c r="AY11" s="844">
        <v>0</v>
      </c>
      <c r="AZ11" s="844">
        <v>0</v>
      </c>
      <c r="BA11" s="844">
        <v>0</v>
      </c>
      <c r="BB11" s="844">
        <v>0</v>
      </c>
      <c r="BC11" s="844">
        <v>0</v>
      </c>
      <c r="BD11" s="844">
        <v>0</v>
      </c>
      <c r="BE11" s="844">
        <v>0</v>
      </c>
      <c r="BF11" s="844">
        <v>0</v>
      </c>
      <c r="BG11" s="844">
        <v>0</v>
      </c>
      <c r="BH11" s="844">
        <v>0</v>
      </c>
      <c r="BI11" s="844">
        <v>0</v>
      </c>
      <c r="BJ11" s="844">
        <v>0</v>
      </c>
    </row>
    <row r="12" spans="1:62" s="367" customFormat="1" ht="17.25" customHeight="1">
      <c r="A12" s="367">
        <f t="shared" si="19"/>
        <v>8</v>
      </c>
      <c r="B12" s="367">
        <f>tblIndicators!G9</f>
        <v>2</v>
      </c>
      <c r="C12" s="367">
        <f>tblIndicators!C9</f>
        <v>1</v>
      </c>
      <c r="D12" s="367" t="str">
        <f>tblIndicators!AL9</f>
        <v>1.2) Quality</v>
      </c>
      <c r="E12" s="367" t="str">
        <f t="shared" si="25"/>
        <v>1.2) Quality</v>
      </c>
      <c r="J12" s="367">
        <v>1</v>
      </c>
      <c r="M12" s="635"/>
      <c r="N12" s="635"/>
      <c r="O12" s="635"/>
      <c r="P12" s="635"/>
      <c r="Q12" s="830"/>
      <c r="R12" s="830"/>
      <c r="U12" s="23"/>
      <c r="V12" s="595">
        <f t="shared" si="26"/>
        <v>0</v>
      </c>
      <c r="W12" s="595">
        <v>0</v>
      </c>
      <c r="X12" s="844">
        <v>1</v>
      </c>
      <c r="Y12" s="844">
        <v>0</v>
      </c>
      <c r="Z12" s="844">
        <v>0</v>
      </c>
      <c r="AA12" s="844">
        <v>0</v>
      </c>
      <c r="AC12" s="89"/>
      <c r="AE12" s="613">
        <f t="shared" si="23"/>
        <v>1</v>
      </c>
      <c r="AF12" s="595">
        <v>1</v>
      </c>
      <c r="AG12" s="844">
        <v>1</v>
      </c>
      <c r="AH12" s="844">
        <v>0</v>
      </c>
      <c r="AI12" s="844">
        <v>0</v>
      </c>
      <c r="AJ12" s="844">
        <v>0</v>
      </c>
      <c r="AL12" s="89"/>
      <c r="AN12" s="612">
        <f t="shared" si="18"/>
        <v>0</v>
      </c>
      <c r="AO12" s="844">
        <v>0</v>
      </c>
      <c r="AP12" s="844">
        <v>1</v>
      </c>
      <c r="AQ12" s="844">
        <v>0</v>
      </c>
      <c r="AR12" s="844">
        <v>1</v>
      </c>
      <c r="AS12" s="844">
        <v>0</v>
      </c>
      <c r="AT12" s="844">
        <v>0</v>
      </c>
      <c r="AU12" s="844">
        <v>0</v>
      </c>
      <c r="AV12" s="844">
        <v>0</v>
      </c>
      <c r="AW12" s="844">
        <v>0</v>
      </c>
      <c r="AX12" s="844">
        <v>0</v>
      </c>
      <c r="AY12" s="844">
        <v>0</v>
      </c>
      <c r="AZ12" s="844">
        <v>0</v>
      </c>
      <c r="BA12" s="844">
        <v>0</v>
      </c>
      <c r="BB12" s="844">
        <v>0</v>
      </c>
      <c r="BC12" s="844">
        <v>0</v>
      </c>
      <c r="BD12" s="844">
        <v>0</v>
      </c>
      <c r="BE12" s="844">
        <v>0</v>
      </c>
      <c r="BF12" s="844">
        <v>0</v>
      </c>
      <c r="BG12" s="844">
        <v>0</v>
      </c>
      <c r="BH12" s="844">
        <v>0</v>
      </c>
      <c r="BI12" s="844">
        <v>0</v>
      </c>
      <c r="BJ12" s="844">
        <v>0</v>
      </c>
    </row>
    <row r="13" spans="1:62" s="367" customFormat="1" ht="17.25" customHeight="1">
      <c r="A13" s="367">
        <f t="shared" si="19"/>
        <v>9</v>
      </c>
      <c r="B13" s="367">
        <f>tblIndicators!G10</f>
        <v>3</v>
      </c>
      <c r="C13" s="367">
        <f>tblIndicators!C10</f>
        <v>1</v>
      </c>
      <c r="D13" s="367" t="str">
        <f>tblIndicators!AL10</f>
        <v>1.2.1) Internet upload speed</v>
      </c>
      <c r="E13" s="367" t="str">
        <f t="shared" si="25"/>
        <v>1.2.1) Internet upload speed</v>
      </c>
      <c r="J13" s="367">
        <v>1</v>
      </c>
      <c r="M13" s="635"/>
      <c r="N13" s="635"/>
      <c r="O13" s="635"/>
      <c r="P13" s="635"/>
      <c r="Q13" s="830"/>
      <c r="R13" s="830"/>
      <c r="U13" s="23"/>
      <c r="V13" s="595">
        <f t="shared" si="26"/>
        <v>0</v>
      </c>
      <c r="W13" s="595">
        <v>0</v>
      </c>
      <c r="X13" s="844">
        <v>0</v>
      </c>
      <c r="Y13" s="844">
        <v>0</v>
      </c>
      <c r="Z13" s="844">
        <v>0</v>
      </c>
      <c r="AA13" s="844">
        <v>0</v>
      </c>
      <c r="AC13" s="89"/>
      <c r="AE13" s="613">
        <f t="shared" si="23"/>
        <v>0</v>
      </c>
      <c r="AF13" s="595">
        <v>0</v>
      </c>
      <c r="AG13" s="844">
        <v>1</v>
      </c>
      <c r="AH13" s="844">
        <v>0</v>
      </c>
      <c r="AI13" s="844">
        <v>0</v>
      </c>
      <c r="AJ13" s="844">
        <v>0</v>
      </c>
      <c r="AL13" s="89"/>
      <c r="AN13" s="612">
        <f t="shared" si="18"/>
        <v>0</v>
      </c>
      <c r="AO13" s="844">
        <v>0</v>
      </c>
      <c r="AP13" s="844">
        <v>0</v>
      </c>
      <c r="AQ13" s="844">
        <v>0</v>
      </c>
      <c r="AR13" s="844">
        <v>1</v>
      </c>
      <c r="AS13" s="844">
        <v>0</v>
      </c>
      <c r="AT13" s="844">
        <v>0</v>
      </c>
      <c r="AU13" s="844">
        <v>0</v>
      </c>
      <c r="AV13" s="844">
        <v>0</v>
      </c>
      <c r="AW13" s="844">
        <v>0</v>
      </c>
      <c r="AX13" s="844">
        <v>0</v>
      </c>
      <c r="AY13" s="844">
        <v>0</v>
      </c>
      <c r="AZ13" s="844">
        <v>0</v>
      </c>
      <c r="BA13" s="844">
        <v>0</v>
      </c>
      <c r="BB13" s="844">
        <v>0</v>
      </c>
      <c r="BC13" s="844">
        <v>0</v>
      </c>
      <c r="BD13" s="844">
        <v>0</v>
      </c>
      <c r="BE13" s="844">
        <v>0</v>
      </c>
      <c r="BF13" s="844">
        <v>0</v>
      </c>
      <c r="BG13" s="844">
        <v>0</v>
      </c>
      <c r="BH13" s="844">
        <v>0</v>
      </c>
      <c r="BI13" s="844">
        <v>0</v>
      </c>
      <c r="BJ13" s="844">
        <v>0</v>
      </c>
    </row>
    <row r="14" spans="1:62" s="367" customFormat="1" ht="17.25" customHeight="1">
      <c r="A14" s="367">
        <f t="shared" si="19"/>
        <v>10</v>
      </c>
      <c r="B14" s="367">
        <f>tblIndicators!G11</f>
        <v>3</v>
      </c>
      <c r="C14" s="367">
        <f>tblIndicators!C11</f>
        <v>1</v>
      </c>
      <c r="D14" s="367" t="str">
        <f>tblIndicators!AL11</f>
        <v>1.2.2) Internet download speed</v>
      </c>
      <c r="E14" s="367" t="str">
        <f t="shared" si="25"/>
        <v>1.2.2) Internet download speed</v>
      </c>
      <c r="J14" s="367">
        <v>1</v>
      </c>
      <c r="M14" s="635"/>
      <c r="N14" s="635"/>
      <c r="O14" s="635"/>
      <c r="P14" s="635"/>
      <c r="Q14" s="830"/>
      <c r="R14" s="830"/>
      <c r="U14" s="23"/>
      <c r="V14" s="595">
        <f t="shared" si="26"/>
        <v>0</v>
      </c>
      <c r="W14" s="595">
        <v>0</v>
      </c>
      <c r="X14" s="844">
        <v>0</v>
      </c>
      <c r="Y14" s="844">
        <v>0</v>
      </c>
      <c r="Z14" s="844">
        <v>0</v>
      </c>
      <c r="AA14" s="844">
        <v>0</v>
      </c>
      <c r="AC14" s="89"/>
      <c r="AE14" s="613">
        <f t="shared" si="23"/>
        <v>0</v>
      </c>
      <c r="AF14" s="595">
        <v>0</v>
      </c>
      <c r="AG14" s="844">
        <v>1</v>
      </c>
      <c r="AH14" s="844">
        <v>0</v>
      </c>
      <c r="AI14" s="844">
        <v>0</v>
      </c>
      <c r="AJ14" s="844">
        <v>0</v>
      </c>
      <c r="AL14" s="89"/>
      <c r="AN14" s="612">
        <f t="shared" si="18"/>
        <v>0</v>
      </c>
      <c r="AO14" s="844">
        <v>0</v>
      </c>
      <c r="AP14" s="844">
        <v>0</v>
      </c>
      <c r="AQ14" s="844">
        <v>0</v>
      </c>
      <c r="AR14" s="844">
        <v>1</v>
      </c>
      <c r="AS14" s="844">
        <v>0</v>
      </c>
      <c r="AT14" s="844">
        <v>0</v>
      </c>
      <c r="AU14" s="844">
        <v>0</v>
      </c>
      <c r="AV14" s="844">
        <v>0</v>
      </c>
      <c r="AW14" s="844">
        <v>0</v>
      </c>
      <c r="AX14" s="844">
        <v>0</v>
      </c>
      <c r="AY14" s="844">
        <v>0</v>
      </c>
      <c r="AZ14" s="844">
        <v>0</v>
      </c>
      <c r="BA14" s="844">
        <v>0</v>
      </c>
      <c r="BB14" s="844">
        <v>0</v>
      </c>
      <c r="BC14" s="844">
        <v>0</v>
      </c>
      <c r="BD14" s="844">
        <v>0</v>
      </c>
      <c r="BE14" s="844">
        <v>0</v>
      </c>
      <c r="BF14" s="844">
        <v>0</v>
      </c>
      <c r="BG14" s="844">
        <v>0</v>
      </c>
      <c r="BH14" s="844">
        <v>0</v>
      </c>
      <c r="BI14" s="844">
        <v>0</v>
      </c>
      <c r="BJ14" s="844">
        <v>0</v>
      </c>
    </row>
    <row r="15" spans="1:62" s="367" customFormat="1" ht="17.25" customHeight="1">
      <c r="A15" s="367">
        <f t="shared" si="19"/>
        <v>11</v>
      </c>
      <c r="B15" s="367">
        <f>tblIndicators!G12</f>
        <v>3</v>
      </c>
      <c r="C15" s="367">
        <f>tblIndicators!C12</f>
        <v>1</v>
      </c>
      <c r="D15" s="367" t="str">
        <f>tblIndicators!AL12</f>
        <v>1.2.3) Mobile broadband latency</v>
      </c>
      <c r="E15" s="367" t="str">
        <f t="shared" si="25"/>
        <v>1.2.3) Mobile broadband latency</v>
      </c>
      <c r="J15" s="367">
        <v>1</v>
      </c>
      <c r="M15" s="635"/>
      <c r="N15" s="635"/>
      <c r="O15" s="635"/>
      <c r="P15" s="635"/>
      <c r="Q15" s="830"/>
      <c r="R15" s="830"/>
      <c r="U15" s="23"/>
      <c r="V15" s="595">
        <f t="shared" si="26"/>
        <v>0</v>
      </c>
      <c r="W15" s="595">
        <v>0</v>
      </c>
      <c r="X15" s="844">
        <v>0</v>
      </c>
      <c r="Y15" s="844">
        <v>0</v>
      </c>
      <c r="Z15" s="844">
        <v>0</v>
      </c>
      <c r="AA15" s="844">
        <v>0</v>
      </c>
      <c r="AC15" s="89"/>
      <c r="AE15" s="613">
        <f t="shared" si="23"/>
        <v>0</v>
      </c>
      <c r="AF15" s="595">
        <v>0</v>
      </c>
      <c r="AG15" s="844">
        <v>1</v>
      </c>
      <c r="AH15" s="844">
        <v>0</v>
      </c>
      <c r="AI15" s="844">
        <v>0</v>
      </c>
      <c r="AJ15" s="844">
        <v>0</v>
      </c>
      <c r="AL15" s="89"/>
      <c r="AN15" s="612">
        <f t="shared" si="18"/>
        <v>0</v>
      </c>
      <c r="AO15" s="844">
        <v>0</v>
      </c>
      <c r="AP15" s="844">
        <v>0</v>
      </c>
      <c r="AQ15" s="844">
        <v>0</v>
      </c>
      <c r="AR15" s="844">
        <v>1</v>
      </c>
      <c r="AS15" s="844">
        <v>0</v>
      </c>
      <c r="AT15" s="844">
        <v>0</v>
      </c>
      <c r="AU15" s="844">
        <v>0</v>
      </c>
      <c r="AV15" s="844">
        <v>0</v>
      </c>
      <c r="AW15" s="844">
        <v>0</v>
      </c>
      <c r="AX15" s="844">
        <v>0</v>
      </c>
      <c r="AY15" s="844">
        <v>0</v>
      </c>
      <c r="AZ15" s="844">
        <v>0</v>
      </c>
      <c r="BA15" s="844">
        <v>0</v>
      </c>
      <c r="BB15" s="844">
        <v>0</v>
      </c>
      <c r="BC15" s="844">
        <v>0</v>
      </c>
      <c r="BD15" s="844">
        <v>0</v>
      </c>
      <c r="BE15" s="844">
        <v>0</v>
      </c>
      <c r="BF15" s="844">
        <v>0</v>
      </c>
      <c r="BG15" s="844">
        <v>0</v>
      </c>
      <c r="BH15" s="844">
        <v>0</v>
      </c>
      <c r="BI15" s="844">
        <v>0</v>
      </c>
      <c r="BJ15" s="844">
        <v>0</v>
      </c>
    </row>
    <row r="16" spans="1:62" s="367" customFormat="1" ht="17.25" customHeight="1">
      <c r="A16" s="367">
        <f t="shared" si="19"/>
        <v>12</v>
      </c>
      <c r="B16" s="367">
        <f>tblIndicators!G13</f>
        <v>3</v>
      </c>
      <c r="C16" s="367">
        <f>tblIndicators!C13</f>
        <v>1</v>
      </c>
      <c r="D16" s="367" t="str">
        <f>tblIndicators!AL13</f>
        <v>1.2.4) Fixed broadband latency</v>
      </c>
      <c r="E16" s="367" t="str">
        <f t="shared" ref="E16" si="27">D16</f>
        <v>1.2.4) Fixed broadband latency</v>
      </c>
      <c r="J16" s="367">
        <v>1</v>
      </c>
      <c r="M16" s="1067"/>
      <c r="N16" s="1067"/>
      <c r="O16" s="1067"/>
      <c r="P16" s="1067"/>
      <c r="Q16" s="1067"/>
      <c r="R16" s="1067"/>
      <c r="U16" s="23"/>
      <c r="V16" s="1067">
        <f t="shared" ref="V16" si="28">INDEX(W16:AA16,$V$4)</f>
        <v>0</v>
      </c>
      <c r="W16" s="1067">
        <v>0</v>
      </c>
      <c r="X16" s="1067">
        <v>0</v>
      </c>
      <c r="Y16" s="1067">
        <v>0</v>
      </c>
      <c r="Z16" s="1067">
        <v>0</v>
      </c>
      <c r="AA16" s="1067">
        <v>0</v>
      </c>
      <c r="AC16" s="89"/>
      <c r="AE16" s="1067">
        <f t="shared" ref="AE16" si="29">INDEX(AF16:AJ16,$AE$4)</f>
        <v>0</v>
      </c>
      <c r="AF16" s="1067">
        <v>0</v>
      </c>
      <c r="AG16" s="1067">
        <v>1</v>
      </c>
      <c r="AH16" s="1067">
        <v>0</v>
      </c>
      <c r="AI16" s="1067">
        <v>0</v>
      </c>
      <c r="AJ16" s="1067">
        <v>0</v>
      </c>
      <c r="AL16" s="89"/>
      <c r="AN16" s="1067">
        <f t="shared" ref="AN16" si="30">INDEX(AO16:BJ16,$AN$4)</f>
        <v>0</v>
      </c>
      <c r="AO16" s="1067">
        <v>0</v>
      </c>
      <c r="AP16" s="1067">
        <v>0</v>
      </c>
      <c r="AQ16" s="1067">
        <v>0</v>
      </c>
      <c r="AR16" s="1067">
        <v>1</v>
      </c>
      <c r="AS16" s="1067">
        <v>0</v>
      </c>
      <c r="AT16" s="1067">
        <v>0</v>
      </c>
      <c r="AU16" s="1067">
        <v>0</v>
      </c>
      <c r="AV16" s="1067">
        <v>0</v>
      </c>
      <c r="AW16" s="1067">
        <v>0</v>
      </c>
      <c r="AX16" s="1067">
        <v>0</v>
      </c>
      <c r="AY16" s="1067">
        <v>0</v>
      </c>
      <c r="AZ16" s="1067">
        <v>0</v>
      </c>
      <c r="BA16" s="1067">
        <v>0</v>
      </c>
      <c r="BB16" s="1067">
        <v>0</v>
      </c>
      <c r="BC16" s="1067">
        <v>0</v>
      </c>
      <c r="BD16" s="1067">
        <v>0</v>
      </c>
      <c r="BE16" s="1067">
        <v>0</v>
      </c>
      <c r="BF16" s="1067">
        <v>0</v>
      </c>
      <c r="BG16" s="1067">
        <v>0</v>
      </c>
      <c r="BH16" s="1067">
        <v>0</v>
      </c>
      <c r="BI16" s="1067">
        <v>0</v>
      </c>
      <c r="BJ16" s="1067">
        <v>0</v>
      </c>
    </row>
    <row r="17" spans="1:62" s="367" customFormat="1" ht="17.25" customHeight="1">
      <c r="A17" s="367">
        <f t="shared" si="19"/>
        <v>13</v>
      </c>
      <c r="B17" s="367">
        <f>tblIndicators!G14</f>
        <v>2</v>
      </c>
      <c r="C17" s="367">
        <f>tblIndicators!C14</f>
        <v>1</v>
      </c>
      <c r="D17" s="367" t="str">
        <f>tblIndicators!AL14</f>
        <v>1.3) Affordability</v>
      </c>
      <c r="E17" s="367" t="str">
        <f t="shared" si="25"/>
        <v>1.3) Affordability</v>
      </c>
      <c r="J17" s="367">
        <v>1</v>
      </c>
      <c r="M17" s="635"/>
      <c r="N17" s="635"/>
      <c r="O17" s="635"/>
      <c r="P17" s="635"/>
      <c r="Q17" s="830"/>
      <c r="R17" s="830"/>
      <c r="U17" s="23"/>
      <c r="V17" s="595">
        <f t="shared" si="26"/>
        <v>0</v>
      </c>
      <c r="W17" s="595">
        <v>0</v>
      </c>
      <c r="X17" s="844">
        <v>1</v>
      </c>
      <c r="Y17" s="844">
        <v>0</v>
      </c>
      <c r="Z17" s="844">
        <v>0</v>
      </c>
      <c r="AA17" s="844">
        <v>0</v>
      </c>
      <c r="AC17" s="89"/>
      <c r="AE17" s="613">
        <f t="shared" si="23"/>
        <v>1</v>
      </c>
      <c r="AF17" s="595">
        <v>1</v>
      </c>
      <c r="AG17" s="844">
        <v>1</v>
      </c>
      <c r="AH17" s="844">
        <v>0</v>
      </c>
      <c r="AI17" s="844">
        <v>0</v>
      </c>
      <c r="AJ17" s="844">
        <v>0</v>
      </c>
      <c r="AL17" s="89"/>
      <c r="AN17" s="612">
        <f t="shared" si="18"/>
        <v>0</v>
      </c>
      <c r="AO17" s="844">
        <v>0</v>
      </c>
      <c r="AP17" s="844">
        <v>1</v>
      </c>
      <c r="AQ17" s="844">
        <v>0</v>
      </c>
      <c r="AR17" s="844">
        <v>0</v>
      </c>
      <c r="AS17" s="844">
        <v>1</v>
      </c>
      <c r="AT17" s="844">
        <v>0</v>
      </c>
      <c r="AU17" s="844">
        <v>0</v>
      </c>
      <c r="AV17" s="844">
        <v>0</v>
      </c>
      <c r="AW17" s="844">
        <v>0</v>
      </c>
      <c r="AX17" s="844">
        <v>0</v>
      </c>
      <c r="AY17" s="844">
        <v>0</v>
      </c>
      <c r="AZ17" s="844">
        <v>0</v>
      </c>
      <c r="BA17" s="844">
        <v>0</v>
      </c>
      <c r="BB17" s="844">
        <v>0</v>
      </c>
      <c r="BC17" s="844">
        <v>0</v>
      </c>
      <c r="BD17" s="844">
        <v>0</v>
      </c>
      <c r="BE17" s="844">
        <v>0</v>
      </c>
      <c r="BF17" s="844">
        <v>0</v>
      </c>
      <c r="BG17" s="844">
        <v>0</v>
      </c>
      <c r="BH17" s="844">
        <v>0</v>
      </c>
      <c r="BI17" s="844">
        <v>0</v>
      </c>
      <c r="BJ17" s="844">
        <v>0</v>
      </c>
    </row>
    <row r="18" spans="1:62" s="367" customFormat="1" ht="17.25" customHeight="1">
      <c r="A18" s="367">
        <f t="shared" si="19"/>
        <v>14</v>
      </c>
      <c r="B18" s="367">
        <f>tblIndicators!G15</f>
        <v>3</v>
      </c>
      <c r="C18" s="367">
        <f>tblIndicators!C15</f>
        <v>1</v>
      </c>
      <c r="D18" s="367" t="str">
        <f>tblIndicators!AL15</f>
        <v>1.3.1) Mobile data affordability</v>
      </c>
      <c r="E18" s="367" t="str">
        <f t="shared" si="25"/>
        <v>1.3.1) Mobile data affordability</v>
      </c>
      <c r="J18" s="367">
        <v>1</v>
      </c>
      <c r="M18" s="635"/>
      <c r="N18" s="635"/>
      <c r="O18" s="635"/>
      <c r="P18" s="635"/>
      <c r="Q18" s="830"/>
      <c r="R18" s="830"/>
      <c r="U18" s="23"/>
      <c r="V18" s="595">
        <f t="shared" si="26"/>
        <v>0</v>
      </c>
      <c r="W18" s="844">
        <v>0</v>
      </c>
      <c r="X18" s="844">
        <v>0</v>
      </c>
      <c r="Y18" s="844">
        <v>0</v>
      </c>
      <c r="Z18" s="844">
        <v>0</v>
      </c>
      <c r="AA18" s="844">
        <v>0</v>
      </c>
      <c r="AC18" s="89"/>
      <c r="AE18" s="613">
        <f t="shared" si="23"/>
        <v>0</v>
      </c>
      <c r="AF18" s="595">
        <v>0</v>
      </c>
      <c r="AG18" s="844">
        <v>1</v>
      </c>
      <c r="AH18" s="844">
        <v>0</v>
      </c>
      <c r="AI18" s="844">
        <v>0</v>
      </c>
      <c r="AJ18" s="844">
        <v>0</v>
      </c>
      <c r="AL18" s="89"/>
      <c r="AN18" s="612">
        <f t="shared" si="18"/>
        <v>0</v>
      </c>
      <c r="AO18" s="844">
        <v>0</v>
      </c>
      <c r="AP18" s="844">
        <v>0</v>
      </c>
      <c r="AQ18" s="844">
        <v>0</v>
      </c>
      <c r="AR18" s="844">
        <v>0</v>
      </c>
      <c r="AS18" s="844">
        <v>1</v>
      </c>
      <c r="AT18" s="844">
        <v>0</v>
      </c>
      <c r="AU18" s="844">
        <v>0</v>
      </c>
      <c r="AV18" s="844">
        <v>0</v>
      </c>
      <c r="AW18" s="844">
        <v>0</v>
      </c>
      <c r="AX18" s="844">
        <v>0</v>
      </c>
      <c r="AY18" s="844">
        <v>0</v>
      </c>
      <c r="AZ18" s="844">
        <v>0</v>
      </c>
      <c r="BA18" s="844">
        <v>0</v>
      </c>
      <c r="BB18" s="844">
        <v>0</v>
      </c>
      <c r="BC18" s="844">
        <v>0</v>
      </c>
      <c r="BD18" s="844">
        <v>0</v>
      </c>
      <c r="BE18" s="844">
        <v>0</v>
      </c>
      <c r="BF18" s="844">
        <v>0</v>
      </c>
      <c r="BG18" s="844">
        <v>0</v>
      </c>
      <c r="BH18" s="844">
        <v>0</v>
      </c>
      <c r="BI18" s="844">
        <v>0</v>
      </c>
      <c r="BJ18" s="844">
        <v>0</v>
      </c>
    </row>
    <row r="19" spans="1:62" s="367" customFormat="1" ht="17.25" customHeight="1">
      <c r="A19" s="367">
        <f t="shared" si="19"/>
        <v>15</v>
      </c>
      <c r="B19" s="367">
        <f>tblIndicators!G16</f>
        <v>3</v>
      </c>
      <c r="C19" s="367">
        <f>tblIndicators!C16</f>
        <v>1</v>
      </c>
      <c r="D19" s="367" t="str">
        <f>tblIndicators!AL16</f>
        <v>1.3.2) Fixed broadband affordability</v>
      </c>
      <c r="E19" s="367" t="str">
        <f t="shared" si="25"/>
        <v>1.3.2) Fixed broadband affordability</v>
      </c>
      <c r="J19" s="367">
        <v>1</v>
      </c>
      <c r="M19" s="635"/>
      <c r="N19" s="635"/>
      <c r="O19" s="635"/>
      <c r="P19" s="635"/>
      <c r="Q19" s="830"/>
      <c r="R19" s="830"/>
      <c r="U19" s="23"/>
      <c r="V19" s="595">
        <f t="shared" si="26"/>
        <v>0</v>
      </c>
      <c r="W19" s="844">
        <v>0</v>
      </c>
      <c r="X19" s="844">
        <v>0</v>
      </c>
      <c r="Y19" s="844">
        <v>0</v>
      </c>
      <c r="Z19" s="844">
        <v>0</v>
      </c>
      <c r="AA19" s="844">
        <v>0</v>
      </c>
      <c r="AC19" s="89"/>
      <c r="AE19" s="613">
        <f t="shared" si="23"/>
        <v>0</v>
      </c>
      <c r="AF19" s="595">
        <v>0</v>
      </c>
      <c r="AG19" s="844">
        <v>1</v>
      </c>
      <c r="AH19" s="844">
        <v>0</v>
      </c>
      <c r="AI19" s="844">
        <v>0</v>
      </c>
      <c r="AJ19" s="844">
        <v>0</v>
      </c>
      <c r="AL19" s="89"/>
      <c r="AN19" s="612">
        <f t="shared" si="18"/>
        <v>0</v>
      </c>
      <c r="AO19" s="844">
        <v>0</v>
      </c>
      <c r="AP19" s="844">
        <v>0</v>
      </c>
      <c r="AQ19" s="844">
        <v>0</v>
      </c>
      <c r="AR19" s="844">
        <v>0</v>
      </c>
      <c r="AS19" s="844">
        <v>1</v>
      </c>
      <c r="AT19" s="844">
        <v>0</v>
      </c>
      <c r="AU19" s="844">
        <v>0</v>
      </c>
      <c r="AV19" s="844">
        <v>0</v>
      </c>
      <c r="AW19" s="844">
        <v>0</v>
      </c>
      <c r="AX19" s="844">
        <v>0</v>
      </c>
      <c r="AY19" s="844">
        <v>0</v>
      </c>
      <c r="AZ19" s="844">
        <v>0</v>
      </c>
      <c r="BA19" s="844">
        <v>0</v>
      </c>
      <c r="BB19" s="844">
        <v>0</v>
      </c>
      <c r="BC19" s="844">
        <v>0</v>
      </c>
      <c r="BD19" s="844">
        <v>0</v>
      </c>
      <c r="BE19" s="844">
        <v>0</v>
      </c>
      <c r="BF19" s="844">
        <v>0</v>
      </c>
      <c r="BG19" s="844">
        <v>0</v>
      </c>
      <c r="BH19" s="844">
        <v>0</v>
      </c>
      <c r="BI19" s="844">
        <v>0</v>
      </c>
      <c r="BJ19" s="844">
        <v>0</v>
      </c>
    </row>
    <row r="20" spans="1:62" s="367" customFormat="1" ht="17.25" customHeight="1">
      <c r="A20" s="367">
        <f t="shared" si="19"/>
        <v>16</v>
      </c>
      <c r="B20" s="367">
        <f>tblIndicators!G17</f>
        <v>1</v>
      </c>
      <c r="C20" s="367">
        <f>tblIndicators!C17</f>
        <v>2</v>
      </c>
      <c r="D20" s="367" t="str">
        <f>tblIndicators!AL17</f>
        <v>2) SERVICES</v>
      </c>
      <c r="E20" s="367" t="str">
        <f t="shared" si="25"/>
        <v>2) SERVICES</v>
      </c>
      <c r="J20" s="367">
        <v>1</v>
      </c>
      <c r="M20" s="635"/>
      <c r="N20" s="635"/>
      <c r="O20" s="635"/>
      <c r="P20" s="635"/>
      <c r="Q20" s="830"/>
      <c r="R20" s="830"/>
      <c r="U20" s="23"/>
      <c r="V20" s="595">
        <f t="shared" si="26"/>
        <v>1</v>
      </c>
      <c r="W20" s="844">
        <v>1</v>
      </c>
      <c r="X20" s="844">
        <v>0</v>
      </c>
      <c r="Y20" s="844">
        <v>1</v>
      </c>
      <c r="Z20" s="844">
        <v>0</v>
      </c>
      <c r="AA20" s="844">
        <v>0</v>
      </c>
      <c r="AC20" s="89"/>
      <c r="AE20" s="613">
        <f t="shared" si="23"/>
        <v>1</v>
      </c>
      <c r="AF20" s="595">
        <v>1</v>
      </c>
      <c r="AG20" s="844">
        <v>0</v>
      </c>
      <c r="AH20" s="844">
        <v>1</v>
      </c>
      <c r="AI20" s="844">
        <v>0</v>
      </c>
      <c r="AJ20" s="844">
        <v>0</v>
      </c>
      <c r="AL20" s="89"/>
      <c r="AN20" s="612">
        <f t="shared" si="18"/>
        <v>1</v>
      </c>
      <c r="AO20" s="844">
        <v>1</v>
      </c>
      <c r="AP20" s="844">
        <v>0</v>
      </c>
      <c r="AQ20" s="844">
        <v>0</v>
      </c>
      <c r="AR20" s="844">
        <v>0</v>
      </c>
      <c r="AS20" s="844">
        <v>0</v>
      </c>
      <c r="AT20" s="844">
        <v>1</v>
      </c>
      <c r="AU20" s="844">
        <v>0</v>
      </c>
      <c r="AV20" s="844">
        <v>0</v>
      </c>
      <c r="AW20" s="844">
        <v>0</v>
      </c>
      <c r="AX20" s="844">
        <v>0</v>
      </c>
      <c r="AY20" s="844">
        <v>0</v>
      </c>
      <c r="AZ20" s="844">
        <v>0</v>
      </c>
      <c r="BA20" s="844">
        <v>0</v>
      </c>
      <c r="BB20" s="844">
        <v>0</v>
      </c>
      <c r="BC20" s="844">
        <v>0</v>
      </c>
      <c r="BD20" s="844">
        <v>0</v>
      </c>
      <c r="BE20" s="844">
        <v>0</v>
      </c>
      <c r="BF20" s="844">
        <v>0</v>
      </c>
      <c r="BG20" s="844">
        <v>0</v>
      </c>
      <c r="BH20" s="844">
        <v>0</v>
      </c>
      <c r="BI20" s="844">
        <v>0</v>
      </c>
      <c r="BJ20" s="844">
        <v>0</v>
      </c>
    </row>
    <row r="21" spans="1:62" s="367" customFormat="1" ht="17.25" customHeight="1">
      <c r="A21" s="367">
        <f t="shared" si="19"/>
        <v>17</v>
      </c>
      <c r="B21" s="367">
        <f>tblIndicators!G18</f>
        <v>2</v>
      </c>
      <c r="C21" s="367">
        <f>tblIndicators!C18</f>
        <v>2</v>
      </c>
      <c r="D21" s="367" t="str">
        <f>tblIndicators!AL18</f>
        <v>2.1) E-gov services for residents &amp; businesses</v>
      </c>
      <c r="E21" s="367" t="str">
        <f t="shared" si="25"/>
        <v>2.1) E-gov services for residents &amp; businesses</v>
      </c>
      <c r="J21" s="367">
        <v>1</v>
      </c>
      <c r="M21" s="635"/>
      <c r="N21" s="635"/>
      <c r="O21" s="635"/>
      <c r="P21" s="635"/>
      <c r="Q21" s="830"/>
      <c r="R21" s="830"/>
      <c r="U21" s="23"/>
      <c r="V21" s="595">
        <f t="shared" si="26"/>
        <v>0</v>
      </c>
      <c r="W21" s="844">
        <v>0</v>
      </c>
      <c r="X21" s="844">
        <v>0</v>
      </c>
      <c r="Y21" s="844">
        <v>1</v>
      </c>
      <c r="Z21" s="844">
        <v>0</v>
      </c>
      <c r="AA21" s="844">
        <v>0</v>
      </c>
      <c r="AC21" s="89"/>
      <c r="AE21" s="613">
        <f t="shared" si="23"/>
        <v>1</v>
      </c>
      <c r="AF21" s="595">
        <v>1</v>
      </c>
      <c r="AG21" s="844">
        <v>0</v>
      </c>
      <c r="AH21" s="844">
        <v>1</v>
      </c>
      <c r="AI21" s="844">
        <v>0</v>
      </c>
      <c r="AJ21" s="844">
        <v>0</v>
      </c>
      <c r="AL21" s="89"/>
      <c r="AN21" s="612">
        <f t="shared" si="18"/>
        <v>0</v>
      </c>
      <c r="AO21" s="844">
        <v>0</v>
      </c>
      <c r="AP21" s="844">
        <v>0</v>
      </c>
      <c r="AQ21" s="844">
        <v>0</v>
      </c>
      <c r="AR21" s="844">
        <v>0</v>
      </c>
      <c r="AS21" s="844">
        <v>0</v>
      </c>
      <c r="AT21" s="844">
        <v>1</v>
      </c>
      <c r="AU21" s="844">
        <v>1</v>
      </c>
      <c r="AV21" s="844">
        <v>0</v>
      </c>
      <c r="AW21" s="844">
        <v>0</v>
      </c>
      <c r="AX21" s="844">
        <v>0</v>
      </c>
      <c r="AY21" s="844">
        <v>0</v>
      </c>
      <c r="AZ21" s="844">
        <v>0</v>
      </c>
      <c r="BA21" s="844">
        <v>0</v>
      </c>
      <c r="BB21" s="844">
        <v>0</v>
      </c>
      <c r="BC21" s="844">
        <v>0</v>
      </c>
      <c r="BD21" s="844">
        <v>0</v>
      </c>
      <c r="BE21" s="844">
        <v>0</v>
      </c>
      <c r="BF21" s="844">
        <v>0</v>
      </c>
      <c r="BG21" s="844">
        <v>0</v>
      </c>
      <c r="BH21" s="844">
        <v>0</v>
      </c>
      <c r="BI21" s="844">
        <v>0</v>
      </c>
      <c r="BJ21" s="844">
        <v>0</v>
      </c>
    </row>
    <row r="22" spans="1:62" s="367" customFormat="1" ht="17.25" customHeight="1">
      <c r="A22" s="367">
        <f t="shared" si="19"/>
        <v>18</v>
      </c>
      <c r="B22" s="367">
        <f>tblIndicators!G19</f>
        <v>3</v>
      </c>
      <c r="C22" s="367">
        <f>tblIndicators!C19</f>
        <v>2</v>
      </c>
      <c r="D22" s="367" t="str">
        <f>tblIndicators!AL19</f>
        <v>2.1.1) Mobile digital national ID</v>
      </c>
      <c r="E22" s="367" t="str">
        <f t="shared" si="25"/>
        <v>2.1.1) Mobile digital national ID</v>
      </c>
      <c r="J22" s="367">
        <v>1</v>
      </c>
      <c r="M22" s="635"/>
      <c r="N22" s="635"/>
      <c r="O22" s="635"/>
      <c r="P22" s="635"/>
      <c r="Q22" s="830"/>
      <c r="R22" s="830"/>
      <c r="U22" s="23"/>
      <c r="V22" s="595">
        <f t="shared" si="26"/>
        <v>0</v>
      </c>
      <c r="W22" s="844">
        <v>0</v>
      </c>
      <c r="X22" s="844">
        <v>0</v>
      </c>
      <c r="Y22" s="844">
        <v>0</v>
      </c>
      <c r="Z22" s="844">
        <v>0</v>
      </c>
      <c r="AA22" s="844">
        <v>0</v>
      </c>
      <c r="AC22" s="89"/>
      <c r="AE22" s="613">
        <f t="shared" si="23"/>
        <v>0</v>
      </c>
      <c r="AF22" s="595">
        <v>0</v>
      </c>
      <c r="AG22" s="844">
        <v>0</v>
      </c>
      <c r="AH22" s="844">
        <v>1</v>
      </c>
      <c r="AI22" s="844">
        <v>0</v>
      </c>
      <c r="AJ22" s="844">
        <v>0</v>
      </c>
      <c r="AL22" s="89"/>
      <c r="AN22" s="612">
        <f t="shared" si="18"/>
        <v>0</v>
      </c>
      <c r="AO22" s="844">
        <v>0</v>
      </c>
      <c r="AP22" s="844">
        <v>0</v>
      </c>
      <c r="AQ22" s="844">
        <v>0</v>
      </c>
      <c r="AR22" s="844">
        <v>0</v>
      </c>
      <c r="AS22" s="844">
        <v>0</v>
      </c>
      <c r="AT22" s="844">
        <v>0</v>
      </c>
      <c r="AU22" s="844">
        <v>1</v>
      </c>
      <c r="AV22" s="844">
        <v>0</v>
      </c>
      <c r="AW22" s="844">
        <v>0</v>
      </c>
      <c r="AX22" s="844">
        <v>0</v>
      </c>
      <c r="AY22" s="844">
        <v>0</v>
      </c>
      <c r="AZ22" s="844">
        <v>0</v>
      </c>
      <c r="BA22" s="844">
        <v>0</v>
      </c>
      <c r="BB22" s="844">
        <v>0</v>
      </c>
      <c r="BC22" s="844">
        <v>0</v>
      </c>
      <c r="BD22" s="844">
        <v>0</v>
      </c>
      <c r="BE22" s="844">
        <v>0</v>
      </c>
      <c r="BF22" s="844">
        <v>0</v>
      </c>
      <c r="BG22" s="844">
        <v>0</v>
      </c>
      <c r="BH22" s="844">
        <v>0</v>
      </c>
      <c r="BI22" s="844">
        <v>0</v>
      </c>
      <c r="BJ22" s="844">
        <v>0</v>
      </c>
    </row>
    <row r="23" spans="1:62" s="367" customFormat="1" ht="17.25" customHeight="1">
      <c r="A23" s="367">
        <f t="shared" si="19"/>
        <v>19</v>
      </c>
      <c r="B23" s="367">
        <f>tblIndicators!G20</f>
        <v>3</v>
      </c>
      <c r="C23" s="367">
        <f>tblIndicators!C20</f>
        <v>2</v>
      </c>
      <c r="D23" s="367" t="str">
        <f>tblIndicators!AL20</f>
        <v>2.1.2) E-gov service portal for residents</v>
      </c>
      <c r="E23" s="367" t="str">
        <f t="shared" si="25"/>
        <v>2.1.2) E-gov service portal for residents</v>
      </c>
      <c r="J23" s="367">
        <v>1</v>
      </c>
      <c r="M23" s="635"/>
      <c r="N23" s="635"/>
      <c r="O23" s="635"/>
      <c r="P23" s="635"/>
      <c r="Q23" s="830"/>
      <c r="R23" s="830"/>
      <c r="U23" s="23"/>
      <c r="V23" s="595">
        <f t="shared" si="26"/>
        <v>0</v>
      </c>
      <c r="W23" s="844">
        <v>0</v>
      </c>
      <c r="X23" s="844">
        <v>0</v>
      </c>
      <c r="Y23" s="844">
        <v>0</v>
      </c>
      <c r="Z23" s="844">
        <v>0</v>
      </c>
      <c r="AA23" s="844">
        <v>0</v>
      </c>
      <c r="AC23" s="89"/>
      <c r="AE23" s="613">
        <f t="shared" si="23"/>
        <v>0</v>
      </c>
      <c r="AF23" s="595">
        <v>0</v>
      </c>
      <c r="AG23" s="844">
        <v>0</v>
      </c>
      <c r="AH23" s="844">
        <v>1</v>
      </c>
      <c r="AI23" s="844">
        <v>0</v>
      </c>
      <c r="AJ23" s="844">
        <v>0</v>
      </c>
      <c r="AL23" s="89"/>
      <c r="AN23" s="612">
        <f t="shared" si="18"/>
        <v>0</v>
      </c>
      <c r="AO23" s="844">
        <v>0</v>
      </c>
      <c r="AP23" s="844">
        <v>0</v>
      </c>
      <c r="AQ23" s="844">
        <v>0</v>
      </c>
      <c r="AR23" s="844">
        <v>0</v>
      </c>
      <c r="AS23" s="844">
        <v>0</v>
      </c>
      <c r="AT23" s="844">
        <v>0</v>
      </c>
      <c r="AU23" s="844">
        <v>1</v>
      </c>
      <c r="AV23" s="844">
        <v>0</v>
      </c>
      <c r="AW23" s="844">
        <v>0</v>
      </c>
      <c r="AX23" s="844">
        <v>0</v>
      </c>
      <c r="AY23" s="844">
        <v>0</v>
      </c>
      <c r="AZ23" s="844">
        <v>0</v>
      </c>
      <c r="BA23" s="844">
        <v>0</v>
      </c>
      <c r="BB23" s="844">
        <v>0</v>
      </c>
      <c r="BC23" s="844">
        <v>0</v>
      </c>
      <c r="BD23" s="844">
        <v>0</v>
      </c>
      <c r="BE23" s="844">
        <v>0</v>
      </c>
      <c r="BF23" s="844">
        <v>0</v>
      </c>
      <c r="BG23" s="844">
        <v>0</v>
      </c>
      <c r="BH23" s="844">
        <v>0</v>
      </c>
      <c r="BI23" s="844">
        <v>0</v>
      </c>
      <c r="BJ23" s="844">
        <v>0</v>
      </c>
    </row>
    <row r="24" spans="1:62" s="367" customFormat="1" ht="17.25" customHeight="1">
      <c r="A24" s="367">
        <f t="shared" si="19"/>
        <v>20</v>
      </c>
      <c r="B24" s="367">
        <f>tblIndicators!G21</f>
        <v>3</v>
      </c>
      <c r="C24" s="367">
        <f>tblIndicators!C21</f>
        <v>2</v>
      </c>
      <c r="D24" s="367" t="str">
        <f>tblIndicators!AL21</f>
        <v>2.1.3) E-gov service portal for businesses</v>
      </c>
      <c r="E24" s="367" t="str">
        <f t="shared" si="25"/>
        <v>2.1.3) E-gov service portal for businesses</v>
      </c>
      <c r="J24" s="367">
        <v>1</v>
      </c>
      <c r="M24" s="635"/>
      <c r="N24" s="635"/>
      <c r="O24" s="635"/>
      <c r="P24" s="635"/>
      <c r="Q24" s="830"/>
      <c r="R24" s="830"/>
      <c r="U24" s="23"/>
      <c r="V24" s="595">
        <f t="shared" si="26"/>
        <v>0</v>
      </c>
      <c r="W24" s="844">
        <v>0</v>
      </c>
      <c r="X24" s="844">
        <v>0</v>
      </c>
      <c r="Y24" s="844">
        <v>0</v>
      </c>
      <c r="Z24" s="844">
        <v>0</v>
      </c>
      <c r="AA24" s="844">
        <v>0</v>
      </c>
      <c r="AC24" s="89"/>
      <c r="AE24" s="613">
        <f t="shared" si="23"/>
        <v>0</v>
      </c>
      <c r="AF24" s="595">
        <v>0</v>
      </c>
      <c r="AG24" s="844">
        <v>0</v>
      </c>
      <c r="AH24" s="844">
        <v>1</v>
      </c>
      <c r="AI24" s="844">
        <v>0</v>
      </c>
      <c r="AJ24" s="844">
        <v>0</v>
      </c>
      <c r="AL24" s="89"/>
      <c r="AN24" s="612">
        <f t="shared" si="18"/>
        <v>0</v>
      </c>
      <c r="AO24" s="844">
        <v>0</v>
      </c>
      <c r="AP24" s="844">
        <v>0</v>
      </c>
      <c r="AQ24" s="844">
        <v>0</v>
      </c>
      <c r="AR24" s="844">
        <v>0</v>
      </c>
      <c r="AS24" s="844">
        <v>0</v>
      </c>
      <c r="AT24" s="844">
        <v>0</v>
      </c>
      <c r="AU24" s="844">
        <v>1</v>
      </c>
      <c r="AV24" s="844">
        <v>0</v>
      </c>
      <c r="AW24" s="844">
        <v>0</v>
      </c>
      <c r="AX24" s="844">
        <v>0</v>
      </c>
      <c r="AY24" s="844">
        <v>0</v>
      </c>
      <c r="AZ24" s="844">
        <v>0</v>
      </c>
      <c r="BA24" s="844">
        <v>0</v>
      </c>
      <c r="BB24" s="844">
        <v>0</v>
      </c>
      <c r="BC24" s="844">
        <v>0</v>
      </c>
      <c r="BD24" s="844">
        <v>0</v>
      </c>
      <c r="BE24" s="844">
        <v>0</v>
      </c>
      <c r="BF24" s="844">
        <v>0</v>
      </c>
      <c r="BG24" s="844">
        <v>0</v>
      </c>
      <c r="BH24" s="844">
        <v>0</v>
      </c>
      <c r="BI24" s="844">
        <v>0</v>
      </c>
      <c r="BJ24" s="844">
        <v>0</v>
      </c>
    </row>
    <row r="25" spans="1:62" s="367" customFormat="1" ht="17.25" customHeight="1">
      <c r="A25" s="367">
        <f t="shared" si="19"/>
        <v>21</v>
      </c>
      <c r="B25" s="367">
        <f>tblIndicators!G22</f>
        <v>2</v>
      </c>
      <c r="C25" s="367">
        <f>tblIndicators!C22</f>
        <v>2</v>
      </c>
      <c r="D25" s="367" t="str">
        <f>tblIndicators!AL22</f>
        <v>2.2) Digital finance</v>
      </c>
      <c r="E25" s="367" t="str">
        <f t="shared" si="25"/>
        <v>2.2) Digital finance</v>
      </c>
      <c r="J25" s="367">
        <v>1</v>
      </c>
      <c r="M25" s="635"/>
      <c r="N25" s="635"/>
      <c r="O25" s="635"/>
      <c r="P25" s="635"/>
      <c r="Q25" s="830"/>
      <c r="R25" s="830"/>
      <c r="U25" s="23"/>
      <c r="V25" s="595">
        <f t="shared" si="26"/>
        <v>0</v>
      </c>
      <c r="W25" s="844">
        <v>0</v>
      </c>
      <c r="X25" s="844">
        <v>0</v>
      </c>
      <c r="Y25" s="844">
        <v>1</v>
      </c>
      <c r="Z25" s="844">
        <v>0</v>
      </c>
      <c r="AA25" s="844">
        <v>0</v>
      </c>
      <c r="AC25" s="89"/>
      <c r="AE25" s="613">
        <f t="shared" si="23"/>
        <v>1</v>
      </c>
      <c r="AF25" s="595">
        <v>1</v>
      </c>
      <c r="AG25" s="844">
        <v>0</v>
      </c>
      <c r="AH25" s="844">
        <v>1</v>
      </c>
      <c r="AI25" s="844">
        <v>0</v>
      </c>
      <c r="AJ25" s="844">
        <v>0</v>
      </c>
      <c r="AL25" s="89"/>
      <c r="AN25" s="612">
        <f t="shared" si="18"/>
        <v>0</v>
      </c>
      <c r="AO25" s="844">
        <v>0</v>
      </c>
      <c r="AP25" s="844">
        <v>0</v>
      </c>
      <c r="AQ25" s="844">
        <v>0</v>
      </c>
      <c r="AR25" s="844">
        <v>0</v>
      </c>
      <c r="AS25" s="844">
        <v>0</v>
      </c>
      <c r="AT25" s="844">
        <v>1</v>
      </c>
      <c r="AU25" s="844">
        <v>0</v>
      </c>
      <c r="AV25" s="844">
        <v>1</v>
      </c>
      <c r="AW25" s="844">
        <v>0</v>
      </c>
      <c r="AX25" s="844">
        <v>0</v>
      </c>
      <c r="AY25" s="844">
        <v>0</v>
      </c>
      <c r="AZ25" s="844">
        <v>0</v>
      </c>
      <c r="BA25" s="844">
        <v>0</v>
      </c>
      <c r="BB25" s="844">
        <v>0</v>
      </c>
      <c r="BC25" s="844">
        <v>0</v>
      </c>
      <c r="BD25" s="844">
        <v>0</v>
      </c>
      <c r="BE25" s="844">
        <v>0</v>
      </c>
      <c r="BF25" s="844">
        <v>0</v>
      </c>
      <c r="BG25" s="844">
        <v>0</v>
      </c>
      <c r="BH25" s="844">
        <v>0</v>
      </c>
      <c r="BI25" s="844">
        <v>0</v>
      </c>
      <c r="BJ25" s="844">
        <v>0</v>
      </c>
    </row>
    <row r="26" spans="1:62" s="367" customFormat="1" ht="17.25" customHeight="1">
      <c r="A26" s="367">
        <f t="shared" si="19"/>
        <v>22</v>
      </c>
      <c r="B26" s="367">
        <f>tblIndicators!G23</f>
        <v>3</v>
      </c>
      <c r="C26" s="367">
        <f>tblIndicators!C23</f>
        <v>2</v>
      </c>
      <c r="D26" s="367" t="str">
        <f>tblIndicators!AL23</f>
        <v>2.2.1) Digital platforms for banking and personal finance</v>
      </c>
      <c r="E26" s="367" t="str">
        <f t="shared" si="25"/>
        <v>2.2.1) Digital platforms for banking and personal finance</v>
      </c>
      <c r="J26" s="367">
        <v>1</v>
      </c>
      <c r="M26" s="635"/>
      <c r="N26" s="635"/>
      <c r="O26" s="635"/>
      <c r="P26" s="635"/>
      <c r="Q26" s="830"/>
      <c r="R26" s="830"/>
      <c r="U26" s="23"/>
      <c r="V26" s="595">
        <f t="shared" si="26"/>
        <v>0</v>
      </c>
      <c r="W26" s="844">
        <v>0</v>
      </c>
      <c r="X26" s="844">
        <v>0</v>
      </c>
      <c r="Y26" s="844">
        <v>0</v>
      </c>
      <c r="Z26" s="844">
        <v>0</v>
      </c>
      <c r="AA26" s="844">
        <v>0</v>
      </c>
      <c r="AC26" s="89"/>
      <c r="AE26" s="613">
        <f t="shared" si="23"/>
        <v>0</v>
      </c>
      <c r="AF26" s="595">
        <v>0</v>
      </c>
      <c r="AG26" s="844">
        <v>0</v>
      </c>
      <c r="AH26" s="844">
        <v>1</v>
      </c>
      <c r="AI26" s="844">
        <v>0</v>
      </c>
      <c r="AJ26" s="844">
        <v>0</v>
      </c>
      <c r="AL26" s="89"/>
      <c r="AN26" s="612">
        <f t="shared" si="18"/>
        <v>0</v>
      </c>
      <c r="AO26" s="844">
        <v>0</v>
      </c>
      <c r="AP26" s="844">
        <v>0</v>
      </c>
      <c r="AQ26" s="844">
        <v>0</v>
      </c>
      <c r="AR26" s="844">
        <v>0</v>
      </c>
      <c r="AS26" s="844">
        <v>0</v>
      </c>
      <c r="AT26" s="844">
        <v>0</v>
      </c>
      <c r="AU26" s="844">
        <v>0</v>
      </c>
      <c r="AV26" s="844">
        <v>1</v>
      </c>
      <c r="AW26" s="844">
        <v>0</v>
      </c>
      <c r="AX26" s="844">
        <v>0</v>
      </c>
      <c r="AY26" s="844">
        <v>0</v>
      </c>
      <c r="AZ26" s="844">
        <v>0</v>
      </c>
      <c r="BA26" s="844">
        <v>0</v>
      </c>
      <c r="BB26" s="844">
        <v>0</v>
      </c>
      <c r="BC26" s="844">
        <v>0</v>
      </c>
      <c r="BD26" s="844">
        <v>0</v>
      </c>
      <c r="BE26" s="844">
        <v>0</v>
      </c>
      <c r="BF26" s="844">
        <v>0</v>
      </c>
      <c r="BG26" s="844">
        <v>0</v>
      </c>
      <c r="BH26" s="844">
        <v>0</v>
      </c>
      <c r="BI26" s="844">
        <v>0</v>
      </c>
      <c r="BJ26" s="844">
        <v>0</v>
      </c>
    </row>
    <row r="27" spans="1:62" s="367" customFormat="1" ht="17.25" customHeight="1">
      <c r="A27" s="367">
        <f t="shared" si="19"/>
        <v>23</v>
      </c>
      <c r="B27" s="367">
        <f>tblIndicators!G24</f>
        <v>3</v>
      </c>
      <c r="C27" s="367">
        <f>tblIndicators!C24</f>
        <v>2</v>
      </c>
      <c r="D27" s="367" t="str">
        <f>tblIndicators!AL24</f>
        <v>2.2.2) Digital investment management tools</v>
      </c>
      <c r="E27" s="367" t="str">
        <f t="shared" si="25"/>
        <v>2.2.2) Digital investment management tools</v>
      </c>
      <c r="J27" s="367">
        <v>1</v>
      </c>
      <c r="M27" s="635"/>
      <c r="N27" s="635"/>
      <c r="O27" s="635"/>
      <c r="P27" s="635"/>
      <c r="Q27" s="830"/>
      <c r="R27" s="830"/>
      <c r="U27" s="23"/>
      <c r="V27" s="595">
        <f t="shared" si="26"/>
        <v>0</v>
      </c>
      <c r="W27" s="844">
        <v>0</v>
      </c>
      <c r="X27" s="844">
        <v>0</v>
      </c>
      <c r="Y27" s="844">
        <v>0</v>
      </c>
      <c r="Z27" s="844">
        <v>0</v>
      </c>
      <c r="AA27" s="844">
        <v>0</v>
      </c>
      <c r="AC27" s="89"/>
      <c r="AE27" s="613">
        <f t="shared" si="23"/>
        <v>0</v>
      </c>
      <c r="AF27" s="595">
        <v>0</v>
      </c>
      <c r="AG27" s="844">
        <v>0</v>
      </c>
      <c r="AH27" s="844">
        <v>1</v>
      </c>
      <c r="AI27" s="844">
        <v>0</v>
      </c>
      <c r="AJ27" s="844">
        <v>0</v>
      </c>
      <c r="AL27" s="89"/>
      <c r="AN27" s="612">
        <f t="shared" si="18"/>
        <v>0</v>
      </c>
      <c r="AO27" s="844">
        <v>0</v>
      </c>
      <c r="AP27" s="844">
        <v>0</v>
      </c>
      <c r="AQ27" s="844">
        <v>0</v>
      </c>
      <c r="AR27" s="844">
        <v>0</v>
      </c>
      <c r="AS27" s="844">
        <v>0</v>
      </c>
      <c r="AT27" s="844">
        <v>0</v>
      </c>
      <c r="AU27" s="844">
        <v>0</v>
      </c>
      <c r="AV27" s="844">
        <v>1</v>
      </c>
      <c r="AW27" s="844">
        <v>0</v>
      </c>
      <c r="AX27" s="844">
        <v>0</v>
      </c>
      <c r="AY27" s="844">
        <v>0</v>
      </c>
      <c r="AZ27" s="844">
        <v>0</v>
      </c>
      <c r="BA27" s="844">
        <v>0</v>
      </c>
      <c r="BB27" s="844">
        <v>0</v>
      </c>
      <c r="BC27" s="844">
        <v>0</v>
      </c>
      <c r="BD27" s="844">
        <v>0</v>
      </c>
      <c r="BE27" s="844">
        <v>0</v>
      </c>
      <c r="BF27" s="844">
        <v>0</v>
      </c>
      <c r="BG27" s="844">
        <v>0</v>
      </c>
      <c r="BH27" s="844">
        <v>0</v>
      </c>
      <c r="BI27" s="844">
        <v>0</v>
      </c>
      <c r="BJ27" s="844">
        <v>0</v>
      </c>
    </row>
    <row r="28" spans="1:62" s="367" customFormat="1" ht="17.25" customHeight="1">
      <c r="A28" s="367">
        <f t="shared" si="19"/>
        <v>24</v>
      </c>
      <c r="B28" s="367">
        <f>tblIndicators!G25</f>
        <v>3</v>
      </c>
      <c r="C28" s="367">
        <f>tblIndicators!C25</f>
        <v>2</v>
      </c>
      <c r="D28" s="367" t="str">
        <f>tblIndicators!AL25</f>
        <v>2.2.3) E-payments</v>
      </c>
      <c r="E28" s="367" t="str">
        <f t="shared" si="25"/>
        <v>2.2.3) E-payments</v>
      </c>
      <c r="J28" s="367">
        <v>1</v>
      </c>
      <c r="M28" s="635"/>
      <c r="N28" s="635"/>
      <c r="O28" s="635"/>
      <c r="P28" s="635"/>
      <c r="Q28" s="830"/>
      <c r="R28" s="830"/>
      <c r="U28" s="23"/>
      <c r="V28" s="595">
        <f t="shared" si="26"/>
        <v>0</v>
      </c>
      <c r="W28" s="844">
        <v>0</v>
      </c>
      <c r="X28" s="844">
        <v>0</v>
      </c>
      <c r="Y28" s="844">
        <v>0</v>
      </c>
      <c r="Z28" s="844">
        <v>0</v>
      </c>
      <c r="AA28" s="844">
        <v>0</v>
      </c>
      <c r="AC28" s="89"/>
      <c r="AE28" s="613">
        <f t="shared" si="23"/>
        <v>0</v>
      </c>
      <c r="AF28" s="595">
        <v>0</v>
      </c>
      <c r="AG28" s="844">
        <v>0</v>
      </c>
      <c r="AH28" s="844">
        <v>1</v>
      </c>
      <c r="AI28" s="844">
        <v>0</v>
      </c>
      <c r="AJ28" s="844">
        <v>0</v>
      </c>
      <c r="AL28" s="89"/>
      <c r="AN28" s="612">
        <f t="shared" si="18"/>
        <v>0</v>
      </c>
      <c r="AO28" s="844">
        <v>0</v>
      </c>
      <c r="AP28" s="844">
        <v>0</v>
      </c>
      <c r="AQ28" s="844">
        <v>0</v>
      </c>
      <c r="AR28" s="844">
        <v>0</v>
      </c>
      <c r="AS28" s="844">
        <v>0</v>
      </c>
      <c r="AT28" s="844">
        <v>0</v>
      </c>
      <c r="AU28" s="844">
        <v>0</v>
      </c>
      <c r="AV28" s="844">
        <v>1</v>
      </c>
      <c r="AW28" s="844">
        <v>0</v>
      </c>
      <c r="AX28" s="844">
        <v>0</v>
      </c>
      <c r="AY28" s="844">
        <v>0</v>
      </c>
      <c r="AZ28" s="844">
        <v>0</v>
      </c>
      <c r="BA28" s="844">
        <v>0</v>
      </c>
      <c r="BB28" s="844">
        <v>0</v>
      </c>
      <c r="BC28" s="844">
        <v>0</v>
      </c>
      <c r="BD28" s="844">
        <v>0</v>
      </c>
      <c r="BE28" s="844">
        <v>0</v>
      </c>
      <c r="BF28" s="844">
        <v>0</v>
      </c>
      <c r="BG28" s="844">
        <v>0</v>
      </c>
      <c r="BH28" s="844">
        <v>0</v>
      </c>
      <c r="BI28" s="844">
        <v>0</v>
      </c>
      <c r="BJ28" s="844">
        <v>0</v>
      </c>
    </row>
    <row r="29" spans="1:62" s="367" customFormat="1" ht="17.25" customHeight="1">
      <c r="A29" s="367">
        <f t="shared" si="19"/>
        <v>25</v>
      </c>
      <c r="B29" s="367">
        <f>tblIndicators!G26</f>
        <v>2</v>
      </c>
      <c r="C29" s="367">
        <f>tblIndicators!C26</f>
        <v>2</v>
      </c>
      <c r="D29" s="367" t="str">
        <f>tblIndicators!AL26</f>
        <v>2.3) Transportation</v>
      </c>
      <c r="E29" s="367" t="str">
        <f t="shared" si="25"/>
        <v>2.3) Transportation</v>
      </c>
      <c r="J29" s="367">
        <v>1</v>
      </c>
      <c r="M29" s="635"/>
      <c r="N29" s="635"/>
      <c r="O29" s="635"/>
      <c r="P29" s="635"/>
      <c r="Q29" s="830"/>
      <c r="R29" s="830"/>
      <c r="U29" s="23"/>
      <c r="V29" s="595">
        <f t="shared" si="26"/>
        <v>0</v>
      </c>
      <c r="W29" s="844">
        <v>0</v>
      </c>
      <c r="X29" s="844">
        <v>0</v>
      </c>
      <c r="Y29" s="844">
        <v>1</v>
      </c>
      <c r="Z29" s="844">
        <v>0</v>
      </c>
      <c r="AA29" s="844">
        <v>0</v>
      </c>
      <c r="AC29" s="89"/>
      <c r="AE29" s="613">
        <f t="shared" si="23"/>
        <v>1</v>
      </c>
      <c r="AF29" s="595">
        <v>1</v>
      </c>
      <c r="AG29" s="844">
        <v>0</v>
      </c>
      <c r="AH29" s="844">
        <v>1</v>
      </c>
      <c r="AI29" s="844">
        <v>0</v>
      </c>
      <c r="AJ29" s="844">
        <v>0</v>
      </c>
      <c r="AL29" s="89"/>
      <c r="AN29" s="612">
        <f t="shared" si="18"/>
        <v>0</v>
      </c>
      <c r="AO29" s="844">
        <v>0</v>
      </c>
      <c r="AP29" s="844">
        <v>0</v>
      </c>
      <c r="AQ29" s="844">
        <v>0</v>
      </c>
      <c r="AR29" s="844">
        <v>0</v>
      </c>
      <c r="AS29" s="844">
        <v>0</v>
      </c>
      <c r="AT29" s="844">
        <v>1</v>
      </c>
      <c r="AU29" s="844">
        <v>0</v>
      </c>
      <c r="AV29" s="844">
        <v>0</v>
      </c>
      <c r="AW29" s="844">
        <v>1</v>
      </c>
      <c r="AX29" s="844">
        <v>0</v>
      </c>
      <c r="AY29" s="844">
        <v>0</v>
      </c>
      <c r="AZ29" s="844">
        <v>0</v>
      </c>
      <c r="BA29" s="844">
        <v>0</v>
      </c>
      <c r="BB29" s="844">
        <v>0</v>
      </c>
      <c r="BC29" s="844">
        <v>0</v>
      </c>
      <c r="BD29" s="844">
        <v>0</v>
      </c>
      <c r="BE29" s="844">
        <v>0</v>
      </c>
      <c r="BF29" s="844">
        <v>0</v>
      </c>
      <c r="BG29" s="844">
        <v>0</v>
      </c>
      <c r="BH29" s="844">
        <v>0</v>
      </c>
      <c r="BI29" s="844">
        <v>0</v>
      </c>
      <c r="BJ29" s="844">
        <v>0</v>
      </c>
    </row>
    <row r="30" spans="1:62" s="367" customFormat="1" ht="17.25" customHeight="1">
      <c r="A30" s="367">
        <f t="shared" si="19"/>
        <v>26</v>
      </c>
      <c r="B30" s="367">
        <f>tblIndicators!G27</f>
        <v>3</v>
      </c>
      <c r="C30" s="367">
        <f>tblIndicators!C27</f>
        <v>2</v>
      </c>
      <c r="D30" s="367" t="str">
        <f>tblIndicators!AL27</f>
        <v>2.3.1) Integrated public transport apps</v>
      </c>
      <c r="E30" s="367" t="str">
        <f t="shared" si="25"/>
        <v>2.3.1) Integrated public transport apps</v>
      </c>
      <c r="J30" s="367">
        <v>1</v>
      </c>
      <c r="M30" s="635"/>
      <c r="N30" s="635"/>
      <c r="O30" s="635"/>
      <c r="P30" s="635"/>
      <c r="Q30" s="830"/>
      <c r="R30" s="830"/>
      <c r="U30" s="23"/>
      <c r="V30" s="595">
        <f t="shared" si="26"/>
        <v>0</v>
      </c>
      <c r="W30" s="844">
        <v>0</v>
      </c>
      <c r="X30" s="844">
        <v>0</v>
      </c>
      <c r="Y30" s="844">
        <v>0</v>
      </c>
      <c r="Z30" s="844">
        <v>0</v>
      </c>
      <c r="AA30" s="844">
        <v>0</v>
      </c>
      <c r="AC30" s="89"/>
      <c r="AE30" s="613">
        <f t="shared" si="23"/>
        <v>0</v>
      </c>
      <c r="AF30" s="595">
        <v>0</v>
      </c>
      <c r="AG30" s="844">
        <v>0</v>
      </c>
      <c r="AH30" s="844">
        <v>1</v>
      </c>
      <c r="AI30" s="844">
        <v>0</v>
      </c>
      <c r="AJ30" s="844">
        <v>0</v>
      </c>
      <c r="AL30" s="89"/>
      <c r="AN30" s="612">
        <f t="shared" si="18"/>
        <v>0</v>
      </c>
      <c r="AO30" s="844">
        <v>0</v>
      </c>
      <c r="AP30" s="844">
        <v>0</v>
      </c>
      <c r="AQ30" s="844">
        <v>0</v>
      </c>
      <c r="AR30" s="844">
        <v>0</v>
      </c>
      <c r="AS30" s="844">
        <v>0</v>
      </c>
      <c r="AT30" s="844">
        <v>0</v>
      </c>
      <c r="AU30" s="844">
        <v>0</v>
      </c>
      <c r="AV30" s="844">
        <v>0</v>
      </c>
      <c r="AW30" s="844">
        <v>1</v>
      </c>
      <c r="AX30" s="844">
        <v>0</v>
      </c>
      <c r="AY30" s="844">
        <v>0</v>
      </c>
      <c r="AZ30" s="844">
        <v>0</v>
      </c>
      <c r="BA30" s="844">
        <v>0</v>
      </c>
      <c r="BB30" s="844">
        <v>0</v>
      </c>
      <c r="BC30" s="844">
        <v>0</v>
      </c>
      <c r="BD30" s="844">
        <v>0</v>
      </c>
      <c r="BE30" s="844">
        <v>0</v>
      </c>
      <c r="BF30" s="844">
        <v>0</v>
      </c>
      <c r="BG30" s="844">
        <v>0</v>
      </c>
      <c r="BH30" s="844">
        <v>0</v>
      </c>
      <c r="BI30" s="844">
        <v>0</v>
      </c>
      <c r="BJ30" s="844">
        <v>0</v>
      </c>
    </row>
    <row r="31" spans="1:62" s="367" customFormat="1" ht="17.25" customHeight="1">
      <c r="A31" s="367">
        <f t="shared" si="19"/>
        <v>27</v>
      </c>
      <c r="B31" s="367">
        <f>tblIndicators!G28</f>
        <v>3</v>
      </c>
      <c r="C31" s="367">
        <f>tblIndicators!C28</f>
        <v>2</v>
      </c>
      <c r="D31" s="367" t="str">
        <f>tblIndicators!AL28</f>
        <v>2.3.2) Digital identification at airports</v>
      </c>
      <c r="E31" s="367" t="str">
        <f t="shared" si="25"/>
        <v>2.3.2) Digital identification at airports</v>
      </c>
      <c r="J31" s="367">
        <v>1</v>
      </c>
      <c r="M31" s="635"/>
      <c r="N31" s="635"/>
      <c r="O31" s="635"/>
      <c r="P31" s="635"/>
      <c r="Q31" s="830"/>
      <c r="R31" s="830"/>
      <c r="U31" s="23"/>
      <c r="V31" s="595">
        <f t="shared" si="26"/>
        <v>0</v>
      </c>
      <c r="W31" s="844">
        <v>0</v>
      </c>
      <c r="X31" s="844">
        <v>0</v>
      </c>
      <c r="Y31" s="844">
        <v>0</v>
      </c>
      <c r="Z31" s="844">
        <v>0</v>
      </c>
      <c r="AA31" s="844">
        <v>0</v>
      </c>
      <c r="AC31" s="89"/>
      <c r="AE31" s="613">
        <f t="shared" si="23"/>
        <v>0</v>
      </c>
      <c r="AF31" s="595">
        <v>0</v>
      </c>
      <c r="AG31" s="844">
        <v>0</v>
      </c>
      <c r="AH31" s="844">
        <v>1</v>
      </c>
      <c r="AI31" s="844">
        <v>0</v>
      </c>
      <c r="AJ31" s="844">
        <v>0</v>
      </c>
      <c r="AL31" s="89"/>
      <c r="AN31" s="612">
        <f t="shared" si="18"/>
        <v>0</v>
      </c>
      <c r="AO31" s="844">
        <v>0</v>
      </c>
      <c r="AP31" s="844">
        <v>0</v>
      </c>
      <c r="AQ31" s="844">
        <v>0</v>
      </c>
      <c r="AR31" s="844">
        <v>0</v>
      </c>
      <c r="AS31" s="844">
        <v>0</v>
      </c>
      <c r="AT31" s="844">
        <v>0</v>
      </c>
      <c r="AU31" s="844">
        <v>0</v>
      </c>
      <c r="AV31" s="844">
        <v>0</v>
      </c>
      <c r="AW31" s="844">
        <v>1</v>
      </c>
      <c r="AX31" s="844">
        <v>0</v>
      </c>
      <c r="AY31" s="844">
        <v>0</v>
      </c>
      <c r="AZ31" s="844">
        <v>0</v>
      </c>
      <c r="BA31" s="844">
        <v>0</v>
      </c>
      <c r="BB31" s="844">
        <v>0</v>
      </c>
      <c r="BC31" s="844">
        <v>0</v>
      </c>
      <c r="BD31" s="844">
        <v>0</v>
      </c>
      <c r="BE31" s="844">
        <v>0</v>
      </c>
      <c r="BF31" s="844">
        <v>0</v>
      </c>
      <c r="BG31" s="844">
        <v>0</v>
      </c>
      <c r="BH31" s="844">
        <v>0</v>
      </c>
      <c r="BI31" s="844">
        <v>0</v>
      </c>
      <c r="BJ31" s="844">
        <v>0</v>
      </c>
    </row>
    <row r="32" spans="1:62" s="367" customFormat="1" ht="17.25" customHeight="1">
      <c r="A32" s="367">
        <f t="shared" si="19"/>
        <v>28</v>
      </c>
      <c r="B32" s="367">
        <f>tblIndicators!G29</f>
        <v>2</v>
      </c>
      <c r="C32" s="367">
        <f>tblIndicators!C29</f>
        <v>2</v>
      </c>
      <c r="D32" s="367" t="str">
        <f>tblIndicators!AL29</f>
        <v>2.4) Healthcare</v>
      </c>
      <c r="E32" s="367" t="str">
        <f t="shared" si="25"/>
        <v>2.4) Healthcare</v>
      </c>
      <c r="J32" s="367">
        <v>1</v>
      </c>
      <c r="M32" s="635"/>
      <c r="N32" s="635"/>
      <c r="O32" s="635"/>
      <c r="P32" s="635"/>
      <c r="Q32" s="830"/>
      <c r="R32" s="830"/>
      <c r="U32" s="23"/>
      <c r="V32" s="595">
        <f t="shared" si="26"/>
        <v>0</v>
      </c>
      <c r="W32" s="844">
        <v>0</v>
      </c>
      <c r="X32" s="844">
        <v>0</v>
      </c>
      <c r="Y32" s="844">
        <v>1</v>
      </c>
      <c r="Z32" s="844">
        <v>0</v>
      </c>
      <c r="AA32" s="844">
        <v>0</v>
      </c>
      <c r="AC32" s="89"/>
      <c r="AE32" s="613">
        <f t="shared" si="23"/>
        <v>1</v>
      </c>
      <c r="AF32" s="595">
        <v>1</v>
      </c>
      <c r="AG32" s="844">
        <v>0</v>
      </c>
      <c r="AH32" s="844">
        <v>1</v>
      </c>
      <c r="AI32" s="844">
        <v>0</v>
      </c>
      <c r="AJ32" s="844">
        <v>0</v>
      </c>
      <c r="AL32" s="89"/>
      <c r="AN32" s="612">
        <f t="shared" si="18"/>
        <v>0</v>
      </c>
      <c r="AO32" s="844">
        <v>0</v>
      </c>
      <c r="AP32" s="844">
        <v>0</v>
      </c>
      <c r="AQ32" s="844">
        <v>0</v>
      </c>
      <c r="AR32" s="844">
        <v>0</v>
      </c>
      <c r="AS32" s="844">
        <v>0</v>
      </c>
      <c r="AT32" s="844">
        <v>1</v>
      </c>
      <c r="AU32" s="844">
        <v>0</v>
      </c>
      <c r="AV32" s="844">
        <v>0</v>
      </c>
      <c r="AW32" s="844">
        <v>0</v>
      </c>
      <c r="AX32" s="844">
        <v>1</v>
      </c>
      <c r="AY32" s="844">
        <v>0</v>
      </c>
      <c r="AZ32" s="844">
        <v>0</v>
      </c>
      <c r="BA32" s="844">
        <v>0</v>
      </c>
      <c r="BB32" s="844">
        <v>0</v>
      </c>
      <c r="BC32" s="844">
        <v>0</v>
      </c>
      <c r="BD32" s="844">
        <v>0</v>
      </c>
      <c r="BE32" s="844">
        <v>0</v>
      </c>
      <c r="BF32" s="844">
        <v>0</v>
      </c>
      <c r="BG32" s="844">
        <v>0</v>
      </c>
      <c r="BH32" s="844">
        <v>0</v>
      </c>
      <c r="BI32" s="844">
        <v>0</v>
      </c>
      <c r="BJ32" s="844">
        <v>0</v>
      </c>
    </row>
    <row r="33" spans="1:62" s="367" customFormat="1" ht="17.25" customHeight="1">
      <c r="A33" s="367">
        <f t="shared" si="19"/>
        <v>29</v>
      </c>
      <c r="B33" s="367">
        <f>tblIndicators!G30</f>
        <v>3</v>
      </c>
      <c r="C33" s="367">
        <f>tblIndicators!C30</f>
        <v>2</v>
      </c>
      <c r="D33" s="367" t="str">
        <f>tblIndicators!AL30</f>
        <v>2.4.1) Telehealth &amp; telemedicine</v>
      </c>
      <c r="E33" s="367" t="str">
        <f t="shared" si="25"/>
        <v>2.4.1) Telehealth &amp; telemedicine</v>
      </c>
      <c r="J33" s="367">
        <v>1</v>
      </c>
      <c r="M33" s="635"/>
      <c r="N33" s="635"/>
      <c r="O33" s="635"/>
      <c r="P33" s="635"/>
      <c r="Q33" s="830"/>
      <c r="R33" s="830"/>
      <c r="U33" s="23"/>
      <c r="V33" s="595">
        <f t="shared" si="26"/>
        <v>0</v>
      </c>
      <c r="W33" s="844">
        <v>0</v>
      </c>
      <c r="X33" s="844">
        <v>0</v>
      </c>
      <c r="Y33" s="844">
        <v>0</v>
      </c>
      <c r="Z33" s="844">
        <v>0</v>
      </c>
      <c r="AA33" s="844">
        <v>0</v>
      </c>
      <c r="AC33" s="89"/>
      <c r="AE33" s="613">
        <f t="shared" si="23"/>
        <v>0</v>
      </c>
      <c r="AF33" s="595">
        <v>0</v>
      </c>
      <c r="AG33" s="844">
        <v>0</v>
      </c>
      <c r="AH33" s="844">
        <v>1</v>
      </c>
      <c r="AI33" s="844">
        <v>0</v>
      </c>
      <c r="AJ33" s="844">
        <v>0</v>
      </c>
      <c r="AL33" s="89"/>
      <c r="AN33" s="612">
        <f t="shared" si="18"/>
        <v>0</v>
      </c>
      <c r="AO33" s="844">
        <v>0</v>
      </c>
      <c r="AP33" s="844">
        <v>0</v>
      </c>
      <c r="AQ33" s="844">
        <v>0</v>
      </c>
      <c r="AR33" s="844">
        <v>0</v>
      </c>
      <c r="AS33" s="844">
        <v>0</v>
      </c>
      <c r="AT33" s="844">
        <v>0</v>
      </c>
      <c r="AU33" s="844">
        <v>0</v>
      </c>
      <c r="AV33" s="844">
        <v>0</v>
      </c>
      <c r="AW33" s="844">
        <v>0</v>
      </c>
      <c r="AX33" s="844">
        <v>1</v>
      </c>
      <c r="AY33" s="844">
        <v>0</v>
      </c>
      <c r="AZ33" s="844">
        <v>0</v>
      </c>
      <c r="BA33" s="844">
        <v>0</v>
      </c>
      <c r="BB33" s="844">
        <v>0</v>
      </c>
      <c r="BC33" s="844">
        <v>0</v>
      </c>
      <c r="BD33" s="844">
        <v>0</v>
      </c>
      <c r="BE33" s="844">
        <v>0</v>
      </c>
      <c r="BF33" s="844">
        <v>0</v>
      </c>
      <c r="BG33" s="844">
        <v>0</v>
      </c>
      <c r="BH33" s="844">
        <v>0</v>
      </c>
      <c r="BI33" s="844">
        <v>0</v>
      </c>
      <c r="BJ33" s="844">
        <v>0</v>
      </c>
    </row>
    <row r="34" spans="1:62" s="367" customFormat="1" ht="17.25" customHeight="1">
      <c r="A34" s="367">
        <f t="shared" si="19"/>
        <v>30</v>
      </c>
      <c r="B34" s="367">
        <f>tblIndicators!G31</f>
        <v>3</v>
      </c>
      <c r="C34" s="367">
        <f>tblIndicators!C31</f>
        <v>2</v>
      </c>
      <c r="D34" s="367" t="str">
        <f>tblIndicators!AL31</f>
        <v>2.4.2) Electronic health records</v>
      </c>
      <c r="E34" s="367" t="str">
        <f t="shared" si="25"/>
        <v>2.4.2) Electronic health records</v>
      </c>
      <c r="J34" s="367">
        <v>1</v>
      </c>
      <c r="M34" s="635"/>
      <c r="N34" s="635"/>
      <c r="O34" s="635"/>
      <c r="P34" s="635"/>
      <c r="Q34" s="830"/>
      <c r="R34" s="830"/>
      <c r="U34" s="23"/>
      <c r="V34" s="595">
        <f t="shared" si="26"/>
        <v>0</v>
      </c>
      <c r="W34" s="844">
        <v>0</v>
      </c>
      <c r="X34" s="844">
        <v>0</v>
      </c>
      <c r="Y34" s="844">
        <v>0</v>
      </c>
      <c r="Z34" s="844">
        <v>0</v>
      </c>
      <c r="AA34" s="844">
        <v>0</v>
      </c>
      <c r="AC34" s="89"/>
      <c r="AE34" s="613">
        <f t="shared" si="23"/>
        <v>0</v>
      </c>
      <c r="AF34" s="595">
        <v>0</v>
      </c>
      <c r="AG34" s="844">
        <v>0</v>
      </c>
      <c r="AH34" s="844">
        <v>1</v>
      </c>
      <c r="AI34" s="844">
        <v>0</v>
      </c>
      <c r="AJ34" s="844">
        <v>0</v>
      </c>
      <c r="AL34" s="89"/>
      <c r="AN34" s="612">
        <f t="shared" si="18"/>
        <v>0</v>
      </c>
      <c r="AO34" s="844">
        <v>0</v>
      </c>
      <c r="AP34" s="844">
        <v>0</v>
      </c>
      <c r="AQ34" s="844">
        <v>0</v>
      </c>
      <c r="AR34" s="844">
        <v>0</v>
      </c>
      <c r="AS34" s="844">
        <v>0</v>
      </c>
      <c r="AT34" s="844">
        <v>0</v>
      </c>
      <c r="AU34" s="844">
        <v>0</v>
      </c>
      <c r="AV34" s="844">
        <v>0</v>
      </c>
      <c r="AW34" s="844">
        <v>0</v>
      </c>
      <c r="AX34" s="844">
        <v>1</v>
      </c>
      <c r="AY34" s="844">
        <v>0</v>
      </c>
      <c r="AZ34" s="844">
        <v>0</v>
      </c>
      <c r="BA34" s="844">
        <v>0</v>
      </c>
      <c r="BB34" s="844">
        <v>0</v>
      </c>
      <c r="BC34" s="844">
        <v>0</v>
      </c>
      <c r="BD34" s="844">
        <v>0</v>
      </c>
      <c r="BE34" s="844">
        <v>0</v>
      </c>
      <c r="BF34" s="844">
        <v>0</v>
      </c>
      <c r="BG34" s="844">
        <v>0</v>
      </c>
      <c r="BH34" s="844">
        <v>0</v>
      </c>
      <c r="BI34" s="844">
        <v>0</v>
      </c>
      <c r="BJ34" s="844">
        <v>0</v>
      </c>
    </row>
    <row r="35" spans="1:62" s="367" customFormat="1" ht="17.25" customHeight="1">
      <c r="A35" s="367">
        <f t="shared" si="19"/>
        <v>31</v>
      </c>
      <c r="B35" s="367">
        <f>tblIndicators!G32</f>
        <v>3</v>
      </c>
      <c r="C35" s="367">
        <f>tblIndicators!C32</f>
        <v>2</v>
      </c>
      <c r="D35" s="367" t="str">
        <f>tblIndicators!AL32</f>
        <v>2.4.3) Pandemic-related applications</v>
      </c>
      <c r="E35" s="367" t="str">
        <f t="shared" si="25"/>
        <v>2.4.3) Pandemic-related applications</v>
      </c>
      <c r="J35" s="367">
        <v>1</v>
      </c>
      <c r="M35" s="635"/>
      <c r="N35" s="635"/>
      <c r="O35" s="635"/>
      <c r="P35" s="635"/>
      <c r="Q35" s="830"/>
      <c r="R35" s="830"/>
      <c r="U35" s="23"/>
      <c r="V35" s="595">
        <f t="shared" si="26"/>
        <v>0</v>
      </c>
      <c r="W35" s="844">
        <v>0</v>
      </c>
      <c r="X35" s="844">
        <v>0</v>
      </c>
      <c r="Y35" s="844">
        <v>0</v>
      </c>
      <c r="Z35" s="844">
        <v>0</v>
      </c>
      <c r="AA35" s="844">
        <v>0</v>
      </c>
      <c r="AC35" s="89"/>
      <c r="AE35" s="613">
        <f t="shared" si="23"/>
        <v>0</v>
      </c>
      <c r="AF35" s="595">
        <v>0</v>
      </c>
      <c r="AG35" s="844">
        <v>0</v>
      </c>
      <c r="AH35" s="844">
        <v>1</v>
      </c>
      <c r="AI35" s="844">
        <v>0</v>
      </c>
      <c r="AJ35" s="844">
        <v>0</v>
      </c>
      <c r="AL35" s="89"/>
      <c r="AN35" s="612">
        <f t="shared" si="18"/>
        <v>0</v>
      </c>
      <c r="AO35" s="844">
        <v>0</v>
      </c>
      <c r="AP35" s="844">
        <v>0</v>
      </c>
      <c r="AQ35" s="844">
        <v>0</v>
      </c>
      <c r="AR35" s="844">
        <v>0</v>
      </c>
      <c r="AS35" s="844">
        <v>0</v>
      </c>
      <c r="AT35" s="844">
        <v>0</v>
      </c>
      <c r="AU35" s="844">
        <v>0</v>
      </c>
      <c r="AV35" s="844">
        <v>0</v>
      </c>
      <c r="AW35" s="844">
        <v>0</v>
      </c>
      <c r="AX35" s="844">
        <v>1</v>
      </c>
      <c r="AY35" s="844">
        <v>0</v>
      </c>
      <c r="AZ35" s="844">
        <v>0</v>
      </c>
      <c r="BA35" s="844">
        <v>0</v>
      </c>
      <c r="BB35" s="844">
        <v>0</v>
      </c>
      <c r="BC35" s="844">
        <v>0</v>
      </c>
      <c r="BD35" s="844">
        <v>0</v>
      </c>
      <c r="BE35" s="844">
        <v>0</v>
      </c>
      <c r="BF35" s="844">
        <v>0</v>
      </c>
      <c r="BG35" s="844">
        <v>0</v>
      </c>
      <c r="BH35" s="844">
        <v>0</v>
      </c>
      <c r="BI35" s="844">
        <v>0</v>
      </c>
      <c r="BJ35" s="844">
        <v>0</v>
      </c>
    </row>
    <row r="36" spans="1:62" s="367" customFormat="1" ht="17.25" customHeight="1">
      <c r="A36" s="367">
        <f t="shared" si="19"/>
        <v>32</v>
      </c>
      <c r="B36" s="367">
        <f>tblIndicators!G33</f>
        <v>2</v>
      </c>
      <c r="C36" s="367">
        <f>tblIndicators!C33</f>
        <v>2</v>
      </c>
      <c r="D36" s="367" t="str">
        <f>tblIndicators!AL33</f>
        <v>2.5) Education</v>
      </c>
      <c r="E36" s="367" t="str">
        <f t="shared" si="25"/>
        <v>2.5) Education</v>
      </c>
      <c r="J36" s="367">
        <v>1</v>
      </c>
      <c r="M36" s="635"/>
      <c r="N36" s="635"/>
      <c r="O36" s="635"/>
      <c r="P36" s="635"/>
      <c r="Q36" s="830"/>
      <c r="R36" s="830"/>
      <c r="U36" s="23"/>
      <c r="V36" s="595">
        <f t="shared" si="26"/>
        <v>0</v>
      </c>
      <c r="W36" s="844">
        <v>0</v>
      </c>
      <c r="X36" s="844">
        <v>0</v>
      </c>
      <c r="Y36" s="844">
        <v>1</v>
      </c>
      <c r="Z36" s="844">
        <v>0</v>
      </c>
      <c r="AA36" s="844">
        <v>0</v>
      </c>
      <c r="AC36" s="89"/>
      <c r="AE36" s="613">
        <f t="shared" si="23"/>
        <v>1</v>
      </c>
      <c r="AF36" s="595">
        <v>1</v>
      </c>
      <c r="AG36" s="844">
        <v>0</v>
      </c>
      <c r="AH36" s="844">
        <v>1</v>
      </c>
      <c r="AI36" s="844">
        <v>0</v>
      </c>
      <c r="AJ36" s="844">
        <v>0</v>
      </c>
      <c r="AL36" s="89"/>
      <c r="AN36" s="612">
        <f t="shared" si="18"/>
        <v>0</v>
      </c>
      <c r="AO36" s="844">
        <v>0</v>
      </c>
      <c r="AP36" s="844">
        <v>0</v>
      </c>
      <c r="AQ36" s="844">
        <v>0</v>
      </c>
      <c r="AR36" s="844">
        <v>0</v>
      </c>
      <c r="AS36" s="844">
        <v>0</v>
      </c>
      <c r="AT36" s="844">
        <v>1</v>
      </c>
      <c r="AU36" s="844">
        <v>0</v>
      </c>
      <c r="AV36" s="844">
        <v>0</v>
      </c>
      <c r="AW36" s="844">
        <v>0</v>
      </c>
      <c r="AX36" s="844">
        <v>0</v>
      </c>
      <c r="AY36" s="844">
        <v>1</v>
      </c>
      <c r="AZ36" s="844">
        <v>0</v>
      </c>
      <c r="BA36" s="844">
        <v>0</v>
      </c>
      <c r="BB36" s="844">
        <v>0</v>
      </c>
      <c r="BC36" s="844">
        <v>0</v>
      </c>
      <c r="BD36" s="844">
        <v>0</v>
      </c>
      <c r="BE36" s="844">
        <v>0</v>
      </c>
      <c r="BF36" s="844">
        <v>0</v>
      </c>
      <c r="BG36" s="844">
        <v>0</v>
      </c>
      <c r="BH36" s="844">
        <v>0</v>
      </c>
      <c r="BI36" s="844">
        <v>0</v>
      </c>
      <c r="BJ36" s="844">
        <v>0</v>
      </c>
    </row>
    <row r="37" spans="1:62" s="367" customFormat="1" ht="17.25" customHeight="1">
      <c r="A37" s="367">
        <f t="shared" si="19"/>
        <v>33</v>
      </c>
      <c r="B37" s="367">
        <f>tblIndicators!G34</f>
        <v>3</v>
      </c>
      <c r="C37" s="367">
        <f>tblIndicators!C34</f>
        <v>2</v>
      </c>
      <c r="D37" s="367" t="str">
        <f>tblIndicators!AL34</f>
        <v>2.5.1) Digital education</v>
      </c>
      <c r="E37" s="367" t="str">
        <f t="shared" si="25"/>
        <v>2.5.1) Digital education</v>
      </c>
      <c r="J37" s="367">
        <v>1</v>
      </c>
      <c r="M37" s="635"/>
      <c r="N37" s="635"/>
      <c r="O37" s="635"/>
      <c r="P37" s="635"/>
      <c r="Q37" s="830"/>
      <c r="R37" s="830"/>
      <c r="U37" s="23"/>
      <c r="V37" s="595">
        <f t="shared" si="26"/>
        <v>0</v>
      </c>
      <c r="W37" s="844">
        <v>0</v>
      </c>
      <c r="X37" s="844">
        <v>0</v>
      </c>
      <c r="Y37" s="844">
        <v>0</v>
      </c>
      <c r="Z37" s="844">
        <v>0</v>
      </c>
      <c r="AA37" s="844">
        <v>0</v>
      </c>
      <c r="AC37" s="89"/>
      <c r="AE37" s="613">
        <f t="shared" si="23"/>
        <v>0</v>
      </c>
      <c r="AF37" s="844">
        <v>0</v>
      </c>
      <c r="AG37" s="844">
        <v>0</v>
      </c>
      <c r="AH37" s="844">
        <v>1</v>
      </c>
      <c r="AI37" s="844">
        <v>0</v>
      </c>
      <c r="AJ37" s="844">
        <v>0</v>
      </c>
      <c r="AL37" s="89"/>
      <c r="AN37" s="612">
        <f t="shared" si="18"/>
        <v>0</v>
      </c>
      <c r="AO37" s="844">
        <v>0</v>
      </c>
      <c r="AP37" s="844">
        <v>0</v>
      </c>
      <c r="AQ37" s="844">
        <v>0</v>
      </c>
      <c r="AR37" s="844">
        <v>0</v>
      </c>
      <c r="AS37" s="844">
        <v>0</v>
      </c>
      <c r="AT37" s="844">
        <v>0</v>
      </c>
      <c r="AU37" s="844">
        <v>0</v>
      </c>
      <c r="AV37" s="844">
        <v>0</v>
      </c>
      <c r="AW37" s="844">
        <v>0</v>
      </c>
      <c r="AX37" s="844">
        <v>0</v>
      </c>
      <c r="AY37" s="844">
        <v>1</v>
      </c>
      <c r="AZ37" s="844">
        <v>0</v>
      </c>
      <c r="BA37" s="844">
        <v>0</v>
      </c>
      <c r="BB37" s="844">
        <v>0</v>
      </c>
      <c r="BC37" s="844">
        <v>0</v>
      </c>
      <c r="BD37" s="844">
        <v>0</v>
      </c>
      <c r="BE37" s="844">
        <v>0</v>
      </c>
      <c r="BF37" s="844">
        <v>0</v>
      </c>
      <c r="BG37" s="844">
        <v>0</v>
      </c>
      <c r="BH37" s="844">
        <v>0</v>
      </c>
      <c r="BI37" s="844">
        <v>0</v>
      </c>
      <c r="BJ37" s="844">
        <v>0</v>
      </c>
    </row>
    <row r="38" spans="1:62" s="367" customFormat="1" ht="17.25" customHeight="1">
      <c r="A38" s="367">
        <f t="shared" si="19"/>
        <v>34</v>
      </c>
      <c r="B38" s="367">
        <f>tblIndicators!G35</f>
        <v>2</v>
      </c>
      <c r="C38" s="367">
        <f>tblIndicators!C35</f>
        <v>2</v>
      </c>
      <c r="D38" s="367" t="str">
        <f>tblIndicators!AL35</f>
        <v>2.6) Retail and hospitality</v>
      </c>
      <c r="E38" s="367" t="str">
        <f t="shared" si="25"/>
        <v>2.6) Retail and hospitality</v>
      </c>
      <c r="J38" s="367">
        <v>1</v>
      </c>
      <c r="M38" s="635"/>
      <c r="N38" s="635"/>
      <c r="O38" s="635"/>
      <c r="P38" s="635"/>
      <c r="Q38" s="830"/>
      <c r="R38" s="830"/>
      <c r="U38" s="23"/>
      <c r="V38" s="595">
        <f t="shared" si="26"/>
        <v>0</v>
      </c>
      <c r="W38" s="844">
        <v>0</v>
      </c>
      <c r="X38" s="844">
        <v>0</v>
      </c>
      <c r="Y38" s="844">
        <v>1</v>
      </c>
      <c r="Z38" s="844">
        <v>0</v>
      </c>
      <c r="AA38" s="844">
        <v>0</v>
      </c>
      <c r="AC38" s="89"/>
      <c r="AE38" s="613">
        <f t="shared" si="23"/>
        <v>1</v>
      </c>
      <c r="AF38" s="844">
        <v>1</v>
      </c>
      <c r="AG38" s="844">
        <v>0</v>
      </c>
      <c r="AH38" s="844">
        <v>1</v>
      </c>
      <c r="AI38" s="844">
        <v>0</v>
      </c>
      <c r="AJ38" s="844">
        <v>0</v>
      </c>
      <c r="AL38" s="89"/>
      <c r="AN38" s="612">
        <f t="shared" ref="AN38:AN71" si="31">INDEX(AO38:BJ38,$AN$4)</f>
        <v>0</v>
      </c>
      <c r="AO38" s="844">
        <v>0</v>
      </c>
      <c r="AP38" s="844">
        <v>0</v>
      </c>
      <c r="AQ38" s="844">
        <v>0</v>
      </c>
      <c r="AR38" s="844">
        <v>0</v>
      </c>
      <c r="AS38" s="844">
        <v>0</v>
      </c>
      <c r="AT38" s="844">
        <v>1</v>
      </c>
      <c r="AU38" s="844">
        <v>0</v>
      </c>
      <c r="AV38" s="844">
        <v>0</v>
      </c>
      <c r="AW38" s="844">
        <v>0</v>
      </c>
      <c r="AX38" s="844">
        <v>0</v>
      </c>
      <c r="AY38" s="844">
        <v>0</v>
      </c>
      <c r="AZ38" s="844">
        <v>1</v>
      </c>
      <c r="BA38" s="844">
        <v>0</v>
      </c>
      <c r="BB38" s="844">
        <v>0</v>
      </c>
      <c r="BC38" s="844">
        <v>0</v>
      </c>
      <c r="BD38" s="844">
        <v>0</v>
      </c>
      <c r="BE38" s="844">
        <v>0</v>
      </c>
      <c r="BF38" s="844">
        <v>0</v>
      </c>
      <c r="BG38" s="844">
        <v>0</v>
      </c>
      <c r="BH38" s="844">
        <v>0</v>
      </c>
      <c r="BI38" s="844">
        <v>0</v>
      </c>
      <c r="BJ38" s="844">
        <v>0</v>
      </c>
    </row>
    <row r="39" spans="1:62" s="367" customFormat="1" ht="17.25" customHeight="1">
      <c r="A39" s="367">
        <f t="shared" si="19"/>
        <v>35</v>
      </c>
      <c r="B39" s="367">
        <f>tblIndicators!G36</f>
        <v>3</v>
      </c>
      <c r="C39" s="367">
        <f>tblIndicators!C36</f>
        <v>2</v>
      </c>
      <c r="D39" s="367" t="str">
        <f>tblIndicators!AL36</f>
        <v>2.6.1) E-commerce penetration</v>
      </c>
      <c r="E39" s="367" t="str">
        <f t="shared" si="25"/>
        <v>2.6.1) E-commerce penetration</v>
      </c>
      <c r="J39" s="367">
        <v>1</v>
      </c>
      <c r="M39" s="635"/>
      <c r="N39" s="635"/>
      <c r="O39" s="635"/>
      <c r="P39" s="635"/>
      <c r="Q39" s="830"/>
      <c r="R39" s="830"/>
      <c r="U39" s="23"/>
      <c r="V39" s="595">
        <f t="shared" si="26"/>
        <v>0</v>
      </c>
      <c r="W39" s="844">
        <v>0</v>
      </c>
      <c r="X39" s="844">
        <v>0</v>
      </c>
      <c r="Y39" s="844">
        <v>0</v>
      </c>
      <c r="Z39" s="844">
        <v>0</v>
      </c>
      <c r="AA39" s="844">
        <v>0</v>
      </c>
      <c r="AC39" s="89"/>
      <c r="AE39" s="613">
        <f t="shared" si="23"/>
        <v>0</v>
      </c>
      <c r="AF39" s="844">
        <v>0</v>
      </c>
      <c r="AG39" s="844">
        <v>0</v>
      </c>
      <c r="AH39" s="844">
        <v>1</v>
      </c>
      <c r="AI39" s="844">
        <v>0</v>
      </c>
      <c r="AJ39" s="844">
        <v>0</v>
      </c>
      <c r="AL39" s="89"/>
      <c r="AN39" s="612">
        <f t="shared" si="31"/>
        <v>0</v>
      </c>
      <c r="AO39" s="844">
        <v>0</v>
      </c>
      <c r="AP39" s="844">
        <v>0</v>
      </c>
      <c r="AQ39" s="844">
        <v>0</v>
      </c>
      <c r="AR39" s="844">
        <v>0</v>
      </c>
      <c r="AS39" s="844">
        <v>0</v>
      </c>
      <c r="AT39" s="844">
        <v>0</v>
      </c>
      <c r="AU39" s="844">
        <v>0</v>
      </c>
      <c r="AV39" s="844">
        <v>0</v>
      </c>
      <c r="AW39" s="844">
        <v>0</v>
      </c>
      <c r="AX39" s="844">
        <v>0</v>
      </c>
      <c r="AY39" s="844">
        <v>0</v>
      </c>
      <c r="AZ39" s="844">
        <v>1</v>
      </c>
      <c r="BA39" s="844">
        <v>0</v>
      </c>
      <c r="BB39" s="844">
        <v>0</v>
      </c>
      <c r="BC39" s="844">
        <v>0</v>
      </c>
      <c r="BD39" s="844">
        <v>0</v>
      </c>
      <c r="BE39" s="844">
        <v>0</v>
      </c>
      <c r="BF39" s="844">
        <v>0</v>
      </c>
      <c r="BG39" s="844">
        <v>0</v>
      </c>
      <c r="BH39" s="844">
        <v>0</v>
      </c>
      <c r="BI39" s="844">
        <v>0</v>
      </c>
      <c r="BJ39" s="844">
        <v>0</v>
      </c>
    </row>
    <row r="40" spans="1:62" s="367" customFormat="1" ht="17.25" customHeight="1">
      <c r="A40" s="367">
        <f t="shared" si="19"/>
        <v>36</v>
      </c>
      <c r="B40" s="367">
        <f>tblIndicators!G37</f>
        <v>3</v>
      </c>
      <c r="C40" s="367">
        <f>tblIndicators!C37</f>
        <v>2</v>
      </c>
      <c r="D40" s="367" t="str">
        <f>tblIndicators!AL37</f>
        <v>2.6.2) Digital tourist passes</v>
      </c>
      <c r="E40" s="367" t="str">
        <f t="shared" si="25"/>
        <v>2.6.2) Digital tourist passes</v>
      </c>
      <c r="J40" s="367">
        <v>1</v>
      </c>
      <c r="M40" s="635"/>
      <c r="N40" s="635"/>
      <c r="O40" s="635"/>
      <c r="P40" s="635"/>
      <c r="Q40" s="830"/>
      <c r="R40" s="830"/>
      <c r="U40" s="23"/>
      <c r="V40" s="595">
        <f t="shared" si="26"/>
        <v>0</v>
      </c>
      <c r="W40" s="844">
        <v>0</v>
      </c>
      <c r="X40" s="844">
        <v>0</v>
      </c>
      <c r="Y40" s="844">
        <v>0</v>
      </c>
      <c r="Z40" s="844">
        <v>0</v>
      </c>
      <c r="AA40" s="844">
        <v>0</v>
      </c>
      <c r="AC40" s="89"/>
      <c r="AE40" s="613">
        <f t="shared" si="23"/>
        <v>0</v>
      </c>
      <c r="AF40" s="844">
        <v>0</v>
      </c>
      <c r="AG40" s="844">
        <v>0</v>
      </c>
      <c r="AH40" s="844">
        <v>1</v>
      </c>
      <c r="AI40" s="844">
        <v>0</v>
      </c>
      <c r="AJ40" s="844">
        <v>0</v>
      </c>
      <c r="AL40" s="89"/>
      <c r="AN40" s="612">
        <f t="shared" si="31"/>
        <v>0</v>
      </c>
      <c r="AO40" s="844">
        <v>0</v>
      </c>
      <c r="AP40" s="844">
        <v>0</v>
      </c>
      <c r="AQ40" s="844">
        <v>0</v>
      </c>
      <c r="AR40" s="844">
        <v>0</v>
      </c>
      <c r="AS40" s="844">
        <v>0</v>
      </c>
      <c r="AT40" s="844">
        <v>0</v>
      </c>
      <c r="AU40" s="844">
        <v>0</v>
      </c>
      <c r="AV40" s="844">
        <v>0</v>
      </c>
      <c r="AW40" s="844">
        <v>0</v>
      </c>
      <c r="AX40" s="844">
        <v>0</v>
      </c>
      <c r="AY40" s="844">
        <v>0</v>
      </c>
      <c r="AZ40" s="844">
        <v>1</v>
      </c>
      <c r="BA40" s="844">
        <v>0</v>
      </c>
      <c r="BB40" s="844">
        <v>0</v>
      </c>
      <c r="BC40" s="844">
        <v>0</v>
      </c>
      <c r="BD40" s="844">
        <v>0</v>
      </c>
      <c r="BE40" s="844">
        <v>0</v>
      </c>
      <c r="BF40" s="844">
        <v>0</v>
      </c>
      <c r="BG40" s="844">
        <v>0</v>
      </c>
      <c r="BH40" s="844">
        <v>0</v>
      </c>
      <c r="BI40" s="844">
        <v>0</v>
      </c>
      <c r="BJ40" s="844">
        <v>0</v>
      </c>
    </row>
    <row r="41" spans="1:62" s="367" customFormat="1" ht="17.25" customHeight="1">
      <c r="A41" s="367">
        <f t="shared" si="19"/>
        <v>37</v>
      </c>
      <c r="B41" s="367">
        <f>tblIndicators!G38</f>
        <v>1</v>
      </c>
      <c r="C41" s="367">
        <f>tblIndicators!C38</f>
        <v>3</v>
      </c>
      <c r="D41" s="367" t="str">
        <f>tblIndicators!AL38</f>
        <v>3) CULTURE</v>
      </c>
      <c r="E41" s="367" t="str">
        <f t="shared" si="25"/>
        <v>3) CULTURE</v>
      </c>
      <c r="J41" s="367">
        <v>1</v>
      </c>
      <c r="M41" s="635"/>
      <c r="N41" s="635"/>
      <c r="O41" s="635"/>
      <c r="P41" s="635"/>
      <c r="Q41" s="830"/>
      <c r="R41" s="830"/>
      <c r="U41" s="23"/>
      <c r="V41" s="595">
        <f t="shared" si="26"/>
        <v>1</v>
      </c>
      <c r="W41" s="844">
        <v>1</v>
      </c>
      <c r="X41" s="844">
        <v>0</v>
      </c>
      <c r="Y41" s="844">
        <v>0</v>
      </c>
      <c r="Z41" s="844">
        <v>1</v>
      </c>
      <c r="AA41" s="844">
        <v>0</v>
      </c>
      <c r="AC41" s="89"/>
      <c r="AE41" s="613">
        <f t="shared" si="23"/>
        <v>1</v>
      </c>
      <c r="AF41" s="844">
        <v>1</v>
      </c>
      <c r="AG41" s="844">
        <v>0</v>
      </c>
      <c r="AH41" s="844">
        <v>0</v>
      </c>
      <c r="AI41" s="844">
        <v>1</v>
      </c>
      <c r="AJ41" s="844">
        <v>0</v>
      </c>
      <c r="AL41" s="89"/>
      <c r="AN41" s="612">
        <f t="shared" si="31"/>
        <v>1</v>
      </c>
      <c r="AO41" s="844">
        <v>1</v>
      </c>
      <c r="AP41" s="844">
        <v>0</v>
      </c>
      <c r="AQ41" s="844">
        <v>0</v>
      </c>
      <c r="AR41" s="844">
        <v>0</v>
      </c>
      <c r="AS41" s="844">
        <v>0</v>
      </c>
      <c r="AT41" s="844">
        <v>0</v>
      </c>
      <c r="AU41" s="844">
        <v>0</v>
      </c>
      <c r="AV41" s="844">
        <v>0</v>
      </c>
      <c r="AW41" s="844">
        <v>0</v>
      </c>
      <c r="AX41" s="844">
        <v>0</v>
      </c>
      <c r="AY41" s="844">
        <v>0</v>
      </c>
      <c r="AZ41" s="844">
        <v>0</v>
      </c>
      <c r="BA41" s="844">
        <v>1</v>
      </c>
      <c r="BB41" s="844">
        <v>0</v>
      </c>
      <c r="BC41" s="844">
        <v>0</v>
      </c>
      <c r="BD41" s="844">
        <v>0</v>
      </c>
      <c r="BE41" s="844">
        <v>0</v>
      </c>
      <c r="BF41" s="844">
        <v>0</v>
      </c>
      <c r="BG41" s="844">
        <v>0</v>
      </c>
      <c r="BH41" s="844">
        <v>0</v>
      </c>
      <c r="BI41" s="844">
        <v>0</v>
      </c>
      <c r="BJ41" s="844">
        <v>0</v>
      </c>
    </row>
    <row r="42" spans="1:62" s="367" customFormat="1" ht="17.25" customHeight="1">
      <c r="A42" s="367">
        <f t="shared" si="19"/>
        <v>38</v>
      </c>
      <c r="B42" s="367">
        <f>tblIndicators!G39</f>
        <v>2</v>
      </c>
      <c r="C42" s="367">
        <f>tblIndicators!C39</f>
        <v>3</v>
      </c>
      <c r="D42" s="367" t="str">
        <f>tblIndicators!AL39</f>
        <v>3.1) Digital inclusion</v>
      </c>
      <c r="E42" s="367" t="str">
        <f t="shared" si="25"/>
        <v>3.1) Digital inclusion</v>
      </c>
      <c r="J42" s="367">
        <v>1</v>
      </c>
      <c r="M42" s="635"/>
      <c r="N42" s="635"/>
      <c r="O42" s="635"/>
      <c r="P42" s="635"/>
      <c r="Q42" s="830"/>
      <c r="R42" s="830"/>
      <c r="U42" s="23"/>
      <c r="V42" s="595">
        <f t="shared" si="26"/>
        <v>0</v>
      </c>
      <c r="W42" s="844">
        <v>0</v>
      </c>
      <c r="X42" s="844">
        <v>0</v>
      </c>
      <c r="Y42" s="844">
        <v>0</v>
      </c>
      <c r="Z42" s="844">
        <v>1</v>
      </c>
      <c r="AA42" s="844">
        <v>0</v>
      </c>
      <c r="AC42" s="89"/>
      <c r="AE42" s="613">
        <f t="shared" si="23"/>
        <v>1</v>
      </c>
      <c r="AF42" s="844">
        <v>1</v>
      </c>
      <c r="AG42" s="844">
        <v>0</v>
      </c>
      <c r="AH42" s="844">
        <v>0</v>
      </c>
      <c r="AI42" s="844">
        <v>1</v>
      </c>
      <c r="AJ42" s="844">
        <v>0</v>
      </c>
      <c r="AL42" s="89"/>
      <c r="AN42" s="612">
        <f t="shared" si="31"/>
        <v>0</v>
      </c>
      <c r="AO42" s="844">
        <v>0</v>
      </c>
      <c r="AP42" s="844">
        <v>0</v>
      </c>
      <c r="AQ42" s="844">
        <v>0</v>
      </c>
      <c r="AR42" s="844">
        <v>0</v>
      </c>
      <c r="AS42" s="844">
        <v>0</v>
      </c>
      <c r="AT42" s="844">
        <v>0</v>
      </c>
      <c r="AU42" s="844">
        <v>0</v>
      </c>
      <c r="AV42" s="844">
        <v>0</v>
      </c>
      <c r="AW42" s="844">
        <v>0</v>
      </c>
      <c r="AX42" s="844">
        <v>0</v>
      </c>
      <c r="AY42" s="844">
        <v>0</v>
      </c>
      <c r="AZ42" s="844">
        <v>0</v>
      </c>
      <c r="BA42" s="844">
        <v>1</v>
      </c>
      <c r="BB42" s="844">
        <v>1</v>
      </c>
      <c r="BC42" s="844">
        <v>0</v>
      </c>
      <c r="BD42" s="844">
        <v>0</v>
      </c>
      <c r="BE42" s="844">
        <v>0</v>
      </c>
      <c r="BF42" s="844">
        <v>0</v>
      </c>
      <c r="BG42" s="844">
        <v>0</v>
      </c>
      <c r="BH42" s="844">
        <v>0</v>
      </c>
      <c r="BI42" s="844">
        <v>0</v>
      </c>
      <c r="BJ42" s="844">
        <v>0</v>
      </c>
    </row>
    <row r="43" spans="1:62" s="367" customFormat="1" ht="17.25" customHeight="1">
      <c r="A43" s="367">
        <f t="shared" si="19"/>
        <v>39</v>
      </c>
      <c r="B43" s="367">
        <f>tblIndicators!G40</f>
        <v>3</v>
      </c>
      <c r="C43" s="367">
        <f>tblIndicators!C40</f>
        <v>3</v>
      </c>
      <c r="D43" s="367" t="str">
        <f>tblIndicators!AL40</f>
        <v>3.1.1) Internet Usage</v>
      </c>
      <c r="E43" s="367" t="str">
        <f t="shared" si="25"/>
        <v>3.1.1) Internet Usage</v>
      </c>
      <c r="J43" s="367">
        <v>1</v>
      </c>
      <c r="M43" s="635"/>
      <c r="N43" s="635"/>
      <c r="O43" s="635"/>
      <c r="P43" s="635"/>
      <c r="Q43" s="830"/>
      <c r="R43" s="830"/>
      <c r="U43" s="23"/>
      <c r="V43" s="595">
        <f t="shared" si="26"/>
        <v>0</v>
      </c>
      <c r="W43" s="844">
        <v>0</v>
      </c>
      <c r="X43" s="844">
        <v>0</v>
      </c>
      <c r="Y43" s="844">
        <v>0</v>
      </c>
      <c r="Z43" s="844">
        <v>0</v>
      </c>
      <c r="AA43" s="844">
        <v>0</v>
      </c>
      <c r="AC43" s="89"/>
      <c r="AE43" s="613">
        <f t="shared" si="23"/>
        <v>0</v>
      </c>
      <c r="AF43" s="844">
        <v>0</v>
      </c>
      <c r="AG43" s="844">
        <v>0</v>
      </c>
      <c r="AH43" s="844">
        <v>0</v>
      </c>
      <c r="AI43" s="844">
        <v>1</v>
      </c>
      <c r="AJ43" s="844">
        <v>0</v>
      </c>
      <c r="AL43" s="89"/>
      <c r="AN43" s="612">
        <f t="shared" si="31"/>
        <v>0</v>
      </c>
      <c r="AO43" s="844">
        <v>0</v>
      </c>
      <c r="AP43" s="844">
        <v>0</v>
      </c>
      <c r="AQ43" s="844">
        <v>0</v>
      </c>
      <c r="AR43" s="844">
        <v>0</v>
      </c>
      <c r="AS43" s="844">
        <v>0</v>
      </c>
      <c r="AT43" s="844">
        <v>0</v>
      </c>
      <c r="AU43" s="844">
        <v>0</v>
      </c>
      <c r="AV43" s="844">
        <v>0</v>
      </c>
      <c r="AW43" s="844">
        <v>0</v>
      </c>
      <c r="AX43" s="844">
        <v>0</v>
      </c>
      <c r="AY43" s="844">
        <v>0</v>
      </c>
      <c r="AZ43" s="844">
        <v>0</v>
      </c>
      <c r="BA43" s="844">
        <v>0</v>
      </c>
      <c r="BB43" s="844">
        <v>1</v>
      </c>
      <c r="BC43" s="844">
        <v>0</v>
      </c>
      <c r="BD43" s="844">
        <v>0</v>
      </c>
      <c r="BE43" s="844">
        <v>0</v>
      </c>
      <c r="BF43" s="844">
        <v>0</v>
      </c>
      <c r="BG43" s="844">
        <v>0</v>
      </c>
      <c r="BH43" s="844">
        <v>0</v>
      </c>
      <c r="BI43" s="844">
        <v>0</v>
      </c>
      <c r="BJ43" s="844">
        <v>0</v>
      </c>
    </row>
    <row r="44" spans="1:62" s="367" customFormat="1" ht="17.25" customHeight="1">
      <c r="A44" s="367">
        <f t="shared" si="19"/>
        <v>40</v>
      </c>
      <c r="B44" s="367">
        <f>tblIndicators!G41</f>
        <v>3</v>
      </c>
      <c r="C44" s="367">
        <f>tblIndicators!C41</f>
        <v>3</v>
      </c>
      <c r="D44" s="367" t="str">
        <f>tblIndicators!AL41</f>
        <v>3.1.2) Gap between female and male access to the internet</v>
      </c>
      <c r="E44" s="367" t="str">
        <f t="shared" si="25"/>
        <v>3.1.2) Gap between female and male access to the internet</v>
      </c>
      <c r="J44" s="367">
        <v>1</v>
      </c>
      <c r="M44" s="635"/>
      <c r="N44" s="635"/>
      <c r="O44" s="635"/>
      <c r="P44" s="635"/>
      <c r="Q44" s="830"/>
      <c r="R44" s="830"/>
      <c r="U44" s="23"/>
      <c r="V44" s="595">
        <f t="shared" si="26"/>
        <v>0</v>
      </c>
      <c r="W44" s="844">
        <v>0</v>
      </c>
      <c r="X44" s="844">
        <v>0</v>
      </c>
      <c r="Y44" s="844">
        <v>0</v>
      </c>
      <c r="Z44" s="844">
        <v>0</v>
      </c>
      <c r="AA44" s="844">
        <v>0</v>
      </c>
      <c r="AC44" s="89"/>
      <c r="AE44" s="613">
        <f t="shared" si="23"/>
        <v>0</v>
      </c>
      <c r="AF44" s="844">
        <v>0</v>
      </c>
      <c r="AG44" s="844">
        <v>0</v>
      </c>
      <c r="AH44" s="844">
        <v>0</v>
      </c>
      <c r="AI44" s="844">
        <v>1</v>
      </c>
      <c r="AJ44" s="844">
        <v>0</v>
      </c>
      <c r="AL44" s="89"/>
      <c r="AN44" s="612">
        <f t="shared" si="31"/>
        <v>0</v>
      </c>
      <c r="AO44" s="844">
        <v>0</v>
      </c>
      <c r="AP44" s="844">
        <v>0</v>
      </c>
      <c r="AQ44" s="844">
        <v>0</v>
      </c>
      <c r="AR44" s="844">
        <v>0</v>
      </c>
      <c r="AS44" s="844">
        <v>0</v>
      </c>
      <c r="AT44" s="844">
        <v>0</v>
      </c>
      <c r="AU44" s="844">
        <v>0</v>
      </c>
      <c r="AV44" s="844">
        <v>0</v>
      </c>
      <c r="AW44" s="844">
        <v>0</v>
      </c>
      <c r="AX44" s="844">
        <v>0</v>
      </c>
      <c r="AY44" s="844">
        <v>0</v>
      </c>
      <c r="AZ44" s="844">
        <v>0</v>
      </c>
      <c r="BA44" s="844">
        <v>0</v>
      </c>
      <c r="BB44" s="844">
        <v>1</v>
      </c>
      <c r="BC44" s="844">
        <v>0</v>
      </c>
      <c r="BD44" s="844">
        <v>0</v>
      </c>
      <c r="BE44" s="844">
        <v>0</v>
      </c>
      <c r="BF44" s="844">
        <v>0</v>
      </c>
      <c r="BG44" s="844">
        <v>0</v>
      </c>
      <c r="BH44" s="844">
        <v>0</v>
      </c>
      <c r="BI44" s="844">
        <v>0</v>
      </c>
      <c r="BJ44" s="844">
        <v>0</v>
      </c>
    </row>
    <row r="45" spans="1:62" s="367" customFormat="1" ht="17.25" customHeight="1">
      <c r="A45" s="367">
        <f t="shared" si="19"/>
        <v>41</v>
      </c>
      <c r="B45" s="367">
        <f>tblIndicators!G42</f>
        <v>3</v>
      </c>
      <c r="C45" s="367">
        <f>tblIndicators!C42</f>
        <v>3</v>
      </c>
      <c r="D45" s="367" t="str">
        <f>tblIndicators!AL42</f>
        <v>3.1.3) Digital skills</v>
      </c>
      <c r="E45" s="367" t="str">
        <f t="shared" si="25"/>
        <v>3.1.3) Digital skills</v>
      </c>
      <c r="J45" s="367">
        <v>1</v>
      </c>
      <c r="M45" s="635"/>
      <c r="N45" s="635"/>
      <c r="O45" s="635"/>
      <c r="P45" s="635"/>
      <c r="Q45" s="830"/>
      <c r="R45" s="830"/>
      <c r="U45" s="23"/>
      <c r="V45" s="595">
        <f t="shared" si="26"/>
        <v>0</v>
      </c>
      <c r="W45" s="844">
        <v>0</v>
      </c>
      <c r="X45" s="844">
        <v>0</v>
      </c>
      <c r="Y45" s="844">
        <v>0</v>
      </c>
      <c r="Z45" s="844">
        <v>0</v>
      </c>
      <c r="AA45" s="844">
        <v>0</v>
      </c>
      <c r="AC45" s="89"/>
      <c r="AE45" s="613">
        <f t="shared" si="23"/>
        <v>0</v>
      </c>
      <c r="AF45" s="844">
        <v>0</v>
      </c>
      <c r="AG45" s="844">
        <v>0</v>
      </c>
      <c r="AH45" s="844">
        <v>0</v>
      </c>
      <c r="AI45" s="844">
        <v>1</v>
      </c>
      <c r="AJ45" s="844">
        <v>0</v>
      </c>
      <c r="AL45" s="89"/>
      <c r="AN45" s="612">
        <f t="shared" si="31"/>
        <v>0</v>
      </c>
      <c r="AO45" s="844">
        <v>0</v>
      </c>
      <c r="AP45" s="844">
        <v>0</v>
      </c>
      <c r="AQ45" s="844">
        <v>0</v>
      </c>
      <c r="AR45" s="844">
        <v>0</v>
      </c>
      <c r="AS45" s="844">
        <v>0</v>
      </c>
      <c r="AT45" s="844">
        <v>0</v>
      </c>
      <c r="AU45" s="844">
        <v>0</v>
      </c>
      <c r="AV45" s="844">
        <v>0</v>
      </c>
      <c r="AW45" s="844">
        <v>0</v>
      </c>
      <c r="AX45" s="844">
        <v>0</v>
      </c>
      <c r="AY45" s="844">
        <v>0</v>
      </c>
      <c r="AZ45" s="844">
        <v>0</v>
      </c>
      <c r="BA45" s="844">
        <v>0</v>
      </c>
      <c r="BB45" s="844">
        <v>1</v>
      </c>
      <c r="BC45" s="844">
        <v>0</v>
      </c>
      <c r="BD45" s="844">
        <v>0</v>
      </c>
      <c r="BE45" s="844">
        <v>0</v>
      </c>
      <c r="BF45" s="844">
        <v>0</v>
      </c>
      <c r="BG45" s="844">
        <v>0</v>
      </c>
      <c r="BH45" s="844">
        <v>0</v>
      </c>
      <c r="BI45" s="844">
        <v>0</v>
      </c>
      <c r="BJ45" s="844">
        <v>0</v>
      </c>
    </row>
    <row r="46" spans="1:62" s="367" customFormat="1" ht="17.25" customHeight="1">
      <c r="A46" s="367">
        <f t="shared" si="19"/>
        <v>42</v>
      </c>
      <c r="B46" s="367">
        <f>tblIndicators!G43</f>
        <v>2</v>
      </c>
      <c r="C46" s="367">
        <f>tblIndicators!C43</f>
        <v>3</v>
      </c>
      <c r="D46" s="367" t="str">
        <f>tblIndicators!AL43</f>
        <v>3.2) Government support</v>
      </c>
      <c r="E46" s="367" t="str">
        <f t="shared" si="25"/>
        <v>3.2) Government support</v>
      </c>
      <c r="J46" s="367">
        <v>1</v>
      </c>
      <c r="M46" s="635"/>
      <c r="N46" s="635"/>
      <c r="O46" s="635"/>
      <c r="P46" s="635"/>
      <c r="Q46" s="830"/>
      <c r="R46" s="830"/>
      <c r="U46" s="23"/>
      <c r="V46" s="595">
        <f t="shared" si="26"/>
        <v>0</v>
      </c>
      <c r="W46" s="844">
        <v>0</v>
      </c>
      <c r="X46" s="844">
        <v>0</v>
      </c>
      <c r="Y46" s="844">
        <v>0</v>
      </c>
      <c r="Z46" s="844">
        <v>1</v>
      </c>
      <c r="AA46" s="844">
        <v>0</v>
      </c>
      <c r="AC46" s="89"/>
      <c r="AE46" s="595">
        <f t="shared" si="23"/>
        <v>1</v>
      </c>
      <c r="AF46" s="844">
        <v>1</v>
      </c>
      <c r="AG46" s="844">
        <v>0</v>
      </c>
      <c r="AH46" s="844">
        <v>0</v>
      </c>
      <c r="AI46" s="844">
        <v>1</v>
      </c>
      <c r="AJ46" s="844">
        <v>0</v>
      </c>
      <c r="AL46" s="89"/>
      <c r="AN46" s="612">
        <f t="shared" si="31"/>
        <v>0</v>
      </c>
      <c r="AO46" s="844">
        <v>0</v>
      </c>
      <c r="AP46" s="844">
        <v>0</v>
      </c>
      <c r="AQ46" s="844">
        <v>0</v>
      </c>
      <c r="AR46" s="844">
        <v>0</v>
      </c>
      <c r="AS46" s="844">
        <v>0</v>
      </c>
      <c r="AT46" s="844">
        <v>0</v>
      </c>
      <c r="AU46" s="844">
        <v>0</v>
      </c>
      <c r="AV46" s="844">
        <v>0</v>
      </c>
      <c r="AW46" s="844">
        <v>0</v>
      </c>
      <c r="AX46" s="844">
        <v>0</v>
      </c>
      <c r="AY46" s="844">
        <v>0</v>
      </c>
      <c r="AZ46" s="844">
        <v>0</v>
      </c>
      <c r="BA46" s="844">
        <v>1</v>
      </c>
      <c r="BB46" s="844">
        <v>0</v>
      </c>
      <c r="BC46" s="844">
        <v>1</v>
      </c>
      <c r="BD46" s="844">
        <v>0</v>
      </c>
      <c r="BE46" s="844">
        <v>0</v>
      </c>
      <c r="BF46" s="844">
        <v>0</v>
      </c>
      <c r="BG46" s="844">
        <v>0</v>
      </c>
      <c r="BH46" s="844">
        <v>0</v>
      </c>
      <c r="BI46" s="844">
        <v>0</v>
      </c>
      <c r="BJ46" s="844">
        <v>0</v>
      </c>
    </row>
    <row r="47" spans="1:62" s="367" customFormat="1" ht="17.25" customHeight="1">
      <c r="A47" s="367">
        <f t="shared" si="19"/>
        <v>43</v>
      </c>
      <c r="B47" s="367">
        <f>tblIndicators!G44</f>
        <v>3</v>
      </c>
      <c r="C47" s="367">
        <f>tblIndicators!C44</f>
        <v>3</v>
      </c>
      <c r="D47" s="367" t="str">
        <f>tblIndicators!AL44</f>
        <v>3.2.1) Data protection law</v>
      </c>
      <c r="E47" s="367" t="str">
        <f t="shared" si="25"/>
        <v>3.2.1) Data protection law</v>
      </c>
      <c r="J47" s="367">
        <v>1</v>
      </c>
      <c r="M47" s="635"/>
      <c r="N47" s="635"/>
      <c r="O47" s="635"/>
      <c r="P47" s="635"/>
      <c r="Q47" s="830"/>
      <c r="R47" s="830"/>
      <c r="U47" s="23"/>
      <c r="V47" s="595">
        <f t="shared" si="26"/>
        <v>0</v>
      </c>
      <c r="W47" s="844">
        <v>0</v>
      </c>
      <c r="X47" s="844">
        <v>0</v>
      </c>
      <c r="Y47" s="844">
        <v>0</v>
      </c>
      <c r="Z47" s="844">
        <v>0</v>
      </c>
      <c r="AA47" s="844">
        <v>0</v>
      </c>
      <c r="AC47" s="89"/>
      <c r="AE47" s="595">
        <f t="shared" si="23"/>
        <v>0</v>
      </c>
      <c r="AF47" s="844">
        <v>0</v>
      </c>
      <c r="AG47" s="844">
        <v>0</v>
      </c>
      <c r="AH47" s="844">
        <v>0</v>
      </c>
      <c r="AI47" s="844">
        <v>1</v>
      </c>
      <c r="AJ47" s="844">
        <v>0</v>
      </c>
      <c r="AL47" s="89"/>
      <c r="AN47" s="612">
        <f t="shared" si="31"/>
        <v>0</v>
      </c>
      <c r="AO47" s="844">
        <v>0</v>
      </c>
      <c r="AP47" s="844">
        <v>0</v>
      </c>
      <c r="AQ47" s="844">
        <v>0</v>
      </c>
      <c r="AR47" s="844">
        <v>0</v>
      </c>
      <c r="AS47" s="844">
        <v>0</v>
      </c>
      <c r="AT47" s="844">
        <v>0</v>
      </c>
      <c r="AU47" s="844">
        <v>0</v>
      </c>
      <c r="AV47" s="844">
        <v>0</v>
      </c>
      <c r="AW47" s="844">
        <v>0</v>
      </c>
      <c r="AX47" s="844">
        <v>0</v>
      </c>
      <c r="AY47" s="844">
        <v>0</v>
      </c>
      <c r="AZ47" s="844">
        <v>0</v>
      </c>
      <c r="BA47" s="844">
        <v>0</v>
      </c>
      <c r="BB47" s="844">
        <v>0</v>
      </c>
      <c r="BC47" s="844">
        <v>1</v>
      </c>
      <c r="BD47" s="844">
        <v>0</v>
      </c>
      <c r="BE47" s="844">
        <v>0</v>
      </c>
      <c r="BF47" s="844">
        <v>0</v>
      </c>
      <c r="BG47" s="844">
        <v>0</v>
      </c>
      <c r="BH47" s="844">
        <v>0</v>
      </c>
      <c r="BI47" s="844">
        <v>0</v>
      </c>
      <c r="BJ47" s="844">
        <v>0</v>
      </c>
    </row>
    <row r="48" spans="1:62" s="367" customFormat="1" ht="17.25" customHeight="1">
      <c r="A48" s="367">
        <f t="shared" si="19"/>
        <v>44</v>
      </c>
      <c r="B48" s="367">
        <f>tblIndicators!G45</f>
        <v>3</v>
      </c>
      <c r="C48" s="367">
        <f>tblIndicators!C45</f>
        <v>3</v>
      </c>
      <c r="D48" s="367" t="str">
        <f>tblIndicators!AL45</f>
        <v>3.2.2) Cyber security preparedness</v>
      </c>
      <c r="E48" s="367" t="str">
        <f t="shared" si="25"/>
        <v>3.2.2) Cyber security preparedness</v>
      </c>
      <c r="J48" s="367">
        <v>1</v>
      </c>
      <c r="M48" s="635"/>
      <c r="N48" s="635"/>
      <c r="O48" s="635"/>
      <c r="P48" s="635"/>
      <c r="Q48" s="830"/>
      <c r="R48" s="830"/>
      <c r="U48" s="23"/>
      <c r="V48" s="595">
        <f t="shared" si="26"/>
        <v>0</v>
      </c>
      <c r="W48" s="844">
        <v>0</v>
      </c>
      <c r="X48" s="844">
        <v>0</v>
      </c>
      <c r="Y48" s="844">
        <v>0</v>
      </c>
      <c r="Z48" s="844">
        <v>0</v>
      </c>
      <c r="AA48" s="844">
        <v>0</v>
      </c>
      <c r="AC48" s="89"/>
      <c r="AE48" s="595">
        <f t="shared" si="23"/>
        <v>0</v>
      </c>
      <c r="AF48" s="844">
        <v>0</v>
      </c>
      <c r="AG48" s="844">
        <v>0</v>
      </c>
      <c r="AH48" s="844">
        <v>0</v>
      </c>
      <c r="AI48" s="844">
        <v>1</v>
      </c>
      <c r="AJ48" s="844">
        <v>0</v>
      </c>
      <c r="AL48" s="89"/>
      <c r="AN48" s="612">
        <f t="shared" si="31"/>
        <v>0</v>
      </c>
      <c r="AO48" s="844">
        <v>0</v>
      </c>
      <c r="AP48" s="844">
        <v>0</v>
      </c>
      <c r="AQ48" s="844">
        <v>0</v>
      </c>
      <c r="AR48" s="844">
        <v>0</v>
      </c>
      <c r="AS48" s="844">
        <v>0</v>
      </c>
      <c r="AT48" s="844">
        <v>0</v>
      </c>
      <c r="AU48" s="844">
        <v>0</v>
      </c>
      <c r="AV48" s="844">
        <v>0</v>
      </c>
      <c r="AW48" s="844">
        <v>0</v>
      </c>
      <c r="AX48" s="844">
        <v>0</v>
      </c>
      <c r="AY48" s="844">
        <v>0</v>
      </c>
      <c r="AZ48" s="844">
        <v>0</v>
      </c>
      <c r="BA48" s="844">
        <v>0</v>
      </c>
      <c r="BB48" s="844">
        <v>0</v>
      </c>
      <c r="BC48" s="844">
        <v>1</v>
      </c>
      <c r="BD48" s="844">
        <v>0</v>
      </c>
      <c r="BE48" s="844">
        <v>0</v>
      </c>
      <c r="BF48" s="844">
        <v>0</v>
      </c>
      <c r="BG48" s="844">
        <v>0</v>
      </c>
      <c r="BH48" s="844">
        <v>0</v>
      </c>
      <c r="BI48" s="844">
        <v>0</v>
      </c>
      <c r="BJ48" s="844">
        <v>0</v>
      </c>
    </row>
    <row r="49" spans="1:62" s="367" customFormat="1" ht="17.25" customHeight="1">
      <c r="A49" s="367">
        <f t="shared" si="19"/>
        <v>45</v>
      </c>
      <c r="B49" s="367">
        <f>tblIndicators!G46</f>
        <v>3</v>
      </c>
      <c r="C49" s="367">
        <f>tblIndicators!C46</f>
        <v>3</v>
      </c>
      <c r="D49" s="367" t="str">
        <f>tblIndicators!AL46</f>
        <v>3.2.3) Cyber security risk awareness</v>
      </c>
      <c r="E49" s="367" t="str">
        <f t="shared" si="25"/>
        <v>3.2.3) Cyber security risk awareness</v>
      </c>
      <c r="J49" s="367">
        <v>1</v>
      </c>
      <c r="M49" s="635"/>
      <c r="N49" s="635"/>
      <c r="O49" s="635"/>
      <c r="P49" s="635"/>
      <c r="Q49" s="830"/>
      <c r="R49" s="830"/>
      <c r="U49" s="23"/>
      <c r="V49" s="595">
        <f t="shared" si="26"/>
        <v>0</v>
      </c>
      <c r="W49" s="844">
        <v>0</v>
      </c>
      <c r="X49" s="844">
        <v>0</v>
      </c>
      <c r="Y49" s="844">
        <v>0</v>
      </c>
      <c r="Z49" s="844">
        <v>0</v>
      </c>
      <c r="AA49" s="844">
        <v>0</v>
      </c>
      <c r="AC49" s="89"/>
      <c r="AE49" s="595">
        <f t="shared" si="23"/>
        <v>0</v>
      </c>
      <c r="AF49" s="844">
        <v>0</v>
      </c>
      <c r="AG49" s="844">
        <v>0</v>
      </c>
      <c r="AH49" s="844">
        <v>0</v>
      </c>
      <c r="AI49" s="844">
        <v>1</v>
      </c>
      <c r="AJ49" s="844">
        <v>0</v>
      </c>
      <c r="AL49" s="89"/>
      <c r="AN49" s="612">
        <f t="shared" si="31"/>
        <v>0</v>
      </c>
      <c r="AO49" s="844">
        <v>0</v>
      </c>
      <c r="AP49" s="844">
        <v>0</v>
      </c>
      <c r="AQ49" s="844">
        <v>0</v>
      </c>
      <c r="AR49" s="844">
        <v>0</v>
      </c>
      <c r="AS49" s="844">
        <v>0</v>
      </c>
      <c r="AT49" s="844">
        <v>0</v>
      </c>
      <c r="AU49" s="844">
        <v>0</v>
      </c>
      <c r="AV49" s="844">
        <v>0</v>
      </c>
      <c r="AW49" s="844">
        <v>0</v>
      </c>
      <c r="AX49" s="844">
        <v>0</v>
      </c>
      <c r="AY49" s="844">
        <v>0</v>
      </c>
      <c r="AZ49" s="844">
        <v>0</v>
      </c>
      <c r="BA49" s="844">
        <v>0</v>
      </c>
      <c r="BB49" s="844">
        <v>0</v>
      </c>
      <c r="BC49" s="844">
        <v>1</v>
      </c>
      <c r="BD49" s="844">
        <v>0</v>
      </c>
      <c r="BE49" s="844">
        <v>0</v>
      </c>
      <c r="BF49" s="844">
        <v>0</v>
      </c>
      <c r="BG49" s="844">
        <v>0</v>
      </c>
      <c r="BH49" s="844">
        <v>0</v>
      </c>
      <c r="BI49" s="844">
        <v>0</v>
      </c>
      <c r="BJ49" s="844">
        <v>0</v>
      </c>
    </row>
    <row r="50" spans="1:62" s="367" customFormat="1" ht="17.25" customHeight="1">
      <c r="A50" s="367">
        <f t="shared" si="19"/>
        <v>46</v>
      </c>
      <c r="B50" s="367">
        <f>tblIndicators!G47</f>
        <v>3</v>
      </c>
      <c r="C50" s="367">
        <f>tblIndicators!C47</f>
        <v>3</v>
      </c>
      <c r="D50" s="367" t="str">
        <f>tblIndicators!AL47</f>
        <v>3.2.4) Open data access and use</v>
      </c>
      <c r="E50" s="367" t="str">
        <f t="shared" si="25"/>
        <v>3.2.4) Open data access and use</v>
      </c>
      <c r="J50" s="367">
        <v>1</v>
      </c>
      <c r="M50" s="635"/>
      <c r="N50" s="635"/>
      <c r="O50" s="635"/>
      <c r="P50" s="635"/>
      <c r="Q50" s="830"/>
      <c r="R50" s="830"/>
      <c r="U50" s="23"/>
      <c r="V50" s="595">
        <f t="shared" si="26"/>
        <v>0</v>
      </c>
      <c r="W50" s="844">
        <v>0</v>
      </c>
      <c r="X50" s="844">
        <v>0</v>
      </c>
      <c r="Y50" s="844">
        <v>0</v>
      </c>
      <c r="Z50" s="844">
        <v>0</v>
      </c>
      <c r="AA50" s="844">
        <v>0</v>
      </c>
      <c r="AC50" s="89"/>
      <c r="AE50" s="595">
        <f t="shared" si="23"/>
        <v>0</v>
      </c>
      <c r="AF50" s="844">
        <v>0</v>
      </c>
      <c r="AG50" s="844">
        <v>0</v>
      </c>
      <c r="AH50" s="844">
        <v>0</v>
      </c>
      <c r="AI50" s="844">
        <v>1</v>
      </c>
      <c r="AJ50" s="844">
        <v>0</v>
      </c>
      <c r="AL50" s="89"/>
      <c r="AN50" s="612">
        <f t="shared" si="31"/>
        <v>0</v>
      </c>
      <c r="AO50" s="844">
        <v>0</v>
      </c>
      <c r="AP50" s="844">
        <v>0</v>
      </c>
      <c r="AQ50" s="844">
        <v>0</v>
      </c>
      <c r="AR50" s="844">
        <v>0</v>
      </c>
      <c r="AS50" s="844">
        <v>0</v>
      </c>
      <c r="AT50" s="844">
        <v>0</v>
      </c>
      <c r="AU50" s="844">
        <v>0</v>
      </c>
      <c r="AV50" s="844">
        <v>0</v>
      </c>
      <c r="AW50" s="844">
        <v>0</v>
      </c>
      <c r="AX50" s="844">
        <v>0</v>
      </c>
      <c r="AY50" s="844">
        <v>0</v>
      </c>
      <c r="AZ50" s="844">
        <v>0</v>
      </c>
      <c r="BA50" s="844">
        <v>0</v>
      </c>
      <c r="BB50" s="844">
        <v>0</v>
      </c>
      <c r="BC50" s="844">
        <v>1</v>
      </c>
      <c r="BD50" s="844">
        <v>0</v>
      </c>
      <c r="BE50" s="844">
        <v>0</v>
      </c>
      <c r="BF50" s="844">
        <v>0</v>
      </c>
      <c r="BG50" s="844">
        <v>0</v>
      </c>
      <c r="BH50" s="844">
        <v>0</v>
      </c>
      <c r="BI50" s="844">
        <v>0</v>
      </c>
      <c r="BJ50" s="844">
        <v>0</v>
      </c>
    </row>
    <row r="51" spans="1:62" s="367" customFormat="1" ht="17.25" customHeight="1">
      <c r="A51" s="367">
        <f t="shared" si="19"/>
        <v>47</v>
      </c>
      <c r="B51" s="367">
        <f>tblIndicators!G48</f>
        <v>3</v>
      </c>
      <c r="C51" s="367">
        <f>tblIndicators!C48</f>
        <v>3</v>
      </c>
      <c r="D51" s="367" t="str">
        <f>tblIndicators!AL48</f>
        <v>3.2.5) Internet freedom</v>
      </c>
      <c r="E51" s="367" t="str">
        <f t="shared" ref="E51" si="32">D51</f>
        <v>3.2.5) Internet freedom</v>
      </c>
      <c r="J51" s="367">
        <v>1</v>
      </c>
      <c r="M51" s="1087"/>
      <c r="N51" s="1087"/>
      <c r="O51" s="1087"/>
      <c r="P51" s="1087"/>
      <c r="Q51" s="1087"/>
      <c r="R51" s="1087"/>
      <c r="U51" s="23"/>
      <c r="V51" s="1087">
        <f t="shared" ref="V51" si="33">INDEX(W51:AA51,$V$4)</f>
        <v>0</v>
      </c>
      <c r="W51" s="1087">
        <v>0</v>
      </c>
      <c r="X51" s="1087">
        <v>0</v>
      </c>
      <c r="Y51" s="1087">
        <v>0</v>
      </c>
      <c r="Z51" s="1087">
        <v>0</v>
      </c>
      <c r="AA51" s="1087">
        <v>0</v>
      </c>
      <c r="AC51" s="89"/>
      <c r="AE51" s="1087">
        <f t="shared" ref="AE51" si="34">INDEX(AF51:AJ51,$AE$4)</f>
        <v>0</v>
      </c>
      <c r="AF51" s="1087">
        <v>0</v>
      </c>
      <c r="AG51" s="1087">
        <v>0</v>
      </c>
      <c r="AH51" s="1087">
        <v>0</v>
      </c>
      <c r="AI51" s="1087">
        <v>1</v>
      </c>
      <c r="AJ51" s="1087">
        <v>0</v>
      </c>
      <c r="AL51" s="89"/>
      <c r="AN51" s="1087">
        <f t="shared" ref="AN51" si="35">INDEX(AO51:BJ51,$AN$4)</f>
        <v>0</v>
      </c>
      <c r="AO51" s="1087">
        <v>0</v>
      </c>
      <c r="AP51" s="1087">
        <v>0</v>
      </c>
      <c r="AQ51" s="1087">
        <v>0</v>
      </c>
      <c r="AR51" s="1087">
        <v>0</v>
      </c>
      <c r="AS51" s="1087">
        <v>0</v>
      </c>
      <c r="AT51" s="1087">
        <v>0</v>
      </c>
      <c r="AU51" s="1087">
        <v>0</v>
      </c>
      <c r="AV51" s="1087">
        <v>0</v>
      </c>
      <c r="AW51" s="1087">
        <v>0</v>
      </c>
      <c r="AX51" s="1087">
        <v>0</v>
      </c>
      <c r="AY51" s="1087">
        <v>0</v>
      </c>
      <c r="AZ51" s="1087">
        <v>0</v>
      </c>
      <c r="BA51" s="1087">
        <v>0</v>
      </c>
      <c r="BB51" s="1087">
        <v>0</v>
      </c>
      <c r="BC51" s="1087">
        <v>1</v>
      </c>
      <c r="BD51" s="1087">
        <v>0</v>
      </c>
      <c r="BE51" s="1087">
        <v>0</v>
      </c>
      <c r="BF51" s="1087">
        <v>0</v>
      </c>
      <c r="BG51" s="1087">
        <v>0</v>
      </c>
      <c r="BH51" s="1087">
        <v>0</v>
      </c>
      <c r="BI51" s="1087">
        <v>0</v>
      </c>
      <c r="BJ51" s="1087">
        <v>0</v>
      </c>
    </row>
    <row r="52" spans="1:62" s="367" customFormat="1" ht="17.25" customHeight="1">
      <c r="A52" s="367">
        <f t="shared" si="19"/>
        <v>48</v>
      </c>
      <c r="B52" s="367">
        <f>tblIndicators!G49</f>
        <v>2</v>
      </c>
      <c r="C52" s="367">
        <f>tblIndicators!C49</f>
        <v>3</v>
      </c>
      <c r="D52" s="367" t="str">
        <f>tblIndicators!AL49</f>
        <v>3.3) Innovation ecosystem</v>
      </c>
      <c r="E52" s="367" t="str">
        <f t="shared" si="25"/>
        <v>3.3) Innovation ecosystem</v>
      </c>
      <c r="J52" s="367">
        <v>1</v>
      </c>
      <c r="M52" s="635"/>
      <c r="N52" s="635"/>
      <c r="O52" s="635"/>
      <c r="P52" s="635"/>
      <c r="Q52" s="830"/>
      <c r="R52" s="830"/>
      <c r="U52" s="23"/>
      <c r="V52" s="595">
        <f t="shared" si="26"/>
        <v>0</v>
      </c>
      <c r="W52" s="844">
        <v>0</v>
      </c>
      <c r="X52" s="844">
        <v>0</v>
      </c>
      <c r="Y52" s="844">
        <v>0</v>
      </c>
      <c r="Z52" s="844">
        <v>1</v>
      </c>
      <c r="AA52" s="844">
        <v>0</v>
      </c>
      <c r="AC52" s="89"/>
      <c r="AE52" s="595">
        <f t="shared" si="23"/>
        <v>1</v>
      </c>
      <c r="AF52" s="844">
        <v>1</v>
      </c>
      <c r="AG52" s="844">
        <v>0</v>
      </c>
      <c r="AH52" s="844">
        <v>0</v>
      </c>
      <c r="AI52" s="844">
        <v>1</v>
      </c>
      <c r="AJ52" s="844">
        <v>0</v>
      </c>
      <c r="AL52" s="89"/>
      <c r="AN52" s="612">
        <f t="shared" si="31"/>
        <v>0</v>
      </c>
      <c r="AO52" s="844">
        <v>0</v>
      </c>
      <c r="AP52" s="844">
        <v>0</v>
      </c>
      <c r="AQ52" s="844">
        <v>0</v>
      </c>
      <c r="AR52" s="844">
        <v>0</v>
      </c>
      <c r="AS52" s="844">
        <v>0</v>
      </c>
      <c r="AT52" s="844">
        <v>0</v>
      </c>
      <c r="AU52" s="844">
        <v>0</v>
      </c>
      <c r="AV52" s="844">
        <v>0</v>
      </c>
      <c r="AW52" s="844">
        <v>0</v>
      </c>
      <c r="AX52" s="844">
        <v>0</v>
      </c>
      <c r="AY52" s="844">
        <v>0</v>
      </c>
      <c r="AZ52" s="844">
        <v>0</v>
      </c>
      <c r="BA52" s="844">
        <v>1</v>
      </c>
      <c r="BB52" s="844">
        <v>0</v>
      </c>
      <c r="BC52" s="844">
        <v>0</v>
      </c>
      <c r="BD52" s="844">
        <v>1</v>
      </c>
      <c r="BE52" s="844">
        <v>0</v>
      </c>
      <c r="BF52" s="844">
        <v>0</v>
      </c>
      <c r="BG52" s="844">
        <v>0</v>
      </c>
      <c r="BH52" s="844">
        <v>0</v>
      </c>
      <c r="BI52" s="844">
        <v>0</v>
      </c>
      <c r="BJ52" s="844">
        <v>0</v>
      </c>
    </row>
    <row r="53" spans="1:62" s="367" customFormat="1" ht="17.25" customHeight="1">
      <c r="A53" s="367">
        <f t="shared" si="19"/>
        <v>49</v>
      </c>
      <c r="B53" s="367">
        <f>tblIndicators!G50</f>
        <v>3</v>
      </c>
      <c r="C53" s="367">
        <f>tblIndicators!C50</f>
        <v>3</v>
      </c>
      <c r="D53" s="367" t="str">
        <f>tblIndicators!AL50</f>
        <v>3.3.1) AI readiness of government</v>
      </c>
      <c r="E53" s="367" t="str">
        <f t="shared" si="25"/>
        <v>3.3.1) AI readiness of government</v>
      </c>
      <c r="J53" s="367">
        <v>1</v>
      </c>
      <c r="M53" s="635"/>
      <c r="N53" s="635"/>
      <c r="O53" s="635"/>
      <c r="P53" s="635"/>
      <c r="Q53" s="830"/>
      <c r="R53" s="830"/>
      <c r="U53" s="23"/>
      <c r="V53" s="595">
        <f t="shared" si="26"/>
        <v>0</v>
      </c>
      <c r="W53" s="844">
        <v>0</v>
      </c>
      <c r="X53" s="844">
        <v>0</v>
      </c>
      <c r="Y53" s="844">
        <v>0</v>
      </c>
      <c r="Z53" s="844">
        <v>0</v>
      </c>
      <c r="AA53" s="844">
        <v>0</v>
      </c>
      <c r="AC53" s="89"/>
      <c r="AE53" s="595">
        <f t="shared" si="23"/>
        <v>0</v>
      </c>
      <c r="AF53" s="844">
        <v>0</v>
      </c>
      <c r="AG53" s="844">
        <v>0</v>
      </c>
      <c r="AH53" s="844">
        <v>0</v>
      </c>
      <c r="AI53" s="844">
        <v>1</v>
      </c>
      <c r="AJ53" s="844">
        <v>0</v>
      </c>
      <c r="AL53" s="89"/>
      <c r="AN53" s="612">
        <f t="shared" si="31"/>
        <v>0</v>
      </c>
      <c r="AO53" s="844">
        <v>0</v>
      </c>
      <c r="AP53" s="844">
        <v>0</v>
      </c>
      <c r="AQ53" s="844">
        <v>0</v>
      </c>
      <c r="AR53" s="844">
        <v>0</v>
      </c>
      <c r="AS53" s="844">
        <v>0</v>
      </c>
      <c r="AT53" s="844">
        <v>0</v>
      </c>
      <c r="AU53" s="844">
        <v>0</v>
      </c>
      <c r="AV53" s="844">
        <v>0</v>
      </c>
      <c r="AW53" s="844">
        <v>0</v>
      </c>
      <c r="AX53" s="844">
        <v>0</v>
      </c>
      <c r="AY53" s="844">
        <v>0</v>
      </c>
      <c r="AZ53" s="844">
        <v>0</v>
      </c>
      <c r="BA53" s="844">
        <v>0</v>
      </c>
      <c r="BB53" s="844">
        <v>0</v>
      </c>
      <c r="BC53" s="844">
        <v>0</v>
      </c>
      <c r="BD53" s="844">
        <v>1</v>
      </c>
      <c r="BE53" s="844">
        <v>0</v>
      </c>
      <c r="BF53" s="844">
        <v>0</v>
      </c>
      <c r="BG53" s="844">
        <v>0</v>
      </c>
      <c r="BH53" s="844">
        <v>0</v>
      </c>
      <c r="BI53" s="844">
        <v>0</v>
      </c>
      <c r="BJ53" s="844">
        <v>0</v>
      </c>
    </row>
    <row r="54" spans="1:62" s="367" customFormat="1" ht="17.25" customHeight="1">
      <c r="A54" s="367">
        <f t="shared" si="19"/>
        <v>50</v>
      </c>
      <c r="B54" s="367">
        <f>tblIndicators!G51</f>
        <v>3</v>
      </c>
      <c r="C54" s="367">
        <f>tblIndicators!C51</f>
        <v>3</v>
      </c>
      <c r="D54" s="367" t="str">
        <f>tblIndicators!AL51</f>
        <v>3.3.2) Blockchain technology strategy</v>
      </c>
      <c r="E54" s="367" t="str">
        <f t="shared" si="25"/>
        <v>3.3.2) Blockchain technology strategy</v>
      </c>
      <c r="J54" s="367">
        <v>1</v>
      </c>
      <c r="M54" s="635"/>
      <c r="N54" s="635"/>
      <c r="O54" s="635"/>
      <c r="P54" s="635"/>
      <c r="Q54" s="830"/>
      <c r="R54" s="830"/>
      <c r="U54" s="23"/>
      <c r="V54" s="595">
        <f t="shared" si="26"/>
        <v>0</v>
      </c>
      <c r="W54" s="844">
        <v>0</v>
      </c>
      <c r="X54" s="844">
        <v>0</v>
      </c>
      <c r="Y54" s="844">
        <v>0</v>
      </c>
      <c r="Z54" s="844">
        <v>0</v>
      </c>
      <c r="AA54" s="844">
        <v>0</v>
      </c>
      <c r="AC54" s="89"/>
      <c r="AE54" s="595">
        <f t="shared" si="23"/>
        <v>0</v>
      </c>
      <c r="AF54" s="844">
        <v>0</v>
      </c>
      <c r="AG54" s="844">
        <v>0</v>
      </c>
      <c r="AH54" s="844">
        <v>0</v>
      </c>
      <c r="AI54" s="844">
        <v>1</v>
      </c>
      <c r="AJ54" s="844">
        <v>0</v>
      </c>
      <c r="AL54" s="89"/>
      <c r="AN54" s="612">
        <f t="shared" si="31"/>
        <v>0</v>
      </c>
      <c r="AO54" s="844">
        <v>0</v>
      </c>
      <c r="AP54" s="844">
        <v>0</v>
      </c>
      <c r="AQ54" s="844">
        <v>0</v>
      </c>
      <c r="AR54" s="844">
        <v>0</v>
      </c>
      <c r="AS54" s="844">
        <v>0</v>
      </c>
      <c r="AT54" s="844">
        <v>0</v>
      </c>
      <c r="AU54" s="844">
        <v>0</v>
      </c>
      <c r="AV54" s="844">
        <v>0</v>
      </c>
      <c r="AW54" s="844">
        <v>0</v>
      </c>
      <c r="AX54" s="844">
        <v>0</v>
      </c>
      <c r="AY54" s="844">
        <v>0</v>
      </c>
      <c r="AZ54" s="844">
        <v>0</v>
      </c>
      <c r="BA54" s="844">
        <v>0</v>
      </c>
      <c r="BB54" s="844">
        <v>0</v>
      </c>
      <c r="BC54" s="844">
        <v>0</v>
      </c>
      <c r="BD54" s="844">
        <v>1</v>
      </c>
      <c r="BE54" s="844">
        <v>0</v>
      </c>
      <c r="BF54" s="844">
        <v>0</v>
      </c>
      <c r="BG54" s="844">
        <v>0</v>
      </c>
      <c r="BH54" s="844">
        <v>0</v>
      </c>
      <c r="BI54" s="844">
        <v>0</v>
      </c>
      <c r="BJ54" s="844">
        <v>0</v>
      </c>
    </row>
    <row r="55" spans="1:62" s="367" customFormat="1" ht="17.25" customHeight="1">
      <c r="A55" s="367">
        <f t="shared" si="19"/>
        <v>51</v>
      </c>
      <c r="B55" s="367">
        <f>tblIndicators!G52</f>
        <v>3</v>
      </c>
      <c r="C55" s="367">
        <f>tblIndicators!C52</f>
        <v>3</v>
      </c>
      <c r="D55" s="367" t="str">
        <f>tblIndicators!AL52</f>
        <v>3.3.3) Tech startup ecosytem</v>
      </c>
      <c r="E55" s="367" t="str">
        <f t="shared" si="25"/>
        <v>3.3.3) Tech startup ecosytem</v>
      </c>
      <c r="J55" s="367">
        <v>1</v>
      </c>
      <c r="M55" s="635"/>
      <c r="N55" s="635"/>
      <c r="O55" s="635"/>
      <c r="P55" s="635"/>
      <c r="Q55" s="830"/>
      <c r="R55" s="830"/>
      <c r="U55" s="23"/>
      <c r="V55" s="595">
        <f t="shared" si="26"/>
        <v>0</v>
      </c>
      <c r="W55" s="844">
        <v>0</v>
      </c>
      <c r="X55" s="844">
        <v>0</v>
      </c>
      <c r="Y55" s="844">
        <v>0</v>
      </c>
      <c r="Z55" s="844">
        <v>0</v>
      </c>
      <c r="AA55" s="844">
        <v>0</v>
      </c>
      <c r="AC55" s="89"/>
      <c r="AE55" s="595">
        <f t="shared" si="23"/>
        <v>0</v>
      </c>
      <c r="AF55" s="844">
        <v>0</v>
      </c>
      <c r="AG55" s="844">
        <v>0</v>
      </c>
      <c r="AH55" s="844">
        <v>0</v>
      </c>
      <c r="AI55" s="844">
        <v>1</v>
      </c>
      <c r="AJ55" s="844">
        <v>0</v>
      </c>
      <c r="AL55" s="89"/>
      <c r="AN55" s="612">
        <f t="shared" si="31"/>
        <v>0</v>
      </c>
      <c r="AO55" s="844">
        <v>0</v>
      </c>
      <c r="AP55" s="844">
        <v>0</v>
      </c>
      <c r="AQ55" s="844">
        <v>0</v>
      </c>
      <c r="AR55" s="844">
        <v>0</v>
      </c>
      <c r="AS55" s="844">
        <v>0</v>
      </c>
      <c r="AT55" s="844">
        <v>0</v>
      </c>
      <c r="AU55" s="844">
        <v>0</v>
      </c>
      <c r="AV55" s="844">
        <v>0</v>
      </c>
      <c r="AW55" s="844">
        <v>0</v>
      </c>
      <c r="AX55" s="844">
        <v>0</v>
      </c>
      <c r="AY55" s="844">
        <v>0</v>
      </c>
      <c r="AZ55" s="844">
        <v>0</v>
      </c>
      <c r="BA55" s="844">
        <v>0</v>
      </c>
      <c r="BB55" s="844">
        <v>0</v>
      </c>
      <c r="BC55" s="844">
        <v>0</v>
      </c>
      <c r="BD55" s="844">
        <v>1</v>
      </c>
      <c r="BE55" s="844">
        <v>0</v>
      </c>
      <c r="BF55" s="844">
        <v>0</v>
      </c>
      <c r="BG55" s="844">
        <v>0</v>
      </c>
      <c r="BH55" s="844">
        <v>0</v>
      </c>
      <c r="BI55" s="844">
        <v>0</v>
      </c>
      <c r="BJ55" s="844">
        <v>0</v>
      </c>
    </row>
    <row r="56" spans="1:62" s="367" customFormat="1" ht="17.25" customHeight="1">
      <c r="A56" s="367">
        <f t="shared" si="19"/>
        <v>52</v>
      </c>
      <c r="B56" s="367">
        <f>tblIndicators!G53</f>
        <v>3</v>
      </c>
      <c r="C56" s="367">
        <f>tblIndicators!C53</f>
        <v>3</v>
      </c>
      <c r="D56" s="367" t="str">
        <f>tblIndicators!AL53</f>
        <v>3.3.4) Intellectual property rights</v>
      </c>
      <c r="E56" s="367" t="str">
        <f t="shared" si="25"/>
        <v>3.3.4) Intellectual property rights</v>
      </c>
      <c r="J56" s="367">
        <v>1</v>
      </c>
      <c r="M56" s="635"/>
      <c r="N56" s="635"/>
      <c r="O56" s="635"/>
      <c r="P56" s="635"/>
      <c r="Q56" s="830"/>
      <c r="R56" s="830"/>
      <c r="U56" s="23"/>
      <c r="V56" s="595">
        <f t="shared" si="26"/>
        <v>0</v>
      </c>
      <c r="W56" s="844">
        <v>0</v>
      </c>
      <c r="X56" s="844">
        <v>0</v>
      </c>
      <c r="Y56" s="844">
        <v>0</v>
      </c>
      <c r="Z56" s="844">
        <v>0</v>
      </c>
      <c r="AA56" s="844">
        <v>0</v>
      </c>
      <c r="AC56" s="89"/>
      <c r="AE56" s="595">
        <f t="shared" si="23"/>
        <v>0</v>
      </c>
      <c r="AF56" s="844">
        <v>0</v>
      </c>
      <c r="AG56" s="844">
        <v>0</v>
      </c>
      <c r="AH56" s="844">
        <v>0</v>
      </c>
      <c r="AI56" s="844">
        <v>1</v>
      </c>
      <c r="AJ56" s="844">
        <v>0</v>
      </c>
      <c r="AL56" s="89"/>
      <c r="AN56" s="612">
        <f t="shared" si="31"/>
        <v>0</v>
      </c>
      <c r="AO56" s="844">
        <v>0</v>
      </c>
      <c r="AP56" s="844">
        <v>0</v>
      </c>
      <c r="AQ56" s="844">
        <v>0</v>
      </c>
      <c r="AR56" s="844">
        <v>0</v>
      </c>
      <c r="AS56" s="844">
        <v>0</v>
      </c>
      <c r="AT56" s="844">
        <v>0</v>
      </c>
      <c r="AU56" s="844">
        <v>0</v>
      </c>
      <c r="AV56" s="844">
        <v>0</v>
      </c>
      <c r="AW56" s="844">
        <v>0</v>
      </c>
      <c r="AX56" s="844">
        <v>0</v>
      </c>
      <c r="AY56" s="844">
        <v>0</v>
      </c>
      <c r="AZ56" s="844">
        <v>0</v>
      </c>
      <c r="BA56" s="844">
        <v>0</v>
      </c>
      <c r="BB56" s="844">
        <v>0</v>
      </c>
      <c r="BC56" s="844">
        <v>0</v>
      </c>
      <c r="BD56" s="844">
        <v>1</v>
      </c>
      <c r="BE56" s="844">
        <v>0</v>
      </c>
      <c r="BF56" s="844">
        <v>0</v>
      </c>
      <c r="BG56" s="844">
        <v>0</v>
      </c>
      <c r="BH56" s="844">
        <v>0</v>
      </c>
      <c r="BI56" s="844">
        <v>0</v>
      </c>
      <c r="BJ56" s="844">
        <v>0</v>
      </c>
    </row>
    <row r="57" spans="1:62" s="367" customFormat="1" ht="17.25" customHeight="1">
      <c r="A57" s="367">
        <f t="shared" si="19"/>
        <v>53</v>
      </c>
      <c r="B57" s="367">
        <f>tblIndicators!G54</f>
        <v>3</v>
      </c>
      <c r="C57" s="367">
        <f>tblIndicators!C54</f>
        <v>3</v>
      </c>
      <c r="D57" s="367" t="str">
        <f>tblIndicators!AL54</f>
        <v>3.3.5) Business environment</v>
      </c>
      <c r="E57" s="367" t="str">
        <f t="shared" ref="E57" si="36">D57</f>
        <v>3.3.5) Business environment</v>
      </c>
      <c r="J57" s="367">
        <v>1</v>
      </c>
      <c r="M57" s="1087"/>
      <c r="N57" s="1087"/>
      <c r="O57" s="1087"/>
      <c r="P57" s="1087"/>
      <c r="Q57" s="1087"/>
      <c r="R57" s="1087"/>
      <c r="U57" s="23"/>
      <c r="V57" s="1087">
        <f t="shared" ref="V57" si="37">INDEX(W57:AA57,$V$4)</f>
        <v>0</v>
      </c>
      <c r="W57" s="1087">
        <v>0</v>
      </c>
      <c r="X57" s="1087">
        <v>0</v>
      </c>
      <c r="Y57" s="1087">
        <v>0</v>
      </c>
      <c r="Z57" s="1087">
        <v>0</v>
      </c>
      <c r="AA57" s="1087">
        <v>0</v>
      </c>
      <c r="AC57" s="89"/>
      <c r="AE57" s="1087">
        <f t="shared" ref="AE57" si="38">INDEX(AF57:AJ57,$AE$4)</f>
        <v>0</v>
      </c>
      <c r="AF57" s="1087">
        <v>0</v>
      </c>
      <c r="AG57" s="1087">
        <v>0</v>
      </c>
      <c r="AH57" s="1087">
        <v>0</v>
      </c>
      <c r="AI57" s="1087">
        <v>1</v>
      </c>
      <c r="AJ57" s="1087">
        <v>0</v>
      </c>
      <c r="AL57" s="89"/>
      <c r="AN57" s="1087">
        <f t="shared" ref="AN57" si="39">INDEX(AO57:BJ57,$AN$4)</f>
        <v>0</v>
      </c>
      <c r="AO57" s="1087">
        <v>0</v>
      </c>
      <c r="AP57" s="1087">
        <v>0</v>
      </c>
      <c r="AQ57" s="1087">
        <v>0</v>
      </c>
      <c r="AR57" s="1087">
        <v>0</v>
      </c>
      <c r="AS57" s="1087">
        <v>0</v>
      </c>
      <c r="AT57" s="1087">
        <v>0</v>
      </c>
      <c r="AU57" s="1087">
        <v>0</v>
      </c>
      <c r="AV57" s="1087">
        <v>0</v>
      </c>
      <c r="AW57" s="1087">
        <v>0</v>
      </c>
      <c r="AX57" s="1087">
        <v>0</v>
      </c>
      <c r="AY57" s="1087">
        <v>0</v>
      </c>
      <c r="AZ57" s="1087">
        <v>0</v>
      </c>
      <c r="BA57" s="1087">
        <v>0</v>
      </c>
      <c r="BB57" s="1087">
        <v>0</v>
      </c>
      <c r="BC57" s="1087">
        <v>0</v>
      </c>
      <c r="BD57" s="1087">
        <v>1</v>
      </c>
      <c r="BE57" s="1087">
        <v>0</v>
      </c>
      <c r="BF57" s="1087">
        <v>0</v>
      </c>
      <c r="BG57" s="1087">
        <v>0</v>
      </c>
      <c r="BH57" s="1087">
        <v>0</v>
      </c>
      <c r="BI57" s="1087">
        <v>0</v>
      </c>
      <c r="BJ57" s="1087">
        <v>0</v>
      </c>
    </row>
    <row r="58" spans="1:62" s="367" customFormat="1" ht="17.25" customHeight="1">
      <c r="A58" s="367">
        <f t="shared" si="19"/>
        <v>54</v>
      </c>
      <c r="B58" s="367">
        <f>tblIndicators!G55</f>
        <v>2</v>
      </c>
      <c r="C58" s="367">
        <f>tblIndicators!C55</f>
        <v>3</v>
      </c>
      <c r="D58" s="367" t="str">
        <f>tblIndicators!AL55</f>
        <v>3.4) Public attitude and engagement</v>
      </c>
      <c r="E58" s="367" t="str">
        <f t="shared" si="25"/>
        <v>3.4) Public attitude and engagement</v>
      </c>
      <c r="J58" s="367">
        <v>1</v>
      </c>
      <c r="M58" s="635"/>
      <c r="N58" s="635"/>
      <c r="O58" s="635"/>
      <c r="P58" s="635"/>
      <c r="Q58" s="830"/>
      <c r="R58" s="830"/>
      <c r="U58" s="23"/>
      <c r="V58" s="595">
        <f t="shared" si="26"/>
        <v>0</v>
      </c>
      <c r="W58" s="844">
        <v>0</v>
      </c>
      <c r="X58" s="844">
        <v>0</v>
      </c>
      <c r="Y58" s="844">
        <v>0</v>
      </c>
      <c r="Z58" s="844">
        <v>1</v>
      </c>
      <c r="AA58" s="844">
        <v>0</v>
      </c>
      <c r="AC58" s="89"/>
      <c r="AE58" s="595">
        <f t="shared" si="23"/>
        <v>1</v>
      </c>
      <c r="AF58" s="844">
        <v>1</v>
      </c>
      <c r="AG58" s="844">
        <v>0</v>
      </c>
      <c r="AH58" s="844">
        <v>0</v>
      </c>
      <c r="AI58" s="844">
        <v>1</v>
      </c>
      <c r="AJ58" s="844">
        <v>0</v>
      </c>
      <c r="AL58" s="89"/>
      <c r="AN58" s="612">
        <f t="shared" si="31"/>
        <v>0</v>
      </c>
      <c r="AO58" s="844">
        <v>0</v>
      </c>
      <c r="AP58" s="844">
        <v>0</v>
      </c>
      <c r="AQ58" s="844">
        <v>0</v>
      </c>
      <c r="AR58" s="844">
        <v>0</v>
      </c>
      <c r="AS58" s="844">
        <v>0</v>
      </c>
      <c r="AT58" s="844">
        <v>0</v>
      </c>
      <c r="AU58" s="844">
        <v>0</v>
      </c>
      <c r="AV58" s="844">
        <v>0</v>
      </c>
      <c r="AW58" s="844">
        <v>0</v>
      </c>
      <c r="AX58" s="844">
        <v>0</v>
      </c>
      <c r="AY58" s="844">
        <v>0</v>
      </c>
      <c r="AZ58" s="844">
        <v>0</v>
      </c>
      <c r="BA58" s="844">
        <v>1</v>
      </c>
      <c r="BB58" s="844">
        <v>0</v>
      </c>
      <c r="BC58" s="844">
        <v>0</v>
      </c>
      <c r="BD58" s="844">
        <v>0</v>
      </c>
      <c r="BE58" s="844">
        <v>1</v>
      </c>
      <c r="BF58" s="844">
        <v>0</v>
      </c>
      <c r="BG58" s="844">
        <v>0</v>
      </c>
      <c r="BH58" s="844">
        <v>0</v>
      </c>
      <c r="BI58" s="844">
        <v>0</v>
      </c>
      <c r="BJ58" s="844">
        <v>0</v>
      </c>
    </row>
    <row r="59" spans="1:62" s="367" customFormat="1" ht="17.25" customHeight="1">
      <c r="A59" s="367">
        <f t="shared" si="19"/>
        <v>55</v>
      </c>
      <c r="B59" s="367">
        <f>tblIndicators!G56</f>
        <v>3</v>
      </c>
      <c r="C59" s="367">
        <f>tblIndicators!C56</f>
        <v>3</v>
      </c>
      <c r="D59" s="367" t="str">
        <f>tblIndicators!AL56</f>
        <v>3.4.1) Public comfort with sharing information online</v>
      </c>
      <c r="E59" s="367" t="str">
        <f t="shared" si="25"/>
        <v>3.4.1) Public comfort with sharing information online</v>
      </c>
      <c r="J59" s="367">
        <v>1</v>
      </c>
      <c r="M59" s="635"/>
      <c r="N59" s="635"/>
      <c r="O59" s="635"/>
      <c r="P59" s="635"/>
      <c r="Q59" s="830"/>
      <c r="R59" s="830"/>
      <c r="U59" s="23"/>
      <c r="V59" s="595">
        <f t="shared" si="26"/>
        <v>0</v>
      </c>
      <c r="W59" s="844">
        <v>0</v>
      </c>
      <c r="X59" s="844">
        <v>0</v>
      </c>
      <c r="Y59" s="844">
        <v>0</v>
      </c>
      <c r="Z59" s="844">
        <v>0</v>
      </c>
      <c r="AA59" s="844">
        <v>0</v>
      </c>
      <c r="AC59" s="89"/>
      <c r="AE59" s="595">
        <f t="shared" si="23"/>
        <v>0</v>
      </c>
      <c r="AF59" s="844">
        <v>0</v>
      </c>
      <c r="AG59" s="844">
        <v>0</v>
      </c>
      <c r="AH59" s="844">
        <v>0</v>
      </c>
      <c r="AI59" s="844">
        <v>1</v>
      </c>
      <c r="AJ59" s="844">
        <v>0</v>
      </c>
      <c r="AL59" s="89"/>
      <c r="AN59" s="612">
        <f t="shared" si="31"/>
        <v>0</v>
      </c>
      <c r="AO59" s="844">
        <v>0</v>
      </c>
      <c r="AP59" s="844">
        <v>0</v>
      </c>
      <c r="AQ59" s="844">
        <v>0</v>
      </c>
      <c r="AR59" s="844">
        <v>0</v>
      </c>
      <c r="AS59" s="844">
        <v>0</v>
      </c>
      <c r="AT59" s="844">
        <v>0</v>
      </c>
      <c r="AU59" s="844">
        <v>0</v>
      </c>
      <c r="AV59" s="844">
        <v>0</v>
      </c>
      <c r="AW59" s="844">
        <v>0</v>
      </c>
      <c r="AX59" s="844">
        <v>0</v>
      </c>
      <c r="AY59" s="844">
        <v>0</v>
      </c>
      <c r="AZ59" s="844">
        <v>0</v>
      </c>
      <c r="BA59" s="844">
        <v>0</v>
      </c>
      <c r="BB59" s="844">
        <v>0</v>
      </c>
      <c r="BC59" s="844">
        <v>0</v>
      </c>
      <c r="BD59" s="844">
        <v>0</v>
      </c>
      <c r="BE59" s="844">
        <v>1</v>
      </c>
      <c r="BF59" s="844">
        <v>0</v>
      </c>
      <c r="BG59" s="844">
        <v>0</v>
      </c>
      <c r="BH59" s="844">
        <v>0</v>
      </c>
      <c r="BI59" s="844">
        <v>0</v>
      </c>
      <c r="BJ59" s="844">
        <v>0</v>
      </c>
    </row>
    <row r="60" spans="1:62" s="367" customFormat="1" ht="17.25" customHeight="1">
      <c r="A60" s="367">
        <f t="shared" si="19"/>
        <v>56</v>
      </c>
      <c r="B60" s="367">
        <f>tblIndicators!G57</f>
        <v>3</v>
      </c>
      <c r="C60" s="367">
        <f>tblIndicators!C57</f>
        <v>3</v>
      </c>
      <c r="D60" s="367" t="str">
        <f>tblIndicators!AL57</f>
        <v>3.4.2) E-participation on government portals</v>
      </c>
      <c r="E60" s="367" t="str">
        <f t="shared" si="25"/>
        <v>3.4.2) E-participation on government portals</v>
      </c>
      <c r="J60" s="367">
        <v>1</v>
      </c>
      <c r="M60" s="635"/>
      <c r="N60" s="635"/>
      <c r="O60" s="635"/>
      <c r="P60" s="635"/>
      <c r="Q60" s="830"/>
      <c r="R60" s="830"/>
      <c r="U60" s="23"/>
      <c r="V60" s="595">
        <f t="shared" si="26"/>
        <v>0</v>
      </c>
      <c r="W60" s="844">
        <v>0</v>
      </c>
      <c r="X60" s="844">
        <v>0</v>
      </c>
      <c r="Y60" s="844">
        <v>0</v>
      </c>
      <c r="Z60" s="844">
        <v>0</v>
      </c>
      <c r="AA60" s="844">
        <v>0</v>
      </c>
      <c r="AC60" s="89"/>
      <c r="AE60" s="595">
        <f t="shared" si="23"/>
        <v>0</v>
      </c>
      <c r="AF60" s="844">
        <v>0</v>
      </c>
      <c r="AG60" s="844">
        <v>0</v>
      </c>
      <c r="AH60" s="844">
        <v>0</v>
      </c>
      <c r="AI60" s="844">
        <v>1</v>
      </c>
      <c r="AJ60" s="844">
        <v>0</v>
      </c>
      <c r="AL60" s="89"/>
      <c r="AN60" s="612">
        <f t="shared" si="31"/>
        <v>0</v>
      </c>
      <c r="AO60" s="844">
        <v>0</v>
      </c>
      <c r="AP60" s="844">
        <v>0</v>
      </c>
      <c r="AQ60" s="844">
        <v>0</v>
      </c>
      <c r="AR60" s="844">
        <v>0</v>
      </c>
      <c r="AS60" s="844">
        <v>0</v>
      </c>
      <c r="AT60" s="844">
        <v>0</v>
      </c>
      <c r="AU60" s="844">
        <v>0</v>
      </c>
      <c r="AV60" s="844">
        <v>0</v>
      </c>
      <c r="AW60" s="844">
        <v>0</v>
      </c>
      <c r="AX60" s="844">
        <v>0</v>
      </c>
      <c r="AY60" s="844">
        <v>0</v>
      </c>
      <c r="AZ60" s="844">
        <v>0</v>
      </c>
      <c r="BA60" s="844">
        <v>0</v>
      </c>
      <c r="BB60" s="844">
        <v>0</v>
      </c>
      <c r="BC60" s="844">
        <v>0</v>
      </c>
      <c r="BD60" s="844">
        <v>0</v>
      </c>
      <c r="BE60" s="844">
        <v>1</v>
      </c>
      <c r="BF60" s="844">
        <v>0</v>
      </c>
      <c r="BG60" s="844">
        <v>0</v>
      </c>
      <c r="BH60" s="844">
        <v>0</v>
      </c>
      <c r="BI60" s="844">
        <v>0</v>
      </c>
      <c r="BJ60" s="844">
        <v>0</v>
      </c>
    </row>
    <row r="61" spans="1:62" s="367" customFormat="1" ht="17.25" customHeight="1">
      <c r="A61" s="367">
        <f t="shared" si="19"/>
        <v>57</v>
      </c>
      <c r="B61" s="367">
        <f>tblIndicators!G58</f>
        <v>1</v>
      </c>
      <c r="C61" s="367">
        <f>tblIndicators!C58</f>
        <v>4</v>
      </c>
      <c r="D61" s="367" t="str">
        <f>tblIndicators!AL58</f>
        <v>4) SUSTAINABILITY</v>
      </c>
      <c r="E61" s="367" t="str">
        <f t="shared" si="25"/>
        <v>4) SUSTAINABILITY</v>
      </c>
      <c r="J61" s="367">
        <v>1</v>
      </c>
      <c r="M61" s="635"/>
      <c r="N61" s="635"/>
      <c r="O61" s="635"/>
      <c r="P61" s="635"/>
      <c r="Q61" s="830"/>
      <c r="R61" s="830"/>
      <c r="U61" s="23"/>
      <c r="V61" s="595">
        <f t="shared" si="26"/>
        <v>1</v>
      </c>
      <c r="W61" s="844">
        <v>1</v>
      </c>
      <c r="X61" s="844">
        <v>0</v>
      </c>
      <c r="Y61" s="844">
        <v>0</v>
      </c>
      <c r="Z61" s="844">
        <v>0</v>
      </c>
      <c r="AA61" s="844">
        <v>1</v>
      </c>
      <c r="AC61" s="89"/>
      <c r="AE61" s="595">
        <f t="shared" si="23"/>
        <v>1</v>
      </c>
      <c r="AF61" s="844">
        <v>1</v>
      </c>
      <c r="AG61" s="844">
        <v>0</v>
      </c>
      <c r="AH61" s="844">
        <v>0</v>
      </c>
      <c r="AI61" s="844">
        <v>0</v>
      </c>
      <c r="AJ61" s="844">
        <v>1</v>
      </c>
      <c r="AL61" s="89"/>
      <c r="AN61" s="612">
        <f t="shared" si="31"/>
        <v>1</v>
      </c>
      <c r="AO61" s="844">
        <v>1</v>
      </c>
      <c r="AP61" s="844">
        <v>0</v>
      </c>
      <c r="AQ61" s="844">
        <v>0</v>
      </c>
      <c r="AR61" s="844">
        <v>0</v>
      </c>
      <c r="AS61" s="844">
        <v>0</v>
      </c>
      <c r="AT61" s="844">
        <v>0</v>
      </c>
      <c r="AU61" s="844">
        <v>0</v>
      </c>
      <c r="AV61" s="844">
        <v>0</v>
      </c>
      <c r="AW61" s="844">
        <v>0</v>
      </c>
      <c r="AX61" s="844">
        <v>0</v>
      </c>
      <c r="AY61" s="844">
        <v>0</v>
      </c>
      <c r="AZ61" s="844">
        <v>0</v>
      </c>
      <c r="BA61" s="844">
        <v>0</v>
      </c>
      <c r="BB61" s="844">
        <v>0</v>
      </c>
      <c r="BC61" s="844">
        <v>0</v>
      </c>
      <c r="BD61" s="844">
        <v>0</v>
      </c>
      <c r="BE61" s="844">
        <v>0</v>
      </c>
      <c r="BF61" s="844">
        <v>1</v>
      </c>
      <c r="BG61" s="844">
        <v>0</v>
      </c>
      <c r="BH61" s="844">
        <v>0</v>
      </c>
      <c r="BI61" s="844">
        <v>0</v>
      </c>
      <c r="BJ61" s="844">
        <v>0</v>
      </c>
    </row>
    <row r="62" spans="1:62" s="367" customFormat="1" ht="17.25" customHeight="1">
      <c r="A62" s="367">
        <f t="shared" si="19"/>
        <v>58</v>
      </c>
      <c r="B62" s="367">
        <f>tblIndicators!G59</f>
        <v>2</v>
      </c>
      <c r="C62" s="367">
        <f>tblIndicators!C59</f>
        <v>4</v>
      </c>
      <c r="D62" s="367" t="str">
        <f>tblIndicators!AL59</f>
        <v>4.1) Efficient resource management</v>
      </c>
      <c r="E62" s="367" t="str">
        <f t="shared" si="25"/>
        <v>4.1) Efficient resource management</v>
      </c>
      <c r="J62" s="367">
        <v>1</v>
      </c>
      <c r="M62" s="635"/>
      <c r="N62" s="635"/>
      <c r="O62" s="635"/>
      <c r="P62" s="635"/>
      <c r="Q62" s="830"/>
      <c r="R62" s="830"/>
      <c r="U62" s="23"/>
      <c r="V62" s="595">
        <f t="shared" si="26"/>
        <v>0</v>
      </c>
      <c r="W62" s="844">
        <v>0</v>
      </c>
      <c r="X62" s="844">
        <v>0</v>
      </c>
      <c r="Y62" s="844">
        <v>0</v>
      </c>
      <c r="Z62" s="844">
        <v>0</v>
      </c>
      <c r="AA62" s="844">
        <v>1</v>
      </c>
      <c r="AC62" s="89"/>
      <c r="AE62" s="595">
        <f t="shared" si="23"/>
        <v>1</v>
      </c>
      <c r="AF62" s="844">
        <v>1</v>
      </c>
      <c r="AG62" s="844">
        <v>0</v>
      </c>
      <c r="AH62" s="844">
        <v>0</v>
      </c>
      <c r="AI62" s="844">
        <v>0</v>
      </c>
      <c r="AJ62" s="844">
        <v>1</v>
      </c>
      <c r="AL62" s="89"/>
      <c r="AN62" s="612">
        <f t="shared" si="31"/>
        <v>0</v>
      </c>
      <c r="AO62" s="844">
        <v>0</v>
      </c>
      <c r="AP62" s="844">
        <v>0</v>
      </c>
      <c r="AQ62" s="844">
        <v>0</v>
      </c>
      <c r="AR62" s="844">
        <v>0</v>
      </c>
      <c r="AS62" s="844">
        <v>0</v>
      </c>
      <c r="AT62" s="844">
        <v>0</v>
      </c>
      <c r="AU62" s="844">
        <v>0</v>
      </c>
      <c r="AV62" s="844">
        <v>0</v>
      </c>
      <c r="AW62" s="844">
        <v>0</v>
      </c>
      <c r="AX62" s="844">
        <v>0</v>
      </c>
      <c r="AY62" s="844">
        <v>0</v>
      </c>
      <c r="AZ62" s="844">
        <v>0</v>
      </c>
      <c r="BA62" s="844">
        <v>0</v>
      </c>
      <c r="BB62" s="844">
        <v>0</v>
      </c>
      <c r="BC62" s="844">
        <v>0</v>
      </c>
      <c r="BD62" s="844">
        <v>0</v>
      </c>
      <c r="BE62" s="844">
        <v>0</v>
      </c>
      <c r="BF62" s="844">
        <v>1</v>
      </c>
      <c r="BG62" s="844">
        <v>1</v>
      </c>
      <c r="BH62" s="844">
        <v>0</v>
      </c>
      <c r="BI62" s="844">
        <v>0</v>
      </c>
      <c r="BJ62" s="844">
        <v>0</v>
      </c>
    </row>
    <row r="63" spans="1:62" s="367" customFormat="1" ht="17.25" customHeight="1">
      <c r="A63" s="367">
        <f t="shared" si="19"/>
        <v>59</v>
      </c>
      <c r="B63" s="367">
        <f>tblIndicators!G60</f>
        <v>3</v>
      </c>
      <c r="C63" s="367">
        <f>tblIndicators!C60</f>
        <v>4</v>
      </c>
      <c r="D63" s="367" t="str">
        <f>tblIndicators!AL60</f>
        <v>4.1.1) Smart utility management</v>
      </c>
      <c r="E63" s="367" t="str">
        <f t="shared" si="25"/>
        <v>4.1.1) Smart utility management</v>
      </c>
      <c r="J63" s="367">
        <v>1</v>
      </c>
      <c r="M63" s="635"/>
      <c r="N63" s="635"/>
      <c r="O63" s="635"/>
      <c r="P63" s="635"/>
      <c r="Q63" s="830"/>
      <c r="R63" s="830"/>
      <c r="U63" s="23"/>
      <c r="V63" s="595">
        <f t="shared" si="26"/>
        <v>0</v>
      </c>
      <c r="W63" s="844">
        <v>0</v>
      </c>
      <c r="X63" s="844">
        <v>0</v>
      </c>
      <c r="Y63" s="844">
        <v>0</v>
      </c>
      <c r="Z63" s="844">
        <v>0</v>
      </c>
      <c r="AA63" s="844">
        <v>0</v>
      </c>
      <c r="AC63" s="89"/>
      <c r="AE63" s="595">
        <f t="shared" si="23"/>
        <v>0</v>
      </c>
      <c r="AF63" s="844">
        <v>0</v>
      </c>
      <c r="AG63" s="844">
        <v>0</v>
      </c>
      <c r="AH63" s="844">
        <v>0</v>
      </c>
      <c r="AI63" s="844">
        <v>0</v>
      </c>
      <c r="AJ63" s="844">
        <v>1</v>
      </c>
      <c r="AL63" s="89"/>
      <c r="AN63" s="612">
        <f t="shared" si="31"/>
        <v>0</v>
      </c>
      <c r="AO63" s="844">
        <v>0</v>
      </c>
      <c r="AP63" s="844">
        <v>0</v>
      </c>
      <c r="AQ63" s="844">
        <v>0</v>
      </c>
      <c r="AR63" s="844">
        <v>0</v>
      </c>
      <c r="AS63" s="844">
        <v>0</v>
      </c>
      <c r="AT63" s="844">
        <v>0</v>
      </c>
      <c r="AU63" s="844">
        <v>0</v>
      </c>
      <c r="AV63" s="844">
        <v>0</v>
      </c>
      <c r="AW63" s="844">
        <v>0</v>
      </c>
      <c r="AX63" s="844">
        <v>0</v>
      </c>
      <c r="AY63" s="844">
        <v>0</v>
      </c>
      <c r="AZ63" s="844">
        <v>0</v>
      </c>
      <c r="BA63" s="844">
        <v>0</v>
      </c>
      <c r="BB63" s="844">
        <v>0</v>
      </c>
      <c r="BC63" s="844">
        <v>0</v>
      </c>
      <c r="BD63" s="844">
        <v>0</v>
      </c>
      <c r="BE63" s="844">
        <v>0</v>
      </c>
      <c r="BF63" s="844">
        <v>0</v>
      </c>
      <c r="BG63" s="844">
        <v>1</v>
      </c>
      <c r="BH63" s="844">
        <v>0</v>
      </c>
      <c r="BI63" s="844">
        <v>0</v>
      </c>
      <c r="BJ63" s="844">
        <v>0</v>
      </c>
    </row>
    <row r="64" spans="1:62" s="367" customFormat="1" ht="17.25" customHeight="1">
      <c r="A64" s="367">
        <f t="shared" si="19"/>
        <v>60</v>
      </c>
      <c r="B64" s="367">
        <f>tblIndicators!G61</f>
        <v>3</v>
      </c>
      <c r="C64" s="367">
        <f>tblIndicators!C61</f>
        <v>4</v>
      </c>
      <c r="D64" s="367" t="str">
        <f>tblIndicators!AL61</f>
        <v>4.1.2) Smart urban agriculture</v>
      </c>
      <c r="E64" s="367" t="str">
        <f t="shared" si="25"/>
        <v>4.1.2) Smart urban agriculture</v>
      </c>
      <c r="J64" s="367">
        <v>1</v>
      </c>
      <c r="M64" s="635"/>
      <c r="N64" s="635"/>
      <c r="O64" s="635"/>
      <c r="P64" s="635"/>
      <c r="Q64" s="830"/>
      <c r="R64" s="830"/>
      <c r="U64" s="23"/>
      <c r="V64" s="595">
        <f t="shared" si="26"/>
        <v>0</v>
      </c>
      <c r="W64" s="844">
        <v>0</v>
      </c>
      <c r="X64" s="844">
        <v>0</v>
      </c>
      <c r="Y64" s="844">
        <v>0</v>
      </c>
      <c r="Z64" s="844">
        <v>0</v>
      </c>
      <c r="AA64" s="844">
        <v>0</v>
      </c>
      <c r="AC64" s="89"/>
      <c r="AE64" s="595">
        <f t="shared" si="23"/>
        <v>0</v>
      </c>
      <c r="AF64" s="844">
        <v>0</v>
      </c>
      <c r="AG64" s="844">
        <v>0</v>
      </c>
      <c r="AH64" s="844">
        <v>0</v>
      </c>
      <c r="AI64" s="844">
        <v>0</v>
      </c>
      <c r="AJ64" s="844">
        <v>1</v>
      </c>
      <c r="AL64" s="89"/>
      <c r="AN64" s="612">
        <f t="shared" si="31"/>
        <v>0</v>
      </c>
      <c r="AO64" s="844">
        <v>0</v>
      </c>
      <c r="AP64" s="844">
        <v>0</v>
      </c>
      <c r="AQ64" s="844">
        <v>0</v>
      </c>
      <c r="AR64" s="844">
        <v>0</v>
      </c>
      <c r="AS64" s="844">
        <v>0</v>
      </c>
      <c r="AT64" s="844">
        <v>0</v>
      </c>
      <c r="AU64" s="844">
        <v>0</v>
      </c>
      <c r="AV64" s="844">
        <v>0</v>
      </c>
      <c r="AW64" s="844">
        <v>0</v>
      </c>
      <c r="AX64" s="844">
        <v>0</v>
      </c>
      <c r="AY64" s="844">
        <v>0</v>
      </c>
      <c r="AZ64" s="844">
        <v>0</v>
      </c>
      <c r="BA64" s="844">
        <v>0</v>
      </c>
      <c r="BB64" s="844">
        <v>0</v>
      </c>
      <c r="BC64" s="844">
        <v>0</v>
      </c>
      <c r="BD64" s="844">
        <v>0</v>
      </c>
      <c r="BE64" s="844">
        <v>0</v>
      </c>
      <c r="BF64" s="844">
        <v>0</v>
      </c>
      <c r="BG64" s="844">
        <v>1</v>
      </c>
      <c r="BH64" s="844">
        <v>0</v>
      </c>
      <c r="BI64" s="844">
        <v>0</v>
      </c>
      <c r="BJ64" s="844">
        <v>0</v>
      </c>
    </row>
    <row r="65" spans="1:62" s="367" customFormat="1" ht="17.25" customHeight="1">
      <c r="A65" s="367">
        <f t="shared" si="19"/>
        <v>61</v>
      </c>
      <c r="B65" s="367">
        <f>tblIndicators!G62</f>
        <v>3</v>
      </c>
      <c r="C65" s="367">
        <f>tblIndicators!C62</f>
        <v>4</v>
      </c>
      <c r="D65" s="367" t="str">
        <f>tblIndicators!AL62</f>
        <v>4.1.3) Smart construction</v>
      </c>
      <c r="E65" s="367" t="str">
        <f t="shared" si="25"/>
        <v>4.1.3) Smart construction</v>
      </c>
      <c r="J65" s="367">
        <v>1</v>
      </c>
      <c r="M65" s="635"/>
      <c r="N65" s="635"/>
      <c r="O65" s="635"/>
      <c r="P65" s="635"/>
      <c r="Q65" s="830"/>
      <c r="R65" s="830"/>
      <c r="U65" s="23"/>
      <c r="V65" s="595">
        <f t="shared" si="26"/>
        <v>0</v>
      </c>
      <c r="W65" s="844">
        <v>0</v>
      </c>
      <c r="X65" s="844">
        <v>0</v>
      </c>
      <c r="Y65" s="844">
        <v>0</v>
      </c>
      <c r="Z65" s="844">
        <v>0</v>
      </c>
      <c r="AA65" s="844">
        <v>0</v>
      </c>
      <c r="AC65" s="89"/>
      <c r="AE65" s="595">
        <f t="shared" si="23"/>
        <v>0</v>
      </c>
      <c r="AF65" s="844">
        <v>0</v>
      </c>
      <c r="AG65" s="844">
        <v>0</v>
      </c>
      <c r="AH65" s="844">
        <v>0</v>
      </c>
      <c r="AI65" s="844">
        <v>0</v>
      </c>
      <c r="AJ65" s="844">
        <v>1</v>
      </c>
      <c r="AL65" s="89"/>
      <c r="AN65" s="612">
        <f t="shared" si="31"/>
        <v>0</v>
      </c>
      <c r="AO65" s="844">
        <v>0</v>
      </c>
      <c r="AP65" s="844">
        <v>0</v>
      </c>
      <c r="AQ65" s="844">
        <v>0</v>
      </c>
      <c r="AR65" s="844">
        <v>0</v>
      </c>
      <c r="AS65" s="844">
        <v>0</v>
      </c>
      <c r="AT65" s="844">
        <v>0</v>
      </c>
      <c r="AU65" s="844">
        <v>0</v>
      </c>
      <c r="AV65" s="844">
        <v>0</v>
      </c>
      <c r="AW65" s="844">
        <v>0</v>
      </c>
      <c r="AX65" s="844">
        <v>0</v>
      </c>
      <c r="AY65" s="844">
        <v>0</v>
      </c>
      <c r="AZ65" s="844">
        <v>0</v>
      </c>
      <c r="BA65" s="844">
        <v>0</v>
      </c>
      <c r="BB65" s="844">
        <v>0</v>
      </c>
      <c r="BC65" s="844">
        <v>0</v>
      </c>
      <c r="BD65" s="844">
        <v>0</v>
      </c>
      <c r="BE65" s="844">
        <v>0</v>
      </c>
      <c r="BF65" s="844">
        <v>0</v>
      </c>
      <c r="BG65" s="844">
        <v>1</v>
      </c>
      <c r="BH65" s="844">
        <v>0</v>
      </c>
      <c r="BI65" s="844">
        <v>0</v>
      </c>
      <c r="BJ65" s="844">
        <v>0</v>
      </c>
    </row>
    <row r="66" spans="1:62" s="367" customFormat="1" ht="17.25" customHeight="1">
      <c r="A66" s="367">
        <f t="shared" si="19"/>
        <v>62</v>
      </c>
      <c r="B66" s="367">
        <f>tblIndicators!G63</f>
        <v>2</v>
      </c>
      <c r="C66" s="367">
        <f>tblIndicators!C63</f>
        <v>4</v>
      </c>
      <c r="D66" s="367" t="str">
        <f>tblIndicators!AL63</f>
        <v>4.2) Emissions reduction</v>
      </c>
      <c r="E66" s="367" t="str">
        <f t="shared" si="25"/>
        <v>4.2) Emissions reduction</v>
      </c>
      <c r="J66" s="367">
        <v>1</v>
      </c>
      <c r="M66" s="635"/>
      <c r="N66" s="635"/>
      <c r="O66" s="635"/>
      <c r="P66" s="635"/>
      <c r="Q66" s="830"/>
      <c r="R66" s="830"/>
      <c r="U66" s="23"/>
      <c r="V66" s="595">
        <f t="shared" si="26"/>
        <v>0</v>
      </c>
      <c r="W66" s="844">
        <v>0</v>
      </c>
      <c r="X66" s="844">
        <v>0</v>
      </c>
      <c r="Y66" s="844">
        <v>0</v>
      </c>
      <c r="Z66" s="844">
        <v>0</v>
      </c>
      <c r="AA66" s="844">
        <v>1</v>
      </c>
      <c r="AC66" s="89"/>
      <c r="AE66" s="595">
        <f t="shared" si="23"/>
        <v>1</v>
      </c>
      <c r="AF66" s="844">
        <v>1</v>
      </c>
      <c r="AG66" s="844">
        <v>0</v>
      </c>
      <c r="AH66" s="844">
        <v>0</v>
      </c>
      <c r="AI66" s="844">
        <v>0</v>
      </c>
      <c r="AJ66" s="844">
        <v>1</v>
      </c>
      <c r="AL66" s="89"/>
      <c r="AN66" s="612">
        <f t="shared" si="31"/>
        <v>0</v>
      </c>
      <c r="AO66" s="844">
        <v>0</v>
      </c>
      <c r="AP66" s="844">
        <v>0</v>
      </c>
      <c r="AQ66" s="844">
        <v>0</v>
      </c>
      <c r="AR66" s="844">
        <v>0</v>
      </c>
      <c r="AS66" s="844">
        <v>0</v>
      </c>
      <c r="AT66" s="844">
        <v>0</v>
      </c>
      <c r="AU66" s="844">
        <v>0</v>
      </c>
      <c r="AV66" s="844">
        <v>0</v>
      </c>
      <c r="AW66" s="844">
        <v>0</v>
      </c>
      <c r="AX66" s="844">
        <v>0</v>
      </c>
      <c r="AY66" s="844">
        <v>0</v>
      </c>
      <c r="AZ66" s="844">
        <v>0</v>
      </c>
      <c r="BA66" s="844">
        <v>0</v>
      </c>
      <c r="BB66" s="844">
        <v>0</v>
      </c>
      <c r="BC66" s="844">
        <v>0</v>
      </c>
      <c r="BD66" s="844">
        <v>0</v>
      </c>
      <c r="BE66" s="844">
        <v>0</v>
      </c>
      <c r="BF66" s="844">
        <v>1</v>
      </c>
      <c r="BG66" s="844">
        <v>0</v>
      </c>
      <c r="BH66" s="844">
        <v>1</v>
      </c>
      <c r="BI66" s="844">
        <v>0</v>
      </c>
      <c r="BJ66" s="844">
        <v>0</v>
      </c>
    </row>
    <row r="67" spans="1:62" s="367" customFormat="1" ht="17.25" customHeight="1">
      <c r="A67" s="367">
        <f t="shared" si="19"/>
        <v>63</v>
      </c>
      <c r="B67" s="367">
        <f>tblIndicators!G64</f>
        <v>3</v>
      </c>
      <c r="C67" s="367">
        <f>tblIndicators!C64</f>
        <v>4</v>
      </c>
      <c r="D67" s="367" t="str">
        <f>tblIndicators!AL64</f>
        <v>4.2.1) Net-zero emission</v>
      </c>
      <c r="E67" s="367" t="str">
        <f t="shared" si="25"/>
        <v>4.2.1) Net-zero emission</v>
      </c>
      <c r="J67" s="367">
        <v>1</v>
      </c>
      <c r="M67" s="635"/>
      <c r="N67" s="635"/>
      <c r="O67" s="635"/>
      <c r="P67" s="635"/>
      <c r="Q67" s="830"/>
      <c r="R67" s="830"/>
      <c r="U67" s="23"/>
      <c r="V67" s="595">
        <f t="shared" si="26"/>
        <v>0</v>
      </c>
      <c r="W67" s="844">
        <v>0</v>
      </c>
      <c r="X67" s="844">
        <v>0</v>
      </c>
      <c r="Y67" s="844">
        <v>0</v>
      </c>
      <c r="Z67" s="844">
        <v>0</v>
      </c>
      <c r="AA67" s="844">
        <v>0</v>
      </c>
      <c r="AC67" s="89"/>
      <c r="AE67" s="595">
        <f t="shared" si="23"/>
        <v>0</v>
      </c>
      <c r="AF67" s="844">
        <v>0</v>
      </c>
      <c r="AG67" s="844">
        <v>0</v>
      </c>
      <c r="AH67" s="844">
        <v>0</v>
      </c>
      <c r="AI67" s="844">
        <v>0</v>
      </c>
      <c r="AJ67" s="844">
        <v>1</v>
      </c>
      <c r="AL67" s="89"/>
      <c r="AN67" s="612">
        <f t="shared" si="31"/>
        <v>0</v>
      </c>
      <c r="AO67" s="844">
        <v>0</v>
      </c>
      <c r="AP67" s="844">
        <v>0</v>
      </c>
      <c r="AQ67" s="844">
        <v>0</v>
      </c>
      <c r="AR67" s="844">
        <v>0</v>
      </c>
      <c r="AS67" s="844">
        <v>0</v>
      </c>
      <c r="AT67" s="844">
        <v>0</v>
      </c>
      <c r="AU67" s="844">
        <v>0</v>
      </c>
      <c r="AV67" s="844">
        <v>0</v>
      </c>
      <c r="AW67" s="844">
        <v>0</v>
      </c>
      <c r="AX67" s="844">
        <v>0</v>
      </c>
      <c r="AY67" s="844">
        <v>0</v>
      </c>
      <c r="AZ67" s="844">
        <v>0</v>
      </c>
      <c r="BA67" s="844">
        <v>0</v>
      </c>
      <c r="BB67" s="844">
        <v>0</v>
      </c>
      <c r="BC67" s="844">
        <v>0</v>
      </c>
      <c r="BD67" s="844">
        <v>0</v>
      </c>
      <c r="BE67" s="844">
        <v>0</v>
      </c>
      <c r="BF67" s="844">
        <v>0</v>
      </c>
      <c r="BG67" s="844">
        <v>0</v>
      </c>
      <c r="BH67" s="844">
        <v>1</v>
      </c>
      <c r="BI67" s="844">
        <v>0</v>
      </c>
      <c r="BJ67" s="844">
        <v>0</v>
      </c>
    </row>
    <row r="68" spans="1:62" s="367" customFormat="1" ht="17.25" customHeight="1">
      <c r="A68" s="367">
        <f t="shared" si="19"/>
        <v>64</v>
      </c>
      <c r="B68" s="367">
        <f>tblIndicators!G65</f>
        <v>3</v>
      </c>
      <c r="C68" s="367">
        <f>tblIndicators!C65</f>
        <v>4</v>
      </c>
      <c r="D68" s="367" t="str">
        <f>tblIndicators!AL65</f>
        <v xml:space="preserve">4.2.2) Traffic management </v>
      </c>
      <c r="E68" s="367" t="str">
        <f t="shared" si="25"/>
        <v xml:space="preserve">4.2.2) Traffic management </v>
      </c>
      <c r="J68" s="367">
        <v>1</v>
      </c>
      <c r="M68" s="635"/>
      <c r="N68" s="635"/>
      <c r="O68" s="635"/>
      <c r="P68" s="635"/>
      <c r="Q68" s="830"/>
      <c r="R68" s="830"/>
      <c r="U68" s="23"/>
      <c r="V68" s="595">
        <f t="shared" si="26"/>
        <v>0</v>
      </c>
      <c r="W68" s="844">
        <v>0</v>
      </c>
      <c r="X68" s="844">
        <v>0</v>
      </c>
      <c r="Y68" s="844">
        <v>0</v>
      </c>
      <c r="Z68" s="844">
        <v>0</v>
      </c>
      <c r="AA68" s="844">
        <v>0</v>
      </c>
      <c r="AC68" s="89"/>
      <c r="AE68" s="595">
        <f t="shared" si="23"/>
        <v>0</v>
      </c>
      <c r="AF68" s="595">
        <v>0</v>
      </c>
      <c r="AG68" s="844">
        <v>0</v>
      </c>
      <c r="AH68" s="844">
        <v>0</v>
      </c>
      <c r="AI68" s="844">
        <v>0</v>
      </c>
      <c r="AJ68" s="844">
        <v>1</v>
      </c>
      <c r="AL68" s="89"/>
      <c r="AN68" s="612">
        <f t="shared" si="31"/>
        <v>0</v>
      </c>
      <c r="AO68" s="844">
        <v>0</v>
      </c>
      <c r="AP68" s="844">
        <v>0</v>
      </c>
      <c r="AQ68" s="844">
        <v>0</v>
      </c>
      <c r="AR68" s="844">
        <v>0</v>
      </c>
      <c r="AS68" s="844">
        <v>0</v>
      </c>
      <c r="AT68" s="844">
        <v>0</v>
      </c>
      <c r="AU68" s="844">
        <v>0</v>
      </c>
      <c r="AV68" s="844">
        <v>0</v>
      </c>
      <c r="AW68" s="844">
        <v>0</v>
      </c>
      <c r="AX68" s="844">
        <v>0</v>
      </c>
      <c r="AY68" s="844">
        <v>0</v>
      </c>
      <c r="AZ68" s="844">
        <v>0</v>
      </c>
      <c r="BA68" s="844">
        <v>0</v>
      </c>
      <c r="BB68" s="844">
        <v>0</v>
      </c>
      <c r="BC68" s="844">
        <v>0</v>
      </c>
      <c r="BD68" s="844">
        <v>0</v>
      </c>
      <c r="BE68" s="844">
        <v>0</v>
      </c>
      <c r="BF68" s="844">
        <v>0</v>
      </c>
      <c r="BG68" s="844">
        <v>0</v>
      </c>
      <c r="BH68" s="844">
        <v>1</v>
      </c>
      <c r="BI68" s="844">
        <v>0</v>
      </c>
      <c r="BJ68" s="844">
        <v>0</v>
      </c>
    </row>
    <row r="69" spans="1:62" s="367" customFormat="1" ht="17.25" customHeight="1">
      <c r="A69" s="367">
        <f t="shared" si="19"/>
        <v>65</v>
      </c>
      <c r="B69" s="367">
        <f>tblIndicators!G66</f>
        <v>3</v>
      </c>
      <c r="C69" s="367">
        <f>tblIndicators!C66</f>
        <v>4</v>
      </c>
      <c r="D69" s="367" t="str">
        <f>tblIndicators!AL66</f>
        <v>4.2.3) Autonomous vehicle support</v>
      </c>
      <c r="E69" s="367" t="str">
        <f t="shared" si="25"/>
        <v>4.2.3) Autonomous vehicle support</v>
      </c>
      <c r="J69" s="367">
        <v>1</v>
      </c>
      <c r="M69" s="635"/>
      <c r="N69" s="635"/>
      <c r="O69" s="635"/>
      <c r="P69" s="635"/>
      <c r="Q69" s="830"/>
      <c r="R69" s="830"/>
      <c r="U69" s="23"/>
      <c r="V69" s="595">
        <f t="shared" si="26"/>
        <v>0</v>
      </c>
      <c r="W69" s="844">
        <v>0</v>
      </c>
      <c r="X69" s="844">
        <v>0</v>
      </c>
      <c r="Y69" s="844">
        <v>0</v>
      </c>
      <c r="Z69" s="844">
        <v>0</v>
      </c>
      <c r="AA69" s="844">
        <v>0</v>
      </c>
      <c r="AC69" s="89"/>
      <c r="AE69" s="595">
        <f t="shared" ref="AE69:AE74" si="40">INDEX(AF69:AJ69,$AE$4)</f>
        <v>0</v>
      </c>
      <c r="AF69" s="595">
        <v>0</v>
      </c>
      <c r="AG69" s="844">
        <v>0</v>
      </c>
      <c r="AH69" s="844">
        <v>0</v>
      </c>
      <c r="AI69" s="844">
        <v>0</v>
      </c>
      <c r="AJ69" s="844">
        <v>1</v>
      </c>
      <c r="AL69" s="89"/>
      <c r="AN69" s="612">
        <f t="shared" si="31"/>
        <v>0</v>
      </c>
      <c r="AO69" s="844">
        <v>0</v>
      </c>
      <c r="AP69" s="844">
        <v>0</v>
      </c>
      <c r="AQ69" s="844">
        <v>0</v>
      </c>
      <c r="AR69" s="844">
        <v>0</v>
      </c>
      <c r="AS69" s="844">
        <v>0</v>
      </c>
      <c r="AT69" s="844">
        <v>0</v>
      </c>
      <c r="AU69" s="844">
        <v>0</v>
      </c>
      <c r="AV69" s="844">
        <v>0</v>
      </c>
      <c r="AW69" s="844">
        <v>0</v>
      </c>
      <c r="AX69" s="844">
        <v>0</v>
      </c>
      <c r="AY69" s="844">
        <v>0</v>
      </c>
      <c r="AZ69" s="844">
        <v>0</v>
      </c>
      <c r="BA69" s="844">
        <v>0</v>
      </c>
      <c r="BB69" s="844">
        <v>0</v>
      </c>
      <c r="BC69" s="844">
        <v>0</v>
      </c>
      <c r="BD69" s="844">
        <v>0</v>
      </c>
      <c r="BE69" s="844">
        <v>0</v>
      </c>
      <c r="BF69" s="844">
        <v>0</v>
      </c>
      <c r="BG69" s="844">
        <v>0</v>
      </c>
      <c r="BH69" s="844">
        <v>1</v>
      </c>
      <c r="BI69" s="844">
        <v>0</v>
      </c>
      <c r="BJ69" s="844">
        <v>0</v>
      </c>
    </row>
    <row r="70" spans="1:62" s="367" customFormat="1" ht="17.25" customHeight="1">
      <c r="A70" s="367">
        <f t="shared" si="19"/>
        <v>66</v>
      </c>
      <c r="B70" s="367">
        <f>tblIndicators!G67</f>
        <v>2</v>
      </c>
      <c r="C70" s="367">
        <f>tblIndicators!C67</f>
        <v>4</v>
      </c>
      <c r="D70" s="367" t="str">
        <f>tblIndicators!AL67</f>
        <v>4.3) Pollution</v>
      </c>
      <c r="E70" s="367" t="str">
        <f t="shared" si="25"/>
        <v>4.3) Pollution</v>
      </c>
      <c r="J70" s="367">
        <v>1</v>
      </c>
      <c r="M70" s="635"/>
      <c r="N70" s="635"/>
      <c r="O70" s="635"/>
      <c r="P70" s="635"/>
      <c r="Q70" s="830"/>
      <c r="R70" s="830"/>
      <c r="U70" s="23"/>
      <c r="V70" s="595">
        <f t="shared" si="26"/>
        <v>0</v>
      </c>
      <c r="W70" s="844">
        <v>0</v>
      </c>
      <c r="X70" s="844">
        <v>0</v>
      </c>
      <c r="Y70" s="844">
        <v>0</v>
      </c>
      <c r="Z70" s="844">
        <v>0</v>
      </c>
      <c r="AA70" s="844">
        <v>1</v>
      </c>
      <c r="AC70" s="89"/>
      <c r="AE70" s="595">
        <f t="shared" si="40"/>
        <v>1</v>
      </c>
      <c r="AF70" s="595">
        <v>1</v>
      </c>
      <c r="AG70" s="844">
        <v>0</v>
      </c>
      <c r="AH70" s="844">
        <v>0</v>
      </c>
      <c r="AI70" s="844">
        <v>0</v>
      </c>
      <c r="AJ70" s="844">
        <v>1</v>
      </c>
      <c r="AL70" s="89"/>
      <c r="AN70" s="612">
        <f t="shared" si="31"/>
        <v>0</v>
      </c>
      <c r="AO70" s="844">
        <v>0</v>
      </c>
      <c r="AP70" s="844">
        <v>0</v>
      </c>
      <c r="AQ70" s="844">
        <v>0</v>
      </c>
      <c r="AR70" s="844">
        <v>0</v>
      </c>
      <c r="AS70" s="844">
        <v>0</v>
      </c>
      <c r="AT70" s="844">
        <v>0</v>
      </c>
      <c r="AU70" s="844">
        <v>0</v>
      </c>
      <c r="AV70" s="844">
        <v>0</v>
      </c>
      <c r="AW70" s="844">
        <v>0</v>
      </c>
      <c r="AX70" s="844">
        <v>0</v>
      </c>
      <c r="AY70" s="844">
        <v>0</v>
      </c>
      <c r="AZ70" s="844">
        <v>0</v>
      </c>
      <c r="BA70" s="844">
        <v>0</v>
      </c>
      <c r="BB70" s="844">
        <v>0</v>
      </c>
      <c r="BC70" s="844">
        <v>0</v>
      </c>
      <c r="BD70" s="844">
        <v>0</v>
      </c>
      <c r="BE70" s="844">
        <v>0</v>
      </c>
      <c r="BF70" s="844">
        <v>1</v>
      </c>
      <c r="BG70" s="844">
        <v>0</v>
      </c>
      <c r="BH70" s="844">
        <v>0</v>
      </c>
      <c r="BI70" s="844">
        <v>1</v>
      </c>
      <c r="BJ70" s="844">
        <v>0</v>
      </c>
    </row>
    <row r="71" spans="1:62" s="367" customFormat="1" ht="17.25" customHeight="1">
      <c r="A71" s="367">
        <f t="shared" si="19"/>
        <v>67</v>
      </c>
      <c r="B71" s="367">
        <f>tblIndicators!G68</f>
        <v>3</v>
      </c>
      <c r="C71" s="367">
        <f>tblIndicators!C68</f>
        <v>4</v>
      </c>
      <c r="D71" s="367" t="str">
        <f>tblIndicators!AL68</f>
        <v>4.3.1) Air pollution</v>
      </c>
      <c r="E71" s="367" t="str">
        <f t="shared" si="25"/>
        <v>4.3.1) Air pollution</v>
      </c>
      <c r="J71" s="367">
        <v>1</v>
      </c>
      <c r="M71" s="635"/>
      <c r="N71" s="635"/>
      <c r="O71" s="635"/>
      <c r="P71" s="635"/>
      <c r="Q71" s="830"/>
      <c r="R71" s="830"/>
      <c r="U71" s="23"/>
      <c r="V71" s="595">
        <f t="shared" si="26"/>
        <v>0</v>
      </c>
      <c r="W71" s="844">
        <v>0</v>
      </c>
      <c r="X71" s="844">
        <v>0</v>
      </c>
      <c r="Y71" s="844">
        <v>0</v>
      </c>
      <c r="Z71" s="844">
        <v>0</v>
      </c>
      <c r="AA71" s="844">
        <v>0</v>
      </c>
      <c r="AC71" s="89"/>
      <c r="AE71" s="595">
        <f t="shared" si="40"/>
        <v>0</v>
      </c>
      <c r="AF71" s="595">
        <v>0</v>
      </c>
      <c r="AG71" s="844">
        <v>0</v>
      </c>
      <c r="AH71" s="844">
        <v>0</v>
      </c>
      <c r="AI71" s="844">
        <v>0</v>
      </c>
      <c r="AJ71" s="844">
        <v>1</v>
      </c>
      <c r="AL71" s="89"/>
      <c r="AN71" s="612">
        <f t="shared" si="31"/>
        <v>0</v>
      </c>
      <c r="AO71" s="844">
        <v>0</v>
      </c>
      <c r="AP71" s="844">
        <v>0</v>
      </c>
      <c r="AQ71" s="844">
        <v>0</v>
      </c>
      <c r="AR71" s="844">
        <v>0</v>
      </c>
      <c r="AS71" s="844">
        <v>0</v>
      </c>
      <c r="AT71" s="844">
        <v>0</v>
      </c>
      <c r="AU71" s="844">
        <v>0</v>
      </c>
      <c r="AV71" s="844">
        <v>0</v>
      </c>
      <c r="AW71" s="844">
        <v>0</v>
      </c>
      <c r="AX71" s="844">
        <v>0</v>
      </c>
      <c r="AY71" s="844">
        <v>0</v>
      </c>
      <c r="AZ71" s="844">
        <v>0</v>
      </c>
      <c r="BA71" s="844">
        <v>0</v>
      </c>
      <c r="BB71" s="844">
        <v>0</v>
      </c>
      <c r="BC71" s="844">
        <v>0</v>
      </c>
      <c r="BD71" s="844">
        <v>0</v>
      </c>
      <c r="BE71" s="844">
        <v>0</v>
      </c>
      <c r="BF71" s="844">
        <v>0</v>
      </c>
      <c r="BG71" s="844">
        <v>0</v>
      </c>
      <c r="BH71" s="844">
        <v>0</v>
      </c>
      <c r="BI71" s="844">
        <v>1</v>
      </c>
      <c r="BJ71" s="844">
        <v>0</v>
      </c>
    </row>
    <row r="72" spans="1:62" s="367" customFormat="1" ht="17.25" customHeight="1">
      <c r="A72" s="367">
        <f t="shared" si="19"/>
        <v>68</v>
      </c>
      <c r="B72" s="367">
        <f>tblIndicators!G69</f>
        <v>2</v>
      </c>
      <c r="C72" s="367">
        <f>tblIndicators!C69</f>
        <v>4</v>
      </c>
      <c r="D72" s="367" t="str">
        <f>tblIndicators!AL69</f>
        <v>4.4) Circular economy</v>
      </c>
      <c r="E72" s="367" t="str">
        <f t="shared" ref="E72:E74" si="41">D72</f>
        <v>4.4) Circular economy</v>
      </c>
      <c r="J72" s="367">
        <v>1</v>
      </c>
      <c r="M72" s="635"/>
      <c r="N72" s="635"/>
      <c r="O72" s="635"/>
      <c r="P72" s="635"/>
      <c r="Q72" s="830"/>
      <c r="R72" s="830"/>
      <c r="U72" s="23"/>
      <c r="V72" s="595">
        <f>INDEX(W72:AA72,$V$4)</f>
        <v>0</v>
      </c>
      <c r="W72" s="844">
        <v>0</v>
      </c>
      <c r="X72" s="595">
        <v>0</v>
      </c>
      <c r="Y72" s="595">
        <v>0</v>
      </c>
      <c r="Z72" s="830">
        <v>0</v>
      </c>
      <c r="AA72" s="844">
        <v>1</v>
      </c>
      <c r="AC72" s="89"/>
      <c r="AE72" s="595">
        <f t="shared" si="40"/>
        <v>1</v>
      </c>
      <c r="AF72" s="595">
        <v>1</v>
      </c>
      <c r="AG72" s="844">
        <v>0</v>
      </c>
      <c r="AH72" s="844">
        <v>0</v>
      </c>
      <c r="AI72" s="844">
        <v>0</v>
      </c>
      <c r="AJ72" s="844">
        <v>1</v>
      </c>
      <c r="AL72" s="89"/>
      <c r="AN72" s="612">
        <f t="shared" ref="AN72:AN74" si="42">INDEX(AO72:BJ72,$AN$4)</f>
        <v>0</v>
      </c>
      <c r="AO72" s="844">
        <v>0</v>
      </c>
      <c r="AP72" s="844">
        <v>0</v>
      </c>
      <c r="AQ72" s="844">
        <v>0</v>
      </c>
      <c r="AR72" s="844">
        <v>0</v>
      </c>
      <c r="AS72" s="844">
        <v>0</v>
      </c>
      <c r="AT72" s="844">
        <v>0</v>
      </c>
      <c r="AU72" s="844">
        <v>0</v>
      </c>
      <c r="AV72" s="844">
        <v>0</v>
      </c>
      <c r="AW72" s="844">
        <v>0</v>
      </c>
      <c r="AX72" s="844">
        <v>0</v>
      </c>
      <c r="AY72" s="844">
        <v>0</v>
      </c>
      <c r="AZ72" s="844">
        <v>0</v>
      </c>
      <c r="BA72" s="844">
        <v>0</v>
      </c>
      <c r="BB72" s="844">
        <v>0</v>
      </c>
      <c r="BC72" s="844">
        <v>0</v>
      </c>
      <c r="BD72" s="844">
        <v>0</v>
      </c>
      <c r="BE72" s="844">
        <v>0</v>
      </c>
      <c r="BF72" s="844">
        <v>1</v>
      </c>
      <c r="BG72" s="844">
        <v>0</v>
      </c>
      <c r="BH72" s="844">
        <v>0</v>
      </c>
      <c r="BI72" s="844">
        <v>0</v>
      </c>
      <c r="BJ72" s="844">
        <v>1</v>
      </c>
    </row>
    <row r="73" spans="1:62" s="367" customFormat="1" ht="17.25" customHeight="1">
      <c r="A73" s="367">
        <f t="shared" si="19"/>
        <v>69</v>
      </c>
      <c r="B73" s="367">
        <f>tblIndicators!G70</f>
        <v>3</v>
      </c>
      <c r="C73" s="367">
        <f>tblIndicators!C70</f>
        <v>4</v>
      </c>
      <c r="D73" s="367" t="str">
        <f>tblIndicators!AL70</f>
        <v>4.4.1) Sharing economy development</v>
      </c>
      <c r="E73" s="367" t="str">
        <f t="shared" si="41"/>
        <v>4.4.1) Sharing economy development</v>
      </c>
      <c r="J73" s="367">
        <v>1</v>
      </c>
      <c r="M73" s="635"/>
      <c r="N73" s="635"/>
      <c r="O73" s="635"/>
      <c r="P73" s="635"/>
      <c r="Q73" s="830"/>
      <c r="R73" s="830"/>
      <c r="U73" s="23"/>
      <c r="V73" s="595">
        <f>INDEX(W73:AA73,$V$4)</f>
        <v>0</v>
      </c>
      <c r="W73" s="844">
        <v>0</v>
      </c>
      <c r="X73" s="595">
        <v>0</v>
      </c>
      <c r="Y73" s="595">
        <v>0</v>
      </c>
      <c r="Z73" s="830">
        <v>0</v>
      </c>
      <c r="AA73" s="844">
        <v>0</v>
      </c>
      <c r="AC73" s="89"/>
      <c r="AE73" s="595">
        <f t="shared" si="40"/>
        <v>0</v>
      </c>
      <c r="AF73" s="595">
        <v>0</v>
      </c>
      <c r="AG73" s="844">
        <v>0</v>
      </c>
      <c r="AH73" s="844">
        <v>0</v>
      </c>
      <c r="AI73" s="844">
        <v>0</v>
      </c>
      <c r="AJ73" s="844">
        <v>1</v>
      </c>
      <c r="AL73" s="89"/>
      <c r="AN73" s="612">
        <f t="shared" si="42"/>
        <v>0</v>
      </c>
      <c r="AO73" s="844">
        <v>0</v>
      </c>
      <c r="AP73" s="844">
        <v>0</v>
      </c>
      <c r="AQ73" s="844">
        <v>0</v>
      </c>
      <c r="AR73" s="844">
        <v>0</v>
      </c>
      <c r="AS73" s="844">
        <v>0</v>
      </c>
      <c r="AT73" s="844">
        <v>0</v>
      </c>
      <c r="AU73" s="844">
        <v>0</v>
      </c>
      <c r="AV73" s="844">
        <v>0</v>
      </c>
      <c r="AW73" s="844">
        <v>0</v>
      </c>
      <c r="AX73" s="844">
        <v>0</v>
      </c>
      <c r="AY73" s="844">
        <v>0</v>
      </c>
      <c r="AZ73" s="844">
        <v>0</v>
      </c>
      <c r="BA73" s="844">
        <v>0</v>
      </c>
      <c r="BB73" s="844">
        <v>0</v>
      </c>
      <c r="BC73" s="844">
        <v>0</v>
      </c>
      <c r="BD73" s="844">
        <v>0</v>
      </c>
      <c r="BE73" s="844">
        <v>0</v>
      </c>
      <c r="BF73" s="844">
        <v>0</v>
      </c>
      <c r="BG73" s="844">
        <v>0</v>
      </c>
      <c r="BH73" s="844">
        <v>0</v>
      </c>
      <c r="BI73" s="844">
        <v>0</v>
      </c>
      <c r="BJ73" s="844">
        <v>1</v>
      </c>
    </row>
    <row r="74" spans="1:62" s="367" customFormat="1" ht="17.25" customHeight="1">
      <c r="A74" s="367">
        <f t="shared" si="19"/>
        <v>70</v>
      </c>
      <c r="B74" s="367">
        <f>tblIndicators!G71</f>
        <v>3</v>
      </c>
      <c r="C74" s="367">
        <f>tblIndicators!C71</f>
        <v>4</v>
      </c>
      <c r="D74" s="367" t="str">
        <f>tblIndicators!AL71</f>
        <v>4.4.2) E-waste management</v>
      </c>
      <c r="E74" s="367" t="str">
        <f t="shared" si="41"/>
        <v>4.4.2) E-waste management</v>
      </c>
      <c r="J74" s="367">
        <v>1</v>
      </c>
      <c r="M74" s="635"/>
      <c r="N74" s="635"/>
      <c r="O74" s="635"/>
      <c r="P74" s="635"/>
      <c r="Q74" s="830"/>
      <c r="R74" s="830"/>
      <c r="U74" s="23"/>
      <c r="V74" s="595">
        <f>INDEX(W74:AA74,$V$4)</f>
        <v>0</v>
      </c>
      <c r="W74" s="844">
        <v>0</v>
      </c>
      <c r="X74" s="595">
        <v>0</v>
      </c>
      <c r="Y74" s="595">
        <v>0</v>
      </c>
      <c r="Z74" s="830">
        <v>0</v>
      </c>
      <c r="AA74" s="844">
        <v>0</v>
      </c>
      <c r="AC74" s="89"/>
      <c r="AE74" s="595">
        <f t="shared" si="40"/>
        <v>0</v>
      </c>
      <c r="AF74" s="595">
        <v>0</v>
      </c>
      <c r="AG74" s="844">
        <v>0</v>
      </c>
      <c r="AH74" s="844">
        <v>0</v>
      </c>
      <c r="AI74" s="844">
        <v>0</v>
      </c>
      <c r="AJ74" s="844">
        <v>1</v>
      </c>
      <c r="AL74" s="89"/>
      <c r="AN74" s="612">
        <f t="shared" si="42"/>
        <v>0</v>
      </c>
      <c r="AO74" s="844">
        <v>0</v>
      </c>
      <c r="AP74" s="844">
        <v>0</v>
      </c>
      <c r="AQ74" s="844">
        <v>0</v>
      </c>
      <c r="AR74" s="844">
        <v>0</v>
      </c>
      <c r="AS74" s="844">
        <v>0</v>
      </c>
      <c r="AT74" s="844">
        <v>0</v>
      </c>
      <c r="AU74" s="844">
        <v>0</v>
      </c>
      <c r="AV74" s="844">
        <v>0</v>
      </c>
      <c r="AW74" s="844">
        <v>0</v>
      </c>
      <c r="AX74" s="844">
        <v>0</v>
      </c>
      <c r="AY74" s="844">
        <v>0</v>
      </c>
      <c r="AZ74" s="844">
        <v>0</v>
      </c>
      <c r="BA74" s="844">
        <v>0</v>
      </c>
      <c r="BB74" s="844">
        <v>0</v>
      </c>
      <c r="BC74" s="844">
        <v>0</v>
      </c>
      <c r="BD74" s="844">
        <v>0</v>
      </c>
      <c r="BE74" s="844">
        <v>0</v>
      </c>
      <c r="BF74" s="844">
        <v>0</v>
      </c>
      <c r="BG74" s="844">
        <v>0</v>
      </c>
      <c r="BH74" s="844">
        <v>0</v>
      </c>
      <c r="BI74" s="844">
        <v>0</v>
      </c>
      <c r="BJ74" s="844">
        <v>1</v>
      </c>
    </row>
  </sheetData>
  <conditionalFormatting sqref="AM5:BJ74 V5:AB74 AD5:AJ74 A5:T74">
    <cfRule type="expression" dxfId="16" priority="3">
      <formula>$B5=2</formula>
    </cfRule>
    <cfRule type="expression" dxfId="15" priority="4">
      <formula>$B5=1</formula>
    </cfRule>
  </conditionalFormatting>
  <conditionalFormatting sqref="AO75:BJ75">
    <cfRule type="expression" dxfId="14" priority="1">
      <formula>$B75=2</formula>
    </cfRule>
    <cfRule type="expression" dxfId="13" priority="2">
      <formula>$B75=1</formula>
    </cfRule>
  </conditionalFormatting>
  <pageMargins left="0.55118110236220474" right="0.55118110236220474" top="0.59055118110236227" bottom="0.78740157480314965" header="0.51181102362204722" footer="0.51181102362204722"/>
  <pageSetup paperSize="9" scale="32" orientation="landscape" r:id="rId1"/>
  <headerFooter alignWithMargins="0">
    <oddHeader>&amp;RCity Water Optimization Index: 2020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CO33"/>
  <sheetViews>
    <sheetView showRowColHeaders="0" zoomScaleNormal="100" workbookViewId="0">
      <pane xSplit="3" ySplit="2" topLeftCell="AC3" activePane="bottomRight" state="frozen"/>
      <selection activeCell="X1" sqref="X1"/>
      <selection pane="topRight" activeCell="X1" sqref="X1"/>
      <selection pane="bottomLeft" activeCell="X1" sqref="X1"/>
      <selection pane="bottomRight" activeCell="AL20" sqref="AL20"/>
    </sheetView>
  </sheetViews>
  <sheetFormatPr defaultColWidth="9.1796875" defaultRowHeight="14.5"/>
  <cols>
    <col min="1" max="1" width="5" style="565" bestFit="1" customWidth="1"/>
    <col min="2" max="2" width="5.7265625" customWidth="1"/>
    <col min="3" max="3" width="12.1796875" customWidth="1"/>
    <col min="4" max="4" width="8.453125" customWidth="1"/>
    <col min="5" max="5" width="12.7265625" bestFit="1" customWidth="1"/>
    <col min="6" max="6" width="6.453125" bestFit="1" customWidth="1"/>
    <col min="7" max="7" width="11" customWidth="1"/>
    <col min="8" max="13" width="5.7265625" customWidth="1"/>
    <col min="14" max="14" width="13.453125" customWidth="1"/>
    <col min="15" max="15" width="9.1796875" customWidth="1"/>
    <col min="16" max="18" width="2.1796875" customWidth="1"/>
    <col min="19" max="22" width="8.7265625" customWidth="1"/>
    <col min="23" max="23" width="2.1796875" customWidth="1"/>
    <col min="24" max="25" width="3.26953125" customWidth="1"/>
    <col min="27" max="38" width="6.26953125" style="272" customWidth="1"/>
    <col min="39" max="43" width="7.7265625" customWidth="1"/>
    <col min="44" max="44" width="30.26953125" bestFit="1" customWidth="1"/>
    <col min="45" max="45" width="25.453125" customWidth="1"/>
    <col min="46" max="46" width="7.7265625" customWidth="1"/>
    <col min="47" max="47" width="20.453125" bestFit="1" customWidth="1"/>
    <col min="48" max="48" width="21.7265625" bestFit="1" customWidth="1"/>
    <col min="49" max="49" width="31.7265625" customWidth="1"/>
    <col min="50" max="50" width="7.7265625" customWidth="1"/>
    <col min="51" max="51" width="31.453125" customWidth="1"/>
    <col min="52" max="69" width="4" style="272" customWidth="1"/>
    <col min="70" max="70" width="4" style="823" customWidth="1"/>
    <col min="71" max="75" width="4" style="272" customWidth="1"/>
  </cols>
  <sheetData>
    <row r="1" spans="1:93" ht="22.5" customHeight="1" thickBot="1">
      <c r="A1" s="130" t="s">
        <v>38</v>
      </c>
      <c r="B1" s="1" t="s">
        <v>577</v>
      </c>
      <c r="C1" s="1" t="s">
        <v>192</v>
      </c>
      <c r="D1" s="4" t="s">
        <v>332</v>
      </c>
      <c r="E1" s="3" t="s">
        <v>333</v>
      </c>
      <c r="F1" s="3" t="s">
        <v>28</v>
      </c>
      <c r="G1" s="105" t="s">
        <v>116</v>
      </c>
      <c r="H1" s="54"/>
      <c r="I1" s="1" t="s">
        <v>23</v>
      </c>
      <c r="J1" s="91" t="s">
        <v>193</v>
      </c>
      <c r="K1" s="3"/>
      <c r="L1" s="2" t="s">
        <v>11</v>
      </c>
      <c r="M1" s="7" t="s">
        <v>55</v>
      </c>
      <c r="N1" s="3"/>
      <c r="O1" s="3"/>
      <c r="P1" s="3" t="s">
        <v>43</v>
      </c>
      <c r="Q1" s="3"/>
      <c r="R1" s="3"/>
      <c r="S1" s="3"/>
      <c r="T1" s="3"/>
      <c r="U1" s="3">
        <v>1</v>
      </c>
      <c r="V1" s="3"/>
      <c r="W1" s="3"/>
      <c r="X1" s="3"/>
      <c r="Y1" s="3">
        <v>1</v>
      </c>
      <c r="Z1" s="3">
        <v>1</v>
      </c>
      <c r="AA1" s="296">
        <v>1</v>
      </c>
      <c r="AB1" s="296">
        <v>2</v>
      </c>
      <c r="AC1" s="296">
        <v>3</v>
      </c>
      <c r="AD1" s="296">
        <v>4</v>
      </c>
      <c r="AE1" s="296">
        <v>5</v>
      </c>
      <c r="AF1" s="296">
        <v>2</v>
      </c>
      <c r="AG1" s="296">
        <f t="shared" ref="AG1" si="0">AF1+1</f>
        <v>3</v>
      </c>
      <c r="AH1" s="296">
        <f t="shared" ref="AH1" si="1">AG1+1</f>
        <v>4</v>
      </c>
      <c r="AI1" s="296">
        <v>1</v>
      </c>
      <c r="AJ1" s="296">
        <v>2</v>
      </c>
      <c r="AK1" s="296">
        <v>3</v>
      </c>
      <c r="AL1" s="296">
        <v>4</v>
      </c>
      <c r="AM1" s="3"/>
      <c r="AN1" s="3">
        <v>1</v>
      </c>
      <c r="AO1" s="3">
        <v>3</v>
      </c>
      <c r="AP1" s="3"/>
      <c r="AQ1" s="3"/>
      <c r="AR1" s="293" t="str">
        <f>uxb_works!A17</f>
        <v>Regional_Group_Select</v>
      </c>
      <c r="AS1" s="293" t="b">
        <f>uxb_works!B17</f>
        <v>0</v>
      </c>
      <c r="AT1" s="293">
        <f>uxb_works!C17</f>
        <v>1</v>
      </c>
      <c r="AU1" s="37" t="str">
        <f>uxb_works!A16</f>
        <v>GROUP_A_SELECTION</v>
      </c>
      <c r="AV1" s="37">
        <f>uxb_works!B16</f>
        <v>1</v>
      </c>
      <c r="AW1" s="3" t="s">
        <v>321</v>
      </c>
      <c r="AX1" s="3" t="s">
        <v>320</v>
      </c>
      <c r="AY1" s="3"/>
      <c r="AZ1" s="296" t="s">
        <v>194</v>
      </c>
      <c r="BA1" s="296" t="s">
        <v>913</v>
      </c>
      <c r="BB1" s="296" t="s">
        <v>914</v>
      </c>
      <c r="BC1" s="296" t="s">
        <v>578</v>
      </c>
      <c r="BD1" s="296"/>
      <c r="BE1" s="296"/>
      <c r="BF1" s="296" t="s">
        <v>293</v>
      </c>
      <c r="BG1" s="822" t="str">
        <f>AA2</f>
        <v>APAC</v>
      </c>
      <c r="BH1" s="822" t="str">
        <f>AB2</f>
        <v>EUROPE</v>
      </c>
      <c r="BI1" s="822" t="str">
        <f>AC2</f>
        <v>LATAM</v>
      </c>
      <c r="BJ1" s="822" t="str">
        <f>AD2</f>
        <v>MEA</v>
      </c>
      <c r="BK1" s="822" t="str">
        <f>AE2</f>
        <v>NA</v>
      </c>
      <c r="BL1" s="296"/>
      <c r="BM1" s="296"/>
      <c r="BN1" s="296"/>
      <c r="BO1" s="296"/>
      <c r="BP1" s="296"/>
      <c r="BQ1" s="296"/>
      <c r="BS1" s="272" t="s">
        <v>293</v>
      </c>
      <c r="BT1" s="824" t="str">
        <f>AI2</f>
        <v>Population &lt; 5m</v>
      </c>
      <c r="BU1" s="824" t="str">
        <f t="shared" ref="BU1:BW1" si="2">AJ2</f>
        <v>Population 5-10m</v>
      </c>
      <c r="BV1" s="824" t="str">
        <f t="shared" si="2"/>
        <v>Population 10-15m</v>
      </c>
      <c r="BW1" s="824" t="str">
        <f t="shared" si="2"/>
        <v>Population 15m +</v>
      </c>
    </row>
    <row r="2" spans="1:93" ht="63" customHeight="1" thickBot="1">
      <c r="A2" s="131">
        <v>0</v>
      </c>
      <c r="B2" s="3">
        <f>COUNT(A3:A32)</f>
        <v>30</v>
      </c>
      <c r="C2" s="3" t="s">
        <v>12</v>
      </c>
      <c r="D2" s="5">
        <f>uxb_works!$B$8</f>
        <v>1</v>
      </c>
      <c r="E2" s="5">
        <f>uxb_works!$B$8</f>
        <v>1</v>
      </c>
      <c r="F2" s="5">
        <f>uxb_works!$B$7</f>
        <v>0</v>
      </c>
      <c r="G2" s="106"/>
      <c r="H2" s="54"/>
      <c r="I2" s="3" t="str">
        <f>C2</f>
        <v>&lt;none&gt;</v>
      </c>
      <c r="J2" s="6"/>
      <c r="K2" s="4">
        <v>0</v>
      </c>
      <c r="L2" s="54">
        <f>$O$6</f>
        <v>1</v>
      </c>
      <c r="M2" s="8"/>
      <c r="N2" s="3"/>
      <c r="O2" s="5"/>
      <c r="P2" s="3"/>
      <c r="Q2" s="3"/>
      <c r="R2" s="3"/>
      <c r="S2" s="3" t="s">
        <v>13</v>
      </c>
      <c r="T2" s="3">
        <v>50</v>
      </c>
      <c r="U2" s="3"/>
      <c r="V2" s="3"/>
      <c r="W2" s="3"/>
      <c r="X2" s="3"/>
      <c r="Y2" s="3"/>
      <c r="Z2" s="3" t="str">
        <f>INDEX($AT$3:$AT$7,Z1)</f>
        <v>&lt;no filter&gt;</v>
      </c>
      <c r="AA2" s="646" t="str">
        <f>INDEX($AR$4:$AR$9,AA1)</f>
        <v>APAC</v>
      </c>
      <c r="AB2" s="646" t="str">
        <f>INDEX($AR$4:$AR$9,AB1)</f>
        <v>EUROPE</v>
      </c>
      <c r="AC2" s="646" t="str">
        <f>INDEX($AR$4:$AR$9,AC1)</f>
        <v>LATAM</v>
      </c>
      <c r="AD2" s="646" t="str">
        <f>INDEX($AR$4:$AR$9,AD1)</f>
        <v>MEA</v>
      </c>
      <c r="AE2" s="646" t="str">
        <f>INDEX($AR$4:$AR$9,AE1)</f>
        <v>NA</v>
      </c>
      <c r="AF2" s="647" t="str">
        <f>INDEX($AU$3:$AU$7,AF1)</f>
        <v>Low &amp; lower middle income</v>
      </c>
      <c r="AG2" s="647" t="str">
        <f>INDEX($AU$3:$AU$7,AG1)</f>
        <v>Upper middle income</v>
      </c>
      <c r="AH2" s="647" t="str">
        <f>INDEX($AU$3:$AU$7,AH1)</f>
        <v>High income</v>
      </c>
      <c r="AI2" s="646" t="str">
        <f>INDEX($AS$4:$AS$13,AI1)</f>
        <v>Population &lt; 5m</v>
      </c>
      <c r="AJ2" s="646" t="str">
        <f>INDEX($AS$4:$AS$13,AJ1)</f>
        <v>Population 5-10m</v>
      </c>
      <c r="AK2" s="646" t="str">
        <f>INDEX($AS$4:$AS$13,AK1)</f>
        <v>Population 10-15m</v>
      </c>
      <c r="AL2" s="646" t="str">
        <f>INDEX($AS$4:$AS$13,AL1)</f>
        <v>Population 15m +</v>
      </c>
      <c r="AM2" s="3"/>
      <c r="AN2" s="3">
        <f>INDEX(tblIndiSets!$A$328:$A$331,tblTerritories!AN1)</f>
        <v>0</v>
      </c>
      <c r="AO2" s="3">
        <f>INDEX(tblIndiSets!$A$328:$A$331,tblTerritories!AO1)</f>
        <v>0</v>
      </c>
      <c r="AP2" s="3"/>
      <c r="AQ2" s="3"/>
      <c r="AR2" s="296">
        <v>6</v>
      </c>
      <c r="AS2" s="296">
        <v>5</v>
      </c>
      <c r="AT2" s="310">
        <f>CHOOSE($AV$1,AU2,AV2)</f>
        <v>4</v>
      </c>
      <c r="AU2" s="296">
        <v>4</v>
      </c>
      <c r="AV2" s="296">
        <v>4</v>
      </c>
      <c r="AW2" s="296"/>
      <c r="AX2" s="309">
        <v>6</v>
      </c>
      <c r="AY2" s="3">
        <f>COUNTIF(AY3:AY7,"&lt;&gt;0")</f>
        <v>5</v>
      </c>
      <c r="AZ2" s="296">
        <f>COUNTIF(AZ3:AZ32,"&gt;0")</f>
        <v>30</v>
      </c>
      <c r="BA2" s="296">
        <f>uxb_works!$B$12</f>
        <v>1</v>
      </c>
      <c r="BB2" s="296">
        <f>uxb_works!$B$10</f>
        <v>1</v>
      </c>
      <c r="BC2" s="296">
        <f>uxb_works!$B$158</f>
        <v>1</v>
      </c>
      <c r="BD2" s="296"/>
      <c r="BE2" s="296"/>
      <c r="BF2" s="296"/>
      <c r="BG2" s="296"/>
      <c r="BH2" s="296"/>
      <c r="BI2" s="296"/>
      <c r="BJ2" s="296"/>
      <c r="BK2" s="296"/>
      <c r="BL2" s="296"/>
      <c r="BM2" s="296"/>
      <c r="BN2" s="296"/>
      <c r="BO2" s="296"/>
      <c r="BP2" s="296"/>
      <c r="BQ2" s="296"/>
      <c r="BR2" s="825"/>
    </row>
    <row r="3" spans="1:93">
      <c r="A3" s="131">
        <f>A2+1</f>
        <v>1</v>
      </c>
      <c r="B3" s="367"/>
      <c r="C3" s="367" t="s">
        <v>890</v>
      </c>
      <c r="D3" s="3">
        <f>AZ3</f>
        <v>1</v>
      </c>
      <c r="E3" s="3">
        <f>IF($E$2=1,0,INDEX(Z3:AL3,$E$2))</f>
        <v>0</v>
      </c>
      <c r="F3" s="3">
        <f>IF(A3=$F$2,3,IF(D3=0,0,IF(E3=1,2,1)))</f>
        <v>1</v>
      </c>
      <c r="G3" s="106">
        <f>F3</f>
        <v>1</v>
      </c>
      <c r="H3" s="54">
        <f>IF(G3=3,3,MAX(G3,L3))</f>
        <v>1</v>
      </c>
      <c r="I3" s="3" t="str">
        <f>C3</f>
        <v>Amsterdam</v>
      </c>
      <c r="J3" s="16" t="str">
        <f>C3</f>
        <v>Amsterdam</v>
      </c>
      <c r="K3" s="5">
        <f t="shared" ref="K3:K32" si="3">IF(A3=$O$3,3,IF(D3=0,0,IF(INDEX($Y3:$AQ3,$O$4)=1,2,1)))</f>
        <v>1</v>
      </c>
      <c r="L3" s="54">
        <f t="shared" ref="L3:L32" si="4">IF(OR($E$2=$L$2,$L$2=1),0,INDEX($Z3:$AQ3,$L$2)*5)</f>
        <v>0</v>
      </c>
      <c r="M3" s="107"/>
      <c r="N3" s="3" t="s">
        <v>53</v>
      </c>
      <c r="O3" s="5">
        <f>uxb_works!B7</f>
        <v>0</v>
      </c>
      <c r="P3" s="3">
        <f>MATCH(1,AA3:AQ3,0)</f>
        <v>2</v>
      </c>
      <c r="Q3" s="3"/>
      <c r="R3" s="3">
        <v>1</v>
      </c>
      <c r="S3" s="3" t="s">
        <v>12</v>
      </c>
      <c r="T3" s="3">
        <f>IF(F3=0,"",A3)</f>
        <v>1</v>
      </c>
      <c r="U3" s="3">
        <f>IF(F3=0,"",RANK(T3,T$3:T$32,$U$1)+COUNTIF(T$3:T3,T3)-1)</f>
        <v>1</v>
      </c>
      <c r="V3" s="3">
        <f t="shared" ref="V3:V32" si="5">IF(ISERROR(MATCH($A3,U$3:U$32,0)),"",MATCH($A3,U$3:U$32,0))</f>
        <v>1</v>
      </c>
      <c r="W3" s="3"/>
      <c r="X3" s="3"/>
      <c r="Y3" s="3">
        <v>0</v>
      </c>
      <c r="Z3" s="3">
        <v>1</v>
      </c>
      <c r="AA3" s="642">
        <v>0</v>
      </c>
      <c r="AB3" s="642">
        <v>1</v>
      </c>
      <c r="AC3" s="642">
        <v>0</v>
      </c>
      <c r="AD3" s="642">
        <v>0</v>
      </c>
      <c r="AE3" s="645">
        <v>0</v>
      </c>
      <c r="AF3" s="641">
        <v>0</v>
      </c>
      <c r="AG3" s="641">
        <v>0</v>
      </c>
      <c r="AH3" s="641">
        <v>1</v>
      </c>
      <c r="AI3" s="643">
        <v>1</v>
      </c>
      <c r="AJ3" s="643">
        <v>0</v>
      </c>
      <c r="AK3" s="643">
        <v>0</v>
      </c>
      <c r="AL3" s="643">
        <v>0</v>
      </c>
      <c r="AN3" s="367">
        <f>MATCH(1,AA3:AE3,0)</f>
        <v>2</v>
      </c>
      <c r="AO3">
        <f>MATCH(1,AF3:AH3,0)</f>
        <v>3</v>
      </c>
      <c r="AR3" s="111" t="s">
        <v>334</v>
      </c>
      <c r="AS3" s="111" t="s">
        <v>334</v>
      </c>
      <c r="AT3" s="112" t="str">
        <f>CHOOSE($AV$1,AU3,AV3)</f>
        <v>&lt;no filter&gt;</v>
      </c>
      <c r="AU3" s="111" t="s">
        <v>334</v>
      </c>
      <c r="AV3" s="111" t="s">
        <v>334</v>
      </c>
      <c r="AW3" s="251" t="s">
        <v>1171</v>
      </c>
      <c r="AX3" s="111" t="s">
        <v>334</v>
      </c>
      <c r="AY3" s="294"/>
      <c r="AZ3" s="296">
        <f>BA3*BB3*BC3</f>
        <v>1</v>
      </c>
      <c r="BA3" s="296" cm="1">
        <f t="array" ref="BA3">INDEX(BF3:BK3,$BA$2)</f>
        <v>1</v>
      </c>
      <c r="BB3" s="296">
        <f>INDEX(BN3:BQ3,$BB$2)</f>
        <v>1</v>
      </c>
      <c r="BC3" s="296">
        <f>INDEX(BS3:BW3,$BC$2)</f>
        <v>1</v>
      </c>
      <c r="BD3" s="296"/>
      <c r="BE3" s="296"/>
      <c r="BF3" s="296">
        <v>1</v>
      </c>
      <c r="BG3" s="296">
        <f t="shared" ref="BG3:BG32" si="6">AA3</f>
        <v>0</v>
      </c>
      <c r="BH3" s="296">
        <f t="shared" ref="BH3:BH32" si="7">AB3</f>
        <v>1</v>
      </c>
      <c r="BI3" s="296">
        <f t="shared" ref="BI3:BI32" si="8">AC3</f>
        <v>0</v>
      </c>
      <c r="BJ3" s="296">
        <f t="shared" ref="BJ3:BJ32" si="9">AD3</f>
        <v>0</v>
      </c>
      <c r="BK3" s="296">
        <f t="shared" ref="BK3:BK32" si="10">AE3</f>
        <v>0</v>
      </c>
      <c r="BL3" s="296"/>
      <c r="BM3" s="296"/>
      <c r="BN3" s="296">
        <v>1</v>
      </c>
      <c r="BO3" s="296">
        <f>AF3</f>
        <v>0</v>
      </c>
      <c r="BP3" s="296">
        <f t="shared" ref="BP3:BQ3" si="11">AG3</f>
        <v>0</v>
      </c>
      <c r="BQ3" s="296">
        <f t="shared" si="11"/>
        <v>1</v>
      </c>
      <c r="BR3" s="825"/>
      <c r="BS3" s="272">
        <v>1</v>
      </c>
      <c r="BT3" s="824">
        <f t="shared" ref="BT3:BT32" si="12">AI3</f>
        <v>1</v>
      </c>
      <c r="BU3" s="824">
        <f t="shared" ref="BU3:BW18" si="13">AJ3</f>
        <v>0</v>
      </c>
      <c r="BV3" s="824">
        <f t="shared" si="13"/>
        <v>0</v>
      </c>
      <c r="BW3" s="824">
        <f t="shared" si="13"/>
        <v>0</v>
      </c>
    </row>
    <row r="4" spans="1:93">
      <c r="A4" s="131">
        <f>A3+1</f>
        <v>2</v>
      </c>
      <c r="B4" s="367"/>
      <c r="C4" s="367" t="s">
        <v>891</v>
      </c>
      <c r="D4" s="3">
        <f t="shared" ref="D4:D32" si="14">AZ4</f>
        <v>1</v>
      </c>
      <c r="E4" s="3">
        <f t="shared" ref="E4:E32" si="15">IF($E$2=1,0,INDEX(Z4:AL4,$E$2))</f>
        <v>0</v>
      </c>
      <c r="F4" s="3">
        <f t="shared" ref="F4:F32" si="16">IF(A4=$F$2,3,IF(D4=0,0,IF(E4=1,2,1)))</f>
        <v>1</v>
      </c>
      <c r="G4" s="106">
        <f t="shared" ref="G4:G32" si="17">F4</f>
        <v>1</v>
      </c>
      <c r="H4" s="54">
        <f t="shared" ref="H4:H32" si="18">IF(G4=3,3,MAX(G4,L4))</f>
        <v>1</v>
      </c>
      <c r="I4" s="3" t="str">
        <f t="shared" ref="I4:I32" si="19">C4</f>
        <v>Auckland</v>
      </c>
      <c r="J4" s="16" t="str">
        <f t="shared" ref="J4:J32" si="20">C4</f>
        <v>Auckland</v>
      </c>
      <c r="K4" s="5">
        <f t="shared" si="3"/>
        <v>1</v>
      </c>
      <c r="L4" s="54">
        <f t="shared" si="4"/>
        <v>0</v>
      </c>
      <c r="M4" s="110"/>
      <c r="N4" s="3" t="s">
        <v>14</v>
      </c>
      <c r="O4" s="5">
        <f>IF(uxb_works!B9=2,1,uxb_works!B9)</f>
        <v>1</v>
      </c>
      <c r="P4" s="3">
        <f>MATCH(1,AA4:AQ4,0)</f>
        <v>1</v>
      </c>
      <c r="Q4" s="3"/>
      <c r="R4" s="3">
        <v>2</v>
      </c>
      <c r="S4" s="6" t="s">
        <v>195</v>
      </c>
      <c r="T4" s="3">
        <f t="shared" ref="T4:T32" si="21">IF(F4=0,"",A4)</f>
        <v>2</v>
      </c>
      <c r="U4" s="3">
        <f>IF(F4=0,"",RANK(T4,T$3:T$32,$U$1)+COUNTIF(T$3:T4,T4)-1)</f>
        <v>2</v>
      </c>
      <c r="V4" s="3">
        <f t="shared" si="5"/>
        <v>2</v>
      </c>
      <c r="W4" s="3"/>
      <c r="X4" s="3"/>
      <c r="Y4" s="3">
        <v>0</v>
      </c>
      <c r="Z4" s="3">
        <v>1</v>
      </c>
      <c r="AA4" s="642">
        <v>1</v>
      </c>
      <c r="AB4" s="642">
        <v>0</v>
      </c>
      <c r="AC4" s="642">
        <v>0</v>
      </c>
      <c r="AD4" s="642">
        <v>0</v>
      </c>
      <c r="AE4" s="645">
        <v>0</v>
      </c>
      <c r="AF4" s="641">
        <v>0</v>
      </c>
      <c r="AG4" s="641">
        <v>0</v>
      </c>
      <c r="AH4" s="641">
        <v>1</v>
      </c>
      <c r="AI4" s="643">
        <v>1</v>
      </c>
      <c r="AJ4" s="643">
        <v>0</v>
      </c>
      <c r="AK4" s="643">
        <v>0</v>
      </c>
      <c r="AL4" s="643">
        <v>0</v>
      </c>
      <c r="AM4" s="367"/>
      <c r="AN4" s="367">
        <f t="shared" ref="AN4:AN32" si="22">MATCH(1,AA4:AE4,0)</f>
        <v>1</v>
      </c>
      <c r="AO4" s="367">
        <f t="shared" ref="AO4:AO32" si="23">MATCH(1,AF4:AH4,0)</f>
        <v>3</v>
      </c>
      <c r="AP4" s="367"/>
      <c r="AR4" s="337" t="s">
        <v>886</v>
      </c>
      <c r="AS4" s="337" t="s">
        <v>882</v>
      </c>
      <c r="AT4" s="112" t="str">
        <f>CHOOSE($AV$1,AU4,AV4)</f>
        <v>Low &amp; lower middle income</v>
      </c>
      <c r="AU4" s="326" t="s">
        <v>717</v>
      </c>
      <c r="AV4" s="326"/>
      <c r="AW4" s="54" t="str" cm="1">
        <f t="array" ref="AW4">INDEX($AA$2:$AL$2,A3)</f>
        <v>APAC</v>
      </c>
      <c r="AX4" s="336" t="str">
        <f>CHOOSE($AT$1,AR4,AS4)</f>
        <v>APAC</v>
      </c>
      <c r="AY4" s="10"/>
      <c r="AZ4" s="296">
        <f t="shared" ref="AZ4:AZ32" si="24">BA4*BB4*BC4</f>
        <v>1</v>
      </c>
      <c r="BA4" s="296" cm="1">
        <f t="array" ref="BA4">INDEX(BF4:BK4,$BA$2)</f>
        <v>1</v>
      </c>
      <c r="BB4" s="296">
        <f t="shared" ref="BB4:BB32" si="25">INDEX(BN4:BQ4,$BB$2)</f>
        <v>1</v>
      </c>
      <c r="BC4" s="296">
        <f t="shared" ref="BC4:BC32" si="26">INDEX(BS4:BW4,$BC$2)</f>
        <v>1</v>
      </c>
      <c r="BD4" s="296"/>
      <c r="BE4" s="296"/>
      <c r="BF4" s="296">
        <v>1</v>
      </c>
      <c r="BG4" s="296">
        <f t="shared" si="6"/>
        <v>1</v>
      </c>
      <c r="BH4" s="296">
        <f t="shared" si="7"/>
        <v>0</v>
      </c>
      <c r="BI4" s="296">
        <f t="shared" si="8"/>
        <v>0</v>
      </c>
      <c r="BJ4" s="296">
        <f t="shared" si="9"/>
        <v>0</v>
      </c>
      <c r="BK4" s="296">
        <f t="shared" si="10"/>
        <v>0</v>
      </c>
      <c r="BL4" s="296"/>
      <c r="BM4" s="296"/>
      <c r="BN4" s="296">
        <v>1</v>
      </c>
      <c r="BO4" s="296">
        <f t="shared" ref="BO4:BO32" si="27">AF4</f>
        <v>0</v>
      </c>
      <c r="BP4" s="296">
        <f t="shared" ref="BP4:BP32" si="28">AG4</f>
        <v>0</v>
      </c>
      <c r="BQ4" s="296">
        <f t="shared" ref="BQ4:BQ32" si="29">AH4</f>
        <v>1</v>
      </c>
      <c r="BR4" s="825"/>
      <c r="BS4" s="272">
        <v>1</v>
      </c>
      <c r="BT4" s="824">
        <f t="shared" si="12"/>
        <v>1</v>
      </c>
      <c r="BU4" s="824">
        <f t="shared" si="13"/>
        <v>0</v>
      </c>
      <c r="BV4" s="824">
        <f t="shared" si="13"/>
        <v>0</v>
      </c>
      <c r="BW4" s="824">
        <f t="shared" si="13"/>
        <v>0</v>
      </c>
      <c r="BX4" s="367"/>
      <c r="BY4" s="367"/>
      <c r="BZ4" s="367"/>
      <c r="CA4" s="367"/>
      <c r="CB4" s="367"/>
      <c r="CC4" s="367"/>
      <c r="CD4" s="367"/>
      <c r="CE4" s="367"/>
      <c r="CF4" s="367"/>
      <c r="CG4" s="367"/>
      <c r="CH4" s="367"/>
      <c r="CI4" s="367"/>
      <c r="CJ4" s="367"/>
      <c r="CK4" s="367"/>
      <c r="CL4" s="367"/>
      <c r="CM4" s="367"/>
      <c r="CN4" s="367"/>
      <c r="CO4" s="367"/>
    </row>
    <row r="5" spans="1:93">
      <c r="A5" s="131">
        <f t="shared" ref="A5:A32" si="30">A4+1</f>
        <v>3</v>
      </c>
      <c r="B5" s="367"/>
      <c r="C5" s="367" t="s">
        <v>630</v>
      </c>
      <c r="D5" s="3">
        <f t="shared" si="14"/>
        <v>1</v>
      </c>
      <c r="E5" s="3">
        <f t="shared" si="15"/>
        <v>0</v>
      </c>
      <c r="F5" s="3">
        <f t="shared" si="16"/>
        <v>1</v>
      </c>
      <c r="G5" s="106">
        <f t="shared" si="17"/>
        <v>1</v>
      </c>
      <c r="H5" s="54">
        <f t="shared" si="18"/>
        <v>1</v>
      </c>
      <c r="I5" s="3" t="str">
        <f t="shared" si="19"/>
        <v>Bangkok</v>
      </c>
      <c r="J5" s="16" t="str">
        <f t="shared" si="20"/>
        <v>Bangkok</v>
      </c>
      <c r="K5" s="5">
        <f t="shared" si="3"/>
        <v>1</v>
      </c>
      <c r="L5" s="54">
        <f t="shared" si="4"/>
        <v>0</v>
      </c>
      <c r="M5" s="110"/>
      <c r="N5" s="3" t="s">
        <v>15</v>
      </c>
      <c r="O5" s="5">
        <f>uxb_works!B10</f>
        <v>1</v>
      </c>
      <c r="Q5" s="3"/>
      <c r="R5" s="3"/>
      <c r="T5" s="3">
        <f t="shared" si="21"/>
        <v>3</v>
      </c>
      <c r="U5" s="3">
        <f>IF(F5=0,"",RANK(T5,T$3:T$32,$U$1)+COUNTIF(T$3:T5,T5)-1)</f>
        <v>3</v>
      </c>
      <c r="V5" s="3">
        <f t="shared" si="5"/>
        <v>3</v>
      </c>
      <c r="W5" s="3"/>
      <c r="X5" s="3"/>
      <c r="Y5" s="3">
        <v>0</v>
      </c>
      <c r="Z5" s="3">
        <v>1</v>
      </c>
      <c r="AA5" s="642">
        <v>1</v>
      </c>
      <c r="AB5" s="642">
        <v>0</v>
      </c>
      <c r="AC5" s="642">
        <v>0</v>
      </c>
      <c r="AD5" s="642">
        <v>0</v>
      </c>
      <c r="AE5" s="645">
        <v>0</v>
      </c>
      <c r="AF5" s="641">
        <v>0</v>
      </c>
      <c r="AG5" s="641">
        <v>1</v>
      </c>
      <c r="AH5" s="641">
        <v>0</v>
      </c>
      <c r="AI5" s="643">
        <v>0</v>
      </c>
      <c r="AJ5" s="643">
        <v>0</v>
      </c>
      <c r="AK5" s="643">
        <v>1</v>
      </c>
      <c r="AL5" s="643">
        <v>0</v>
      </c>
      <c r="AM5" s="367"/>
      <c r="AN5" s="367">
        <f t="shared" si="22"/>
        <v>1</v>
      </c>
      <c r="AO5" s="367">
        <f t="shared" si="23"/>
        <v>2</v>
      </c>
      <c r="AP5" s="367"/>
      <c r="AR5" s="337" t="s">
        <v>977</v>
      </c>
      <c r="AS5" s="337" t="s">
        <v>883</v>
      </c>
      <c r="AT5" s="112" t="str">
        <f t="shared" ref="AT5:AT6" si="31">CHOOSE($AV$1,AU5,AV5)</f>
        <v>Upper middle income</v>
      </c>
      <c r="AU5" s="326" t="s">
        <v>458</v>
      </c>
      <c r="AV5" s="326"/>
      <c r="AW5" s="54" t="str" cm="1">
        <f t="array" ref="AW5">INDEX($AA$2:$AL$2,A4)</f>
        <v>EUROPE</v>
      </c>
      <c r="AX5" s="336" t="str">
        <f>CHOOSE($AT$1,AR5,AS5)</f>
        <v>EUROPE</v>
      </c>
      <c r="AY5" s="10"/>
      <c r="AZ5" s="296">
        <f t="shared" si="24"/>
        <v>1</v>
      </c>
      <c r="BA5" s="296" cm="1">
        <f t="array" ref="BA5">INDEX(BF5:BK5,$BA$2)</f>
        <v>1</v>
      </c>
      <c r="BB5" s="296">
        <f t="shared" si="25"/>
        <v>1</v>
      </c>
      <c r="BC5" s="296">
        <f t="shared" si="26"/>
        <v>1</v>
      </c>
      <c r="BD5" s="296"/>
      <c r="BE5" s="296"/>
      <c r="BF5" s="296">
        <v>1</v>
      </c>
      <c r="BG5" s="296">
        <f t="shared" si="6"/>
        <v>1</v>
      </c>
      <c r="BH5" s="296">
        <f t="shared" si="7"/>
        <v>0</v>
      </c>
      <c r="BI5" s="296">
        <f t="shared" si="8"/>
        <v>0</v>
      </c>
      <c r="BJ5" s="296">
        <f t="shared" si="9"/>
        <v>0</v>
      </c>
      <c r="BK5" s="296">
        <f t="shared" si="10"/>
        <v>0</v>
      </c>
      <c r="BL5" s="296"/>
      <c r="BM5" s="296"/>
      <c r="BN5" s="296">
        <v>1</v>
      </c>
      <c r="BO5" s="296">
        <f t="shared" si="27"/>
        <v>0</v>
      </c>
      <c r="BP5" s="296">
        <f t="shared" si="28"/>
        <v>1</v>
      </c>
      <c r="BQ5" s="296">
        <f t="shared" si="29"/>
        <v>0</v>
      </c>
      <c r="BR5" s="825"/>
      <c r="BS5" s="272">
        <v>1</v>
      </c>
      <c r="BT5" s="824">
        <f t="shared" si="12"/>
        <v>0</v>
      </c>
      <c r="BU5" s="824">
        <f t="shared" si="13"/>
        <v>0</v>
      </c>
      <c r="BV5" s="824">
        <f t="shared" si="13"/>
        <v>1</v>
      </c>
      <c r="BW5" s="824">
        <f t="shared" si="13"/>
        <v>0</v>
      </c>
      <c r="BX5" s="367"/>
      <c r="BY5" s="367"/>
      <c r="BZ5" s="367"/>
      <c r="CA5" s="367"/>
      <c r="CB5" s="367"/>
      <c r="CC5" s="367"/>
      <c r="CD5" s="367"/>
      <c r="CE5" s="367"/>
      <c r="CF5" s="367"/>
      <c r="CG5" s="367"/>
      <c r="CH5" s="367"/>
      <c r="CI5" s="367"/>
      <c r="CJ5" s="367"/>
      <c r="CK5" s="367"/>
      <c r="CL5" s="367"/>
      <c r="CM5" s="367"/>
      <c r="CN5" s="367"/>
      <c r="CO5" s="367"/>
    </row>
    <row r="6" spans="1:93" ht="15" thickBot="1">
      <c r="A6" s="131">
        <f t="shared" si="30"/>
        <v>4</v>
      </c>
      <c r="B6" s="367"/>
      <c r="C6" s="367" t="s">
        <v>892</v>
      </c>
      <c r="D6" s="3">
        <f t="shared" si="14"/>
        <v>1</v>
      </c>
      <c r="E6" s="3">
        <f t="shared" si="15"/>
        <v>0</v>
      </c>
      <c r="F6" s="3">
        <f t="shared" si="16"/>
        <v>1</v>
      </c>
      <c r="G6" s="106">
        <f t="shared" si="17"/>
        <v>1</v>
      </c>
      <c r="H6" s="54">
        <f t="shared" si="18"/>
        <v>1</v>
      </c>
      <c r="I6" s="3" t="str">
        <f t="shared" si="19"/>
        <v>Barcelona</v>
      </c>
      <c r="J6" s="16" t="str">
        <f t="shared" si="20"/>
        <v>Barcelona</v>
      </c>
      <c r="K6" s="5">
        <f t="shared" si="3"/>
        <v>1</v>
      </c>
      <c r="L6" s="54">
        <f t="shared" si="4"/>
        <v>0</v>
      </c>
      <c r="M6" s="110"/>
      <c r="N6" s="3" t="str">
        <f>uxb_works!A143</f>
        <v>INDICATOR_RANKING_2ND_HL_PLUSNONE</v>
      </c>
      <c r="O6" s="3">
        <f>uxb_works!B143</f>
        <v>1</v>
      </c>
      <c r="Q6" s="3"/>
      <c r="R6" s="3"/>
      <c r="S6" s="367"/>
      <c r="T6" s="3">
        <f t="shared" si="21"/>
        <v>4</v>
      </c>
      <c r="U6" s="3">
        <f>IF(F6=0,"",RANK(T6,T$3:T$32,$U$1)+COUNTIF(T$3:T6,T6)-1)</f>
        <v>4</v>
      </c>
      <c r="V6" s="3">
        <f t="shared" si="5"/>
        <v>4</v>
      </c>
      <c r="W6" s="3"/>
      <c r="X6" s="3"/>
      <c r="Y6" s="3">
        <v>0</v>
      </c>
      <c r="Z6" s="3">
        <v>1</v>
      </c>
      <c r="AA6" s="642">
        <v>0</v>
      </c>
      <c r="AB6" s="642">
        <v>1</v>
      </c>
      <c r="AC6" s="642">
        <v>0</v>
      </c>
      <c r="AD6" s="642">
        <v>0</v>
      </c>
      <c r="AE6" s="645">
        <v>0</v>
      </c>
      <c r="AF6" s="641">
        <v>0</v>
      </c>
      <c r="AG6" s="641">
        <v>0</v>
      </c>
      <c r="AH6" s="641">
        <v>1</v>
      </c>
      <c r="AI6" s="643">
        <v>0</v>
      </c>
      <c r="AJ6" s="643">
        <v>1</v>
      </c>
      <c r="AK6" s="643">
        <v>0</v>
      </c>
      <c r="AL6" s="643">
        <v>0</v>
      </c>
      <c r="AM6" s="367"/>
      <c r="AN6" s="367">
        <f t="shared" si="22"/>
        <v>2</v>
      </c>
      <c r="AO6" s="367">
        <f t="shared" si="23"/>
        <v>3</v>
      </c>
      <c r="AP6" s="367"/>
      <c r="AR6" s="337" t="s">
        <v>887</v>
      </c>
      <c r="AS6" s="337" t="s">
        <v>884</v>
      </c>
      <c r="AT6" s="112" t="str">
        <f t="shared" si="31"/>
        <v>High income</v>
      </c>
      <c r="AU6" s="326" t="s">
        <v>297</v>
      </c>
      <c r="AV6" s="326"/>
      <c r="AW6" s="54" t="str" cm="1">
        <f t="array" ref="AW6">INDEX($AA$2:$AL$2,A5)</f>
        <v>LATAM</v>
      </c>
      <c r="AX6" s="336" t="str">
        <f>CHOOSE($AT$1,AR6,AS6)</f>
        <v>LATAM</v>
      </c>
      <c r="AY6" s="10"/>
      <c r="AZ6" s="296">
        <f t="shared" si="24"/>
        <v>1</v>
      </c>
      <c r="BA6" s="296" cm="1">
        <f t="array" ref="BA6">INDEX(BF6:BK6,$BA$2)</f>
        <v>1</v>
      </c>
      <c r="BB6" s="296">
        <f t="shared" si="25"/>
        <v>1</v>
      </c>
      <c r="BC6" s="296">
        <f t="shared" si="26"/>
        <v>1</v>
      </c>
      <c r="BD6" s="296"/>
      <c r="BE6" s="296"/>
      <c r="BF6" s="296">
        <v>1</v>
      </c>
      <c r="BG6" s="296">
        <f t="shared" si="6"/>
        <v>0</v>
      </c>
      <c r="BH6" s="296">
        <f t="shared" si="7"/>
        <v>1</v>
      </c>
      <c r="BI6" s="296">
        <f t="shared" si="8"/>
        <v>0</v>
      </c>
      <c r="BJ6" s="296">
        <f t="shared" si="9"/>
        <v>0</v>
      </c>
      <c r="BK6" s="296">
        <f t="shared" si="10"/>
        <v>0</v>
      </c>
      <c r="BL6" s="296"/>
      <c r="BM6" s="296"/>
      <c r="BN6" s="296">
        <v>1</v>
      </c>
      <c r="BO6" s="296">
        <f t="shared" si="27"/>
        <v>0</v>
      </c>
      <c r="BP6" s="296">
        <f t="shared" si="28"/>
        <v>0</v>
      </c>
      <c r="BQ6" s="296">
        <f t="shared" si="29"/>
        <v>1</v>
      </c>
      <c r="BR6" s="825"/>
      <c r="BS6" s="272">
        <v>1</v>
      </c>
      <c r="BT6" s="824">
        <f t="shared" si="12"/>
        <v>0</v>
      </c>
      <c r="BU6" s="824">
        <f t="shared" si="13"/>
        <v>1</v>
      </c>
      <c r="BV6" s="824">
        <f t="shared" si="13"/>
        <v>0</v>
      </c>
      <c r="BW6" s="824">
        <f t="shared" si="13"/>
        <v>0</v>
      </c>
      <c r="BX6" s="367"/>
      <c r="BY6" s="367"/>
      <c r="BZ6" s="367"/>
      <c r="CA6" s="367"/>
      <c r="CB6" s="367"/>
      <c r="CC6" s="367"/>
      <c r="CD6" s="367"/>
      <c r="CE6" s="367"/>
      <c r="CF6" s="367"/>
      <c r="CG6" s="367"/>
      <c r="CH6" s="367"/>
      <c r="CI6" s="367"/>
      <c r="CJ6" s="367"/>
      <c r="CK6" s="367"/>
      <c r="CL6" s="367"/>
      <c r="CM6" s="367"/>
      <c r="CN6" s="367"/>
      <c r="CO6" s="367"/>
    </row>
    <row r="7" spans="1:93" ht="15" thickBot="1">
      <c r="A7" s="131">
        <f t="shared" si="30"/>
        <v>5</v>
      </c>
      <c r="B7" s="367"/>
      <c r="C7" s="367" t="s">
        <v>893</v>
      </c>
      <c r="D7" s="3">
        <f t="shared" si="14"/>
        <v>1</v>
      </c>
      <c r="E7" s="3">
        <f t="shared" si="15"/>
        <v>0</v>
      </c>
      <c r="F7" s="3">
        <f t="shared" si="16"/>
        <v>1</v>
      </c>
      <c r="G7" s="106">
        <f t="shared" si="17"/>
        <v>1</v>
      </c>
      <c r="H7" s="54">
        <f t="shared" si="18"/>
        <v>1</v>
      </c>
      <c r="I7" s="3" t="str">
        <f t="shared" si="19"/>
        <v>Beijing</v>
      </c>
      <c r="J7" s="16" t="str">
        <f t="shared" si="20"/>
        <v>Beijing</v>
      </c>
      <c r="K7" s="5">
        <f t="shared" si="3"/>
        <v>1</v>
      </c>
      <c r="L7" s="54">
        <f t="shared" si="4"/>
        <v>0</v>
      </c>
      <c r="M7" s="110"/>
      <c r="N7" s="303"/>
      <c r="O7" s="303"/>
      <c r="Q7" s="3"/>
      <c r="R7" s="3"/>
      <c r="S7" s="367"/>
      <c r="T7" s="3">
        <f t="shared" si="21"/>
        <v>5</v>
      </c>
      <c r="U7" s="3">
        <f>IF(F7=0,"",RANK(T7,T$3:T$32,$U$1)+COUNTIF(T$3:T7,T7)-1)</f>
        <v>5</v>
      </c>
      <c r="V7" s="3">
        <f t="shared" si="5"/>
        <v>5</v>
      </c>
      <c r="W7" s="3"/>
      <c r="X7" s="3"/>
      <c r="Y7" s="3">
        <v>0</v>
      </c>
      <c r="Z7" s="3">
        <v>1</v>
      </c>
      <c r="AA7" s="642">
        <v>1</v>
      </c>
      <c r="AB7" s="642">
        <v>0</v>
      </c>
      <c r="AC7" s="642">
        <v>0</v>
      </c>
      <c r="AD7" s="642">
        <v>0</v>
      </c>
      <c r="AE7" s="645">
        <v>0</v>
      </c>
      <c r="AF7" s="641">
        <v>0</v>
      </c>
      <c r="AG7" s="641">
        <v>1</v>
      </c>
      <c r="AH7" s="641">
        <v>0</v>
      </c>
      <c r="AI7" s="643">
        <v>0</v>
      </c>
      <c r="AJ7" s="643">
        <v>0</v>
      </c>
      <c r="AK7" s="643">
        <v>0</v>
      </c>
      <c r="AL7" s="643">
        <v>1</v>
      </c>
      <c r="AM7" s="367"/>
      <c r="AN7" s="367">
        <f t="shared" si="22"/>
        <v>1</v>
      </c>
      <c r="AO7" s="367">
        <f t="shared" si="23"/>
        <v>2</v>
      </c>
      <c r="AP7" s="367"/>
      <c r="AR7" s="337" t="s">
        <v>888</v>
      </c>
      <c r="AS7" s="337" t="s">
        <v>885</v>
      </c>
      <c r="AT7" s="112"/>
      <c r="AU7" s="3"/>
      <c r="AV7" s="326"/>
      <c r="AW7" s="54" t="str" cm="1">
        <f t="array" ref="AW7">INDEX($AA$2:$AL$2,A6)</f>
        <v>MEA</v>
      </c>
      <c r="AX7" s="336" t="str">
        <f>CHOOSE($AT$1,AR7,AS7)</f>
        <v>MEA</v>
      </c>
      <c r="AY7" s="10"/>
      <c r="AZ7" s="296">
        <f t="shared" si="24"/>
        <v>1</v>
      </c>
      <c r="BA7" s="296" cm="1">
        <f t="array" ref="BA7">INDEX(BF7:BK7,$BA$2)</f>
        <v>1</v>
      </c>
      <c r="BB7" s="296">
        <f t="shared" si="25"/>
        <v>1</v>
      </c>
      <c r="BC7" s="296">
        <f t="shared" si="26"/>
        <v>1</v>
      </c>
      <c r="BD7" s="296"/>
      <c r="BE7" s="296"/>
      <c r="BF7" s="296">
        <v>1</v>
      </c>
      <c r="BG7" s="296">
        <f t="shared" si="6"/>
        <v>1</v>
      </c>
      <c r="BH7" s="296">
        <f t="shared" si="7"/>
        <v>0</v>
      </c>
      <c r="BI7" s="296">
        <f t="shared" si="8"/>
        <v>0</v>
      </c>
      <c r="BJ7" s="296">
        <f t="shared" si="9"/>
        <v>0</v>
      </c>
      <c r="BK7" s="296">
        <f t="shared" si="10"/>
        <v>0</v>
      </c>
      <c r="BL7" s="296"/>
      <c r="BM7" s="296"/>
      <c r="BN7" s="296">
        <v>1</v>
      </c>
      <c r="BO7" s="296">
        <f t="shared" si="27"/>
        <v>0</v>
      </c>
      <c r="BP7" s="296">
        <f t="shared" si="28"/>
        <v>1</v>
      </c>
      <c r="BQ7" s="296">
        <f t="shared" si="29"/>
        <v>0</v>
      </c>
      <c r="BR7" s="825"/>
      <c r="BS7" s="272">
        <v>1</v>
      </c>
      <c r="BT7" s="824">
        <f t="shared" si="12"/>
        <v>0</v>
      </c>
      <c r="BU7" s="824">
        <f t="shared" si="13"/>
        <v>0</v>
      </c>
      <c r="BV7" s="824">
        <f t="shared" si="13"/>
        <v>0</v>
      </c>
      <c r="BW7" s="824">
        <f t="shared" si="13"/>
        <v>1</v>
      </c>
      <c r="BX7" s="367"/>
      <c r="BY7" s="367"/>
      <c r="BZ7" s="367"/>
      <c r="CA7" s="367"/>
      <c r="CB7" s="367"/>
      <c r="CC7" s="367"/>
      <c r="CD7" s="367"/>
      <c r="CE7" s="367"/>
      <c r="CF7" s="367"/>
      <c r="CG7" s="367"/>
      <c r="CH7" s="367"/>
      <c r="CI7" s="367"/>
      <c r="CJ7" s="367"/>
      <c r="CK7" s="367"/>
      <c r="CL7" s="367"/>
      <c r="CM7" s="367"/>
      <c r="CN7" s="367"/>
      <c r="CO7" s="367"/>
    </row>
    <row r="8" spans="1:93" ht="15" thickBot="1">
      <c r="A8" s="131">
        <f t="shared" si="30"/>
        <v>6</v>
      </c>
      <c r="B8" s="367"/>
      <c r="C8" s="367" t="s">
        <v>894</v>
      </c>
      <c r="D8" s="3">
        <f t="shared" si="14"/>
        <v>1</v>
      </c>
      <c r="E8" s="3">
        <f t="shared" si="15"/>
        <v>0</v>
      </c>
      <c r="F8" s="3">
        <f t="shared" si="16"/>
        <v>1</v>
      </c>
      <c r="G8" s="106">
        <f t="shared" si="17"/>
        <v>1</v>
      </c>
      <c r="H8" s="54">
        <f t="shared" si="18"/>
        <v>1</v>
      </c>
      <c r="I8" s="3" t="str">
        <f t="shared" si="19"/>
        <v>Berlin</v>
      </c>
      <c r="J8" s="16" t="str">
        <f t="shared" si="20"/>
        <v>Berlin</v>
      </c>
      <c r="K8" s="5">
        <f t="shared" si="3"/>
        <v>1</v>
      </c>
      <c r="L8" s="54">
        <f t="shared" si="4"/>
        <v>0</v>
      </c>
      <c r="M8" s="110"/>
      <c r="Q8" s="3"/>
      <c r="R8" s="3"/>
      <c r="S8" s="332"/>
      <c r="T8" s="3">
        <f t="shared" si="21"/>
        <v>6</v>
      </c>
      <c r="U8" s="3">
        <f>IF(F8=0,"",RANK(T8,T$3:T$32,$U$1)+COUNTIF(T$3:T8,T8)-1)</f>
        <v>6</v>
      </c>
      <c r="V8" s="3">
        <f t="shared" si="5"/>
        <v>6</v>
      </c>
      <c r="W8" s="3"/>
      <c r="X8" s="3"/>
      <c r="Y8" s="3">
        <v>0</v>
      </c>
      <c r="Z8" s="3">
        <v>1</v>
      </c>
      <c r="AA8" s="642">
        <v>0</v>
      </c>
      <c r="AB8" s="642">
        <v>1</v>
      </c>
      <c r="AC8" s="642">
        <v>0</v>
      </c>
      <c r="AD8" s="642">
        <v>0</v>
      </c>
      <c r="AE8" s="645">
        <v>0</v>
      </c>
      <c r="AF8" s="641">
        <v>0</v>
      </c>
      <c r="AG8" s="641">
        <v>0</v>
      </c>
      <c r="AH8" s="641">
        <v>1</v>
      </c>
      <c r="AI8" s="643">
        <v>0</v>
      </c>
      <c r="AJ8" s="643">
        <v>1</v>
      </c>
      <c r="AK8" s="643">
        <v>0</v>
      </c>
      <c r="AL8" s="643">
        <v>0</v>
      </c>
      <c r="AM8" s="367"/>
      <c r="AN8" s="367">
        <f t="shared" si="22"/>
        <v>2</v>
      </c>
      <c r="AO8" s="367">
        <f t="shared" si="23"/>
        <v>3</v>
      </c>
      <c r="AP8" s="367"/>
      <c r="AR8" s="337" t="s">
        <v>889</v>
      </c>
      <c r="AS8" s="337"/>
      <c r="AT8" s="112"/>
      <c r="AU8" s="112"/>
      <c r="AV8" s="326"/>
      <c r="AW8" s="54" t="str" cm="1">
        <f t="array" ref="AW8">INDEX($AA$2:$AL$2,A7)</f>
        <v>NA</v>
      </c>
      <c r="AX8" s="336"/>
      <c r="AY8" s="3"/>
      <c r="AZ8" s="296">
        <f t="shared" si="24"/>
        <v>1</v>
      </c>
      <c r="BA8" s="296" cm="1">
        <f t="array" ref="BA8">INDEX(BF8:BK8,$BA$2)</f>
        <v>1</v>
      </c>
      <c r="BB8" s="296">
        <f t="shared" si="25"/>
        <v>1</v>
      </c>
      <c r="BC8" s="296">
        <f t="shared" si="26"/>
        <v>1</v>
      </c>
      <c r="BD8" s="296"/>
      <c r="BE8" s="296"/>
      <c r="BF8" s="296">
        <v>1</v>
      </c>
      <c r="BG8" s="296">
        <f t="shared" si="6"/>
        <v>0</v>
      </c>
      <c r="BH8" s="296">
        <f t="shared" si="7"/>
        <v>1</v>
      </c>
      <c r="BI8" s="296">
        <f t="shared" si="8"/>
        <v>0</v>
      </c>
      <c r="BJ8" s="296">
        <f t="shared" si="9"/>
        <v>0</v>
      </c>
      <c r="BK8" s="296">
        <f t="shared" si="10"/>
        <v>0</v>
      </c>
      <c r="BL8" s="296"/>
      <c r="BM8" s="296"/>
      <c r="BN8" s="296">
        <v>1</v>
      </c>
      <c r="BO8" s="296">
        <f t="shared" si="27"/>
        <v>0</v>
      </c>
      <c r="BP8" s="296">
        <f t="shared" si="28"/>
        <v>0</v>
      </c>
      <c r="BQ8" s="296">
        <f t="shared" si="29"/>
        <v>1</v>
      </c>
      <c r="BR8" s="825"/>
      <c r="BS8" s="272">
        <v>1</v>
      </c>
      <c r="BT8" s="824">
        <f t="shared" si="12"/>
        <v>0</v>
      </c>
      <c r="BU8" s="824">
        <f t="shared" si="13"/>
        <v>1</v>
      </c>
      <c r="BV8" s="824">
        <f t="shared" si="13"/>
        <v>0</v>
      </c>
      <c r="BW8" s="824">
        <f t="shared" si="13"/>
        <v>0</v>
      </c>
      <c r="BX8" s="367"/>
      <c r="BY8" s="367"/>
      <c r="BZ8" s="367"/>
      <c r="CA8" s="367"/>
      <c r="CB8" s="367"/>
      <c r="CC8" s="367"/>
      <c r="CD8" s="367"/>
      <c r="CE8" s="367"/>
      <c r="CF8" s="367"/>
      <c r="CG8" s="367"/>
      <c r="CH8" s="367"/>
      <c r="CI8" s="367"/>
      <c r="CJ8" s="367"/>
      <c r="CK8" s="367"/>
      <c r="CL8" s="367"/>
      <c r="CM8" s="367"/>
      <c r="CN8" s="367"/>
      <c r="CO8" s="367"/>
    </row>
    <row r="9" spans="1:93" ht="17.25" customHeight="1" thickBot="1">
      <c r="A9" s="131">
        <f t="shared" si="30"/>
        <v>7</v>
      </c>
      <c r="B9" s="367"/>
      <c r="C9" s="367" t="s">
        <v>631</v>
      </c>
      <c r="D9" s="3">
        <f t="shared" si="14"/>
        <v>1</v>
      </c>
      <c r="E9" s="3">
        <f t="shared" si="15"/>
        <v>0</v>
      </c>
      <c r="F9" s="3">
        <f t="shared" si="16"/>
        <v>1</v>
      </c>
      <c r="G9" s="106">
        <f t="shared" si="17"/>
        <v>1</v>
      </c>
      <c r="H9" s="54">
        <f t="shared" si="18"/>
        <v>1</v>
      </c>
      <c r="I9" s="3" t="str">
        <f t="shared" si="19"/>
        <v>Buenos Aires</v>
      </c>
      <c r="J9" s="16" t="str">
        <f t="shared" si="20"/>
        <v>Buenos Aires</v>
      </c>
      <c r="K9" s="5">
        <f t="shared" si="3"/>
        <v>1</v>
      </c>
      <c r="L9" s="54">
        <f t="shared" si="4"/>
        <v>0</v>
      </c>
      <c r="M9" s="110"/>
      <c r="Q9" s="303"/>
      <c r="R9" s="303"/>
      <c r="S9" s="332"/>
      <c r="T9" s="3">
        <f t="shared" si="21"/>
        <v>7</v>
      </c>
      <c r="U9" s="3">
        <f>IF(F9=0,"",RANK(T9,T$3:T$32,$U$1)+COUNTIF(T$3:T9,T9)-1)</f>
        <v>7</v>
      </c>
      <c r="V9" s="3">
        <f t="shared" si="5"/>
        <v>7</v>
      </c>
      <c r="W9" s="3"/>
      <c r="X9" s="3"/>
      <c r="Y9" s="3">
        <v>0</v>
      </c>
      <c r="Z9" s="3">
        <v>1</v>
      </c>
      <c r="AA9" s="642">
        <v>0</v>
      </c>
      <c r="AB9" s="642">
        <v>0</v>
      </c>
      <c r="AC9" s="642">
        <v>1</v>
      </c>
      <c r="AD9" s="642">
        <v>0</v>
      </c>
      <c r="AE9" s="645">
        <v>0</v>
      </c>
      <c r="AF9" s="641">
        <v>0</v>
      </c>
      <c r="AG9" s="641">
        <v>1</v>
      </c>
      <c r="AH9" s="641">
        <v>0</v>
      </c>
      <c r="AI9" s="643">
        <v>0</v>
      </c>
      <c r="AJ9" s="643">
        <v>0</v>
      </c>
      <c r="AK9" s="643">
        <v>0</v>
      </c>
      <c r="AL9" s="643">
        <v>1</v>
      </c>
      <c r="AM9" s="367"/>
      <c r="AN9" s="367">
        <f t="shared" si="22"/>
        <v>3</v>
      </c>
      <c r="AO9" s="367">
        <f t="shared" si="23"/>
        <v>2</v>
      </c>
      <c r="AP9" s="367"/>
      <c r="AR9" s="337"/>
      <c r="AS9" s="337"/>
      <c r="AT9" s="112"/>
      <c r="AU9" s="308"/>
      <c r="AV9" s="326"/>
      <c r="AW9" s="54" t="str" cm="1">
        <f t="array" ref="AW9">INDEX($AA$2:$AL$2,A8)</f>
        <v>Low &amp; lower middle income</v>
      </c>
      <c r="AX9" s="336"/>
      <c r="AY9" s="3"/>
      <c r="AZ9" s="296">
        <f t="shared" si="24"/>
        <v>1</v>
      </c>
      <c r="BA9" s="296" cm="1">
        <f t="array" ref="BA9">INDEX(BF9:BK9,$BA$2)</f>
        <v>1</v>
      </c>
      <c r="BB9" s="296">
        <f t="shared" si="25"/>
        <v>1</v>
      </c>
      <c r="BC9" s="296">
        <f t="shared" si="26"/>
        <v>1</v>
      </c>
      <c r="BD9" s="296"/>
      <c r="BE9" s="296"/>
      <c r="BF9" s="296">
        <v>1</v>
      </c>
      <c r="BG9" s="296">
        <f t="shared" si="6"/>
        <v>0</v>
      </c>
      <c r="BH9" s="296">
        <f t="shared" si="7"/>
        <v>0</v>
      </c>
      <c r="BI9" s="296">
        <f t="shared" si="8"/>
        <v>1</v>
      </c>
      <c r="BJ9" s="296">
        <f t="shared" si="9"/>
        <v>0</v>
      </c>
      <c r="BK9" s="296">
        <f t="shared" si="10"/>
        <v>0</v>
      </c>
      <c r="BL9" s="296"/>
      <c r="BM9" s="296"/>
      <c r="BN9" s="296">
        <v>1</v>
      </c>
      <c r="BO9" s="296">
        <f t="shared" si="27"/>
        <v>0</v>
      </c>
      <c r="BP9" s="296">
        <f t="shared" si="28"/>
        <v>1</v>
      </c>
      <c r="BQ9" s="296">
        <f t="shared" si="29"/>
        <v>0</v>
      </c>
      <c r="BR9" s="825"/>
      <c r="BS9" s="272">
        <v>1</v>
      </c>
      <c r="BT9" s="824">
        <f t="shared" si="12"/>
        <v>0</v>
      </c>
      <c r="BU9" s="824">
        <f t="shared" si="13"/>
        <v>0</v>
      </c>
      <c r="BV9" s="824">
        <f t="shared" si="13"/>
        <v>0</v>
      </c>
      <c r="BW9" s="824">
        <f t="shared" si="13"/>
        <v>1</v>
      </c>
      <c r="BX9" s="367"/>
      <c r="BY9" s="367"/>
      <c r="BZ9" s="367"/>
      <c r="CA9" s="367"/>
      <c r="CB9" s="367"/>
      <c r="CC9" s="367"/>
      <c r="CD9" s="367"/>
      <c r="CE9" s="367"/>
      <c r="CF9" s="367"/>
      <c r="CG9" s="367"/>
      <c r="CH9" s="367"/>
      <c r="CI9" s="367"/>
      <c r="CJ9" s="367"/>
      <c r="CK9" s="367"/>
      <c r="CL9" s="367"/>
      <c r="CM9" s="367"/>
      <c r="CN9" s="367"/>
      <c r="CO9" s="367"/>
    </row>
    <row r="10" spans="1:93">
      <c r="A10" s="131">
        <f t="shared" si="30"/>
        <v>8</v>
      </c>
      <c r="B10" s="367"/>
      <c r="C10" s="367" t="s">
        <v>632</v>
      </c>
      <c r="D10" s="3">
        <f t="shared" si="14"/>
        <v>1</v>
      </c>
      <c r="E10" s="3">
        <f t="shared" si="15"/>
        <v>0</v>
      </c>
      <c r="F10" s="3">
        <f t="shared" si="16"/>
        <v>1</v>
      </c>
      <c r="G10" s="106">
        <f t="shared" si="17"/>
        <v>1</v>
      </c>
      <c r="H10" s="54">
        <f t="shared" si="18"/>
        <v>1</v>
      </c>
      <c r="I10" s="3" t="str">
        <f t="shared" si="19"/>
        <v>Copenhagen</v>
      </c>
      <c r="J10" s="16" t="str">
        <f t="shared" si="20"/>
        <v>Copenhagen</v>
      </c>
      <c r="K10" s="5">
        <f t="shared" si="3"/>
        <v>1</v>
      </c>
      <c r="L10" s="54">
        <f t="shared" si="4"/>
        <v>0</v>
      </c>
      <c r="M10" s="110"/>
      <c r="S10" s="332"/>
      <c r="T10" s="3">
        <f t="shared" si="21"/>
        <v>8</v>
      </c>
      <c r="U10" s="3">
        <f>IF(F10=0,"",RANK(T10,T$3:T$32,$U$1)+COUNTIF(T$3:T10,T10)-1)</f>
        <v>8</v>
      </c>
      <c r="V10" s="3">
        <f t="shared" si="5"/>
        <v>8</v>
      </c>
      <c r="W10" s="3"/>
      <c r="X10" s="3"/>
      <c r="Y10" s="3">
        <v>0</v>
      </c>
      <c r="Z10" s="3">
        <v>1</v>
      </c>
      <c r="AA10" s="642">
        <v>0</v>
      </c>
      <c r="AB10" s="642">
        <v>1</v>
      </c>
      <c r="AC10" s="642">
        <v>0</v>
      </c>
      <c r="AD10" s="642">
        <v>0</v>
      </c>
      <c r="AE10" s="645">
        <v>0</v>
      </c>
      <c r="AF10" s="641">
        <v>0</v>
      </c>
      <c r="AG10" s="641">
        <v>0</v>
      </c>
      <c r="AH10" s="641">
        <v>1</v>
      </c>
      <c r="AI10" s="643">
        <v>1</v>
      </c>
      <c r="AJ10" s="643">
        <v>0</v>
      </c>
      <c r="AK10" s="643">
        <v>0</v>
      </c>
      <c r="AL10" s="643">
        <v>0</v>
      </c>
      <c r="AM10" s="367"/>
      <c r="AN10" s="367">
        <f t="shared" si="22"/>
        <v>2</v>
      </c>
      <c r="AO10" s="367">
        <f t="shared" si="23"/>
        <v>3</v>
      </c>
      <c r="AP10" s="367"/>
      <c r="AR10" s="3"/>
      <c r="AT10" s="3"/>
      <c r="AU10" s="3"/>
      <c r="AV10" s="3"/>
      <c r="AW10" s="54" t="str" cm="1">
        <f t="array" ref="AW10">INDEX($AA$2:$AL$2,A9)</f>
        <v>Upper middle income</v>
      </c>
      <c r="AX10" s="336"/>
      <c r="AY10" s="3"/>
      <c r="AZ10" s="296">
        <f t="shared" si="24"/>
        <v>1</v>
      </c>
      <c r="BA10" s="296" cm="1">
        <f t="array" ref="BA10">INDEX(BF10:BK10,$BA$2)</f>
        <v>1</v>
      </c>
      <c r="BB10" s="296">
        <f t="shared" si="25"/>
        <v>1</v>
      </c>
      <c r="BC10" s="296">
        <f t="shared" si="26"/>
        <v>1</v>
      </c>
      <c r="BD10" s="296"/>
      <c r="BE10" s="296"/>
      <c r="BF10" s="296">
        <v>1</v>
      </c>
      <c r="BG10" s="296">
        <f t="shared" si="6"/>
        <v>0</v>
      </c>
      <c r="BH10" s="296">
        <f t="shared" si="7"/>
        <v>1</v>
      </c>
      <c r="BI10" s="296">
        <f t="shared" si="8"/>
        <v>0</v>
      </c>
      <c r="BJ10" s="296">
        <f t="shared" si="9"/>
        <v>0</v>
      </c>
      <c r="BK10" s="296">
        <f t="shared" si="10"/>
        <v>0</v>
      </c>
      <c r="BL10" s="296"/>
      <c r="BM10" s="296"/>
      <c r="BN10" s="296">
        <v>1</v>
      </c>
      <c r="BO10" s="296">
        <f t="shared" si="27"/>
        <v>0</v>
      </c>
      <c r="BP10" s="296">
        <f t="shared" si="28"/>
        <v>0</v>
      </c>
      <c r="BQ10" s="296">
        <f t="shared" si="29"/>
        <v>1</v>
      </c>
      <c r="BR10" s="825"/>
      <c r="BS10" s="272">
        <v>1</v>
      </c>
      <c r="BT10" s="824">
        <f t="shared" si="12"/>
        <v>1</v>
      </c>
      <c r="BU10" s="824">
        <f t="shared" si="13"/>
        <v>0</v>
      </c>
      <c r="BV10" s="824">
        <f t="shared" si="13"/>
        <v>0</v>
      </c>
      <c r="BW10" s="824">
        <f t="shared" si="13"/>
        <v>0</v>
      </c>
      <c r="BX10" s="367"/>
      <c r="BY10" s="367"/>
      <c r="BZ10" s="367"/>
      <c r="CA10" s="367"/>
      <c r="CB10" s="367"/>
      <c r="CC10" s="367"/>
      <c r="CD10" s="367"/>
      <c r="CE10" s="367"/>
      <c r="CF10" s="367"/>
      <c r="CG10" s="367"/>
      <c r="CH10" s="367"/>
      <c r="CI10" s="367"/>
      <c r="CJ10" s="367"/>
      <c r="CK10" s="367"/>
      <c r="CL10" s="367"/>
      <c r="CM10" s="367"/>
      <c r="CN10" s="367"/>
      <c r="CO10" s="367"/>
    </row>
    <row r="11" spans="1:93" ht="15" thickBot="1">
      <c r="A11" s="131">
        <f t="shared" si="30"/>
        <v>9</v>
      </c>
      <c r="B11" s="367"/>
      <c r="C11" s="367" t="s">
        <v>633</v>
      </c>
      <c r="D11" s="3">
        <f t="shared" si="14"/>
        <v>1</v>
      </c>
      <c r="E11" s="3">
        <f t="shared" si="15"/>
        <v>0</v>
      </c>
      <c r="F11" s="3">
        <f t="shared" si="16"/>
        <v>1</v>
      </c>
      <c r="G11" s="106">
        <f t="shared" si="17"/>
        <v>1</v>
      </c>
      <c r="H11" s="54">
        <f t="shared" si="18"/>
        <v>1</v>
      </c>
      <c r="I11" s="3" t="str">
        <f t="shared" si="19"/>
        <v>Dallas</v>
      </c>
      <c r="J11" s="16" t="str">
        <f t="shared" si="20"/>
        <v>Dallas</v>
      </c>
      <c r="K11" s="5">
        <f t="shared" si="3"/>
        <v>1</v>
      </c>
      <c r="L11" s="54">
        <f t="shared" si="4"/>
        <v>0</v>
      </c>
      <c r="M11" s="110"/>
      <c r="S11" s="332"/>
      <c r="T11" s="3">
        <f t="shared" si="21"/>
        <v>9</v>
      </c>
      <c r="U11" s="3">
        <f>IF(F11=0,"",RANK(T11,T$3:T$32,$U$1)+COUNTIF(T$3:T11,T11)-1)</f>
        <v>9</v>
      </c>
      <c r="V11" s="3">
        <f t="shared" si="5"/>
        <v>9</v>
      </c>
      <c r="W11" s="3"/>
      <c r="X11" s="3"/>
      <c r="Y11" s="3">
        <v>0</v>
      </c>
      <c r="Z11" s="3">
        <v>1</v>
      </c>
      <c r="AA11" s="642">
        <v>0</v>
      </c>
      <c r="AB11" s="642">
        <v>0</v>
      </c>
      <c r="AC11" s="642">
        <v>0</v>
      </c>
      <c r="AD11" s="642">
        <v>0</v>
      </c>
      <c r="AE11" s="645">
        <v>1</v>
      </c>
      <c r="AF11" s="641">
        <v>0</v>
      </c>
      <c r="AG11" s="641">
        <v>0</v>
      </c>
      <c r="AH11" s="641">
        <v>1</v>
      </c>
      <c r="AI11" s="643">
        <v>0</v>
      </c>
      <c r="AJ11" s="643">
        <v>1</v>
      </c>
      <c r="AK11" s="643">
        <v>0</v>
      </c>
      <c r="AL11" s="643">
        <v>0</v>
      </c>
      <c r="AM11" s="367"/>
      <c r="AN11" s="367">
        <f t="shared" si="22"/>
        <v>5</v>
      </c>
      <c r="AO11" s="367">
        <f t="shared" si="23"/>
        <v>3</v>
      </c>
      <c r="AP11" s="367"/>
      <c r="AR11" s="3"/>
      <c r="AS11" s="366"/>
      <c r="AT11" s="3"/>
      <c r="AU11" s="3"/>
      <c r="AV11" s="3"/>
      <c r="AW11" s="54" t="str" cm="1">
        <f t="array" ref="AW11">INDEX($AA$2:$AL$2,A10)</f>
        <v>High income</v>
      </c>
      <c r="AX11" s="3"/>
      <c r="AY11" s="3"/>
      <c r="AZ11" s="296">
        <f t="shared" si="24"/>
        <v>1</v>
      </c>
      <c r="BA11" s="296" cm="1">
        <f t="array" ref="BA11">INDEX(BF11:BK11,$BA$2)</f>
        <v>1</v>
      </c>
      <c r="BB11" s="296">
        <f t="shared" si="25"/>
        <v>1</v>
      </c>
      <c r="BC11" s="296">
        <f t="shared" si="26"/>
        <v>1</v>
      </c>
      <c r="BD11" s="296"/>
      <c r="BE11" s="296"/>
      <c r="BF11" s="296">
        <v>1</v>
      </c>
      <c r="BG11" s="296">
        <f t="shared" si="6"/>
        <v>0</v>
      </c>
      <c r="BH11" s="296">
        <f t="shared" si="7"/>
        <v>0</v>
      </c>
      <c r="BI11" s="296">
        <f t="shared" si="8"/>
        <v>0</v>
      </c>
      <c r="BJ11" s="296">
        <f t="shared" si="9"/>
        <v>0</v>
      </c>
      <c r="BK11" s="296">
        <f t="shared" si="10"/>
        <v>1</v>
      </c>
      <c r="BL11" s="296"/>
      <c r="BM11" s="296"/>
      <c r="BN11" s="296">
        <v>1</v>
      </c>
      <c r="BO11" s="296">
        <f t="shared" si="27"/>
        <v>0</v>
      </c>
      <c r="BP11" s="296">
        <f t="shared" si="28"/>
        <v>0</v>
      </c>
      <c r="BQ11" s="296">
        <f t="shared" si="29"/>
        <v>1</v>
      </c>
      <c r="BR11" s="825"/>
      <c r="BS11" s="272">
        <v>1</v>
      </c>
      <c r="BT11" s="824">
        <f t="shared" si="12"/>
        <v>0</v>
      </c>
      <c r="BU11" s="824">
        <f t="shared" si="13"/>
        <v>1</v>
      </c>
      <c r="BV11" s="824">
        <f t="shared" si="13"/>
        <v>0</v>
      </c>
      <c r="BW11" s="824">
        <f t="shared" si="13"/>
        <v>0</v>
      </c>
      <c r="BX11" s="367"/>
      <c r="BY11" s="367"/>
      <c r="BZ11" s="367"/>
      <c r="CA11" s="367"/>
      <c r="CB11" s="367"/>
      <c r="CC11" s="367"/>
      <c r="CD11" s="367"/>
      <c r="CE11" s="367"/>
      <c r="CF11" s="367"/>
      <c r="CG11" s="367"/>
      <c r="CH11" s="367"/>
      <c r="CI11" s="367"/>
      <c r="CJ11" s="367"/>
      <c r="CK11" s="367"/>
      <c r="CL11" s="367"/>
      <c r="CM11" s="367"/>
      <c r="CN11" s="367"/>
      <c r="CO11" s="367"/>
    </row>
    <row r="12" spans="1:93" ht="15" thickBot="1">
      <c r="A12" s="131">
        <f t="shared" si="30"/>
        <v>10</v>
      </c>
      <c r="B12" s="367"/>
      <c r="C12" s="367" t="s">
        <v>895</v>
      </c>
      <c r="D12" s="3">
        <f t="shared" si="14"/>
        <v>1</v>
      </c>
      <c r="E12" s="3">
        <f t="shared" si="15"/>
        <v>0</v>
      </c>
      <c r="F12" s="3">
        <f t="shared" si="16"/>
        <v>1</v>
      </c>
      <c r="G12" s="106">
        <f t="shared" si="17"/>
        <v>1</v>
      </c>
      <c r="H12" s="54">
        <f>IF(G12=3,3,MAX(G12,L12))</f>
        <v>1</v>
      </c>
      <c r="I12" s="3" t="str">
        <f t="shared" si="19"/>
        <v>Dubai</v>
      </c>
      <c r="J12" s="16" t="str">
        <f t="shared" si="20"/>
        <v>Dubai</v>
      </c>
      <c r="K12" s="5">
        <f t="shared" si="3"/>
        <v>1</v>
      </c>
      <c r="L12" s="54">
        <f t="shared" si="4"/>
        <v>0</v>
      </c>
      <c r="M12" s="110"/>
      <c r="T12" s="3">
        <f t="shared" si="21"/>
        <v>10</v>
      </c>
      <c r="U12" s="3">
        <f>IF(F12=0,"",RANK(T12,T$3:T$32,$U$1)+COUNTIF(T$3:T12,T12)-1)</f>
        <v>10</v>
      </c>
      <c r="V12" s="3">
        <f t="shared" si="5"/>
        <v>10</v>
      </c>
      <c r="W12" s="3"/>
      <c r="X12" s="3"/>
      <c r="Y12" s="3">
        <v>0</v>
      </c>
      <c r="Z12" s="3">
        <v>1</v>
      </c>
      <c r="AA12" s="642">
        <v>0</v>
      </c>
      <c r="AB12" s="642">
        <v>0</v>
      </c>
      <c r="AC12" s="642">
        <v>0</v>
      </c>
      <c r="AD12" s="642">
        <v>1</v>
      </c>
      <c r="AE12" s="645">
        <v>0</v>
      </c>
      <c r="AF12" s="641">
        <v>0</v>
      </c>
      <c r="AG12" s="641">
        <v>0</v>
      </c>
      <c r="AH12" s="641">
        <v>1</v>
      </c>
      <c r="AI12" s="643">
        <v>1</v>
      </c>
      <c r="AJ12" s="643">
        <v>0</v>
      </c>
      <c r="AK12" s="643">
        <v>0</v>
      </c>
      <c r="AL12" s="643">
        <v>0</v>
      </c>
      <c r="AM12" s="367"/>
      <c r="AN12" s="367">
        <f t="shared" si="22"/>
        <v>4</v>
      </c>
      <c r="AO12" s="367">
        <f t="shared" si="23"/>
        <v>3</v>
      </c>
      <c r="AP12" s="367"/>
      <c r="AQ12" s="303"/>
      <c r="AR12" s="303"/>
      <c r="AS12" s="303"/>
      <c r="AT12" s="303"/>
      <c r="AU12" s="303"/>
      <c r="AV12" s="303"/>
      <c r="AW12" s="54" t="str" cm="1">
        <f t="array" ref="AW12">INDEX($AA$2:$AL$2,A11)</f>
        <v>Population &lt; 5m</v>
      </c>
      <c r="AZ12" s="296">
        <f t="shared" si="24"/>
        <v>1</v>
      </c>
      <c r="BA12" s="296" cm="1">
        <f t="array" ref="BA12">INDEX(BF12:BK12,$BA$2)</f>
        <v>1</v>
      </c>
      <c r="BB12" s="296">
        <f t="shared" si="25"/>
        <v>1</v>
      </c>
      <c r="BC12" s="296">
        <f t="shared" si="26"/>
        <v>1</v>
      </c>
      <c r="BD12" s="296"/>
      <c r="BE12" s="296"/>
      <c r="BF12" s="296">
        <v>1</v>
      </c>
      <c r="BG12" s="296">
        <f t="shared" si="6"/>
        <v>0</v>
      </c>
      <c r="BH12" s="296">
        <f t="shared" si="7"/>
        <v>0</v>
      </c>
      <c r="BI12" s="296">
        <f t="shared" si="8"/>
        <v>0</v>
      </c>
      <c r="BJ12" s="296">
        <f t="shared" si="9"/>
        <v>1</v>
      </c>
      <c r="BK12" s="296">
        <f t="shared" si="10"/>
        <v>0</v>
      </c>
      <c r="BL12" s="296"/>
      <c r="BM12" s="296"/>
      <c r="BN12" s="296">
        <v>1</v>
      </c>
      <c r="BO12" s="296">
        <f t="shared" si="27"/>
        <v>0</v>
      </c>
      <c r="BP12" s="296">
        <f t="shared" si="28"/>
        <v>0</v>
      </c>
      <c r="BQ12" s="296">
        <f t="shared" si="29"/>
        <v>1</v>
      </c>
      <c r="BR12" s="825"/>
      <c r="BS12" s="272">
        <v>1</v>
      </c>
      <c r="BT12" s="824">
        <f t="shared" si="12"/>
        <v>1</v>
      </c>
      <c r="BU12" s="824">
        <f t="shared" si="13"/>
        <v>0</v>
      </c>
      <c r="BV12" s="824">
        <f t="shared" si="13"/>
        <v>0</v>
      </c>
      <c r="BW12" s="824">
        <f t="shared" si="13"/>
        <v>0</v>
      </c>
      <c r="BX12" s="367"/>
      <c r="BY12" s="367"/>
      <c r="BZ12" s="367"/>
      <c r="CA12" s="367"/>
      <c r="CB12" s="367"/>
      <c r="CC12" s="367"/>
      <c r="CD12" s="367"/>
      <c r="CE12" s="367"/>
      <c r="CF12" s="367"/>
      <c r="CG12" s="367"/>
      <c r="CH12" s="367"/>
      <c r="CI12" s="367"/>
      <c r="CJ12" s="367"/>
      <c r="CK12" s="367"/>
      <c r="CL12" s="367"/>
      <c r="CM12" s="367"/>
      <c r="CN12" s="367"/>
      <c r="CO12" s="367"/>
    </row>
    <row r="13" spans="1:93">
      <c r="A13" s="131">
        <f t="shared" si="30"/>
        <v>11</v>
      </c>
      <c r="B13" s="367"/>
      <c r="C13" s="367" t="s">
        <v>634</v>
      </c>
      <c r="D13" s="3">
        <f t="shared" si="14"/>
        <v>1</v>
      </c>
      <c r="E13" s="3">
        <f t="shared" si="15"/>
        <v>0</v>
      </c>
      <c r="F13" s="3">
        <f t="shared" si="16"/>
        <v>1</v>
      </c>
      <c r="G13" s="106">
        <f t="shared" si="17"/>
        <v>1</v>
      </c>
      <c r="H13" s="54">
        <f t="shared" si="18"/>
        <v>1</v>
      </c>
      <c r="I13" s="3" t="str">
        <f t="shared" si="19"/>
        <v>Frankfurt</v>
      </c>
      <c r="J13" s="16" t="str">
        <f t="shared" si="20"/>
        <v>Frankfurt</v>
      </c>
      <c r="K13" s="5">
        <f t="shared" si="3"/>
        <v>1</v>
      </c>
      <c r="L13" s="54">
        <f t="shared" si="4"/>
        <v>0</v>
      </c>
      <c r="M13" s="110"/>
      <c r="T13" s="3">
        <f t="shared" si="21"/>
        <v>11</v>
      </c>
      <c r="U13" s="3">
        <f>IF(F13=0,"",RANK(T13,T$3:T$32,$U$1)+COUNTIF(T$3:T13,T13)-1)</f>
        <v>11</v>
      </c>
      <c r="V13" s="3">
        <f t="shared" si="5"/>
        <v>11</v>
      </c>
      <c r="W13" s="3"/>
      <c r="X13" s="3"/>
      <c r="Y13" s="3">
        <v>0</v>
      </c>
      <c r="Z13" s="3">
        <v>1</v>
      </c>
      <c r="AA13" s="642">
        <v>0</v>
      </c>
      <c r="AB13" s="642">
        <v>1</v>
      </c>
      <c r="AC13" s="642">
        <v>0</v>
      </c>
      <c r="AD13" s="642">
        <v>0</v>
      </c>
      <c r="AE13" s="645">
        <v>0</v>
      </c>
      <c r="AF13" s="641">
        <v>0</v>
      </c>
      <c r="AG13" s="641">
        <v>0</v>
      </c>
      <c r="AH13" s="641">
        <v>1</v>
      </c>
      <c r="AI13" s="643">
        <v>1</v>
      </c>
      <c r="AJ13" s="643">
        <v>0</v>
      </c>
      <c r="AK13" s="643">
        <v>0</v>
      </c>
      <c r="AL13" s="643">
        <v>0</v>
      </c>
      <c r="AM13" s="367"/>
      <c r="AN13" s="367">
        <f t="shared" si="22"/>
        <v>2</v>
      </c>
      <c r="AO13" s="367">
        <f t="shared" si="23"/>
        <v>3</v>
      </c>
      <c r="AP13" s="367"/>
      <c r="AW13" s="54" t="str" cm="1">
        <f t="array" ref="AW13">INDEX($AA$2:$AL$2,A12)</f>
        <v>Population 5-10m</v>
      </c>
      <c r="AZ13" s="296">
        <f t="shared" si="24"/>
        <v>1</v>
      </c>
      <c r="BA13" s="296" cm="1">
        <f t="array" ref="BA13">INDEX(BF13:BK13,$BA$2)</f>
        <v>1</v>
      </c>
      <c r="BB13" s="296">
        <f t="shared" si="25"/>
        <v>1</v>
      </c>
      <c r="BC13" s="296">
        <f t="shared" si="26"/>
        <v>1</v>
      </c>
      <c r="BD13" s="296"/>
      <c r="BE13" s="296"/>
      <c r="BF13" s="296">
        <v>1</v>
      </c>
      <c r="BG13" s="296">
        <f t="shared" si="6"/>
        <v>0</v>
      </c>
      <c r="BH13" s="296">
        <f t="shared" si="7"/>
        <v>1</v>
      </c>
      <c r="BI13" s="296">
        <f t="shared" si="8"/>
        <v>0</v>
      </c>
      <c r="BJ13" s="296">
        <f t="shared" si="9"/>
        <v>0</v>
      </c>
      <c r="BK13" s="296">
        <f t="shared" si="10"/>
        <v>0</v>
      </c>
      <c r="BL13" s="296"/>
      <c r="BM13" s="296"/>
      <c r="BN13" s="296">
        <v>1</v>
      </c>
      <c r="BO13" s="296">
        <f t="shared" si="27"/>
        <v>0</v>
      </c>
      <c r="BP13" s="296">
        <f t="shared" si="28"/>
        <v>0</v>
      </c>
      <c r="BQ13" s="296">
        <f t="shared" si="29"/>
        <v>1</v>
      </c>
      <c r="BR13" s="825"/>
      <c r="BS13" s="272">
        <v>1</v>
      </c>
      <c r="BT13" s="824">
        <f t="shared" si="12"/>
        <v>1</v>
      </c>
      <c r="BU13" s="824">
        <f t="shared" si="13"/>
        <v>0</v>
      </c>
      <c r="BV13" s="824">
        <f t="shared" si="13"/>
        <v>0</v>
      </c>
      <c r="BW13" s="824">
        <f t="shared" si="13"/>
        <v>0</v>
      </c>
      <c r="BX13" s="367"/>
      <c r="BY13" s="367"/>
      <c r="BZ13" s="367"/>
      <c r="CA13" s="367"/>
      <c r="CB13" s="367"/>
      <c r="CC13" s="367"/>
      <c r="CD13" s="367"/>
      <c r="CE13" s="367"/>
      <c r="CF13" s="367"/>
      <c r="CG13" s="367"/>
      <c r="CH13" s="367"/>
      <c r="CI13" s="367"/>
      <c r="CJ13" s="367"/>
      <c r="CK13" s="367"/>
      <c r="CL13" s="367"/>
      <c r="CM13" s="367"/>
      <c r="CN13" s="367"/>
      <c r="CO13" s="367"/>
    </row>
    <row r="14" spans="1:93">
      <c r="A14" s="131">
        <f t="shared" si="30"/>
        <v>12</v>
      </c>
      <c r="B14" s="367"/>
      <c r="C14" s="367" t="s">
        <v>896</v>
      </c>
      <c r="D14" s="3">
        <f t="shared" si="14"/>
        <v>1</v>
      </c>
      <c r="E14" s="3">
        <f t="shared" si="15"/>
        <v>0</v>
      </c>
      <c r="F14" s="3">
        <f t="shared" si="16"/>
        <v>1</v>
      </c>
      <c r="G14" s="106">
        <f t="shared" si="17"/>
        <v>1</v>
      </c>
      <c r="H14" s="54">
        <f t="shared" si="18"/>
        <v>1</v>
      </c>
      <c r="I14" s="3" t="str">
        <f t="shared" si="19"/>
        <v>Hong Kong</v>
      </c>
      <c r="J14" s="16" t="str">
        <f t="shared" si="20"/>
        <v>Hong Kong</v>
      </c>
      <c r="K14" s="5">
        <f t="shared" si="3"/>
        <v>1</v>
      </c>
      <c r="L14" s="54">
        <f t="shared" si="4"/>
        <v>0</v>
      </c>
      <c r="M14" s="110"/>
      <c r="T14" s="3">
        <f t="shared" si="21"/>
        <v>12</v>
      </c>
      <c r="U14" s="3">
        <f>IF(F14=0,"",RANK(T14,T$3:T$32,$U$1)+COUNTIF(T$3:T14,T14)-1)</f>
        <v>12</v>
      </c>
      <c r="V14" s="3">
        <f t="shared" si="5"/>
        <v>12</v>
      </c>
      <c r="W14" s="3"/>
      <c r="X14" s="3"/>
      <c r="Y14" s="3">
        <v>0</v>
      </c>
      <c r="Z14" s="3">
        <v>1</v>
      </c>
      <c r="AA14" s="642">
        <v>1</v>
      </c>
      <c r="AB14" s="642">
        <v>0</v>
      </c>
      <c r="AC14" s="642">
        <v>0</v>
      </c>
      <c r="AD14" s="642">
        <v>0</v>
      </c>
      <c r="AE14" s="645">
        <v>0</v>
      </c>
      <c r="AF14" s="641">
        <v>0</v>
      </c>
      <c r="AG14" s="641">
        <v>0</v>
      </c>
      <c r="AH14" s="641">
        <v>1</v>
      </c>
      <c r="AI14" s="643">
        <v>0</v>
      </c>
      <c r="AJ14" s="643">
        <v>1</v>
      </c>
      <c r="AK14" s="643">
        <v>0</v>
      </c>
      <c r="AL14" s="643">
        <v>0</v>
      </c>
      <c r="AM14" s="367"/>
      <c r="AN14" s="367">
        <f t="shared" si="22"/>
        <v>1</v>
      </c>
      <c r="AO14" s="367">
        <f t="shared" si="23"/>
        <v>3</v>
      </c>
      <c r="AP14" s="367"/>
      <c r="AW14" s="54" t="str" cm="1">
        <f t="array" ref="AW14">INDEX($AA$2:$AL$2,A13)</f>
        <v>Population 10-15m</v>
      </c>
      <c r="AZ14" s="296">
        <f t="shared" si="24"/>
        <v>1</v>
      </c>
      <c r="BA14" s="296" cm="1">
        <f t="array" ref="BA14">INDEX(BF14:BK14,$BA$2)</f>
        <v>1</v>
      </c>
      <c r="BB14" s="296">
        <f t="shared" si="25"/>
        <v>1</v>
      </c>
      <c r="BC14" s="296">
        <f t="shared" si="26"/>
        <v>1</v>
      </c>
      <c r="BD14" s="296"/>
      <c r="BE14" s="296"/>
      <c r="BF14" s="296">
        <v>1</v>
      </c>
      <c r="BG14" s="296">
        <f t="shared" si="6"/>
        <v>1</v>
      </c>
      <c r="BH14" s="296">
        <f t="shared" si="7"/>
        <v>0</v>
      </c>
      <c r="BI14" s="296">
        <f t="shared" si="8"/>
        <v>0</v>
      </c>
      <c r="BJ14" s="296">
        <f t="shared" si="9"/>
        <v>0</v>
      </c>
      <c r="BK14" s="296">
        <f t="shared" si="10"/>
        <v>0</v>
      </c>
      <c r="BL14" s="296"/>
      <c r="BM14" s="296"/>
      <c r="BN14" s="296">
        <v>1</v>
      </c>
      <c r="BO14" s="296">
        <f t="shared" si="27"/>
        <v>0</v>
      </c>
      <c r="BP14" s="296">
        <f t="shared" si="28"/>
        <v>0</v>
      </c>
      <c r="BQ14" s="296">
        <f t="shared" si="29"/>
        <v>1</v>
      </c>
      <c r="BR14" s="825"/>
      <c r="BS14" s="272">
        <v>1</v>
      </c>
      <c r="BT14" s="824">
        <f t="shared" si="12"/>
        <v>0</v>
      </c>
      <c r="BU14" s="824">
        <f t="shared" si="13"/>
        <v>1</v>
      </c>
      <c r="BV14" s="824">
        <f t="shared" si="13"/>
        <v>0</v>
      </c>
      <c r="BW14" s="824">
        <f t="shared" si="13"/>
        <v>0</v>
      </c>
      <c r="BX14" s="367"/>
      <c r="BY14" s="367"/>
      <c r="BZ14" s="367"/>
      <c r="CA14" s="367"/>
      <c r="CB14" s="367"/>
      <c r="CC14" s="367"/>
      <c r="CD14" s="367"/>
      <c r="CE14" s="367"/>
      <c r="CF14" s="367"/>
      <c r="CG14" s="367"/>
      <c r="CH14" s="367"/>
      <c r="CI14" s="367"/>
      <c r="CJ14" s="367"/>
      <c r="CK14" s="367"/>
      <c r="CL14" s="367"/>
      <c r="CM14" s="367"/>
      <c r="CN14" s="367"/>
      <c r="CO14" s="367"/>
    </row>
    <row r="15" spans="1:93">
      <c r="A15" s="131">
        <f t="shared" si="30"/>
        <v>13</v>
      </c>
      <c r="B15" s="367"/>
      <c r="C15" s="367" t="s">
        <v>635</v>
      </c>
      <c r="D15" s="3">
        <f t="shared" si="14"/>
        <v>1</v>
      </c>
      <c r="E15" s="3">
        <f t="shared" si="15"/>
        <v>0</v>
      </c>
      <c r="F15" s="3">
        <f t="shared" si="16"/>
        <v>1</v>
      </c>
      <c r="G15" s="106">
        <f t="shared" si="17"/>
        <v>1</v>
      </c>
      <c r="H15" s="54">
        <f t="shared" si="18"/>
        <v>1</v>
      </c>
      <c r="I15" s="3" t="str">
        <f t="shared" si="19"/>
        <v>Jakarta</v>
      </c>
      <c r="J15" s="16" t="str">
        <f t="shared" si="20"/>
        <v>Jakarta</v>
      </c>
      <c r="K15" s="5">
        <f t="shared" si="3"/>
        <v>1</v>
      </c>
      <c r="L15" s="54">
        <f t="shared" si="4"/>
        <v>0</v>
      </c>
      <c r="M15" s="110"/>
      <c r="T15" s="3">
        <f t="shared" si="21"/>
        <v>13</v>
      </c>
      <c r="U15" s="3">
        <f>IF(F15=0,"",RANK(T15,T$3:T$32,$U$1)+COUNTIF(T$3:T15,T15)-1)</f>
        <v>13</v>
      </c>
      <c r="V15" s="3">
        <f t="shared" si="5"/>
        <v>13</v>
      </c>
      <c r="W15" s="3"/>
      <c r="X15" s="3"/>
      <c r="Y15" s="3">
        <v>0</v>
      </c>
      <c r="Z15" s="3">
        <v>1</v>
      </c>
      <c r="AA15" s="642">
        <v>1</v>
      </c>
      <c r="AB15" s="642">
        <v>0</v>
      </c>
      <c r="AC15" s="642">
        <v>0</v>
      </c>
      <c r="AD15" s="642">
        <v>0</v>
      </c>
      <c r="AE15" s="645">
        <v>0</v>
      </c>
      <c r="AF15" s="641">
        <v>1</v>
      </c>
      <c r="AG15" s="641">
        <v>0</v>
      </c>
      <c r="AH15" s="641">
        <v>0</v>
      </c>
      <c r="AI15" s="643">
        <v>0</v>
      </c>
      <c r="AJ15" s="643">
        <v>0</v>
      </c>
      <c r="AK15" s="643">
        <v>0</v>
      </c>
      <c r="AL15" s="643">
        <v>1</v>
      </c>
      <c r="AM15" s="367"/>
      <c r="AN15" s="367">
        <f t="shared" si="22"/>
        <v>1</v>
      </c>
      <c r="AO15" s="367">
        <f t="shared" si="23"/>
        <v>1</v>
      </c>
      <c r="AP15" s="367"/>
      <c r="AW15" s="54" t="str" cm="1">
        <f t="array" ref="AW15">INDEX($AA$2:$AL$2,A14)</f>
        <v>Population 15m +</v>
      </c>
      <c r="AZ15" s="296">
        <f t="shared" si="24"/>
        <v>1</v>
      </c>
      <c r="BA15" s="296" cm="1">
        <f t="array" ref="BA15">INDEX(BF15:BK15,$BA$2)</f>
        <v>1</v>
      </c>
      <c r="BB15" s="296">
        <f t="shared" si="25"/>
        <v>1</v>
      </c>
      <c r="BC15" s="296">
        <f t="shared" si="26"/>
        <v>1</v>
      </c>
      <c r="BD15" s="296"/>
      <c r="BE15" s="296"/>
      <c r="BF15" s="296">
        <v>1</v>
      </c>
      <c r="BG15" s="296">
        <f t="shared" si="6"/>
        <v>1</v>
      </c>
      <c r="BH15" s="296">
        <f t="shared" si="7"/>
        <v>0</v>
      </c>
      <c r="BI15" s="296">
        <f t="shared" si="8"/>
        <v>0</v>
      </c>
      <c r="BJ15" s="296">
        <f t="shared" si="9"/>
        <v>0</v>
      </c>
      <c r="BK15" s="296">
        <f t="shared" si="10"/>
        <v>0</v>
      </c>
      <c r="BL15" s="296"/>
      <c r="BM15" s="296"/>
      <c r="BN15" s="296">
        <v>1</v>
      </c>
      <c r="BO15" s="296">
        <f t="shared" si="27"/>
        <v>1</v>
      </c>
      <c r="BP15" s="296">
        <f t="shared" si="28"/>
        <v>0</v>
      </c>
      <c r="BQ15" s="296">
        <f t="shared" si="29"/>
        <v>0</v>
      </c>
      <c r="BR15" s="825"/>
      <c r="BS15" s="272">
        <v>1</v>
      </c>
      <c r="BT15" s="824">
        <f t="shared" si="12"/>
        <v>0</v>
      </c>
      <c r="BU15" s="824">
        <f t="shared" si="13"/>
        <v>0</v>
      </c>
      <c r="BV15" s="824">
        <f t="shared" si="13"/>
        <v>0</v>
      </c>
      <c r="BW15" s="824">
        <f t="shared" si="13"/>
        <v>1</v>
      </c>
      <c r="BX15" s="367"/>
      <c r="BY15" s="367"/>
      <c r="BZ15" s="367"/>
      <c r="CA15" s="367"/>
      <c r="CB15" s="367"/>
      <c r="CC15" s="367"/>
      <c r="CD15" s="367"/>
      <c r="CE15" s="367"/>
      <c r="CF15" s="367"/>
      <c r="CG15" s="367"/>
      <c r="CH15" s="367"/>
      <c r="CI15" s="367"/>
      <c r="CJ15" s="367"/>
      <c r="CK15" s="367"/>
      <c r="CL15" s="367"/>
      <c r="CM15" s="367"/>
      <c r="CN15" s="367"/>
      <c r="CO15" s="367"/>
    </row>
    <row r="16" spans="1:93">
      <c r="A16" s="131">
        <f t="shared" si="30"/>
        <v>14</v>
      </c>
      <c r="B16" s="367"/>
      <c r="C16" s="367" t="s">
        <v>897</v>
      </c>
      <c r="D16" s="3">
        <f t="shared" si="14"/>
        <v>1</v>
      </c>
      <c r="E16" s="3">
        <f t="shared" si="15"/>
        <v>0</v>
      </c>
      <c r="F16" s="3">
        <f t="shared" si="16"/>
        <v>1</v>
      </c>
      <c r="G16" s="106">
        <f t="shared" si="17"/>
        <v>1</v>
      </c>
      <c r="H16" s="54">
        <f t="shared" si="18"/>
        <v>1</v>
      </c>
      <c r="I16" s="3" t="str">
        <f t="shared" si="19"/>
        <v>Kuala Lumpur</v>
      </c>
      <c r="J16" s="16" t="str">
        <f t="shared" si="20"/>
        <v>Kuala Lumpur</v>
      </c>
      <c r="K16" s="5">
        <f t="shared" si="3"/>
        <v>1</v>
      </c>
      <c r="L16" s="54">
        <f t="shared" si="4"/>
        <v>0</v>
      </c>
      <c r="M16" s="110"/>
      <c r="T16" s="3">
        <f t="shared" si="21"/>
        <v>14</v>
      </c>
      <c r="U16" s="3">
        <f>IF(F16=0,"",RANK(T16,T$3:T$32,$U$1)+COUNTIF(T$3:T16,T16)-1)</f>
        <v>14</v>
      </c>
      <c r="V16" s="3">
        <f t="shared" si="5"/>
        <v>14</v>
      </c>
      <c r="W16" s="3"/>
      <c r="X16" s="3"/>
      <c r="Y16" s="3">
        <v>0</v>
      </c>
      <c r="Z16" s="3">
        <v>1</v>
      </c>
      <c r="AA16" s="642">
        <v>1</v>
      </c>
      <c r="AB16" s="642">
        <v>0</v>
      </c>
      <c r="AC16" s="642">
        <v>0</v>
      </c>
      <c r="AD16" s="642">
        <v>0</v>
      </c>
      <c r="AE16" s="645">
        <v>0</v>
      </c>
      <c r="AF16" s="641">
        <v>0</v>
      </c>
      <c r="AG16" s="641">
        <v>1</v>
      </c>
      <c r="AH16" s="641">
        <v>0</v>
      </c>
      <c r="AI16" s="643">
        <v>0</v>
      </c>
      <c r="AJ16" s="643">
        <v>1</v>
      </c>
      <c r="AK16" s="643">
        <v>0</v>
      </c>
      <c r="AL16" s="643">
        <v>0</v>
      </c>
      <c r="AM16" s="367"/>
      <c r="AN16" s="367">
        <f t="shared" si="22"/>
        <v>1</v>
      </c>
      <c r="AO16" s="367">
        <f t="shared" si="23"/>
        <v>2</v>
      </c>
      <c r="AP16" s="367"/>
      <c r="AZ16" s="296">
        <f t="shared" si="24"/>
        <v>1</v>
      </c>
      <c r="BA16" s="296" cm="1">
        <f t="array" ref="BA16">INDEX(BF16:BK16,$BA$2)</f>
        <v>1</v>
      </c>
      <c r="BB16" s="296">
        <f t="shared" si="25"/>
        <v>1</v>
      </c>
      <c r="BC16" s="296">
        <f t="shared" si="26"/>
        <v>1</v>
      </c>
      <c r="BD16" s="296"/>
      <c r="BE16" s="296"/>
      <c r="BF16" s="296">
        <v>1</v>
      </c>
      <c r="BG16" s="296">
        <f t="shared" si="6"/>
        <v>1</v>
      </c>
      <c r="BH16" s="296">
        <f t="shared" si="7"/>
        <v>0</v>
      </c>
      <c r="BI16" s="296">
        <f t="shared" si="8"/>
        <v>0</v>
      </c>
      <c r="BJ16" s="296">
        <f t="shared" si="9"/>
        <v>0</v>
      </c>
      <c r="BK16" s="296">
        <f t="shared" si="10"/>
        <v>0</v>
      </c>
      <c r="BL16" s="296"/>
      <c r="BM16" s="296"/>
      <c r="BN16" s="296">
        <v>1</v>
      </c>
      <c r="BO16" s="296">
        <f t="shared" si="27"/>
        <v>0</v>
      </c>
      <c r="BP16" s="296">
        <f t="shared" si="28"/>
        <v>1</v>
      </c>
      <c r="BQ16" s="296">
        <f t="shared" si="29"/>
        <v>0</v>
      </c>
      <c r="BR16" s="825"/>
      <c r="BS16" s="272">
        <v>1</v>
      </c>
      <c r="BT16" s="824">
        <f t="shared" si="12"/>
        <v>0</v>
      </c>
      <c r="BU16" s="824">
        <f t="shared" si="13"/>
        <v>1</v>
      </c>
      <c r="BV16" s="824">
        <f t="shared" si="13"/>
        <v>0</v>
      </c>
      <c r="BW16" s="824">
        <f t="shared" si="13"/>
        <v>0</v>
      </c>
      <c r="BX16" s="367"/>
      <c r="BY16" s="367"/>
      <c r="BZ16" s="367"/>
      <c r="CA16" s="367"/>
      <c r="CB16" s="367"/>
      <c r="CC16" s="367"/>
      <c r="CD16" s="367"/>
      <c r="CE16" s="367"/>
      <c r="CF16" s="367"/>
      <c r="CG16" s="367"/>
      <c r="CH16" s="367"/>
      <c r="CI16" s="367"/>
      <c r="CJ16" s="367"/>
      <c r="CK16" s="367"/>
      <c r="CL16" s="367"/>
      <c r="CM16" s="367"/>
      <c r="CN16" s="367"/>
      <c r="CO16" s="367"/>
    </row>
    <row r="17" spans="1:93">
      <c r="A17" s="131">
        <f t="shared" si="30"/>
        <v>15</v>
      </c>
      <c r="B17" s="367"/>
      <c r="C17" s="367" t="s">
        <v>636</v>
      </c>
      <c r="D17" s="3">
        <f t="shared" si="14"/>
        <v>1</v>
      </c>
      <c r="E17" s="3">
        <f t="shared" si="15"/>
        <v>0</v>
      </c>
      <c r="F17" s="3">
        <f t="shared" si="16"/>
        <v>1</v>
      </c>
      <c r="G17" s="106">
        <f t="shared" si="17"/>
        <v>1</v>
      </c>
      <c r="H17" s="54">
        <f t="shared" si="18"/>
        <v>1</v>
      </c>
      <c r="I17" s="3" t="str">
        <f t="shared" si="19"/>
        <v>London</v>
      </c>
      <c r="J17" s="16" t="str">
        <f t="shared" si="20"/>
        <v>London</v>
      </c>
      <c r="K17" s="5">
        <f t="shared" si="3"/>
        <v>1</v>
      </c>
      <c r="L17" s="54">
        <f t="shared" si="4"/>
        <v>0</v>
      </c>
      <c r="M17" s="110"/>
      <c r="T17" s="3">
        <f t="shared" si="21"/>
        <v>15</v>
      </c>
      <c r="U17" s="3">
        <f>IF(F17=0,"",RANK(T17,T$3:T$32,$U$1)+COUNTIF(T$3:T17,T17)-1)</f>
        <v>15</v>
      </c>
      <c r="V17" s="3">
        <f t="shared" si="5"/>
        <v>15</v>
      </c>
      <c r="W17" s="3"/>
      <c r="X17" s="3"/>
      <c r="Y17" s="3">
        <v>0</v>
      </c>
      <c r="Z17" s="3">
        <v>1</v>
      </c>
      <c r="AA17" s="642">
        <v>0</v>
      </c>
      <c r="AB17" s="642">
        <v>1</v>
      </c>
      <c r="AC17" s="642">
        <v>0</v>
      </c>
      <c r="AD17" s="642">
        <v>0</v>
      </c>
      <c r="AE17" s="645">
        <v>0</v>
      </c>
      <c r="AF17" s="641">
        <v>0</v>
      </c>
      <c r="AG17" s="641">
        <v>0</v>
      </c>
      <c r="AH17" s="641">
        <v>1</v>
      </c>
      <c r="AI17" s="643">
        <v>0</v>
      </c>
      <c r="AJ17" s="643">
        <v>0</v>
      </c>
      <c r="AK17" s="643">
        <v>1</v>
      </c>
      <c r="AL17" s="643">
        <v>0</v>
      </c>
      <c r="AM17" s="367"/>
      <c r="AN17" s="367">
        <f t="shared" si="22"/>
        <v>2</v>
      </c>
      <c r="AO17" s="367">
        <f t="shared" si="23"/>
        <v>3</v>
      </c>
      <c r="AP17" s="367"/>
      <c r="AZ17" s="296">
        <f t="shared" si="24"/>
        <v>1</v>
      </c>
      <c r="BA17" s="296" cm="1">
        <f t="array" ref="BA17">INDEX(BF17:BK17,$BA$2)</f>
        <v>1</v>
      </c>
      <c r="BB17" s="296">
        <f t="shared" si="25"/>
        <v>1</v>
      </c>
      <c r="BC17" s="296">
        <f t="shared" si="26"/>
        <v>1</v>
      </c>
      <c r="BD17" s="296"/>
      <c r="BE17" s="296"/>
      <c r="BF17" s="296">
        <v>1</v>
      </c>
      <c r="BG17" s="296">
        <f t="shared" si="6"/>
        <v>0</v>
      </c>
      <c r="BH17" s="296">
        <f t="shared" si="7"/>
        <v>1</v>
      </c>
      <c r="BI17" s="296">
        <f t="shared" si="8"/>
        <v>0</v>
      </c>
      <c r="BJ17" s="296">
        <f t="shared" si="9"/>
        <v>0</v>
      </c>
      <c r="BK17" s="296">
        <f t="shared" si="10"/>
        <v>0</v>
      </c>
      <c r="BL17" s="296"/>
      <c r="BM17" s="296"/>
      <c r="BN17" s="296">
        <v>1</v>
      </c>
      <c r="BO17" s="296">
        <f t="shared" si="27"/>
        <v>0</v>
      </c>
      <c r="BP17" s="296">
        <f t="shared" si="28"/>
        <v>0</v>
      </c>
      <c r="BQ17" s="296">
        <f t="shared" si="29"/>
        <v>1</v>
      </c>
      <c r="BR17" s="825"/>
      <c r="BS17" s="272">
        <v>1</v>
      </c>
      <c r="BT17" s="824">
        <f t="shared" si="12"/>
        <v>0</v>
      </c>
      <c r="BU17" s="824">
        <f t="shared" si="13"/>
        <v>0</v>
      </c>
      <c r="BV17" s="824">
        <f t="shared" si="13"/>
        <v>1</v>
      </c>
      <c r="BW17" s="824">
        <f t="shared" si="13"/>
        <v>0</v>
      </c>
      <c r="BX17" s="367"/>
      <c r="BY17" s="367"/>
      <c r="BZ17" s="367"/>
      <c r="CA17" s="367"/>
      <c r="CB17" s="367"/>
      <c r="CC17" s="367"/>
      <c r="CD17" s="367"/>
      <c r="CE17" s="367"/>
      <c r="CF17" s="367"/>
      <c r="CG17" s="367"/>
      <c r="CH17" s="367"/>
      <c r="CI17" s="367"/>
      <c r="CJ17" s="367"/>
      <c r="CK17" s="367"/>
      <c r="CL17" s="367"/>
      <c r="CM17" s="367"/>
      <c r="CN17" s="367"/>
      <c r="CO17" s="367"/>
    </row>
    <row r="18" spans="1:93">
      <c r="A18" s="131">
        <f t="shared" si="30"/>
        <v>16</v>
      </c>
      <c r="B18" s="367"/>
      <c r="C18" s="367" t="s">
        <v>637</v>
      </c>
      <c r="D18" s="3">
        <f t="shared" si="14"/>
        <v>1</v>
      </c>
      <c r="E18" s="3">
        <f t="shared" si="15"/>
        <v>0</v>
      </c>
      <c r="F18" s="3">
        <f t="shared" si="16"/>
        <v>1</v>
      </c>
      <c r="G18" s="106">
        <f t="shared" si="17"/>
        <v>1</v>
      </c>
      <c r="H18" s="54">
        <f t="shared" si="18"/>
        <v>1</v>
      </c>
      <c r="I18" s="3" t="str">
        <f t="shared" si="19"/>
        <v>Madrid</v>
      </c>
      <c r="J18" s="16" t="str">
        <f t="shared" si="20"/>
        <v>Madrid</v>
      </c>
      <c r="K18" s="5">
        <f t="shared" si="3"/>
        <v>1</v>
      </c>
      <c r="L18" s="54">
        <f t="shared" si="4"/>
        <v>0</v>
      </c>
      <c r="M18" s="110"/>
      <c r="T18" s="3">
        <f t="shared" si="21"/>
        <v>16</v>
      </c>
      <c r="U18" s="3">
        <f>IF(F18=0,"",RANK(T18,T$3:T$32,$U$1)+COUNTIF(T$3:T18,T18)-1)</f>
        <v>16</v>
      </c>
      <c r="V18" s="3">
        <f t="shared" si="5"/>
        <v>16</v>
      </c>
      <c r="W18" s="3"/>
      <c r="X18" s="3"/>
      <c r="Y18" s="3">
        <v>0</v>
      </c>
      <c r="Z18" s="3">
        <v>1</v>
      </c>
      <c r="AA18" s="642">
        <v>0</v>
      </c>
      <c r="AB18" s="642">
        <v>1</v>
      </c>
      <c r="AC18" s="642">
        <v>0</v>
      </c>
      <c r="AD18" s="642">
        <v>0</v>
      </c>
      <c r="AE18" s="645">
        <v>0</v>
      </c>
      <c r="AF18" s="641">
        <v>0</v>
      </c>
      <c r="AG18" s="641">
        <v>0</v>
      </c>
      <c r="AH18" s="641">
        <v>1</v>
      </c>
      <c r="AI18" s="643">
        <v>0</v>
      </c>
      <c r="AJ18" s="643">
        <v>1</v>
      </c>
      <c r="AK18" s="643">
        <v>0</v>
      </c>
      <c r="AL18" s="643">
        <v>0</v>
      </c>
      <c r="AM18" s="367"/>
      <c r="AN18" s="367">
        <f t="shared" si="22"/>
        <v>2</v>
      </c>
      <c r="AO18" s="367">
        <f t="shared" si="23"/>
        <v>3</v>
      </c>
      <c r="AP18" s="367"/>
      <c r="AZ18" s="296">
        <f t="shared" si="24"/>
        <v>1</v>
      </c>
      <c r="BA18" s="296" cm="1">
        <f t="array" ref="BA18">INDEX(BF18:BK18,$BA$2)</f>
        <v>1</v>
      </c>
      <c r="BB18" s="296">
        <f t="shared" si="25"/>
        <v>1</v>
      </c>
      <c r="BC18" s="296">
        <f t="shared" si="26"/>
        <v>1</v>
      </c>
      <c r="BD18" s="296"/>
      <c r="BE18" s="296"/>
      <c r="BF18" s="296">
        <v>1</v>
      </c>
      <c r="BG18" s="296">
        <f t="shared" si="6"/>
        <v>0</v>
      </c>
      <c r="BH18" s="296">
        <f t="shared" si="7"/>
        <v>1</v>
      </c>
      <c r="BI18" s="296">
        <f t="shared" si="8"/>
        <v>0</v>
      </c>
      <c r="BJ18" s="296">
        <f t="shared" si="9"/>
        <v>0</v>
      </c>
      <c r="BK18" s="296">
        <f t="shared" si="10"/>
        <v>0</v>
      </c>
      <c r="BL18" s="296"/>
      <c r="BM18" s="296"/>
      <c r="BN18" s="296">
        <v>1</v>
      </c>
      <c r="BO18" s="296">
        <f t="shared" si="27"/>
        <v>0</v>
      </c>
      <c r="BP18" s="296">
        <f t="shared" si="28"/>
        <v>0</v>
      </c>
      <c r="BQ18" s="296">
        <f t="shared" si="29"/>
        <v>1</v>
      </c>
      <c r="BR18" s="825"/>
      <c r="BS18" s="272">
        <v>1</v>
      </c>
      <c r="BT18" s="824">
        <f t="shared" si="12"/>
        <v>0</v>
      </c>
      <c r="BU18" s="824">
        <f t="shared" si="13"/>
        <v>1</v>
      </c>
      <c r="BV18" s="824">
        <f t="shared" si="13"/>
        <v>0</v>
      </c>
      <c r="BW18" s="824">
        <f t="shared" si="13"/>
        <v>0</v>
      </c>
      <c r="BX18" s="367"/>
      <c r="BY18" s="367"/>
      <c r="BZ18" s="367"/>
      <c r="CA18" s="367"/>
      <c r="CB18" s="367"/>
      <c r="CC18" s="367"/>
      <c r="CD18" s="367"/>
      <c r="CE18" s="367"/>
      <c r="CF18" s="367"/>
      <c r="CG18" s="367"/>
      <c r="CH18" s="367"/>
      <c r="CI18" s="367"/>
      <c r="CJ18" s="367"/>
      <c r="CK18" s="367"/>
      <c r="CL18" s="367"/>
      <c r="CM18" s="367"/>
      <c r="CN18" s="367"/>
      <c r="CO18" s="367"/>
    </row>
    <row r="19" spans="1:93">
      <c r="A19" s="131">
        <f t="shared" si="30"/>
        <v>17</v>
      </c>
      <c r="B19" s="367"/>
      <c r="C19" s="367" t="s">
        <v>898</v>
      </c>
      <c r="D19" s="3">
        <f t="shared" si="14"/>
        <v>1</v>
      </c>
      <c r="E19" s="3">
        <f t="shared" si="15"/>
        <v>0</v>
      </c>
      <c r="F19" s="3">
        <f t="shared" si="16"/>
        <v>1</v>
      </c>
      <c r="G19" s="106">
        <f t="shared" si="17"/>
        <v>1</v>
      </c>
      <c r="H19" s="54">
        <f t="shared" si="18"/>
        <v>1</v>
      </c>
      <c r="I19" s="3" t="str">
        <f t="shared" si="19"/>
        <v>Manila</v>
      </c>
      <c r="J19" s="16" t="str">
        <f t="shared" si="20"/>
        <v>Manila</v>
      </c>
      <c r="K19" s="5">
        <f t="shared" si="3"/>
        <v>1</v>
      </c>
      <c r="L19" s="54">
        <f t="shared" si="4"/>
        <v>0</v>
      </c>
      <c r="M19" s="110"/>
      <c r="T19" s="3">
        <f t="shared" si="21"/>
        <v>17</v>
      </c>
      <c r="U19" s="3">
        <f>IF(F19=0,"",RANK(T19,T$3:T$32,$U$1)+COUNTIF(T$3:T19,T19)-1)</f>
        <v>17</v>
      </c>
      <c r="V19" s="3">
        <f t="shared" si="5"/>
        <v>17</v>
      </c>
      <c r="W19" s="3"/>
      <c r="X19" s="3"/>
      <c r="Y19" s="3">
        <v>0</v>
      </c>
      <c r="Z19" s="3">
        <v>1</v>
      </c>
      <c r="AA19" s="642">
        <v>1</v>
      </c>
      <c r="AB19" s="642">
        <v>0</v>
      </c>
      <c r="AC19" s="642">
        <v>0</v>
      </c>
      <c r="AD19" s="642">
        <v>0</v>
      </c>
      <c r="AE19" s="645">
        <v>0</v>
      </c>
      <c r="AF19" s="641">
        <v>1</v>
      </c>
      <c r="AG19" s="641">
        <v>0</v>
      </c>
      <c r="AH19" s="641">
        <v>0</v>
      </c>
      <c r="AI19" s="643">
        <v>0</v>
      </c>
      <c r="AJ19" s="643">
        <v>0</v>
      </c>
      <c r="AK19" s="643">
        <v>1</v>
      </c>
      <c r="AL19" s="643">
        <v>0</v>
      </c>
      <c r="AM19" s="367"/>
      <c r="AN19" s="367">
        <f t="shared" si="22"/>
        <v>1</v>
      </c>
      <c r="AO19" s="367">
        <f t="shared" si="23"/>
        <v>1</v>
      </c>
      <c r="AP19" s="367"/>
      <c r="AZ19" s="296">
        <f t="shared" si="24"/>
        <v>1</v>
      </c>
      <c r="BA19" s="296" cm="1">
        <f t="array" ref="BA19">INDEX(BF19:BK19,$BA$2)</f>
        <v>1</v>
      </c>
      <c r="BB19" s="296">
        <f t="shared" si="25"/>
        <v>1</v>
      </c>
      <c r="BC19" s="296">
        <f t="shared" si="26"/>
        <v>1</v>
      </c>
      <c r="BD19" s="296"/>
      <c r="BE19" s="296"/>
      <c r="BF19" s="296">
        <v>1</v>
      </c>
      <c r="BG19" s="296">
        <f t="shared" si="6"/>
        <v>1</v>
      </c>
      <c r="BH19" s="296">
        <f t="shared" si="7"/>
        <v>0</v>
      </c>
      <c r="BI19" s="296">
        <f t="shared" si="8"/>
        <v>0</v>
      </c>
      <c r="BJ19" s="296">
        <f t="shared" si="9"/>
        <v>0</v>
      </c>
      <c r="BK19" s="296">
        <f t="shared" si="10"/>
        <v>0</v>
      </c>
      <c r="BL19" s="296"/>
      <c r="BM19" s="296"/>
      <c r="BN19" s="296">
        <v>1</v>
      </c>
      <c r="BO19" s="296">
        <f t="shared" si="27"/>
        <v>1</v>
      </c>
      <c r="BP19" s="296">
        <f t="shared" si="28"/>
        <v>0</v>
      </c>
      <c r="BQ19" s="296">
        <f t="shared" si="29"/>
        <v>0</v>
      </c>
      <c r="BR19" s="825"/>
      <c r="BS19" s="272">
        <v>1</v>
      </c>
      <c r="BT19" s="824">
        <f t="shared" si="12"/>
        <v>0</v>
      </c>
      <c r="BU19" s="824">
        <f t="shared" ref="BU19:BU32" si="32">AJ19</f>
        <v>0</v>
      </c>
      <c r="BV19" s="824">
        <f t="shared" ref="BV19:BV32" si="33">AK19</f>
        <v>1</v>
      </c>
      <c r="BW19" s="824">
        <f t="shared" ref="BW19:BW32" si="34">AL19</f>
        <v>0</v>
      </c>
      <c r="BX19" s="367"/>
      <c r="BY19" s="367"/>
      <c r="BZ19" s="367"/>
      <c r="CA19" s="367"/>
      <c r="CB19" s="367"/>
      <c r="CC19" s="367"/>
      <c r="CD19" s="367"/>
      <c r="CE19" s="367"/>
      <c r="CF19" s="367"/>
      <c r="CG19" s="367"/>
      <c r="CH19" s="367"/>
      <c r="CI19" s="367"/>
      <c r="CJ19" s="367"/>
      <c r="CK19" s="367"/>
      <c r="CL19" s="367"/>
      <c r="CM19" s="367"/>
      <c r="CN19" s="367"/>
      <c r="CO19" s="367"/>
    </row>
    <row r="20" spans="1:93">
      <c r="A20" s="131">
        <f t="shared" si="30"/>
        <v>18</v>
      </c>
      <c r="B20" s="367"/>
      <c r="C20" s="367" t="s">
        <v>899</v>
      </c>
      <c r="D20" s="3">
        <f t="shared" si="14"/>
        <v>1</v>
      </c>
      <c r="E20" s="3">
        <f t="shared" si="15"/>
        <v>0</v>
      </c>
      <c r="F20" s="3">
        <f t="shared" si="16"/>
        <v>1</v>
      </c>
      <c r="G20" s="106">
        <f t="shared" si="17"/>
        <v>1</v>
      </c>
      <c r="H20" s="54">
        <f t="shared" si="18"/>
        <v>1</v>
      </c>
      <c r="I20" s="3" t="str">
        <f t="shared" si="19"/>
        <v>Mexico City</v>
      </c>
      <c r="J20" s="16" t="str">
        <f t="shared" si="20"/>
        <v>Mexico City</v>
      </c>
      <c r="K20" s="5">
        <f t="shared" si="3"/>
        <v>1</v>
      </c>
      <c r="L20" s="54">
        <f t="shared" si="4"/>
        <v>0</v>
      </c>
      <c r="M20" s="110"/>
      <c r="T20" s="3">
        <f t="shared" si="21"/>
        <v>18</v>
      </c>
      <c r="U20" s="3">
        <f>IF(F20=0,"",RANK(T20,T$3:T$32,$U$1)+COUNTIF(T$3:T20,T20)-1)</f>
        <v>18</v>
      </c>
      <c r="V20" s="3">
        <f t="shared" si="5"/>
        <v>18</v>
      </c>
      <c r="W20" s="3"/>
      <c r="X20" s="3"/>
      <c r="Y20" s="3">
        <v>0</v>
      </c>
      <c r="Z20" s="3">
        <v>1</v>
      </c>
      <c r="AA20" s="642">
        <v>0</v>
      </c>
      <c r="AB20" s="642">
        <v>0</v>
      </c>
      <c r="AC20" s="642">
        <v>1</v>
      </c>
      <c r="AD20" s="642">
        <v>0</v>
      </c>
      <c r="AE20" s="645">
        <v>0</v>
      </c>
      <c r="AF20" s="641">
        <v>0</v>
      </c>
      <c r="AG20" s="641">
        <v>1</v>
      </c>
      <c r="AH20" s="641">
        <v>0</v>
      </c>
      <c r="AI20" s="643">
        <v>0</v>
      </c>
      <c r="AJ20" s="643">
        <v>0</v>
      </c>
      <c r="AK20" s="643">
        <v>0</v>
      </c>
      <c r="AL20" s="643">
        <v>1</v>
      </c>
      <c r="AM20" s="367"/>
      <c r="AN20" s="367">
        <f t="shared" si="22"/>
        <v>3</v>
      </c>
      <c r="AO20" s="367">
        <f t="shared" si="23"/>
        <v>2</v>
      </c>
      <c r="AP20" s="367"/>
      <c r="AZ20" s="296">
        <f t="shared" si="24"/>
        <v>1</v>
      </c>
      <c r="BA20" s="296" cm="1">
        <f t="array" ref="BA20">INDEX(BF20:BK20,$BA$2)</f>
        <v>1</v>
      </c>
      <c r="BB20" s="296">
        <f t="shared" si="25"/>
        <v>1</v>
      </c>
      <c r="BC20" s="296">
        <f t="shared" si="26"/>
        <v>1</v>
      </c>
      <c r="BD20" s="296"/>
      <c r="BE20" s="296"/>
      <c r="BF20" s="296">
        <v>1</v>
      </c>
      <c r="BG20" s="296">
        <f t="shared" si="6"/>
        <v>0</v>
      </c>
      <c r="BH20" s="296">
        <f t="shared" si="7"/>
        <v>0</v>
      </c>
      <c r="BI20" s="296">
        <f t="shared" si="8"/>
        <v>1</v>
      </c>
      <c r="BJ20" s="296">
        <f t="shared" si="9"/>
        <v>0</v>
      </c>
      <c r="BK20" s="296">
        <f t="shared" si="10"/>
        <v>0</v>
      </c>
      <c r="BL20" s="296"/>
      <c r="BM20" s="296"/>
      <c r="BN20" s="296">
        <v>1</v>
      </c>
      <c r="BO20" s="296">
        <f t="shared" si="27"/>
        <v>0</v>
      </c>
      <c r="BP20" s="296">
        <f t="shared" si="28"/>
        <v>1</v>
      </c>
      <c r="BQ20" s="296">
        <f t="shared" si="29"/>
        <v>0</v>
      </c>
      <c r="BR20" s="825"/>
      <c r="BS20" s="272">
        <v>1</v>
      </c>
      <c r="BT20" s="824">
        <f t="shared" si="12"/>
        <v>0</v>
      </c>
      <c r="BU20" s="824">
        <f t="shared" si="32"/>
        <v>0</v>
      </c>
      <c r="BV20" s="824">
        <f t="shared" si="33"/>
        <v>0</v>
      </c>
      <c r="BW20" s="824">
        <f t="shared" si="34"/>
        <v>1</v>
      </c>
      <c r="BX20" s="367"/>
      <c r="BY20" s="367"/>
      <c r="BZ20" s="367"/>
      <c r="CA20" s="367"/>
      <c r="CB20" s="367"/>
      <c r="CC20" s="367"/>
      <c r="CD20" s="367"/>
      <c r="CE20" s="367"/>
      <c r="CF20" s="367"/>
      <c r="CG20" s="367"/>
      <c r="CH20" s="367"/>
      <c r="CI20" s="367"/>
      <c r="CJ20" s="367"/>
      <c r="CK20" s="367"/>
      <c r="CL20" s="367"/>
      <c r="CM20" s="367"/>
      <c r="CN20" s="367"/>
      <c r="CO20" s="367"/>
    </row>
    <row r="21" spans="1:93">
      <c r="A21" s="131">
        <f t="shared" si="30"/>
        <v>19</v>
      </c>
      <c r="B21" s="367"/>
      <c r="C21" s="367" t="s">
        <v>900</v>
      </c>
      <c r="D21" s="3">
        <f t="shared" si="14"/>
        <v>1</v>
      </c>
      <c r="E21" s="3">
        <f t="shared" si="15"/>
        <v>0</v>
      </c>
      <c r="F21" s="3">
        <f t="shared" si="16"/>
        <v>1</v>
      </c>
      <c r="G21" s="106">
        <f t="shared" si="17"/>
        <v>1</v>
      </c>
      <c r="H21" s="54">
        <f t="shared" si="18"/>
        <v>1</v>
      </c>
      <c r="I21" s="3" t="str">
        <f t="shared" si="19"/>
        <v>New Delhi</v>
      </c>
      <c r="J21" s="16" t="str">
        <f t="shared" si="20"/>
        <v>New Delhi</v>
      </c>
      <c r="K21" s="5">
        <f t="shared" si="3"/>
        <v>1</v>
      </c>
      <c r="L21" s="54">
        <f t="shared" si="4"/>
        <v>0</v>
      </c>
      <c r="M21" s="110"/>
      <c r="T21" s="3">
        <f t="shared" si="21"/>
        <v>19</v>
      </c>
      <c r="U21" s="3">
        <f>IF(F21=0,"",RANK(T21,T$3:T$32,$U$1)+COUNTIF(T$3:T21,T21)-1)</f>
        <v>19</v>
      </c>
      <c r="V21" s="3">
        <f t="shared" si="5"/>
        <v>19</v>
      </c>
      <c r="W21" s="3"/>
      <c r="X21" s="3"/>
      <c r="Y21" s="3">
        <v>0</v>
      </c>
      <c r="Z21" s="3">
        <v>1</v>
      </c>
      <c r="AA21" s="642">
        <v>1</v>
      </c>
      <c r="AB21" s="642">
        <v>0</v>
      </c>
      <c r="AC21" s="642">
        <v>0</v>
      </c>
      <c r="AD21" s="642">
        <v>0</v>
      </c>
      <c r="AE21" s="645">
        <v>0</v>
      </c>
      <c r="AF21" s="641">
        <v>1</v>
      </c>
      <c r="AG21" s="641">
        <v>0</v>
      </c>
      <c r="AH21" s="641">
        <v>0</v>
      </c>
      <c r="AI21" s="643">
        <v>0</v>
      </c>
      <c r="AJ21" s="643">
        <v>0</v>
      </c>
      <c r="AK21" s="643">
        <v>0</v>
      </c>
      <c r="AL21" s="643">
        <v>1</v>
      </c>
      <c r="AM21" s="367"/>
      <c r="AN21" s="367">
        <f t="shared" si="22"/>
        <v>1</v>
      </c>
      <c r="AO21" s="367">
        <f t="shared" si="23"/>
        <v>1</v>
      </c>
      <c r="AP21" s="367"/>
      <c r="AZ21" s="296">
        <f t="shared" si="24"/>
        <v>1</v>
      </c>
      <c r="BA21" s="296" cm="1">
        <f t="array" ref="BA21">INDEX(BF21:BK21,$BA$2)</f>
        <v>1</v>
      </c>
      <c r="BB21" s="296">
        <f t="shared" si="25"/>
        <v>1</v>
      </c>
      <c r="BC21" s="296">
        <f t="shared" si="26"/>
        <v>1</v>
      </c>
      <c r="BD21" s="296"/>
      <c r="BE21" s="296"/>
      <c r="BF21" s="296">
        <v>1</v>
      </c>
      <c r="BG21" s="296">
        <f t="shared" si="6"/>
        <v>1</v>
      </c>
      <c r="BH21" s="296">
        <f t="shared" si="7"/>
        <v>0</v>
      </c>
      <c r="BI21" s="296">
        <f t="shared" si="8"/>
        <v>0</v>
      </c>
      <c r="BJ21" s="296">
        <f t="shared" si="9"/>
        <v>0</v>
      </c>
      <c r="BK21" s="296">
        <f t="shared" si="10"/>
        <v>0</v>
      </c>
      <c r="BL21" s="296"/>
      <c r="BM21" s="296"/>
      <c r="BN21" s="296">
        <v>1</v>
      </c>
      <c r="BO21" s="296">
        <f t="shared" si="27"/>
        <v>1</v>
      </c>
      <c r="BP21" s="296">
        <f t="shared" si="28"/>
        <v>0</v>
      </c>
      <c r="BQ21" s="296">
        <f t="shared" si="29"/>
        <v>0</v>
      </c>
      <c r="BR21" s="825"/>
      <c r="BS21" s="272">
        <v>1</v>
      </c>
      <c r="BT21" s="824">
        <f t="shared" si="12"/>
        <v>0</v>
      </c>
      <c r="BU21" s="824">
        <f t="shared" si="32"/>
        <v>0</v>
      </c>
      <c r="BV21" s="824">
        <f t="shared" si="33"/>
        <v>0</v>
      </c>
      <c r="BW21" s="824">
        <f t="shared" si="34"/>
        <v>1</v>
      </c>
      <c r="BX21" s="367"/>
      <c r="BY21" s="367"/>
      <c r="BZ21" s="367"/>
      <c r="CA21" s="367"/>
      <c r="CB21" s="367"/>
      <c r="CC21" s="367"/>
      <c r="CD21" s="367"/>
      <c r="CE21" s="367"/>
      <c r="CF21" s="367"/>
      <c r="CG21" s="367"/>
      <c r="CH21" s="367"/>
      <c r="CI21" s="367"/>
      <c r="CJ21" s="367"/>
      <c r="CK21" s="367"/>
      <c r="CL21" s="367"/>
      <c r="CM21" s="367"/>
      <c r="CN21" s="367"/>
      <c r="CO21" s="367"/>
    </row>
    <row r="22" spans="1:93">
      <c r="A22" s="131">
        <f t="shared" si="30"/>
        <v>20</v>
      </c>
      <c r="B22" s="367"/>
      <c r="C22" s="367" t="s">
        <v>901</v>
      </c>
      <c r="D22" s="3">
        <f t="shared" si="14"/>
        <v>1</v>
      </c>
      <c r="E22" s="3">
        <f t="shared" si="15"/>
        <v>0</v>
      </c>
      <c r="F22" s="3">
        <f t="shared" si="16"/>
        <v>1</v>
      </c>
      <c r="G22" s="106">
        <f t="shared" si="17"/>
        <v>1</v>
      </c>
      <c r="H22" s="54">
        <f t="shared" si="18"/>
        <v>1</v>
      </c>
      <c r="I22" s="3" t="str">
        <f t="shared" si="19"/>
        <v>New York</v>
      </c>
      <c r="J22" s="16" t="str">
        <f t="shared" si="20"/>
        <v>New York</v>
      </c>
      <c r="K22" s="5">
        <f t="shared" si="3"/>
        <v>1</v>
      </c>
      <c r="L22" s="54">
        <f t="shared" si="4"/>
        <v>0</v>
      </c>
      <c r="M22" s="110"/>
      <c r="T22" s="3">
        <f t="shared" si="21"/>
        <v>20</v>
      </c>
      <c r="U22" s="3">
        <f>IF(F22=0,"",RANK(T22,T$3:T$32,$U$1)+COUNTIF(T$3:T22,T22)-1)</f>
        <v>20</v>
      </c>
      <c r="V22" s="3">
        <f t="shared" si="5"/>
        <v>20</v>
      </c>
      <c r="W22" s="3"/>
      <c r="X22" s="3"/>
      <c r="Y22" s="3">
        <v>0</v>
      </c>
      <c r="Z22" s="3">
        <v>1</v>
      </c>
      <c r="AA22" s="642">
        <v>0</v>
      </c>
      <c r="AB22" s="642">
        <v>0</v>
      </c>
      <c r="AC22" s="642">
        <v>0</v>
      </c>
      <c r="AD22" s="642">
        <v>0</v>
      </c>
      <c r="AE22" s="645">
        <v>1</v>
      </c>
      <c r="AF22" s="641">
        <v>0</v>
      </c>
      <c r="AG22" s="641">
        <v>0</v>
      </c>
      <c r="AH22" s="641">
        <v>1</v>
      </c>
      <c r="AI22" s="643">
        <v>0</v>
      </c>
      <c r="AJ22" s="643">
        <v>0</v>
      </c>
      <c r="AK22" s="643">
        <v>0</v>
      </c>
      <c r="AL22" s="643">
        <v>1</v>
      </c>
      <c r="AM22" s="367"/>
      <c r="AN22" s="367">
        <f t="shared" si="22"/>
        <v>5</v>
      </c>
      <c r="AO22" s="367">
        <f t="shared" si="23"/>
        <v>3</v>
      </c>
      <c r="AP22" s="367"/>
      <c r="AZ22" s="296">
        <f t="shared" si="24"/>
        <v>1</v>
      </c>
      <c r="BA22" s="296" cm="1">
        <f t="array" ref="BA22">INDEX(BF22:BK22,$BA$2)</f>
        <v>1</v>
      </c>
      <c r="BB22" s="296">
        <f t="shared" si="25"/>
        <v>1</v>
      </c>
      <c r="BC22" s="296">
        <f t="shared" si="26"/>
        <v>1</v>
      </c>
      <c r="BD22" s="296"/>
      <c r="BE22" s="296"/>
      <c r="BF22" s="296">
        <v>1</v>
      </c>
      <c r="BG22" s="296">
        <f t="shared" si="6"/>
        <v>0</v>
      </c>
      <c r="BH22" s="296">
        <f t="shared" si="7"/>
        <v>0</v>
      </c>
      <c r="BI22" s="296">
        <f t="shared" si="8"/>
        <v>0</v>
      </c>
      <c r="BJ22" s="296">
        <f t="shared" si="9"/>
        <v>0</v>
      </c>
      <c r="BK22" s="296">
        <f t="shared" si="10"/>
        <v>1</v>
      </c>
      <c r="BL22" s="296"/>
      <c r="BM22" s="296"/>
      <c r="BN22" s="296">
        <v>1</v>
      </c>
      <c r="BO22" s="296">
        <f t="shared" si="27"/>
        <v>0</v>
      </c>
      <c r="BP22" s="296">
        <f t="shared" si="28"/>
        <v>0</v>
      </c>
      <c r="BQ22" s="296">
        <f t="shared" si="29"/>
        <v>1</v>
      </c>
      <c r="BR22" s="825"/>
      <c r="BS22" s="272">
        <v>1</v>
      </c>
      <c r="BT22" s="824">
        <f t="shared" si="12"/>
        <v>0</v>
      </c>
      <c r="BU22" s="824">
        <f t="shared" si="32"/>
        <v>0</v>
      </c>
      <c r="BV22" s="824">
        <f t="shared" si="33"/>
        <v>0</v>
      </c>
      <c r="BW22" s="824">
        <f t="shared" si="34"/>
        <v>1</v>
      </c>
      <c r="BX22" s="367"/>
      <c r="BY22" s="367"/>
      <c r="BZ22" s="367"/>
      <c r="CA22" s="367"/>
      <c r="CB22" s="367"/>
      <c r="CC22" s="367"/>
      <c r="CD22" s="367"/>
      <c r="CE22" s="367"/>
      <c r="CF22" s="367"/>
      <c r="CG22" s="367"/>
      <c r="CH22" s="367"/>
      <c r="CI22" s="367"/>
      <c r="CJ22" s="367"/>
      <c r="CK22" s="367"/>
      <c r="CL22" s="367"/>
      <c r="CM22" s="367"/>
      <c r="CN22" s="367"/>
      <c r="CO22" s="367"/>
    </row>
    <row r="23" spans="1:93">
      <c r="A23" s="131">
        <f t="shared" si="30"/>
        <v>21</v>
      </c>
      <c r="B23" s="367"/>
      <c r="C23" s="367" t="s">
        <v>902</v>
      </c>
      <c r="D23" s="3">
        <f t="shared" si="14"/>
        <v>1</v>
      </c>
      <c r="E23" s="3">
        <f t="shared" si="15"/>
        <v>0</v>
      </c>
      <c r="F23" s="3">
        <f t="shared" si="16"/>
        <v>1</v>
      </c>
      <c r="G23" s="106">
        <f t="shared" si="17"/>
        <v>1</v>
      </c>
      <c r="H23" s="54">
        <f t="shared" si="18"/>
        <v>1</v>
      </c>
      <c r="I23" s="3" t="str">
        <f t="shared" si="19"/>
        <v>Paris</v>
      </c>
      <c r="J23" s="16" t="str">
        <f t="shared" si="20"/>
        <v>Paris</v>
      </c>
      <c r="K23" s="5">
        <f t="shared" si="3"/>
        <v>1</v>
      </c>
      <c r="L23" s="54">
        <f t="shared" si="4"/>
        <v>0</v>
      </c>
      <c r="M23" s="110"/>
      <c r="T23" s="3">
        <f t="shared" si="21"/>
        <v>21</v>
      </c>
      <c r="U23" s="3">
        <f>IF(F23=0,"",RANK(T23,T$3:T$32,$U$1)+COUNTIF(T$3:T23,T23)-1)</f>
        <v>21</v>
      </c>
      <c r="V23" s="3">
        <f t="shared" si="5"/>
        <v>21</v>
      </c>
      <c r="W23" s="3"/>
      <c r="X23" s="3"/>
      <c r="Y23" s="3">
        <v>0</v>
      </c>
      <c r="Z23" s="3">
        <v>1</v>
      </c>
      <c r="AA23" s="642">
        <v>0</v>
      </c>
      <c r="AB23" s="642">
        <v>1</v>
      </c>
      <c r="AC23" s="642">
        <v>0</v>
      </c>
      <c r="AD23" s="642">
        <v>0</v>
      </c>
      <c r="AE23" s="645">
        <v>0</v>
      </c>
      <c r="AF23" s="641">
        <v>0</v>
      </c>
      <c r="AG23" s="641">
        <v>0</v>
      </c>
      <c r="AH23" s="641">
        <v>1</v>
      </c>
      <c r="AI23" s="643">
        <v>0</v>
      </c>
      <c r="AJ23" s="643">
        <v>0</v>
      </c>
      <c r="AK23" s="643">
        <v>1</v>
      </c>
      <c r="AL23" s="643">
        <v>0</v>
      </c>
      <c r="AM23" s="367"/>
      <c r="AN23" s="367">
        <f t="shared" si="22"/>
        <v>2</v>
      </c>
      <c r="AO23" s="367">
        <f t="shared" si="23"/>
        <v>3</v>
      </c>
      <c r="AP23" s="367"/>
      <c r="AZ23" s="296">
        <f t="shared" si="24"/>
        <v>1</v>
      </c>
      <c r="BA23" s="296" cm="1">
        <f t="array" ref="BA23">INDEX(BF23:BK23,$BA$2)</f>
        <v>1</v>
      </c>
      <c r="BB23" s="296">
        <f t="shared" si="25"/>
        <v>1</v>
      </c>
      <c r="BC23" s="296">
        <f t="shared" si="26"/>
        <v>1</v>
      </c>
      <c r="BD23" s="296"/>
      <c r="BE23" s="296"/>
      <c r="BF23" s="296">
        <v>1</v>
      </c>
      <c r="BG23" s="296">
        <f t="shared" si="6"/>
        <v>0</v>
      </c>
      <c r="BH23" s="296">
        <f t="shared" si="7"/>
        <v>1</v>
      </c>
      <c r="BI23" s="296">
        <f t="shared" si="8"/>
        <v>0</v>
      </c>
      <c r="BJ23" s="296">
        <f t="shared" si="9"/>
        <v>0</v>
      </c>
      <c r="BK23" s="296">
        <f t="shared" si="10"/>
        <v>0</v>
      </c>
      <c r="BL23" s="296"/>
      <c r="BM23" s="296"/>
      <c r="BN23" s="296">
        <v>1</v>
      </c>
      <c r="BO23" s="296">
        <f t="shared" si="27"/>
        <v>0</v>
      </c>
      <c r="BP23" s="296">
        <f t="shared" si="28"/>
        <v>0</v>
      </c>
      <c r="BQ23" s="296">
        <f t="shared" si="29"/>
        <v>1</v>
      </c>
      <c r="BR23" s="825"/>
      <c r="BS23" s="272">
        <v>1</v>
      </c>
      <c r="BT23" s="824">
        <f t="shared" si="12"/>
        <v>0</v>
      </c>
      <c r="BU23" s="824">
        <f t="shared" si="32"/>
        <v>0</v>
      </c>
      <c r="BV23" s="824">
        <f t="shared" si="33"/>
        <v>1</v>
      </c>
      <c r="BW23" s="824">
        <f t="shared" si="34"/>
        <v>0</v>
      </c>
      <c r="BX23" s="367"/>
      <c r="BY23" s="367"/>
      <c r="BZ23" s="367"/>
      <c r="CA23" s="367"/>
      <c r="CB23" s="367"/>
      <c r="CC23" s="367"/>
      <c r="CD23" s="367"/>
      <c r="CE23" s="367"/>
      <c r="CF23" s="367"/>
      <c r="CG23" s="367"/>
      <c r="CH23" s="367"/>
      <c r="CI23" s="367"/>
      <c r="CJ23" s="367"/>
      <c r="CK23" s="367"/>
      <c r="CL23" s="367"/>
      <c r="CM23" s="367"/>
      <c r="CN23" s="367"/>
      <c r="CO23" s="367"/>
    </row>
    <row r="24" spans="1:93">
      <c r="A24" s="131">
        <f t="shared" si="30"/>
        <v>22</v>
      </c>
      <c r="B24" s="367"/>
      <c r="C24" s="367" t="s">
        <v>903</v>
      </c>
      <c r="D24" s="3">
        <f t="shared" si="14"/>
        <v>1</v>
      </c>
      <c r="E24" s="3">
        <f t="shared" si="15"/>
        <v>0</v>
      </c>
      <c r="F24" s="3">
        <f t="shared" si="16"/>
        <v>1</v>
      </c>
      <c r="G24" s="106">
        <f t="shared" si="17"/>
        <v>1</v>
      </c>
      <c r="H24" s="54">
        <f t="shared" si="18"/>
        <v>1</v>
      </c>
      <c r="I24" s="3" t="str">
        <f t="shared" si="19"/>
        <v>Rome</v>
      </c>
      <c r="J24" s="16" t="str">
        <f t="shared" si="20"/>
        <v>Rome</v>
      </c>
      <c r="K24" s="5">
        <f t="shared" si="3"/>
        <v>1</v>
      </c>
      <c r="L24" s="54">
        <f t="shared" si="4"/>
        <v>0</v>
      </c>
      <c r="M24" s="110"/>
      <c r="T24" s="3">
        <f t="shared" si="21"/>
        <v>22</v>
      </c>
      <c r="U24" s="3">
        <f>IF(F24=0,"",RANK(T24,T$3:T$32,$U$1)+COUNTIF(T$3:T24,T24)-1)</f>
        <v>22</v>
      </c>
      <c r="V24" s="3">
        <f t="shared" si="5"/>
        <v>22</v>
      </c>
      <c r="W24" s="3"/>
      <c r="X24" s="3"/>
      <c r="Y24" s="3">
        <v>0</v>
      </c>
      <c r="Z24" s="3">
        <v>1</v>
      </c>
      <c r="AA24" s="642">
        <v>0</v>
      </c>
      <c r="AB24" s="642">
        <v>1</v>
      </c>
      <c r="AC24" s="642">
        <v>0</v>
      </c>
      <c r="AD24" s="642">
        <v>0</v>
      </c>
      <c r="AE24" s="645">
        <v>0</v>
      </c>
      <c r="AF24" s="641">
        <v>0</v>
      </c>
      <c r="AG24" s="641">
        <v>0</v>
      </c>
      <c r="AH24" s="641">
        <v>1</v>
      </c>
      <c r="AI24" s="643">
        <v>1</v>
      </c>
      <c r="AJ24" s="643">
        <v>0</v>
      </c>
      <c r="AK24" s="643">
        <v>0</v>
      </c>
      <c r="AL24" s="643">
        <v>0</v>
      </c>
      <c r="AM24" s="367"/>
      <c r="AN24" s="367">
        <f t="shared" si="22"/>
        <v>2</v>
      </c>
      <c r="AO24" s="367">
        <f t="shared" si="23"/>
        <v>3</v>
      </c>
      <c r="AP24" s="367"/>
      <c r="AZ24" s="296">
        <f t="shared" si="24"/>
        <v>1</v>
      </c>
      <c r="BA24" s="296" cm="1">
        <f t="array" ref="BA24">INDEX(BF24:BK24,$BA$2)</f>
        <v>1</v>
      </c>
      <c r="BB24" s="296">
        <f t="shared" si="25"/>
        <v>1</v>
      </c>
      <c r="BC24" s="296">
        <f t="shared" si="26"/>
        <v>1</v>
      </c>
      <c r="BD24" s="296"/>
      <c r="BE24" s="296"/>
      <c r="BF24" s="296">
        <v>1</v>
      </c>
      <c r="BG24" s="296">
        <f t="shared" si="6"/>
        <v>0</v>
      </c>
      <c r="BH24" s="296">
        <f t="shared" si="7"/>
        <v>1</v>
      </c>
      <c r="BI24" s="296">
        <f t="shared" si="8"/>
        <v>0</v>
      </c>
      <c r="BJ24" s="296">
        <f t="shared" si="9"/>
        <v>0</v>
      </c>
      <c r="BK24" s="296">
        <f t="shared" si="10"/>
        <v>0</v>
      </c>
      <c r="BL24" s="296"/>
      <c r="BM24" s="296"/>
      <c r="BN24" s="296">
        <v>1</v>
      </c>
      <c r="BO24" s="296">
        <f t="shared" si="27"/>
        <v>0</v>
      </c>
      <c r="BP24" s="296">
        <f t="shared" si="28"/>
        <v>0</v>
      </c>
      <c r="BQ24" s="296">
        <f t="shared" si="29"/>
        <v>1</v>
      </c>
      <c r="BR24" s="825"/>
      <c r="BS24" s="272">
        <v>1</v>
      </c>
      <c r="BT24" s="824">
        <f t="shared" si="12"/>
        <v>1</v>
      </c>
      <c r="BU24" s="824">
        <f t="shared" si="32"/>
        <v>0</v>
      </c>
      <c r="BV24" s="824">
        <f t="shared" si="33"/>
        <v>0</v>
      </c>
      <c r="BW24" s="824">
        <f t="shared" si="34"/>
        <v>0</v>
      </c>
      <c r="BX24" s="367"/>
      <c r="BY24" s="367"/>
      <c r="BZ24" s="367"/>
      <c r="CA24" s="367"/>
      <c r="CB24" s="367"/>
      <c r="CC24" s="367"/>
      <c r="CD24" s="367"/>
      <c r="CE24" s="367"/>
      <c r="CF24" s="367"/>
      <c r="CG24" s="367"/>
      <c r="CH24" s="367"/>
      <c r="CI24" s="367"/>
      <c r="CJ24" s="367"/>
      <c r="CK24" s="367"/>
      <c r="CL24" s="367"/>
      <c r="CM24" s="367"/>
      <c r="CN24" s="367"/>
      <c r="CO24" s="367"/>
    </row>
    <row r="25" spans="1:93">
      <c r="A25" s="131">
        <f t="shared" si="30"/>
        <v>23</v>
      </c>
      <c r="B25" s="367"/>
      <c r="C25" s="367" t="s">
        <v>904</v>
      </c>
      <c r="D25" s="3">
        <f t="shared" si="14"/>
        <v>1</v>
      </c>
      <c r="E25" s="3">
        <f t="shared" si="15"/>
        <v>0</v>
      </c>
      <c r="F25" s="3">
        <f t="shared" si="16"/>
        <v>1</v>
      </c>
      <c r="G25" s="106">
        <f t="shared" si="17"/>
        <v>1</v>
      </c>
      <c r="H25" s="54">
        <f t="shared" si="18"/>
        <v>1</v>
      </c>
      <c r="I25" s="3" t="str">
        <f t="shared" si="19"/>
        <v>Sao Paulo</v>
      </c>
      <c r="J25" s="16" t="str">
        <f t="shared" si="20"/>
        <v>Sao Paulo</v>
      </c>
      <c r="K25" s="5">
        <f t="shared" si="3"/>
        <v>1</v>
      </c>
      <c r="L25" s="54">
        <f t="shared" si="4"/>
        <v>0</v>
      </c>
      <c r="M25" s="110"/>
      <c r="T25" s="3">
        <f t="shared" si="21"/>
        <v>23</v>
      </c>
      <c r="U25" s="3">
        <f>IF(F25=0,"",RANK(T25,T$3:T$32,$U$1)+COUNTIF(T$3:T25,T25)-1)</f>
        <v>23</v>
      </c>
      <c r="V25" s="3">
        <f t="shared" si="5"/>
        <v>23</v>
      </c>
      <c r="W25" s="3"/>
      <c r="X25" s="3"/>
      <c r="Y25" s="3">
        <v>0</v>
      </c>
      <c r="Z25" s="3">
        <v>1</v>
      </c>
      <c r="AA25" s="642">
        <v>0</v>
      </c>
      <c r="AB25" s="642">
        <v>0</v>
      </c>
      <c r="AC25" s="642">
        <v>1</v>
      </c>
      <c r="AD25" s="642">
        <v>0</v>
      </c>
      <c r="AE25" s="645">
        <v>0</v>
      </c>
      <c r="AF25" s="641">
        <v>0</v>
      </c>
      <c r="AG25" s="641">
        <v>1</v>
      </c>
      <c r="AH25" s="641">
        <v>0</v>
      </c>
      <c r="AI25" s="643">
        <v>0</v>
      </c>
      <c r="AJ25" s="643">
        <v>0</v>
      </c>
      <c r="AK25" s="643">
        <v>0</v>
      </c>
      <c r="AL25" s="643">
        <v>1</v>
      </c>
      <c r="AM25" s="367"/>
      <c r="AN25" s="367">
        <f t="shared" si="22"/>
        <v>3</v>
      </c>
      <c r="AO25" s="367">
        <f t="shared" si="23"/>
        <v>2</v>
      </c>
      <c r="AP25" s="367"/>
      <c r="AZ25" s="296">
        <f t="shared" si="24"/>
        <v>1</v>
      </c>
      <c r="BA25" s="296" cm="1">
        <f t="array" ref="BA25">INDEX(BF25:BK25,$BA$2)</f>
        <v>1</v>
      </c>
      <c r="BB25" s="296">
        <f t="shared" si="25"/>
        <v>1</v>
      </c>
      <c r="BC25" s="296">
        <f t="shared" si="26"/>
        <v>1</v>
      </c>
      <c r="BD25" s="296"/>
      <c r="BE25" s="296"/>
      <c r="BF25" s="296">
        <v>1</v>
      </c>
      <c r="BG25" s="296">
        <f t="shared" si="6"/>
        <v>0</v>
      </c>
      <c r="BH25" s="296">
        <f t="shared" si="7"/>
        <v>0</v>
      </c>
      <c r="BI25" s="296">
        <f t="shared" si="8"/>
        <v>1</v>
      </c>
      <c r="BJ25" s="296">
        <f t="shared" si="9"/>
        <v>0</v>
      </c>
      <c r="BK25" s="296">
        <f t="shared" si="10"/>
        <v>0</v>
      </c>
      <c r="BL25" s="296"/>
      <c r="BM25" s="296"/>
      <c r="BN25" s="296">
        <v>1</v>
      </c>
      <c r="BO25" s="296">
        <f t="shared" si="27"/>
        <v>0</v>
      </c>
      <c r="BP25" s="296">
        <f t="shared" si="28"/>
        <v>1</v>
      </c>
      <c r="BQ25" s="296">
        <f t="shared" si="29"/>
        <v>0</v>
      </c>
      <c r="BR25" s="825"/>
      <c r="BS25" s="272">
        <v>1</v>
      </c>
      <c r="BT25" s="824">
        <f t="shared" si="12"/>
        <v>0</v>
      </c>
      <c r="BU25" s="824">
        <f t="shared" si="32"/>
        <v>0</v>
      </c>
      <c r="BV25" s="824">
        <f t="shared" si="33"/>
        <v>0</v>
      </c>
      <c r="BW25" s="824">
        <f t="shared" si="34"/>
        <v>1</v>
      </c>
      <c r="BX25" s="367"/>
      <c r="BY25" s="367"/>
      <c r="BZ25" s="367"/>
      <c r="CA25" s="367"/>
      <c r="CB25" s="367"/>
      <c r="CC25" s="367"/>
      <c r="CD25" s="367"/>
      <c r="CE25" s="367"/>
      <c r="CF25" s="367"/>
      <c r="CG25" s="367"/>
      <c r="CH25" s="367"/>
      <c r="CI25" s="367"/>
      <c r="CJ25" s="367"/>
      <c r="CK25" s="367"/>
      <c r="CL25" s="367"/>
      <c r="CM25" s="367"/>
      <c r="CN25" s="367"/>
      <c r="CO25" s="367"/>
    </row>
    <row r="26" spans="1:93">
      <c r="A26" s="131">
        <f t="shared" si="30"/>
        <v>24</v>
      </c>
      <c r="B26" s="367"/>
      <c r="C26" s="367" t="s">
        <v>905</v>
      </c>
      <c r="D26" s="3">
        <f t="shared" si="14"/>
        <v>1</v>
      </c>
      <c r="E26" s="3">
        <f t="shared" si="15"/>
        <v>0</v>
      </c>
      <c r="F26" s="3">
        <f t="shared" si="16"/>
        <v>1</v>
      </c>
      <c r="G26" s="106">
        <f t="shared" si="17"/>
        <v>1</v>
      </c>
      <c r="H26" s="54">
        <f t="shared" si="18"/>
        <v>1</v>
      </c>
      <c r="I26" s="3" t="str">
        <f t="shared" si="19"/>
        <v>Seoul</v>
      </c>
      <c r="J26" s="16" t="str">
        <f t="shared" si="20"/>
        <v>Seoul</v>
      </c>
      <c r="K26" s="5">
        <f t="shared" si="3"/>
        <v>1</v>
      </c>
      <c r="L26" s="54">
        <f t="shared" si="4"/>
        <v>0</v>
      </c>
      <c r="M26" s="110"/>
      <c r="T26" s="3">
        <f t="shared" si="21"/>
        <v>24</v>
      </c>
      <c r="U26" s="3">
        <f>IF(F26=0,"",RANK(T26,T$3:T$32,$U$1)+COUNTIF(T$3:T26,T26)-1)</f>
        <v>24</v>
      </c>
      <c r="V26" s="3">
        <f t="shared" si="5"/>
        <v>24</v>
      </c>
      <c r="W26" s="3"/>
      <c r="X26" s="3"/>
      <c r="Y26" s="3">
        <v>0</v>
      </c>
      <c r="Z26" s="3">
        <v>1</v>
      </c>
      <c r="AA26" s="642">
        <v>1</v>
      </c>
      <c r="AB26" s="642">
        <v>0</v>
      </c>
      <c r="AC26" s="642">
        <v>0</v>
      </c>
      <c r="AD26" s="642">
        <v>0</v>
      </c>
      <c r="AE26" s="645">
        <v>0</v>
      </c>
      <c r="AF26" s="641">
        <v>0</v>
      </c>
      <c r="AG26" s="641">
        <v>0</v>
      </c>
      <c r="AH26" s="641">
        <v>1</v>
      </c>
      <c r="AI26" s="643">
        <v>0</v>
      </c>
      <c r="AJ26" s="643">
        <v>0</v>
      </c>
      <c r="AK26" s="643">
        <v>0</v>
      </c>
      <c r="AL26" s="643">
        <v>1</v>
      </c>
      <c r="AM26" s="367"/>
      <c r="AN26" s="367">
        <f t="shared" si="22"/>
        <v>1</v>
      </c>
      <c r="AO26" s="367">
        <f t="shared" si="23"/>
        <v>3</v>
      </c>
      <c r="AP26" s="367"/>
      <c r="AZ26" s="296">
        <f t="shared" si="24"/>
        <v>1</v>
      </c>
      <c r="BA26" s="296" cm="1">
        <f t="array" ref="BA26">INDEX(BF26:BK26,$BA$2)</f>
        <v>1</v>
      </c>
      <c r="BB26" s="296">
        <f t="shared" si="25"/>
        <v>1</v>
      </c>
      <c r="BC26" s="296">
        <f t="shared" si="26"/>
        <v>1</v>
      </c>
      <c r="BD26" s="296"/>
      <c r="BE26" s="296"/>
      <c r="BF26" s="296">
        <v>1</v>
      </c>
      <c r="BG26" s="296">
        <f t="shared" si="6"/>
        <v>1</v>
      </c>
      <c r="BH26" s="296">
        <f t="shared" si="7"/>
        <v>0</v>
      </c>
      <c r="BI26" s="296">
        <f t="shared" si="8"/>
        <v>0</v>
      </c>
      <c r="BJ26" s="296">
        <f t="shared" si="9"/>
        <v>0</v>
      </c>
      <c r="BK26" s="296">
        <f t="shared" si="10"/>
        <v>0</v>
      </c>
      <c r="BL26" s="296"/>
      <c r="BM26" s="296"/>
      <c r="BN26" s="296">
        <v>1</v>
      </c>
      <c r="BO26" s="296">
        <f t="shared" si="27"/>
        <v>0</v>
      </c>
      <c r="BP26" s="296">
        <f t="shared" si="28"/>
        <v>0</v>
      </c>
      <c r="BQ26" s="296">
        <f t="shared" si="29"/>
        <v>1</v>
      </c>
      <c r="BR26" s="825"/>
      <c r="BS26" s="272">
        <v>1</v>
      </c>
      <c r="BT26" s="824">
        <f t="shared" si="12"/>
        <v>0</v>
      </c>
      <c r="BU26" s="824">
        <f t="shared" si="32"/>
        <v>0</v>
      </c>
      <c r="BV26" s="824">
        <f t="shared" si="33"/>
        <v>0</v>
      </c>
      <c r="BW26" s="824">
        <f t="shared" si="34"/>
        <v>1</v>
      </c>
      <c r="BX26" s="367"/>
      <c r="BY26" s="367"/>
      <c r="BZ26" s="367"/>
      <c r="CA26" s="367"/>
      <c r="CB26" s="367"/>
      <c r="CC26" s="367"/>
      <c r="CD26" s="367"/>
      <c r="CE26" s="367"/>
      <c r="CF26" s="367"/>
      <c r="CG26" s="367"/>
      <c r="CH26" s="367"/>
      <c r="CI26" s="367"/>
      <c r="CJ26" s="367"/>
      <c r="CK26" s="367"/>
      <c r="CL26" s="367"/>
      <c r="CM26" s="367"/>
      <c r="CN26" s="367"/>
      <c r="CO26" s="367"/>
    </row>
    <row r="27" spans="1:93">
      <c r="A27" s="131">
        <f t="shared" si="30"/>
        <v>25</v>
      </c>
      <c r="B27" s="367"/>
      <c r="C27" s="367" t="s">
        <v>906</v>
      </c>
      <c r="D27" s="3">
        <f t="shared" si="14"/>
        <v>1</v>
      </c>
      <c r="E27" s="3">
        <f t="shared" si="15"/>
        <v>0</v>
      </c>
      <c r="F27" s="3">
        <f t="shared" si="16"/>
        <v>1</v>
      </c>
      <c r="G27" s="106">
        <f t="shared" si="17"/>
        <v>1</v>
      </c>
      <c r="H27" s="54">
        <f t="shared" si="18"/>
        <v>1</v>
      </c>
      <c r="I27" s="3" t="str">
        <f t="shared" si="19"/>
        <v>Singapore</v>
      </c>
      <c r="J27" s="16" t="str">
        <f t="shared" si="20"/>
        <v>Singapore</v>
      </c>
      <c r="K27" s="5">
        <f t="shared" si="3"/>
        <v>1</v>
      </c>
      <c r="L27" s="54">
        <f t="shared" si="4"/>
        <v>0</v>
      </c>
      <c r="M27" s="110"/>
      <c r="T27" s="3">
        <f t="shared" si="21"/>
        <v>25</v>
      </c>
      <c r="U27" s="3">
        <f>IF(F27=0,"",RANK(T27,T$3:T$32,$U$1)+COUNTIF(T$3:T27,T27)-1)</f>
        <v>25</v>
      </c>
      <c r="V27" s="3">
        <f t="shared" si="5"/>
        <v>25</v>
      </c>
      <c r="W27" s="3"/>
      <c r="X27" s="3"/>
      <c r="Y27" s="3">
        <v>0</v>
      </c>
      <c r="Z27" s="3">
        <v>1</v>
      </c>
      <c r="AA27" s="642">
        <v>1</v>
      </c>
      <c r="AB27" s="642">
        <v>0</v>
      </c>
      <c r="AC27" s="642">
        <v>0</v>
      </c>
      <c r="AD27" s="642">
        <v>0</v>
      </c>
      <c r="AE27" s="645">
        <v>0</v>
      </c>
      <c r="AF27" s="641">
        <v>0</v>
      </c>
      <c r="AG27" s="641">
        <v>0</v>
      </c>
      <c r="AH27" s="641">
        <v>1</v>
      </c>
      <c r="AI27" s="643">
        <v>0</v>
      </c>
      <c r="AJ27" s="643">
        <v>1</v>
      </c>
      <c r="AK27" s="643">
        <v>0</v>
      </c>
      <c r="AL27" s="643">
        <v>0</v>
      </c>
      <c r="AM27" s="367"/>
      <c r="AN27" s="367">
        <f t="shared" si="22"/>
        <v>1</v>
      </c>
      <c r="AO27" s="367">
        <f t="shared" si="23"/>
        <v>3</v>
      </c>
      <c r="AP27" s="367"/>
      <c r="AZ27" s="296">
        <f t="shared" si="24"/>
        <v>1</v>
      </c>
      <c r="BA27" s="296" cm="1">
        <f t="array" ref="BA27">INDEX(BF27:BK27,$BA$2)</f>
        <v>1</v>
      </c>
      <c r="BB27" s="296">
        <f t="shared" si="25"/>
        <v>1</v>
      </c>
      <c r="BC27" s="296">
        <f t="shared" si="26"/>
        <v>1</v>
      </c>
      <c r="BD27" s="296"/>
      <c r="BE27" s="296"/>
      <c r="BF27" s="296">
        <v>1</v>
      </c>
      <c r="BG27" s="296">
        <f t="shared" si="6"/>
        <v>1</v>
      </c>
      <c r="BH27" s="296">
        <f t="shared" si="7"/>
        <v>0</v>
      </c>
      <c r="BI27" s="296">
        <f t="shared" si="8"/>
        <v>0</v>
      </c>
      <c r="BJ27" s="296">
        <f t="shared" si="9"/>
        <v>0</v>
      </c>
      <c r="BK27" s="296">
        <f t="shared" si="10"/>
        <v>0</v>
      </c>
      <c r="BL27" s="296"/>
      <c r="BM27" s="296"/>
      <c r="BN27" s="296">
        <v>1</v>
      </c>
      <c r="BO27" s="296">
        <f t="shared" si="27"/>
        <v>0</v>
      </c>
      <c r="BP27" s="296">
        <f t="shared" si="28"/>
        <v>0</v>
      </c>
      <c r="BQ27" s="296">
        <f t="shared" si="29"/>
        <v>1</v>
      </c>
      <c r="BR27" s="825"/>
      <c r="BS27" s="272">
        <v>1</v>
      </c>
      <c r="BT27" s="824">
        <f t="shared" si="12"/>
        <v>0</v>
      </c>
      <c r="BU27" s="824">
        <f t="shared" si="32"/>
        <v>1</v>
      </c>
      <c r="BV27" s="824">
        <f t="shared" si="33"/>
        <v>0</v>
      </c>
      <c r="BW27" s="824">
        <f t="shared" si="34"/>
        <v>0</v>
      </c>
      <c r="BX27" s="367"/>
      <c r="BY27" s="367"/>
      <c r="BZ27" s="367"/>
      <c r="CA27" s="367"/>
      <c r="CB27" s="367"/>
      <c r="CC27" s="367"/>
      <c r="CD27" s="367"/>
      <c r="CE27" s="367"/>
      <c r="CF27" s="367"/>
      <c r="CG27" s="367"/>
      <c r="CH27" s="367"/>
      <c r="CI27" s="367"/>
      <c r="CJ27" s="367"/>
      <c r="CK27" s="367"/>
      <c r="CL27" s="367"/>
      <c r="CM27" s="367"/>
      <c r="CN27" s="367"/>
      <c r="CO27" s="367"/>
    </row>
    <row r="28" spans="1:93">
      <c r="A28" s="131">
        <f t="shared" si="30"/>
        <v>26</v>
      </c>
      <c r="B28" s="367"/>
      <c r="C28" s="367" t="s">
        <v>907</v>
      </c>
      <c r="D28" s="3">
        <f t="shared" si="14"/>
        <v>1</v>
      </c>
      <c r="E28" s="3">
        <f t="shared" si="15"/>
        <v>0</v>
      </c>
      <c r="F28" s="3">
        <f t="shared" si="16"/>
        <v>1</v>
      </c>
      <c r="G28" s="106">
        <f t="shared" si="17"/>
        <v>1</v>
      </c>
      <c r="H28" s="54">
        <f t="shared" si="18"/>
        <v>1</v>
      </c>
      <c r="I28" s="3" t="str">
        <f t="shared" si="19"/>
        <v>Sydney</v>
      </c>
      <c r="J28" s="16" t="str">
        <f t="shared" si="20"/>
        <v>Sydney</v>
      </c>
      <c r="K28" s="5">
        <f t="shared" si="3"/>
        <v>1</v>
      </c>
      <c r="L28" s="54">
        <f t="shared" si="4"/>
        <v>0</v>
      </c>
      <c r="M28" s="110"/>
      <c r="T28" s="3">
        <f t="shared" si="21"/>
        <v>26</v>
      </c>
      <c r="U28" s="3">
        <f>IF(F28=0,"",RANK(T28,T$3:T$32,$U$1)+COUNTIF(T$3:T28,T28)-1)</f>
        <v>26</v>
      </c>
      <c r="V28" s="3">
        <f t="shared" si="5"/>
        <v>26</v>
      </c>
      <c r="W28" s="3"/>
      <c r="X28" s="3"/>
      <c r="Y28" s="3">
        <v>0</v>
      </c>
      <c r="Z28" s="3">
        <v>1</v>
      </c>
      <c r="AA28" s="642">
        <v>1</v>
      </c>
      <c r="AB28" s="642">
        <v>0</v>
      </c>
      <c r="AC28" s="642">
        <v>0</v>
      </c>
      <c r="AD28" s="642">
        <v>0</v>
      </c>
      <c r="AE28" s="645">
        <v>0</v>
      </c>
      <c r="AF28" s="641">
        <v>0</v>
      </c>
      <c r="AG28" s="641">
        <v>0</v>
      </c>
      <c r="AH28" s="641">
        <v>1</v>
      </c>
      <c r="AI28" s="643">
        <v>1</v>
      </c>
      <c r="AJ28" s="643">
        <v>0</v>
      </c>
      <c r="AK28" s="643">
        <v>0</v>
      </c>
      <c r="AL28" s="643">
        <v>0</v>
      </c>
      <c r="AM28" s="367"/>
      <c r="AN28" s="367">
        <f t="shared" si="22"/>
        <v>1</v>
      </c>
      <c r="AO28" s="367">
        <f t="shared" si="23"/>
        <v>3</v>
      </c>
      <c r="AP28" s="367"/>
      <c r="AZ28" s="296">
        <f t="shared" si="24"/>
        <v>1</v>
      </c>
      <c r="BA28" s="296" cm="1">
        <f t="array" ref="BA28">INDEX(BF28:BK28,$BA$2)</f>
        <v>1</v>
      </c>
      <c r="BB28" s="296">
        <f t="shared" si="25"/>
        <v>1</v>
      </c>
      <c r="BC28" s="296">
        <f t="shared" si="26"/>
        <v>1</v>
      </c>
      <c r="BD28" s="296"/>
      <c r="BE28" s="296"/>
      <c r="BF28" s="296">
        <v>1</v>
      </c>
      <c r="BG28" s="296">
        <f t="shared" si="6"/>
        <v>1</v>
      </c>
      <c r="BH28" s="296">
        <f t="shared" si="7"/>
        <v>0</v>
      </c>
      <c r="BI28" s="296">
        <f t="shared" si="8"/>
        <v>0</v>
      </c>
      <c r="BJ28" s="296">
        <f t="shared" si="9"/>
        <v>0</v>
      </c>
      <c r="BK28" s="296">
        <f t="shared" si="10"/>
        <v>0</v>
      </c>
      <c r="BL28" s="296"/>
      <c r="BM28" s="296"/>
      <c r="BN28" s="296">
        <v>1</v>
      </c>
      <c r="BO28" s="296">
        <f t="shared" si="27"/>
        <v>0</v>
      </c>
      <c r="BP28" s="296">
        <f t="shared" si="28"/>
        <v>0</v>
      </c>
      <c r="BQ28" s="296">
        <f t="shared" si="29"/>
        <v>1</v>
      </c>
      <c r="BR28" s="825"/>
      <c r="BS28" s="272">
        <v>1</v>
      </c>
      <c r="BT28" s="824">
        <f t="shared" si="12"/>
        <v>1</v>
      </c>
      <c r="BU28" s="824">
        <f t="shared" si="32"/>
        <v>0</v>
      </c>
      <c r="BV28" s="824">
        <f t="shared" si="33"/>
        <v>0</v>
      </c>
      <c r="BW28" s="824">
        <f t="shared" si="34"/>
        <v>0</v>
      </c>
      <c r="BX28" s="367"/>
      <c r="BY28" s="367"/>
      <c r="BZ28" s="367"/>
      <c r="CA28" s="367"/>
      <c r="CB28" s="367"/>
      <c r="CC28" s="367"/>
      <c r="CD28" s="367"/>
      <c r="CE28" s="367"/>
      <c r="CF28" s="367"/>
      <c r="CG28" s="367"/>
      <c r="CH28" s="367"/>
      <c r="CI28" s="367"/>
      <c r="CJ28" s="367"/>
      <c r="CK28" s="367"/>
      <c r="CL28" s="367"/>
      <c r="CM28" s="367"/>
      <c r="CN28" s="367"/>
      <c r="CO28" s="367"/>
    </row>
    <row r="29" spans="1:93">
      <c r="A29" s="131">
        <f t="shared" si="30"/>
        <v>27</v>
      </c>
      <c r="B29" s="367"/>
      <c r="C29" s="367" t="s">
        <v>908</v>
      </c>
      <c r="D29" s="3">
        <f t="shared" si="14"/>
        <v>1</v>
      </c>
      <c r="E29" s="3">
        <f t="shared" si="15"/>
        <v>0</v>
      </c>
      <c r="F29" s="3">
        <f t="shared" si="16"/>
        <v>1</v>
      </c>
      <c r="G29" s="106">
        <f t="shared" si="17"/>
        <v>1</v>
      </c>
      <c r="H29" s="54">
        <f t="shared" si="18"/>
        <v>1</v>
      </c>
      <c r="I29" s="3" t="str">
        <f t="shared" si="19"/>
        <v>Tokyo</v>
      </c>
      <c r="J29" s="16" t="str">
        <f t="shared" si="20"/>
        <v>Tokyo</v>
      </c>
      <c r="K29" s="5">
        <f t="shared" si="3"/>
        <v>1</v>
      </c>
      <c r="L29" s="54">
        <f t="shared" si="4"/>
        <v>0</v>
      </c>
      <c r="M29" s="110"/>
      <c r="T29" s="3">
        <f t="shared" si="21"/>
        <v>27</v>
      </c>
      <c r="U29" s="3">
        <f>IF(F29=0,"",RANK(T29,T$3:T$32,$U$1)+COUNTIF(T$3:T29,T29)-1)</f>
        <v>27</v>
      </c>
      <c r="V29" s="3">
        <f t="shared" si="5"/>
        <v>27</v>
      </c>
      <c r="W29" s="3"/>
      <c r="X29" s="3"/>
      <c r="Y29" s="3">
        <v>0</v>
      </c>
      <c r="Z29" s="3">
        <v>1</v>
      </c>
      <c r="AA29" s="642">
        <v>1</v>
      </c>
      <c r="AB29" s="642">
        <v>0</v>
      </c>
      <c r="AC29" s="642">
        <v>0</v>
      </c>
      <c r="AD29" s="642">
        <v>0</v>
      </c>
      <c r="AE29" s="645">
        <v>0</v>
      </c>
      <c r="AF29" s="641">
        <v>0</v>
      </c>
      <c r="AG29" s="641">
        <v>0</v>
      </c>
      <c r="AH29" s="641">
        <v>1</v>
      </c>
      <c r="AI29" s="643">
        <v>0</v>
      </c>
      <c r="AJ29" s="643">
        <v>0</v>
      </c>
      <c r="AK29" s="643">
        <v>0</v>
      </c>
      <c r="AL29" s="643">
        <v>1</v>
      </c>
      <c r="AM29" s="367"/>
      <c r="AN29" s="367">
        <f t="shared" si="22"/>
        <v>1</v>
      </c>
      <c r="AO29" s="367">
        <f t="shared" si="23"/>
        <v>3</v>
      </c>
      <c r="AP29" s="367"/>
      <c r="AZ29" s="296">
        <f t="shared" si="24"/>
        <v>1</v>
      </c>
      <c r="BA29" s="296" cm="1">
        <f t="array" ref="BA29">INDEX(BF29:BK29,$BA$2)</f>
        <v>1</v>
      </c>
      <c r="BB29" s="296">
        <f t="shared" si="25"/>
        <v>1</v>
      </c>
      <c r="BC29" s="296">
        <f t="shared" si="26"/>
        <v>1</v>
      </c>
      <c r="BD29" s="296"/>
      <c r="BE29" s="296"/>
      <c r="BF29" s="296">
        <v>1</v>
      </c>
      <c r="BG29" s="296">
        <f t="shared" si="6"/>
        <v>1</v>
      </c>
      <c r="BH29" s="296">
        <f t="shared" si="7"/>
        <v>0</v>
      </c>
      <c r="BI29" s="296">
        <f t="shared" si="8"/>
        <v>0</v>
      </c>
      <c r="BJ29" s="296">
        <f t="shared" si="9"/>
        <v>0</v>
      </c>
      <c r="BK29" s="296">
        <f t="shared" si="10"/>
        <v>0</v>
      </c>
      <c r="BL29" s="296"/>
      <c r="BM29" s="296"/>
      <c r="BN29" s="296">
        <v>1</v>
      </c>
      <c r="BO29" s="296">
        <f t="shared" si="27"/>
        <v>0</v>
      </c>
      <c r="BP29" s="296">
        <f t="shared" si="28"/>
        <v>0</v>
      </c>
      <c r="BQ29" s="296">
        <f t="shared" si="29"/>
        <v>1</v>
      </c>
      <c r="BR29" s="825"/>
      <c r="BS29" s="272">
        <v>1</v>
      </c>
      <c r="BT29" s="824">
        <f t="shared" si="12"/>
        <v>0</v>
      </c>
      <c r="BU29" s="824">
        <f t="shared" si="32"/>
        <v>0</v>
      </c>
      <c r="BV29" s="824">
        <f t="shared" si="33"/>
        <v>0</v>
      </c>
      <c r="BW29" s="824">
        <f t="shared" si="34"/>
        <v>1</v>
      </c>
      <c r="BX29" s="367"/>
      <c r="BY29" s="367"/>
      <c r="BZ29" s="367"/>
      <c r="CA29" s="367"/>
      <c r="CB29" s="367"/>
      <c r="CC29" s="367"/>
      <c r="CD29" s="367"/>
      <c r="CE29" s="367"/>
      <c r="CF29" s="367"/>
      <c r="CG29" s="367"/>
      <c r="CH29" s="367"/>
      <c r="CI29" s="367"/>
      <c r="CJ29" s="367"/>
      <c r="CK29" s="367"/>
      <c r="CL29" s="367"/>
      <c r="CM29" s="367"/>
      <c r="CN29" s="367"/>
      <c r="CO29" s="367"/>
    </row>
    <row r="30" spans="1:93">
      <c r="A30" s="131">
        <f t="shared" si="30"/>
        <v>28</v>
      </c>
      <c r="B30" s="367"/>
      <c r="C30" s="367" t="s">
        <v>909</v>
      </c>
      <c r="D30" s="3">
        <f t="shared" si="14"/>
        <v>1</v>
      </c>
      <c r="E30" s="3">
        <f t="shared" si="15"/>
        <v>0</v>
      </c>
      <c r="F30" s="3">
        <f t="shared" si="16"/>
        <v>1</v>
      </c>
      <c r="G30" s="106">
        <f t="shared" si="17"/>
        <v>1</v>
      </c>
      <c r="H30" s="54">
        <f t="shared" si="18"/>
        <v>1</v>
      </c>
      <c r="I30" s="3" t="str">
        <f t="shared" si="19"/>
        <v>Toronto</v>
      </c>
      <c r="J30" s="16" t="str">
        <f t="shared" si="20"/>
        <v>Toronto</v>
      </c>
      <c r="K30" s="5">
        <f t="shared" si="3"/>
        <v>1</v>
      </c>
      <c r="L30" s="54">
        <f t="shared" si="4"/>
        <v>0</v>
      </c>
      <c r="M30" s="110"/>
      <c r="T30" s="3">
        <f t="shared" si="21"/>
        <v>28</v>
      </c>
      <c r="U30" s="3">
        <f>IF(F30=0,"",RANK(T30,T$3:T$32,$U$1)+COUNTIF(T$3:T30,T30)-1)</f>
        <v>28</v>
      </c>
      <c r="V30" s="3">
        <f t="shared" si="5"/>
        <v>28</v>
      </c>
      <c r="W30" s="3"/>
      <c r="X30" s="3"/>
      <c r="Y30" s="3">
        <v>0</v>
      </c>
      <c r="Z30" s="3">
        <v>1</v>
      </c>
      <c r="AA30" s="642">
        <v>0</v>
      </c>
      <c r="AB30" s="642">
        <v>0</v>
      </c>
      <c r="AC30" s="642">
        <v>0</v>
      </c>
      <c r="AD30" s="642">
        <v>0</v>
      </c>
      <c r="AE30" s="645">
        <v>1</v>
      </c>
      <c r="AF30" s="641">
        <v>0</v>
      </c>
      <c r="AG30" s="641">
        <v>0</v>
      </c>
      <c r="AH30" s="641">
        <v>1</v>
      </c>
      <c r="AI30" s="643">
        <v>0</v>
      </c>
      <c r="AJ30" s="643">
        <v>1</v>
      </c>
      <c r="AK30" s="643">
        <v>0</v>
      </c>
      <c r="AL30" s="643">
        <v>0</v>
      </c>
      <c r="AM30" s="367"/>
      <c r="AN30" s="367">
        <f t="shared" si="22"/>
        <v>5</v>
      </c>
      <c r="AO30" s="367">
        <f t="shared" si="23"/>
        <v>3</v>
      </c>
      <c r="AP30" s="367"/>
      <c r="AZ30" s="296">
        <f t="shared" si="24"/>
        <v>1</v>
      </c>
      <c r="BA30" s="296" cm="1">
        <f t="array" ref="BA30">INDEX(BF30:BK30,$BA$2)</f>
        <v>1</v>
      </c>
      <c r="BB30" s="296">
        <f t="shared" si="25"/>
        <v>1</v>
      </c>
      <c r="BC30" s="296">
        <f t="shared" si="26"/>
        <v>1</v>
      </c>
      <c r="BD30" s="296"/>
      <c r="BE30" s="296"/>
      <c r="BF30" s="296">
        <v>1</v>
      </c>
      <c r="BG30" s="296">
        <f t="shared" si="6"/>
        <v>0</v>
      </c>
      <c r="BH30" s="296">
        <f t="shared" si="7"/>
        <v>0</v>
      </c>
      <c r="BI30" s="296">
        <f t="shared" si="8"/>
        <v>0</v>
      </c>
      <c r="BJ30" s="296">
        <f t="shared" si="9"/>
        <v>0</v>
      </c>
      <c r="BK30" s="296">
        <f t="shared" si="10"/>
        <v>1</v>
      </c>
      <c r="BL30" s="296"/>
      <c r="BM30" s="296"/>
      <c r="BN30" s="296">
        <v>1</v>
      </c>
      <c r="BO30" s="296">
        <f t="shared" si="27"/>
        <v>0</v>
      </c>
      <c r="BP30" s="296">
        <f t="shared" si="28"/>
        <v>0</v>
      </c>
      <c r="BQ30" s="296">
        <f t="shared" si="29"/>
        <v>1</v>
      </c>
      <c r="BR30" s="825"/>
      <c r="BS30" s="272">
        <v>1</v>
      </c>
      <c r="BT30" s="824">
        <f t="shared" si="12"/>
        <v>0</v>
      </c>
      <c r="BU30" s="824">
        <f t="shared" si="32"/>
        <v>1</v>
      </c>
      <c r="BV30" s="824">
        <f t="shared" si="33"/>
        <v>0</v>
      </c>
      <c r="BW30" s="824">
        <f t="shared" si="34"/>
        <v>0</v>
      </c>
      <c r="BX30" s="367"/>
      <c r="BY30" s="367"/>
      <c r="BZ30" s="367"/>
      <c r="CA30" s="367"/>
      <c r="CB30" s="367"/>
      <c r="CC30" s="367"/>
      <c r="CD30" s="367"/>
      <c r="CE30" s="367"/>
      <c r="CF30" s="367"/>
      <c r="CG30" s="367"/>
      <c r="CH30" s="367"/>
      <c r="CI30" s="367"/>
      <c r="CJ30" s="367"/>
      <c r="CK30" s="367"/>
      <c r="CL30" s="367"/>
      <c r="CM30" s="367"/>
      <c r="CN30" s="367"/>
      <c r="CO30" s="367"/>
    </row>
    <row r="31" spans="1:93">
      <c r="A31" s="131">
        <f t="shared" si="30"/>
        <v>29</v>
      </c>
      <c r="B31" s="367"/>
      <c r="C31" s="367" t="s">
        <v>1157</v>
      </c>
      <c r="D31" s="3">
        <f t="shared" si="14"/>
        <v>1</v>
      </c>
      <c r="E31" s="3">
        <f t="shared" si="15"/>
        <v>0</v>
      </c>
      <c r="F31" s="3">
        <f t="shared" si="16"/>
        <v>1</v>
      </c>
      <c r="G31" s="106">
        <f t="shared" si="17"/>
        <v>1</v>
      </c>
      <c r="H31" s="54">
        <f t="shared" si="18"/>
        <v>1</v>
      </c>
      <c r="I31" s="3" t="str">
        <f t="shared" si="19"/>
        <v>Washington DC</v>
      </c>
      <c r="J31" s="16" t="str">
        <f t="shared" si="20"/>
        <v>Washington DC</v>
      </c>
      <c r="K31" s="5">
        <f t="shared" si="3"/>
        <v>1</v>
      </c>
      <c r="L31" s="54">
        <f t="shared" si="4"/>
        <v>0</v>
      </c>
      <c r="M31" s="110"/>
      <c r="T31" s="3">
        <f t="shared" si="21"/>
        <v>29</v>
      </c>
      <c r="U31" s="3">
        <f>IF(F31=0,"",RANK(T31,T$3:T$32,$U$1)+COUNTIF(T$3:T31,T31)-1)</f>
        <v>29</v>
      </c>
      <c r="V31" s="3">
        <f t="shared" si="5"/>
        <v>29</v>
      </c>
      <c r="W31" s="3"/>
      <c r="X31" s="3"/>
      <c r="Y31" s="3">
        <v>0</v>
      </c>
      <c r="Z31" s="3">
        <v>1</v>
      </c>
      <c r="AA31" s="642">
        <v>0</v>
      </c>
      <c r="AB31" s="642">
        <v>0</v>
      </c>
      <c r="AC31" s="642">
        <v>0</v>
      </c>
      <c r="AD31" s="642">
        <v>0</v>
      </c>
      <c r="AE31" s="645">
        <v>1</v>
      </c>
      <c r="AF31" s="641">
        <v>0</v>
      </c>
      <c r="AG31" s="641">
        <v>0</v>
      </c>
      <c r="AH31" s="641">
        <v>1</v>
      </c>
      <c r="AI31" s="643">
        <v>0</v>
      </c>
      <c r="AJ31" s="643">
        <v>1</v>
      </c>
      <c r="AK31" s="643">
        <v>0</v>
      </c>
      <c r="AL31" s="643">
        <v>0</v>
      </c>
      <c r="AM31" s="367"/>
      <c r="AN31" s="367">
        <f t="shared" si="22"/>
        <v>5</v>
      </c>
      <c r="AO31" s="367">
        <f t="shared" si="23"/>
        <v>3</v>
      </c>
      <c r="AP31" s="367"/>
      <c r="AZ31" s="296">
        <f t="shared" si="24"/>
        <v>1</v>
      </c>
      <c r="BA31" s="296" cm="1">
        <f t="array" ref="BA31">INDEX(BF31:BK31,$BA$2)</f>
        <v>1</v>
      </c>
      <c r="BB31" s="296">
        <f t="shared" si="25"/>
        <v>1</v>
      </c>
      <c r="BC31" s="296">
        <f t="shared" si="26"/>
        <v>1</v>
      </c>
      <c r="BD31" s="296"/>
      <c r="BE31" s="296"/>
      <c r="BF31" s="296">
        <v>1</v>
      </c>
      <c r="BG31" s="296">
        <f t="shared" si="6"/>
        <v>0</v>
      </c>
      <c r="BH31" s="296">
        <f t="shared" si="7"/>
        <v>0</v>
      </c>
      <c r="BI31" s="296">
        <f t="shared" si="8"/>
        <v>0</v>
      </c>
      <c r="BJ31" s="296">
        <f t="shared" si="9"/>
        <v>0</v>
      </c>
      <c r="BK31" s="296">
        <f t="shared" si="10"/>
        <v>1</v>
      </c>
      <c r="BL31" s="296"/>
      <c r="BM31" s="296"/>
      <c r="BN31" s="296">
        <v>1</v>
      </c>
      <c r="BO31" s="296">
        <f t="shared" si="27"/>
        <v>0</v>
      </c>
      <c r="BP31" s="296">
        <f t="shared" si="28"/>
        <v>0</v>
      </c>
      <c r="BQ31" s="296">
        <f t="shared" si="29"/>
        <v>1</v>
      </c>
      <c r="BR31" s="825"/>
      <c r="BS31" s="272">
        <v>1</v>
      </c>
      <c r="BT31" s="824">
        <f t="shared" si="12"/>
        <v>0</v>
      </c>
      <c r="BU31" s="824">
        <f t="shared" si="32"/>
        <v>1</v>
      </c>
      <c r="BV31" s="824">
        <f t="shared" si="33"/>
        <v>0</v>
      </c>
      <c r="BW31" s="824">
        <f t="shared" si="34"/>
        <v>0</v>
      </c>
      <c r="BX31" s="367"/>
      <c r="BY31" s="367"/>
      <c r="BZ31" s="367"/>
      <c r="CA31" s="367"/>
      <c r="CB31" s="367"/>
      <c r="CC31" s="367"/>
      <c r="CD31" s="367"/>
      <c r="CE31" s="367"/>
      <c r="CF31" s="367"/>
      <c r="CG31" s="367"/>
      <c r="CH31" s="367"/>
      <c r="CI31" s="367"/>
      <c r="CJ31" s="367"/>
      <c r="CK31" s="367"/>
      <c r="CL31" s="367"/>
      <c r="CM31" s="367"/>
      <c r="CN31" s="367"/>
      <c r="CO31" s="367"/>
    </row>
    <row r="32" spans="1:93" ht="15" thickBot="1">
      <c r="A32" s="131">
        <f t="shared" si="30"/>
        <v>30</v>
      </c>
      <c r="B32" s="367"/>
      <c r="C32" s="367" t="s">
        <v>911</v>
      </c>
      <c r="D32" s="3">
        <f t="shared" si="14"/>
        <v>1</v>
      </c>
      <c r="E32" s="3">
        <f t="shared" si="15"/>
        <v>0</v>
      </c>
      <c r="F32" s="3">
        <f t="shared" si="16"/>
        <v>1</v>
      </c>
      <c r="G32" s="106">
        <f t="shared" si="17"/>
        <v>1</v>
      </c>
      <c r="H32" s="54">
        <f t="shared" si="18"/>
        <v>1</v>
      </c>
      <c r="I32" s="3" t="str">
        <f t="shared" si="19"/>
        <v>Zurich</v>
      </c>
      <c r="J32" s="16" t="str">
        <f t="shared" si="20"/>
        <v>Zurich</v>
      </c>
      <c r="K32" s="5">
        <f t="shared" si="3"/>
        <v>1</v>
      </c>
      <c r="L32" s="54">
        <f t="shared" si="4"/>
        <v>0</v>
      </c>
      <c r="M32" s="110"/>
      <c r="T32" s="3">
        <f t="shared" si="21"/>
        <v>30</v>
      </c>
      <c r="U32" s="3">
        <f>IF(F32=0,"",RANK(T32,T$3:T$32,$U$1)+COUNTIF(T$3:T32,T32)-1)</f>
        <v>30</v>
      </c>
      <c r="V32" s="3">
        <f t="shared" si="5"/>
        <v>30</v>
      </c>
      <c r="W32" s="3"/>
      <c r="X32" s="3"/>
      <c r="Y32" s="3">
        <v>0</v>
      </c>
      <c r="Z32" s="3">
        <v>1</v>
      </c>
      <c r="AA32" s="642">
        <v>0</v>
      </c>
      <c r="AB32" s="642">
        <v>1</v>
      </c>
      <c r="AC32" s="642">
        <v>0</v>
      </c>
      <c r="AD32" s="642">
        <v>0</v>
      </c>
      <c r="AE32" s="645">
        <v>0</v>
      </c>
      <c r="AF32" s="641">
        <v>0</v>
      </c>
      <c r="AG32" s="641">
        <v>0</v>
      </c>
      <c r="AH32" s="641">
        <v>1</v>
      </c>
      <c r="AI32" s="643">
        <v>1</v>
      </c>
      <c r="AJ32" s="643">
        <v>0</v>
      </c>
      <c r="AK32" s="643">
        <v>0</v>
      </c>
      <c r="AL32" s="643">
        <v>0</v>
      </c>
      <c r="AM32" s="367"/>
      <c r="AN32" s="367">
        <f t="shared" si="22"/>
        <v>2</v>
      </c>
      <c r="AO32" s="367">
        <f t="shared" si="23"/>
        <v>3</v>
      </c>
      <c r="AP32" s="367"/>
      <c r="AZ32" s="296">
        <f t="shared" si="24"/>
        <v>1</v>
      </c>
      <c r="BA32" s="296" cm="1">
        <f t="array" ref="BA32">INDEX(BF32:BK32,$BA$2)</f>
        <v>1</v>
      </c>
      <c r="BB32" s="296">
        <f t="shared" si="25"/>
        <v>1</v>
      </c>
      <c r="BC32" s="296">
        <f t="shared" si="26"/>
        <v>1</v>
      </c>
      <c r="BD32" s="296"/>
      <c r="BE32" s="296"/>
      <c r="BF32" s="296">
        <v>1</v>
      </c>
      <c r="BG32" s="296">
        <f t="shared" si="6"/>
        <v>0</v>
      </c>
      <c r="BH32" s="296">
        <f t="shared" si="7"/>
        <v>1</v>
      </c>
      <c r="BI32" s="296">
        <f t="shared" si="8"/>
        <v>0</v>
      </c>
      <c r="BJ32" s="296">
        <f t="shared" si="9"/>
        <v>0</v>
      </c>
      <c r="BK32" s="296">
        <f t="shared" si="10"/>
        <v>0</v>
      </c>
      <c r="BL32" s="296"/>
      <c r="BM32" s="296"/>
      <c r="BN32" s="296">
        <v>1</v>
      </c>
      <c r="BO32" s="296">
        <f t="shared" si="27"/>
        <v>0</v>
      </c>
      <c r="BP32" s="296">
        <f t="shared" si="28"/>
        <v>0</v>
      </c>
      <c r="BQ32" s="296">
        <f t="shared" si="29"/>
        <v>1</v>
      </c>
      <c r="BR32" s="825"/>
      <c r="BS32" s="272">
        <v>1</v>
      </c>
      <c r="BT32" s="824">
        <f t="shared" si="12"/>
        <v>1</v>
      </c>
      <c r="BU32" s="824">
        <f t="shared" si="32"/>
        <v>0</v>
      </c>
      <c r="BV32" s="824">
        <f t="shared" si="33"/>
        <v>0</v>
      </c>
      <c r="BW32" s="824">
        <f t="shared" si="34"/>
        <v>0</v>
      </c>
      <c r="BX32" s="367"/>
      <c r="BY32" s="367"/>
      <c r="BZ32" s="367"/>
      <c r="CA32" s="367"/>
      <c r="CB32" s="367"/>
      <c r="CC32" s="367"/>
      <c r="CD32" s="367"/>
      <c r="CE32" s="367"/>
      <c r="CF32" s="367"/>
      <c r="CG32" s="367"/>
      <c r="CH32" s="367"/>
      <c r="CI32" s="367"/>
      <c r="CJ32" s="367"/>
      <c r="CK32" s="367"/>
      <c r="CL32" s="367"/>
      <c r="CM32" s="367"/>
      <c r="CN32" s="367"/>
      <c r="CO32" s="367"/>
    </row>
    <row r="33" spans="1:70" ht="15" thickBot="1">
      <c r="A33" s="567">
        <f>A32+1</f>
        <v>31</v>
      </c>
      <c r="B33" s="303"/>
      <c r="C33" s="303"/>
      <c r="D33" s="116"/>
      <c r="E33" s="116"/>
      <c r="F33" s="116"/>
      <c r="G33" s="116"/>
      <c r="H33" s="306"/>
      <c r="I33" s="303"/>
      <c r="J33" s="325"/>
      <c r="K33" s="303"/>
      <c r="L33" s="306"/>
      <c r="M33" s="303"/>
      <c r="T33" s="303"/>
      <c r="U33" s="303"/>
      <c r="V33" s="303"/>
      <c r="W33" s="303"/>
      <c r="X33" s="303"/>
      <c r="Y33" s="303"/>
      <c r="Z33" s="303"/>
      <c r="AA33" s="644"/>
      <c r="AB33" s="644"/>
      <c r="AC33" s="644"/>
      <c r="AD33" s="644"/>
      <c r="AE33" s="644"/>
      <c r="AF33" s="644"/>
      <c r="AG33" s="644"/>
      <c r="AH33" s="644"/>
      <c r="AI33" s="644"/>
      <c r="AJ33" s="644"/>
      <c r="AK33" s="644"/>
      <c r="AL33" s="644"/>
      <c r="AM33" s="303"/>
      <c r="AN33" s="303"/>
      <c r="AO33" s="303"/>
      <c r="AP33" s="303"/>
      <c r="AZ33" s="644"/>
      <c r="BA33" s="644"/>
      <c r="BB33" s="644"/>
      <c r="BC33" s="644"/>
      <c r="BD33" s="644"/>
      <c r="BE33" s="644"/>
      <c r="BF33" s="826"/>
      <c r="BG33" s="826"/>
      <c r="BH33" s="826"/>
      <c r="BI33" s="826"/>
      <c r="BJ33" s="826"/>
      <c r="BK33" s="826"/>
      <c r="BL33" s="826"/>
      <c r="BM33" s="826"/>
      <c r="BN33" s="826"/>
      <c r="BO33" s="826"/>
      <c r="BP33" s="826"/>
      <c r="BQ33" s="826"/>
      <c r="BR33" s="827"/>
    </row>
  </sheetData>
  <phoneticPr fontId="74" type="noConversion"/>
  <pageMargins left="0.55118110236220474" right="0.55118110236220474" top="0.59055118110236227" bottom="0.78740157480314965" header="0.51181102362204722" footer="0.51181102362204722"/>
  <pageSetup paperSize="9" scale="23" orientation="landscape" r:id="rId1"/>
  <headerFooter alignWithMargins="0">
    <oddHeader>&amp;RCity Water Optimization Index: 2020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C000"/>
    <pageSetUpPr fitToPage="1"/>
  </sheetPr>
  <dimension ref="A1:W109"/>
  <sheetViews>
    <sheetView showRowColHeaders="0" zoomScaleNormal="100" workbookViewId="0">
      <selection activeCell="H13" sqref="H13:H16"/>
    </sheetView>
  </sheetViews>
  <sheetFormatPr defaultColWidth="9.1796875" defaultRowHeight="15" customHeight="1"/>
  <cols>
    <col min="1" max="1" width="8.26953125" style="3" customWidth="1"/>
    <col min="2" max="2" width="9.1796875" style="3"/>
    <col min="3" max="3" width="9.453125" style="3" bestFit="1" customWidth="1"/>
    <col min="4" max="4" width="4" style="3" bestFit="1" customWidth="1"/>
    <col min="5" max="5" width="9.7265625" style="3" bestFit="1" customWidth="1"/>
    <col min="6" max="6" width="24" style="3" customWidth="1"/>
    <col min="7" max="7" width="24.26953125" style="3" customWidth="1"/>
    <col min="8" max="8" width="9.26953125" style="3" bestFit="1" customWidth="1"/>
    <col min="9" max="9" width="9.453125" style="3" bestFit="1" customWidth="1"/>
    <col min="10" max="19" width="9.26953125" style="3" bestFit="1" customWidth="1"/>
    <col min="20" max="20" width="9.1796875" style="3"/>
    <col min="21" max="23" width="9.26953125" style="3" bestFit="1" customWidth="1"/>
    <col min="24" max="16384" width="9.1796875" style="3"/>
  </cols>
  <sheetData>
    <row r="1" spans="1:23" ht="9" customHeight="1">
      <c r="A1" s="3">
        <f>uxb_works!$B$4</f>
        <v>1</v>
      </c>
    </row>
    <row r="2" spans="1:23" ht="14.25" customHeight="1">
      <c r="A2" s="3" t="s">
        <v>17</v>
      </c>
      <c r="H2" s="3">
        <v>1</v>
      </c>
      <c r="I2" s="3">
        <v>1</v>
      </c>
      <c r="J2" s="3">
        <v>2</v>
      </c>
      <c r="K2" s="3">
        <v>3</v>
      </c>
      <c r="L2" s="3">
        <v>4</v>
      </c>
      <c r="M2" s="3">
        <v>5</v>
      </c>
      <c r="N2" s="3">
        <v>6</v>
      </c>
      <c r="O2" s="3">
        <v>7</v>
      </c>
      <c r="P2" s="3">
        <v>8</v>
      </c>
      <c r="Q2" s="3">
        <v>9</v>
      </c>
      <c r="R2" s="3">
        <v>10</v>
      </c>
      <c r="S2" s="3">
        <v>11</v>
      </c>
    </row>
    <row r="3" spans="1:23" ht="15" customHeight="1">
      <c r="A3" s="3" t="s">
        <v>718</v>
      </c>
      <c r="C3" s="3" t="s">
        <v>18</v>
      </c>
      <c r="D3" s="3" t="s">
        <v>19</v>
      </c>
      <c r="E3" s="3" t="s">
        <v>20</v>
      </c>
      <c r="F3" s="3" t="s">
        <v>21</v>
      </c>
      <c r="H3" s="3" t="str">
        <f>A3</f>
        <v>Economist Impact default</v>
      </c>
      <c r="I3" s="3" t="str">
        <f t="shared" ref="I3:S3" si="0">INDEX($A$4:$A$19,I2)</f>
        <v>Equal weighted categories</v>
      </c>
      <c r="J3" s="3" t="str">
        <f t="shared" si="0"/>
        <v>Spare#1</v>
      </c>
      <c r="K3" s="3" t="str">
        <f t="shared" si="0"/>
        <v>Spare#2</v>
      </c>
      <c r="L3" s="3" t="str">
        <f t="shared" si="0"/>
        <v>Spare#3</v>
      </c>
      <c r="M3" s="3" t="str">
        <f t="shared" si="0"/>
        <v>Spare#4</v>
      </c>
      <c r="N3" s="3" t="str">
        <f t="shared" si="0"/>
        <v>Spare#5</v>
      </c>
      <c r="O3" s="3" t="str">
        <f t="shared" si="0"/>
        <v>Spare#6</v>
      </c>
      <c r="P3" s="3" t="str">
        <f t="shared" si="0"/>
        <v>Spare#7</v>
      </c>
      <c r="Q3" s="3" t="str">
        <f t="shared" si="0"/>
        <v>Spare#8</v>
      </c>
      <c r="R3" s="3">
        <f t="shared" si="0"/>
        <v>0</v>
      </c>
      <c r="S3" s="3">
        <f t="shared" si="0"/>
        <v>0</v>
      </c>
      <c r="U3" s="3" t="s">
        <v>54</v>
      </c>
      <c r="W3" s="3">
        <f>IFERROR(IF(SUM(W13:W109)=0,0,1),1)</f>
        <v>0</v>
      </c>
    </row>
    <row r="4" spans="1:23" ht="15" customHeight="1">
      <c r="A4" s="3" t="s">
        <v>401</v>
      </c>
    </row>
    <row r="5" spans="1:23" ht="15" customHeight="1">
      <c r="A5" s="3" t="s">
        <v>413</v>
      </c>
    </row>
    <row r="6" spans="1:23" ht="15" customHeight="1">
      <c r="A6" s="3" t="s">
        <v>362</v>
      </c>
    </row>
    <row r="7" spans="1:23" ht="15" customHeight="1">
      <c r="A7" s="3" t="s">
        <v>150</v>
      </c>
    </row>
    <row r="8" spans="1:23" ht="15" customHeight="1">
      <c r="A8" s="3" t="s">
        <v>151</v>
      </c>
    </row>
    <row r="9" spans="1:23" ht="15" customHeight="1">
      <c r="A9" s="3" t="s">
        <v>152</v>
      </c>
    </row>
    <row r="10" spans="1:23" ht="15" customHeight="1">
      <c r="A10" s="3" t="s">
        <v>153</v>
      </c>
    </row>
    <row r="11" spans="1:23" ht="15" customHeight="1">
      <c r="A11" s="3" t="s">
        <v>154</v>
      </c>
    </row>
    <row r="12" spans="1:23" ht="15" customHeight="1">
      <c r="A12" s="3" t="s">
        <v>498</v>
      </c>
      <c r="B12" s="3">
        <v>0</v>
      </c>
    </row>
    <row r="13" spans="1:23" ht="15" customHeight="1">
      <c r="B13" s="3">
        <f>B12+1</f>
        <v>1</v>
      </c>
      <c r="C13" s="3" t="str">
        <f>tblIndiSets!A6</f>
        <v>CNTY</v>
      </c>
      <c r="D13" s="3">
        <f>tblIndiSets!B6</f>
        <v>2</v>
      </c>
      <c r="E13" s="3">
        <f t="shared" ref="E13" ca="1" si="1">INDEX(OFFSET(lu_indicode,0,0),D13)</f>
        <v>1</v>
      </c>
      <c r="F13" s="3" t="str">
        <f>tblIndiSets!E6</f>
        <v>1) CONNECTIVITY</v>
      </c>
      <c r="G13" s="3" t="str">
        <f ca="1">IF(E13=1,UPPER(F13),F13)</f>
        <v>1) CONNECTIVITY</v>
      </c>
      <c r="H13" s="3">
        <v>30</v>
      </c>
      <c r="I13" s="3">
        <v>1</v>
      </c>
      <c r="J13" s="3">
        <v>1</v>
      </c>
      <c r="K13" s="3">
        <v>1</v>
      </c>
      <c r="L13" s="3">
        <v>1</v>
      </c>
      <c r="M13" s="3">
        <v>1</v>
      </c>
      <c r="N13" s="3">
        <v>1</v>
      </c>
      <c r="O13" s="3">
        <v>1</v>
      </c>
      <c r="P13" s="3">
        <v>1</v>
      </c>
      <c r="Q13" s="3">
        <v>1</v>
      </c>
      <c r="R13" s="3">
        <v>1</v>
      </c>
      <c r="S13" s="3">
        <v>1</v>
      </c>
      <c r="U13" s="3">
        <f>IF(H13="","",H13)</f>
        <v>30</v>
      </c>
      <c r="V13" s="3">
        <f>IF(H13="","",Weights!G13)</f>
        <v>30</v>
      </c>
      <c r="W13" s="3">
        <f>IF(AND(V13=U13),0,1)</f>
        <v>0</v>
      </c>
    </row>
    <row r="14" spans="1:23" ht="15" customHeight="1">
      <c r="B14" s="3">
        <f t="shared" ref="B14:B16" si="2">B13+1</f>
        <v>2</v>
      </c>
      <c r="C14" s="3" t="str">
        <f>tblIndiSets!A7</f>
        <v>SERV</v>
      </c>
      <c r="D14" s="3">
        <f>tblIndiSets!B7</f>
        <v>16</v>
      </c>
      <c r="E14" s="3">
        <f t="shared" ref="E14:E16" ca="1" si="3">INDEX(OFFSET(lu_indicode,0,0),D14)</f>
        <v>1</v>
      </c>
      <c r="F14" s="3" t="str">
        <f>tblIndiSets!E7</f>
        <v>2) SERVICES</v>
      </c>
      <c r="G14" s="3" t="str">
        <f t="shared" ref="G14:G16" ca="1" si="4">IF(E14=1,UPPER(F14),F14)</f>
        <v>2) SERVICES</v>
      </c>
      <c r="H14" s="3">
        <v>28</v>
      </c>
      <c r="I14" s="3">
        <v>1</v>
      </c>
      <c r="J14" s="3">
        <v>1</v>
      </c>
      <c r="K14" s="3">
        <v>1</v>
      </c>
      <c r="L14" s="3">
        <v>1</v>
      </c>
      <c r="M14" s="3">
        <v>1</v>
      </c>
      <c r="N14" s="3">
        <v>1</v>
      </c>
      <c r="O14" s="3">
        <v>1</v>
      </c>
      <c r="P14" s="3">
        <v>1</v>
      </c>
      <c r="Q14" s="3">
        <v>1</v>
      </c>
      <c r="R14" s="3">
        <v>1</v>
      </c>
      <c r="S14" s="3">
        <v>1</v>
      </c>
      <c r="U14" s="3">
        <f t="shared" ref="U14:U15" si="5">IF(H14="","",H14)</f>
        <v>28</v>
      </c>
      <c r="V14" s="3">
        <f>IF(H14="","",Weights!G14)</f>
        <v>28</v>
      </c>
      <c r="W14" s="3">
        <f t="shared" ref="W14:W15" si="6">IF(AND(V14=U14),0,1)</f>
        <v>0</v>
      </c>
    </row>
    <row r="15" spans="1:23" ht="15" customHeight="1">
      <c r="B15" s="3">
        <f t="shared" si="2"/>
        <v>3</v>
      </c>
      <c r="C15" s="3" t="str">
        <f>tblIndiSets!A8</f>
        <v>CULT</v>
      </c>
      <c r="D15" s="3">
        <f>tblIndiSets!B8</f>
        <v>37</v>
      </c>
      <c r="E15" s="3">
        <f t="shared" ca="1" si="3"/>
        <v>1</v>
      </c>
      <c r="F15" s="3" t="str">
        <f>tblIndiSets!E8</f>
        <v>3) CULTURE</v>
      </c>
      <c r="G15" s="3" t="str">
        <f t="shared" ca="1" si="4"/>
        <v>3) CULTURE</v>
      </c>
      <c r="H15" s="3">
        <v>21</v>
      </c>
      <c r="I15" s="3">
        <v>1</v>
      </c>
      <c r="J15" s="3">
        <v>1</v>
      </c>
      <c r="K15" s="3">
        <v>1</v>
      </c>
      <c r="L15" s="3">
        <v>1</v>
      </c>
      <c r="M15" s="3">
        <v>1</v>
      </c>
      <c r="N15" s="3">
        <v>1</v>
      </c>
      <c r="O15" s="3">
        <v>1</v>
      </c>
      <c r="P15" s="3">
        <v>1</v>
      </c>
      <c r="Q15" s="3">
        <v>1</v>
      </c>
      <c r="R15" s="3">
        <v>1</v>
      </c>
      <c r="S15" s="3">
        <v>1</v>
      </c>
      <c r="U15" s="3">
        <f t="shared" si="5"/>
        <v>21</v>
      </c>
      <c r="V15" s="3">
        <f>IF(H15="","",Weights!G15)</f>
        <v>21</v>
      </c>
      <c r="W15" s="3">
        <f t="shared" si="6"/>
        <v>0</v>
      </c>
    </row>
    <row r="16" spans="1:23" ht="15" customHeight="1">
      <c r="B16" s="3">
        <f t="shared" si="2"/>
        <v>4</v>
      </c>
      <c r="C16" s="3" t="str">
        <f>tblIndiSets!A9</f>
        <v>SUST</v>
      </c>
      <c r="D16" s="3">
        <f>tblIndiSets!B9</f>
        <v>57</v>
      </c>
      <c r="E16" s="3">
        <f t="shared" ca="1" si="3"/>
        <v>1</v>
      </c>
      <c r="F16" s="3" t="str">
        <f>tblIndiSets!E9</f>
        <v>4) SUSTAINABILITY</v>
      </c>
      <c r="G16" s="3" t="str">
        <f t="shared" ca="1" si="4"/>
        <v>4) SUSTAINABILITY</v>
      </c>
      <c r="H16" s="3">
        <v>21</v>
      </c>
      <c r="I16" s="3">
        <v>1</v>
      </c>
      <c r="J16" s="3">
        <v>1</v>
      </c>
      <c r="K16" s="3">
        <v>1</v>
      </c>
      <c r="L16" s="3">
        <v>1</v>
      </c>
      <c r="M16" s="3">
        <v>1</v>
      </c>
      <c r="N16" s="3">
        <v>1</v>
      </c>
      <c r="O16" s="3">
        <v>1</v>
      </c>
      <c r="P16" s="3">
        <v>1</v>
      </c>
      <c r="Q16" s="3">
        <v>1</v>
      </c>
      <c r="R16" s="3">
        <v>1</v>
      </c>
      <c r="S16" s="3">
        <v>1</v>
      </c>
      <c r="U16" s="3">
        <f t="shared" ref="U16:U42" si="7">IF(H16="","",H16)</f>
        <v>21</v>
      </c>
      <c r="V16" s="3">
        <f>IF(H16="","",Weights!G16)</f>
        <v>21</v>
      </c>
      <c r="W16" s="3">
        <f t="shared" ref="W16:W42" si="8">IF(AND(V16=U16),0,1)</f>
        <v>0</v>
      </c>
    </row>
    <row r="17" spans="2:23" ht="15" customHeight="1">
      <c r="B17" s="3">
        <f t="shared" ref="B17:B84" si="9">B16+1</f>
        <v>5</v>
      </c>
      <c r="U17" s="3" t="str">
        <f t="shared" si="7"/>
        <v/>
      </c>
      <c r="V17" s="3" t="str">
        <f>IF(H17="","",Weights!G17)</f>
        <v/>
      </c>
      <c r="W17" s="3">
        <f t="shared" si="8"/>
        <v>0</v>
      </c>
    </row>
    <row r="18" spans="2:23" ht="15" customHeight="1">
      <c r="B18" s="3">
        <f t="shared" si="9"/>
        <v>6</v>
      </c>
      <c r="U18" s="3" t="str">
        <f t="shared" si="7"/>
        <v/>
      </c>
      <c r="V18" s="3" t="str">
        <f>IF(H18="","",Weights!G18)</f>
        <v/>
      </c>
      <c r="W18" s="3">
        <f t="shared" si="8"/>
        <v>0</v>
      </c>
    </row>
    <row r="19" spans="2:23" ht="15" customHeight="1">
      <c r="B19" s="3">
        <f t="shared" si="9"/>
        <v>7</v>
      </c>
      <c r="C19" s="35" t="str">
        <f>tblIndiSets!A87</f>
        <v>CNTY</v>
      </c>
      <c r="D19" s="15">
        <f>tblIndiSets!B87</f>
        <v>2</v>
      </c>
      <c r="E19" s="15">
        <f t="shared" ref="E19" ca="1" si="10">INDEX(OFFSET(lu_indicode,0,0),D19)</f>
        <v>1</v>
      </c>
      <c r="F19" s="15" t="str">
        <f>tblIndiSets!E87</f>
        <v>1) CONNECTIVITY</v>
      </c>
      <c r="G19" s="15" t="str">
        <f t="shared" ref="G19" ca="1" si="11">IF(E19=1,UPPER(F19),F19)</f>
        <v>1) CONNECTIVITY</v>
      </c>
      <c r="M19" s="3" t="str">
        <f t="shared" ref="M19:S36" ca="1" si="12">IF($E19=1,"",1)</f>
        <v/>
      </c>
      <c r="N19" s="3" t="str">
        <f t="shared" ca="1" si="12"/>
        <v/>
      </c>
      <c r="O19" s="3" t="str">
        <f t="shared" ca="1" si="12"/>
        <v/>
      </c>
      <c r="P19" s="3" t="str">
        <f t="shared" ca="1" si="12"/>
        <v/>
      </c>
      <c r="Q19" s="3" t="str">
        <f t="shared" ca="1" si="12"/>
        <v/>
      </c>
      <c r="R19" s="3" t="str">
        <f t="shared" ca="1" si="12"/>
        <v/>
      </c>
      <c r="S19" s="3" t="str">
        <f t="shared" ca="1" si="12"/>
        <v/>
      </c>
      <c r="U19" s="3" t="str">
        <f t="shared" si="7"/>
        <v/>
      </c>
      <c r="V19" s="3" t="str">
        <f>IF(H19="","",Weights!G19)</f>
        <v/>
      </c>
      <c r="W19" s="3">
        <f t="shared" si="8"/>
        <v>0</v>
      </c>
    </row>
    <row r="20" spans="2:23" ht="15" customHeight="1">
      <c r="B20" s="3">
        <f t="shared" si="9"/>
        <v>8</v>
      </c>
      <c r="C20" s="35" t="str">
        <f>tblIndiSets!A88</f>
        <v>CNTY1_1</v>
      </c>
      <c r="D20" s="15">
        <f>tblIndiSets!B88</f>
        <v>3</v>
      </c>
      <c r="E20" s="15">
        <f t="shared" ref="E20" ca="1" si="13">INDEX(OFFSET(lu_indicode,0,0),D20)</f>
        <v>2</v>
      </c>
      <c r="F20" s="15" t="str">
        <f>tblIndiSets!E88</f>
        <v>1.1) Digital infrastructure</v>
      </c>
      <c r="G20" s="15" t="str">
        <f t="shared" ref="G20" ca="1" si="14">IF(E20=1,UPPER(F20),F20)</f>
        <v>1.1) Digital infrastructure</v>
      </c>
      <c r="H20" s="3">
        <v>4</v>
      </c>
      <c r="I20" s="3">
        <f t="shared" ref="I20:L39" ca="1" si="15">IF($E20=1,"",1)</f>
        <v>1</v>
      </c>
      <c r="J20" s="3">
        <f t="shared" ca="1" si="15"/>
        <v>1</v>
      </c>
      <c r="K20" s="3">
        <v>1</v>
      </c>
      <c r="L20" s="3">
        <f t="shared" ca="1" si="15"/>
        <v>1</v>
      </c>
      <c r="M20" s="3">
        <f t="shared" ca="1" si="12"/>
        <v>1</v>
      </c>
      <c r="N20" s="3">
        <f t="shared" ca="1" si="12"/>
        <v>1</v>
      </c>
      <c r="O20" s="3">
        <f t="shared" ca="1" si="12"/>
        <v>1</v>
      </c>
      <c r="P20" s="3">
        <f t="shared" ca="1" si="12"/>
        <v>1</v>
      </c>
      <c r="Q20" s="3">
        <f t="shared" ca="1" si="12"/>
        <v>1</v>
      </c>
      <c r="R20" s="3">
        <f t="shared" ca="1" si="12"/>
        <v>1</v>
      </c>
      <c r="S20" s="3">
        <f t="shared" ca="1" si="12"/>
        <v>1</v>
      </c>
      <c r="U20" s="3">
        <f t="shared" si="7"/>
        <v>4</v>
      </c>
      <c r="V20" s="3">
        <f>IF(H20="","",Weights!G20)</f>
        <v>4</v>
      </c>
      <c r="W20" s="3">
        <f t="shared" si="8"/>
        <v>0</v>
      </c>
    </row>
    <row r="21" spans="2:23" ht="15" customHeight="1">
      <c r="B21" s="3">
        <f t="shared" si="9"/>
        <v>9</v>
      </c>
      <c r="C21" s="35" t="str">
        <f>tblIndiSets!A89</f>
        <v>CNTY1_2</v>
      </c>
      <c r="D21" s="15">
        <f>tblIndiSets!B89</f>
        <v>8</v>
      </c>
      <c r="E21" s="15">
        <f t="shared" ref="E21:E29" ca="1" si="16">INDEX(OFFSET(lu_indicode,0,0),D21)</f>
        <v>2</v>
      </c>
      <c r="F21" s="15" t="str">
        <f>tblIndiSets!E89</f>
        <v>1.2) Quality</v>
      </c>
      <c r="G21" s="15" t="str">
        <f t="shared" ref="G21:G29" ca="1" si="17">IF(E21=1,UPPER(F21),F21)</f>
        <v>1.2) Quality</v>
      </c>
      <c r="H21" s="3">
        <v>2</v>
      </c>
      <c r="I21" s="3">
        <f t="shared" ca="1" si="15"/>
        <v>1</v>
      </c>
      <c r="J21" s="3">
        <f t="shared" ca="1" si="15"/>
        <v>1</v>
      </c>
      <c r="K21" s="3">
        <f t="shared" ca="1" si="15"/>
        <v>1</v>
      </c>
      <c r="L21" s="3">
        <f t="shared" ca="1" si="15"/>
        <v>1</v>
      </c>
      <c r="M21" s="3">
        <f t="shared" ca="1" si="12"/>
        <v>1</v>
      </c>
      <c r="N21" s="3">
        <f t="shared" ca="1" si="12"/>
        <v>1</v>
      </c>
      <c r="O21" s="3">
        <f t="shared" ca="1" si="12"/>
        <v>1</v>
      </c>
      <c r="P21" s="3">
        <f t="shared" ca="1" si="12"/>
        <v>1</v>
      </c>
      <c r="Q21" s="3">
        <f t="shared" ca="1" si="12"/>
        <v>1</v>
      </c>
      <c r="R21" s="3">
        <f t="shared" ca="1" si="12"/>
        <v>1</v>
      </c>
      <c r="S21" s="3">
        <f t="shared" ca="1" si="12"/>
        <v>1</v>
      </c>
      <c r="U21" s="3">
        <f t="shared" si="7"/>
        <v>2</v>
      </c>
      <c r="V21" s="3">
        <f>IF(H21="","",Weights!G21)</f>
        <v>2</v>
      </c>
      <c r="W21" s="3">
        <f t="shared" si="8"/>
        <v>0</v>
      </c>
    </row>
    <row r="22" spans="2:23" ht="15" customHeight="1">
      <c r="B22" s="3">
        <f t="shared" si="9"/>
        <v>10</v>
      </c>
      <c r="C22" s="35" t="str">
        <f>tblIndiSets!A90</f>
        <v>CNTY1_3</v>
      </c>
      <c r="D22" s="15">
        <f>tblIndiSets!B90</f>
        <v>13</v>
      </c>
      <c r="E22" s="15">
        <f t="shared" ca="1" si="16"/>
        <v>2</v>
      </c>
      <c r="F22" s="15" t="str">
        <f>tblIndiSets!E90</f>
        <v>1.3) Affordability</v>
      </c>
      <c r="G22" s="15" t="str">
        <f t="shared" ca="1" si="17"/>
        <v>1.3) Affordability</v>
      </c>
      <c r="H22" s="3">
        <v>3</v>
      </c>
      <c r="I22" s="3">
        <f t="shared" ca="1" si="15"/>
        <v>1</v>
      </c>
      <c r="J22" s="3">
        <f t="shared" ca="1" si="15"/>
        <v>1</v>
      </c>
      <c r="K22" s="3">
        <f t="shared" ca="1" si="15"/>
        <v>1</v>
      </c>
      <c r="L22" s="3">
        <f t="shared" ca="1" si="15"/>
        <v>1</v>
      </c>
      <c r="M22" s="3">
        <f t="shared" ca="1" si="12"/>
        <v>1</v>
      </c>
      <c r="N22" s="3">
        <f t="shared" ca="1" si="12"/>
        <v>1</v>
      </c>
      <c r="O22" s="3">
        <f t="shared" ca="1" si="12"/>
        <v>1</v>
      </c>
      <c r="P22" s="3">
        <f t="shared" ca="1" si="12"/>
        <v>1</v>
      </c>
      <c r="Q22" s="3">
        <f t="shared" ca="1" si="12"/>
        <v>1</v>
      </c>
      <c r="R22" s="3">
        <f t="shared" ca="1" si="12"/>
        <v>1</v>
      </c>
      <c r="S22" s="3">
        <f t="shared" ca="1" si="12"/>
        <v>1</v>
      </c>
      <c r="U22" s="3">
        <f t="shared" si="7"/>
        <v>3</v>
      </c>
      <c r="V22" s="3">
        <f>IF(H22="","",Weights!G22)</f>
        <v>3</v>
      </c>
      <c r="W22" s="3">
        <f t="shared" si="8"/>
        <v>0</v>
      </c>
    </row>
    <row r="23" spans="2:23" ht="15" customHeight="1">
      <c r="B23" s="3">
        <f t="shared" si="9"/>
        <v>11</v>
      </c>
      <c r="C23" s="35" t="str">
        <f>tblIndiSets!A91</f>
        <v>SERV</v>
      </c>
      <c r="D23" s="15">
        <f>tblIndiSets!B91</f>
        <v>16</v>
      </c>
      <c r="E23" s="15">
        <f t="shared" ca="1" si="16"/>
        <v>1</v>
      </c>
      <c r="F23" s="15" t="str">
        <f>tblIndiSets!E91</f>
        <v>2) SERVICES</v>
      </c>
      <c r="G23" s="15" t="str">
        <f t="shared" ca="1" si="17"/>
        <v>2) SERVICES</v>
      </c>
      <c r="I23" s="3" t="str">
        <f t="shared" ca="1" si="15"/>
        <v/>
      </c>
      <c r="J23" s="3" t="str">
        <f t="shared" ca="1" si="15"/>
        <v/>
      </c>
      <c r="K23" s="3" t="str">
        <f t="shared" ca="1" si="15"/>
        <v/>
      </c>
      <c r="L23" s="3" t="str">
        <f t="shared" ca="1" si="15"/>
        <v/>
      </c>
      <c r="M23" s="3" t="str">
        <f t="shared" ca="1" si="12"/>
        <v/>
      </c>
      <c r="N23" s="3" t="str">
        <f t="shared" ca="1" si="12"/>
        <v/>
      </c>
      <c r="O23" s="3" t="str">
        <f t="shared" ca="1" si="12"/>
        <v/>
      </c>
      <c r="P23" s="3" t="str">
        <f t="shared" ca="1" si="12"/>
        <v/>
      </c>
      <c r="Q23" s="3" t="str">
        <f t="shared" ca="1" si="12"/>
        <v/>
      </c>
      <c r="R23" s="3" t="str">
        <f t="shared" ca="1" si="12"/>
        <v/>
      </c>
      <c r="S23" s="3" t="str">
        <f t="shared" ca="1" si="12"/>
        <v/>
      </c>
      <c r="U23" s="3" t="str">
        <f t="shared" si="7"/>
        <v/>
      </c>
      <c r="V23" s="3" t="str">
        <f>IF(H23="","",Weights!G23)</f>
        <v/>
      </c>
      <c r="W23" s="3">
        <f t="shared" si="8"/>
        <v>0</v>
      </c>
    </row>
    <row r="24" spans="2:23" ht="15" customHeight="1">
      <c r="B24" s="3">
        <f t="shared" si="9"/>
        <v>12</v>
      </c>
      <c r="C24" s="35" t="str">
        <f>tblIndiSets!A92</f>
        <v>SERV2_1</v>
      </c>
      <c r="D24" s="15">
        <f>tblIndiSets!B92</f>
        <v>17</v>
      </c>
      <c r="E24" s="15">
        <f t="shared" ca="1" si="16"/>
        <v>2</v>
      </c>
      <c r="F24" s="15" t="str">
        <f>tblIndiSets!E92</f>
        <v>2.1) E-gov services for residents &amp; businesses</v>
      </c>
      <c r="G24" s="15" t="str">
        <f t="shared" ca="1" si="17"/>
        <v>2.1) E-gov services for residents &amp; businesses</v>
      </c>
      <c r="H24" s="3">
        <v>5</v>
      </c>
      <c r="I24" s="3">
        <f t="shared" ca="1" si="15"/>
        <v>1</v>
      </c>
      <c r="J24" s="3">
        <f t="shared" ca="1" si="15"/>
        <v>1</v>
      </c>
      <c r="K24" s="3">
        <f t="shared" ca="1" si="15"/>
        <v>1</v>
      </c>
      <c r="L24" s="3">
        <f t="shared" ca="1" si="15"/>
        <v>1</v>
      </c>
      <c r="M24" s="3">
        <f t="shared" ca="1" si="12"/>
        <v>1</v>
      </c>
      <c r="N24" s="3">
        <f t="shared" ca="1" si="12"/>
        <v>1</v>
      </c>
      <c r="O24" s="3">
        <f t="shared" ca="1" si="12"/>
        <v>1</v>
      </c>
      <c r="P24" s="3">
        <f t="shared" ca="1" si="12"/>
        <v>1</v>
      </c>
      <c r="Q24" s="3">
        <f t="shared" ca="1" si="12"/>
        <v>1</v>
      </c>
      <c r="R24" s="3">
        <f t="shared" ca="1" si="12"/>
        <v>1</v>
      </c>
      <c r="S24" s="3">
        <f t="shared" ca="1" si="12"/>
        <v>1</v>
      </c>
      <c r="U24" s="3">
        <f t="shared" si="7"/>
        <v>5</v>
      </c>
      <c r="V24" s="3">
        <f>IF(H24="","",Weights!G24)</f>
        <v>5</v>
      </c>
      <c r="W24" s="3">
        <f t="shared" si="8"/>
        <v>0</v>
      </c>
    </row>
    <row r="25" spans="2:23" ht="15" customHeight="1">
      <c r="B25" s="3">
        <f t="shared" si="9"/>
        <v>13</v>
      </c>
      <c r="C25" s="35" t="str">
        <f>tblIndiSets!A93</f>
        <v>SERV2_2</v>
      </c>
      <c r="D25" s="15">
        <f>tblIndiSets!B93</f>
        <v>21</v>
      </c>
      <c r="E25" s="15">
        <f t="shared" ca="1" si="16"/>
        <v>2</v>
      </c>
      <c r="F25" s="15" t="str">
        <f>tblIndiSets!E93</f>
        <v>2.2) Digital finance</v>
      </c>
      <c r="G25" s="15" t="str">
        <f t="shared" ca="1" si="17"/>
        <v>2.2) Digital finance</v>
      </c>
      <c r="H25" s="3">
        <v>4</v>
      </c>
      <c r="I25" s="3">
        <f t="shared" ca="1" si="15"/>
        <v>1</v>
      </c>
      <c r="J25" s="3">
        <f t="shared" ca="1" si="15"/>
        <v>1</v>
      </c>
      <c r="K25" s="3">
        <f t="shared" ca="1" si="15"/>
        <v>1</v>
      </c>
      <c r="L25" s="3">
        <f t="shared" ca="1" si="15"/>
        <v>1</v>
      </c>
      <c r="M25" s="3">
        <f t="shared" ca="1" si="12"/>
        <v>1</v>
      </c>
      <c r="N25" s="3">
        <f t="shared" ca="1" si="12"/>
        <v>1</v>
      </c>
      <c r="O25" s="3">
        <f t="shared" ca="1" si="12"/>
        <v>1</v>
      </c>
      <c r="P25" s="3">
        <f t="shared" ca="1" si="12"/>
        <v>1</v>
      </c>
      <c r="Q25" s="3">
        <f t="shared" ca="1" si="12"/>
        <v>1</v>
      </c>
      <c r="R25" s="3">
        <f t="shared" ca="1" si="12"/>
        <v>1</v>
      </c>
      <c r="S25" s="3">
        <f t="shared" ca="1" si="12"/>
        <v>1</v>
      </c>
      <c r="U25" s="3">
        <f t="shared" si="7"/>
        <v>4</v>
      </c>
      <c r="V25" s="3">
        <f>IF(H25="","",Weights!G25)</f>
        <v>4</v>
      </c>
      <c r="W25" s="3">
        <f t="shared" si="8"/>
        <v>0</v>
      </c>
    </row>
    <row r="26" spans="2:23" ht="15" customHeight="1">
      <c r="B26" s="3">
        <f t="shared" si="9"/>
        <v>14</v>
      </c>
      <c r="C26" s="35" t="str">
        <f>tblIndiSets!A94</f>
        <v>SERV2_3</v>
      </c>
      <c r="D26" s="15">
        <f>tblIndiSets!B94</f>
        <v>25</v>
      </c>
      <c r="E26" s="15">
        <f t="shared" ca="1" si="16"/>
        <v>2</v>
      </c>
      <c r="F26" s="15" t="str">
        <f>tblIndiSets!E94</f>
        <v>2.3) Transportation</v>
      </c>
      <c r="G26" s="15" t="str">
        <f t="shared" ca="1" si="17"/>
        <v>2.3) Transportation</v>
      </c>
      <c r="H26" s="3">
        <v>5</v>
      </c>
      <c r="I26" s="3">
        <f t="shared" ca="1" si="15"/>
        <v>1</v>
      </c>
      <c r="J26" s="3">
        <f t="shared" ca="1" si="15"/>
        <v>1</v>
      </c>
      <c r="K26" s="3">
        <f t="shared" ca="1" si="15"/>
        <v>1</v>
      </c>
      <c r="L26" s="3">
        <f t="shared" ca="1" si="15"/>
        <v>1</v>
      </c>
      <c r="M26" s="3">
        <f t="shared" ca="1" si="12"/>
        <v>1</v>
      </c>
      <c r="N26" s="3">
        <f t="shared" ca="1" si="12"/>
        <v>1</v>
      </c>
      <c r="O26" s="3">
        <f t="shared" ca="1" si="12"/>
        <v>1</v>
      </c>
      <c r="P26" s="3">
        <f t="shared" ca="1" si="12"/>
        <v>1</v>
      </c>
      <c r="Q26" s="3">
        <f t="shared" ca="1" si="12"/>
        <v>1</v>
      </c>
      <c r="R26" s="3">
        <f t="shared" ca="1" si="12"/>
        <v>1</v>
      </c>
      <c r="S26" s="3">
        <f t="shared" ca="1" si="12"/>
        <v>1</v>
      </c>
      <c r="U26" s="3">
        <f t="shared" si="7"/>
        <v>5</v>
      </c>
      <c r="V26" s="3">
        <f>IF(H26="","",Weights!G26)</f>
        <v>5</v>
      </c>
      <c r="W26" s="3">
        <f t="shared" si="8"/>
        <v>0</v>
      </c>
    </row>
    <row r="27" spans="2:23" ht="15" customHeight="1">
      <c r="B27" s="3">
        <f t="shared" si="9"/>
        <v>15</v>
      </c>
      <c r="C27" s="35" t="str">
        <f>tblIndiSets!A95</f>
        <v>SERV2_4</v>
      </c>
      <c r="D27" s="15">
        <f>tblIndiSets!B95</f>
        <v>28</v>
      </c>
      <c r="E27" s="15">
        <f t="shared" ca="1" si="16"/>
        <v>2</v>
      </c>
      <c r="F27" s="15" t="str">
        <f>tblIndiSets!E95</f>
        <v>2.4) Healthcare</v>
      </c>
      <c r="G27" s="15" t="str">
        <f t="shared" ca="1" si="17"/>
        <v>2.4) Healthcare</v>
      </c>
      <c r="H27" s="3">
        <v>4</v>
      </c>
      <c r="I27" s="3">
        <f t="shared" ca="1" si="15"/>
        <v>1</v>
      </c>
      <c r="J27" s="3">
        <f t="shared" ca="1" si="15"/>
        <v>1</v>
      </c>
      <c r="K27" s="3">
        <f t="shared" ca="1" si="15"/>
        <v>1</v>
      </c>
      <c r="L27" s="3">
        <f t="shared" ca="1" si="15"/>
        <v>1</v>
      </c>
      <c r="M27" s="3">
        <f t="shared" ca="1" si="12"/>
        <v>1</v>
      </c>
      <c r="N27" s="3">
        <f t="shared" ca="1" si="12"/>
        <v>1</v>
      </c>
      <c r="O27" s="3">
        <f t="shared" ca="1" si="12"/>
        <v>1</v>
      </c>
      <c r="P27" s="3">
        <f t="shared" ca="1" si="12"/>
        <v>1</v>
      </c>
      <c r="Q27" s="3">
        <f t="shared" ca="1" si="12"/>
        <v>1</v>
      </c>
      <c r="R27" s="3">
        <f t="shared" ca="1" si="12"/>
        <v>1</v>
      </c>
      <c r="S27" s="3">
        <f t="shared" ca="1" si="12"/>
        <v>1</v>
      </c>
      <c r="U27" s="3">
        <f t="shared" si="7"/>
        <v>4</v>
      </c>
      <c r="V27" s="3">
        <f>IF(H27="","",Weights!G27)</f>
        <v>4</v>
      </c>
      <c r="W27" s="3">
        <f t="shared" si="8"/>
        <v>0</v>
      </c>
    </row>
    <row r="28" spans="2:23" ht="15" customHeight="1">
      <c r="B28" s="3">
        <f t="shared" si="9"/>
        <v>16</v>
      </c>
      <c r="C28" s="35" t="str">
        <f>tblIndiSets!A96</f>
        <v>SERV2_5</v>
      </c>
      <c r="D28" s="15">
        <f>tblIndiSets!B96</f>
        <v>32</v>
      </c>
      <c r="E28" s="15">
        <f t="shared" ca="1" si="16"/>
        <v>2</v>
      </c>
      <c r="F28" s="15" t="str">
        <f>tblIndiSets!E96</f>
        <v>2.5) Education</v>
      </c>
      <c r="G28" s="15" t="str">
        <f t="shared" ca="1" si="17"/>
        <v>2.5) Education</v>
      </c>
      <c r="H28" s="3">
        <v>4</v>
      </c>
      <c r="I28" s="3">
        <f t="shared" ca="1" si="15"/>
        <v>1</v>
      </c>
      <c r="J28" s="3">
        <f t="shared" ca="1" si="15"/>
        <v>1</v>
      </c>
      <c r="K28" s="3">
        <f t="shared" ca="1" si="15"/>
        <v>1</v>
      </c>
      <c r="L28" s="3">
        <f t="shared" ca="1" si="15"/>
        <v>1</v>
      </c>
      <c r="M28" s="3">
        <f t="shared" ca="1" si="12"/>
        <v>1</v>
      </c>
      <c r="N28" s="3">
        <f t="shared" ca="1" si="12"/>
        <v>1</v>
      </c>
      <c r="O28" s="3">
        <f t="shared" ca="1" si="12"/>
        <v>1</v>
      </c>
      <c r="P28" s="3">
        <f t="shared" ca="1" si="12"/>
        <v>1</v>
      </c>
      <c r="Q28" s="3">
        <f t="shared" ca="1" si="12"/>
        <v>1</v>
      </c>
      <c r="R28" s="3">
        <f t="shared" ca="1" si="12"/>
        <v>1</v>
      </c>
      <c r="S28" s="3">
        <f t="shared" ca="1" si="12"/>
        <v>1</v>
      </c>
      <c r="U28" s="3">
        <f t="shared" si="7"/>
        <v>4</v>
      </c>
      <c r="V28" s="3">
        <f>IF(H28="","",Weights!G28)</f>
        <v>4</v>
      </c>
      <c r="W28" s="3">
        <f t="shared" si="8"/>
        <v>0</v>
      </c>
    </row>
    <row r="29" spans="2:23" ht="15" customHeight="1">
      <c r="B29" s="3">
        <f t="shared" si="9"/>
        <v>17</v>
      </c>
      <c r="C29" s="35" t="str">
        <f>tblIndiSets!A97</f>
        <v>SERV2_6</v>
      </c>
      <c r="D29" s="15">
        <f>tblIndiSets!B97</f>
        <v>34</v>
      </c>
      <c r="E29" s="15">
        <f t="shared" ca="1" si="16"/>
        <v>2</v>
      </c>
      <c r="F29" s="15" t="str">
        <f>tblIndiSets!E97</f>
        <v>2.6) Retail and hospitality</v>
      </c>
      <c r="G29" s="15" t="str">
        <f t="shared" ca="1" si="17"/>
        <v>2.6) Retail and hospitality</v>
      </c>
      <c r="H29" s="3">
        <v>4</v>
      </c>
      <c r="I29" s="3">
        <f t="shared" ca="1" si="15"/>
        <v>1</v>
      </c>
      <c r="J29" s="3">
        <f t="shared" ca="1" si="15"/>
        <v>1</v>
      </c>
      <c r="K29" s="3">
        <f t="shared" ca="1" si="15"/>
        <v>1</v>
      </c>
      <c r="L29" s="3">
        <f t="shared" ca="1" si="15"/>
        <v>1</v>
      </c>
      <c r="M29" s="3">
        <f t="shared" ca="1" si="12"/>
        <v>1</v>
      </c>
      <c r="N29" s="3">
        <f t="shared" ca="1" si="12"/>
        <v>1</v>
      </c>
      <c r="O29" s="3">
        <f t="shared" ca="1" si="12"/>
        <v>1</v>
      </c>
      <c r="P29" s="3">
        <f t="shared" ca="1" si="12"/>
        <v>1</v>
      </c>
      <c r="Q29" s="3">
        <f t="shared" ca="1" si="12"/>
        <v>1</v>
      </c>
      <c r="R29" s="3">
        <f t="shared" ca="1" si="12"/>
        <v>1</v>
      </c>
      <c r="S29" s="3">
        <f t="shared" ca="1" si="12"/>
        <v>1</v>
      </c>
      <c r="U29" s="3">
        <f t="shared" si="7"/>
        <v>4</v>
      </c>
      <c r="V29" s="3">
        <f>IF(H29="","",Weights!G29)</f>
        <v>4</v>
      </c>
      <c r="W29" s="3">
        <f t="shared" si="8"/>
        <v>0</v>
      </c>
    </row>
    <row r="30" spans="2:23" ht="15" customHeight="1">
      <c r="B30" s="3">
        <f t="shared" si="9"/>
        <v>18</v>
      </c>
      <c r="C30" s="35" t="str">
        <f>tblIndiSets!A98</f>
        <v>CULT</v>
      </c>
      <c r="D30" s="15">
        <f>tblIndiSets!B98</f>
        <v>37</v>
      </c>
      <c r="E30" s="15">
        <f t="shared" ref="E30:E39" ca="1" si="18">INDEX(OFFSET(lu_indicode,0,0),D30)</f>
        <v>1</v>
      </c>
      <c r="F30" s="15" t="str">
        <f>tblIndiSets!E98</f>
        <v>3) CULTURE</v>
      </c>
      <c r="G30" s="15" t="str">
        <f t="shared" ref="G30:G39" ca="1" si="19">IF(E30=1,UPPER(F30),F30)</f>
        <v>3) CULTURE</v>
      </c>
      <c r="I30" s="3" t="str">
        <f t="shared" ca="1" si="15"/>
        <v/>
      </c>
      <c r="J30" s="3" t="str">
        <f t="shared" ca="1" si="15"/>
        <v/>
      </c>
      <c r="K30" s="3" t="str">
        <f t="shared" ca="1" si="15"/>
        <v/>
      </c>
      <c r="L30" s="3" t="str">
        <f t="shared" ca="1" si="15"/>
        <v/>
      </c>
      <c r="M30" s="3" t="str">
        <f t="shared" ca="1" si="12"/>
        <v/>
      </c>
      <c r="N30" s="3" t="str">
        <f t="shared" ca="1" si="12"/>
        <v/>
      </c>
      <c r="O30" s="3" t="str">
        <f t="shared" ca="1" si="12"/>
        <v/>
      </c>
      <c r="P30" s="3" t="str">
        <f t="shared" ca="1" si="12"/>
        <v/>
      </c>
      <c r="Q30" s="3" t="str">
        <f t="shared" ca="1" si="12"/>
        <v/>
      </c>
      <c r="R30" s="3" t="str">
        <f t="shared" ca="1" si="12"/>
        <v/>
      </c>
      <c r="S30" s="3" t="str">
        <f t="shared" ca="1" si="12"/>
        <v/>
      </c>
      <c r="U30" s="3" t="str">
        <f t="shared" si="7"/>
        <v/>
      </c>
      <c r="V30" s="3" t="str">
        <f>IF(H30="","",Weights!G30)</f>
        <v/>
      </c>
      <c r="W30" s="3">
        <f t="shared" si="8"/>
        <v>0</v>
      </c>
    </row>
    <row r="31" spans="2:23" ht="15" customHeight="1">
      <c r="B31" s="3">
        <f t="shared" si="9"/>
        <v>19</v>
      </c>
      <c r="C31" s="35" t="str">
        <f>tblIndiSets!A99</f>
        <v>CULT3_1</v>
      </c>
      <c r="D31" s="15">
        <f>tblIndiSets!B99</f>
        <v>38</v>
      </c>
      <c r="E31" s="15">
        <f t="shared" ca="1" si="18"/>
        <v>2</v>
      </c>
      <c r="F31" s="15" t="str">
        <f>tblIndiSets!E99</f>
        <v>3.1) Digital inclusion</v>
      </c>
      <c r="G31" s="15" t="str">
        <f t="shared" ca="1" si="19"/>
        <v>3.1) Digital inclusion</v>
      </c>
      <c r="H31" s="3">
        <v>3</v>
      </c>
      <c r="I31" s="3">
        <f t="shared" ca="1" si="15"/>
        <v>1</v>
      </c>
      <c r="J31" s="3">
        <f t="shared" ca="1" si="15"/>
        <v>1</v>
      </c>
      <c r="K31" s="3">
        <f t="shared" ca="1" si="15"/>
        <v>1</v>
      </c>
      <c r="L31" s="3">
        <f t="shared" ca="1" si="15"/>
        <v>1</v>
      </c>
      <c r="M31" s="3">
        <f t="shared" ca="1" si="12"/>
        <v>1</v>
      </c>
      <c r="N31" s="3">
        <f t="shared" ca="1" si="12"/>
        <v>1</v>
      </c>
      <c r="O31" s="3">
        <f t="shared" ca="1" si="12"/>
        <v>1</v>
      </c>
      <c r="P31" s="3">
        <f t="shared" ca="1" si="12"/>
        <v>1</v>
      </c>
      <c r="Q31" s="3">
        <f t="shared" ca="1" si="12"/>
        <v>1</v>
      </c>
      <c r="R31" s="3">
        <f t="shared" ca="1" si="12"/>
        <v>1</v>
      </c>
      <c r="S31" s="3">
        <f t="shared" ca="1" si="12"/>
        <v>1</v>
      </c>
      <c r="U31" s="3">
        <f t="shared" si="7"/>
        <v>3</v>
      </c>
      <c r="V31" s="3">
        <f>IF(H31="","",Weights!G31)</f>
        <v>3</v>
      </c>
      <c r="W31" s="3">
        <f t="shared" si="8"/>
        <v>0</v>
      </c>
    </row>
    <row r="32" spans="2:23" ht="15" customHeight="1">
      <c r="B32" s="3">
        <f t="shared" si="9"/>
        <v>20</v>
      </c>
      <c r="C32" s="35" t="str">
        <f>tblIndiSets!A100</f>
        <v>CULT3_2</v>
      </c>
      <c r="D32" s="15">
        <f>tblIndiSets!B100</f>
        <v>42</v>
      </c>
      <c r="E32" s="15">
        <f t="shared" ca="1" si="18"/>
        <v>2</v>
      </c>
      <c r="F32" s="15" t="str">
        <f>tblIndiSets!E100</f>
        <v>3.2) Government support</v>
      </c>
      <c r="G32" s="15" t="str">
        <f t="shared" ca="1" si="19"/>
        <v>3.2) Government support</v>
      </c>
      <c r="H32" s="3">
        <v>5</v>
      </c>
      <c r="I32" s="3">
        <f t="shared" ca="1" si="15"/>
        <v>1</v>
      </c>
      <c r="J32" s="3">
        <f t="shared" ca="1" si="15"/>
        <v>1</v>
      </c>
      <c r="K32" s="3">
        <f t="shared" ca="1" si="15"/>
        <v>1</v>
      </c>
      <c r="L32" s="3">
        <f t="shared" ca="1" si="15"/>
        <v>1</v>
      </c>
      <c r="M32" s="3">
        <f t="shared" ca="1" si="12"/>
        <v>1</v>
      </c>
      <c r="N32" s="3">
        <f t="shared" ca="1" si="12"/>
        <v>1</v>
      </c>
      <c r="O32" s="3">
        <f t="shared" ca="1" si="12"/>
        <v>1</v>
      </c>
      <c r="P32" s="3">
        <f t="shared" ca="1" si="12"/>
        <v>1</v>
      </c>
      <c r="Q32" s="3">
        <f t="shared" ca="1" si="12"/>
        <v>1</v>
      </c>
      <c r="R32" s="3">
        <f t="shared" ca="1" si="12"/>
        <v>1</v>
      </c>
      <c r="S32" s="3">
        <f t="shared" ca="1" si="12"/>
        <v>1</v>
      </c>
      <c r="U32" s="3">
        <f t="shared" si="7"/>
        <v>5</v>
      </c>
      <c r="V32" s="3">
        <f>IF(H32="","",Weights!G32)</f>
        <v>5</v>
      </c>
      <c r="W32" s="3">
        <f t="shared" si="8"/>
        <v>0</v>
      </c>
    </row>
    <row r="33" spans="2:23" ht="15" customHeight="1">
      <c r="B33" s="3">
        <f t="shared" si="9"/>
        <v>21</v>
      </c>
      <c r="C33" s="35" t="str">
        <f>tblIndiSets!A101</f>
        <v>CULT3_3</v>
      </c>
      <c r="D33" s="15">
        <f>tblIndiSets!B101</f>
        <v>48</v>
      </c>
      <c r="E33" s="15">
        <f t="shared" ca="1" si="18"/>
        <v>2</v>
      </c>
      <c r="F33" s="15" t="str">
        <f>tblIndiSets!E101</f>
        <v>3.3) Innovation ecosystem</v>
      </c>
      <c r="G33" s="15" t="str">
        <f t="shared" ca="1" si="19"/>
        <v>3.3) Innovation ecosystem</v>
      </c>
      <c r="H33" s="3">
        <v>5</v>
      </c>
      <c r="I33" s="3">
        <f t="shared" ca="1" si="15"/>
        <v>1</v>
      </c>
      <c r="J33" s="3">
        <f t="shared" ca="1" si="15"/>
        <v>1</v>
      </c>
      <c r="K33" s="3">
        <f t="shared" ca="1" si="15"/>
        <v>1</v>
      </c>
      <c r="L33" s="3">
        <f t="shared" ca="1" si="15"/>
        <v>1</v>
      </c>
      <c r="M33" s="3">
        <f t="shared" ca="1" si="12"/>
        <v>1</v>
      </c>
      <c r="N33" s="3">
        <f t="shared" ca="1" si="12"/>
        <v>1</v>
      </c>
      <c r="O33" s="3">
        <f t="shared" ca="1" si="12"/>
        <v>1</v>
      </c>
      <c r="P33" s="3">
        <f t="shared" ca="1" si="12"/>
        <v>1</v>
      </c>
      <c r="Q33" s="3">
        <f t="shared" ca="1" si="12"/>
        <v>1</v>
      </c>
      <c r="R33" s="3">
        <f t="shared" ca="1" si="12"/>
        <v>1</v>
      </c>
      <c r="S33" s="3">
        <f t="shared" ca="1" si="12"/>
        <v>1</v>
      </c>
      <c r="U33" s="3">
        <f t="shared" si="7"/>
        <v>5</v>
      </c>
      <c r="V33" s="3">
        <f>IF(H33="","",Weights!G33)</f>
        <v>5</v>
      </c>
      <c r="W33" s="3">
        <f t="shared" si="8"/>
        <v>0</v>
      </c>
    </row>
    <row r="34" spans="2:23" ht="15" customHeight="1">
      <c r="B34" s="3">
        <f t="shared" si="9"/>
        <v>22</v>
      </c>
      <c r="C34" s="35" t="str">
        <f>tblIndiSets!A102</f>
        <v>CULT3_4</v>
      </c>
      <c r="D34" s="15">
        <f>tblIndiSets!B102</f>
        <v>54</v>
      </c>
      <c r="E34" s="15">
        <f t="shared" ca="1" si="18"/>
        <v>2</v>
      </c>
      <c r="F34" s="15" t="str">
        <f>tblIndiSets!E102</f>
        <v>3.4) Public attitude and engagement</v>
      </c>
      <c r="G34" s="15" t="str">
        <f t="shared" ca="1" si="19"/>
        <v>3.4) Public attitude and engagement</v>
      </c>
      <c r="H34" s="3">
        <v>3</v>
      </c>
      <c r="I34" s="3">
        <f t="shared" ca="1" si="15"/>
        <v>1</v>
      </c>
      <c r="J34" s="3">
        <f t="shared" ca="1" si="15"/>
        <v>1</v>
      </c>
      <c r="K34" s="3">
        <f t="shared" ca="1" si="15"/>
        <v>1</v>
      </c>
      <c r="L34" s="3">
        <f t="shared" ca="1" si="15"/>
        <v>1</v>
      </c>
      <c r="M34" s="3">
        <f t="shared" ca="1" si="12"/>
        <v>1</v>
      </c>
      <c r="N34" s="3">
        <f t="shared" ca="1" si="12"/>
        <v>1</v>
      </c>
      <c r="O34" s="3">
        <f t="shared" ca="1" si="12"/>
        <v>1</v>
      </c>
      <c r="P34" s="3">
        <f t="shared" ca="1" si="12"/>
        <v>1</v>
      </c>
      <c r="Q34" s="3">
        <f t="shared" ca="1" si="12"/>
        <v>1</v>
      </c>
      <c r="R34" s="3">
        <f t="shared" ca="1" si="12"/>
        <v>1</v>
      </c>
      <c r="S34" s="3">
        <f t="shared" ca="1" si="12"/>
        <v>1</v>
      </c>
      <c r="U34" s="3">
        <f t="shared" si="7"/>
        <v>3</v>
      </c>
      <c r="V34" s="3">
        <f>IF(H34="","",Weights!G34)</f>
        <v>3</v>
      </c>
      <c r="W34" s="3">
        <f t="shared" si="8"/>
        <v>0</v>
      </c>
    </row>
    <row r="35" spans="2:23" ht="15" customHeight="1">
      <c r="B35" s="3">
        <f t="shared" si="9"/>
        <v>23</v>
      </c>
      <c r="C35" s="35" t="str">
        <f>tblIndiSets!A103</f>
        <v>SUST</v>
      </c>
      <c r="D35" s="15">
        <f>tblIndiSets!B103</f>
        <v>57</v>
      </c>
      <c r="E35" s="15">
        <f t="shared" ca="1" si="18"/>
        <v>1</v>
      </c>
      <c r="F35" s="15" t="str">
        <f>tblIndiSets!E103</f>
        <v>4) SUSTAINABILITY</v>
      </c>
      <c r="G35" s="15" t="str">
        <f t="shared" ca="1" si="19"/>
        <v>4) SUSTAINABILITY</v>
      </c>
      <c r="I35" s="3" t="str">
        <f t="shared" ca="1" si="15"/>
        <v/>
      </c>
      <c r="J35" s="3" t="str">
        <f t="shared" ca="1" si="15"/>
        <v/>
      </c>
      <c r="K35" s="3" t="str">
        <f t="shared" ca="1" si="15"/>
        <v/>
      </c>
      <c r="L35" s="3" t="str">
        <f t="shared" ca="1" si="15"/>
        <v/>
      </c>
      <c r="M35" s="3" t="str">
        <f t="shared" ca="1" si="12"/>
        <v/>
      </c>
      <c r="N35" s="3" t="str">
        <f t="shared" ca="1" si="12"/>
        <v/>
      </c>
      <c r="O35" s="3" t="str">
        <f t="shared" ca="1" si="12"/>
        <v/>
      </c>
      <c r="P35" s="3" t="str">
        <f t="shared" ca="1" si="12"/>
        <v/>
      </c>
      <c r="Q35" s="3" t="str">
        <f t="shared" ca="1" si="12"/>
        <v/>
      </c>
      <c r="R35" s="3" t="str">
        <f t="shared" ca="1" si="12"/>
        <v/>
      </c>
      <c r="S35" s="3" t="str">
        <f t="shared" ca="1" si="12"/>
        <v/>
      </c>
      <c r="U35" s="3" t="str">
        <f t="shared" si="7"/>
        <v/>
      </c>
      <c r="V35" s="3" t="str">
        <f>IF(H35="","",Weights!G35)</f>
        <v/>
      </c>
      <c r="W35" s="3">
        <f t="shared" si="8"/>
        <v>0</v>
      </c>
    </row>
    <row r="36" spans="2:23" ht="15" customHeight="1">
      <c r="B36" s="3">
        <f t="shared" si="9"/>
        <v>24</v>
      </c>
      <c r="C36" s="35" t="str">
        <f>tblIndiSets!A104</f>
        <v>SUST4_1</v>
      </c>
      <c r="D36" s="15">
        <f>tblIndiSets!B104</f>
        <v>58</v>
      </c>
      <c r="E36" s="15">
        <f t="shared" ca="1" si="18"/>
        <v>2</v>
      </c>
      <c r="F36" s="15" t="str">
        <f>tblIndiSets!E104</f>
        <v>4.1) Efficient resource management</v>
      </c>
      <c r="G36" s="15" t="str">
        <f t="shared" ca="1" si="19"/>
        <v>4.1) Efficient resource management</v>
      </c>
      <c r="H36" s="3">
        <v>5</v>
      </c>
      <c r="I36" s="3">
        <f t="shared" ca="1" si="15"/>
        <v>1</v>
      </c>
      <c r="J36" s="3">
        <f t="shared" ca="1" si="15"/>
        <v>1</v>
      </c>
      <c r="K36" s="3">
        <f t="shared" ca="1" si="15"/>
        <v>1</v>
      </c>
      <c r="L36" s="3">
        <f t="shared" ca="1" si="15"/>
        <v>1</v>
      </c>
      <c r="M36" s="3">
        <f t="shared" ca="1" si="12"/>
        <v>1</v>
      </c>
      <c r="N36" s="3">
        <f t="shared" ca="1" si="12"/>
        <v>1</v>
      </c>
      <c r="O36" s="3">
        <f t="shared" ca="1" si="12"/>
        <v>1</v>
      </c>
      <c r="P36" s="3">
        <f t="shared" ref="M36:S39" ca="1" si="20">IF($E36=1,"",1)</f>
        <v>1</v>
      </c>
      <c r="Q36" s="3">
        <f t="shared" ca="1" si="20"/>
        <v>1</v>
      </c>
      <c r="R36" s="3">
        <f t="shared" ca="1" si="20"/>
        <v>1</v>
      </c>
      <c r="S36" s="3">
        <f t="shared" ca="1" si="20"/>
        <v>1</v>
      </c>
      <c r="U36" s="3">
        <f t="shared" si="7"/>
        <v>5</v>
      </c>
      <c r="V36" s="3">
        <f>IF(H36="","",Weights!G36)</f>
        <v>5</v>
      </c>
      <c r="W36" s="3">
        <f t="shared" si="8"/>
        <v>0</v>
      </c>
    </row>
    <row r="37" spans="2:23" ht="15" customHeight="1">
      <c r="B37" s="3">
        <f t="shared" si="9"/>
        <v>25</v>
      </c>
      <c r="C37" s="35" t="str">
        <f>tblIndiSets!A105</f>
        <v>SUST4_2</v>
      </c>
      <c r="D37" s="15">
        <f>tblIndiSets!B105</f>
        <v>62</v>
      </c>
      <c r="E37" s="15">
        <f t="shared" ca="1" si="18"/>
        <v>2</v>
      </c>
      <c r="F37" s="15" t="str">
        <f>tblIndiSets!E105</f>
        <v>4.2) Emissions reduction</v>
      </c>
      <c r="G37" s="15" t="str">
        <f t="shared" ca="1" si="19"/>
        <v>4.2) Emissions reduction</v>
      </c>
      <c r="H37" s="3">
        <v>5</v>
      </c>
      <c r="I37" s="3">
        <f t="shared" ca="1" si="15"/>
        <v>1</v>
      </c>
      <c r="J37" s="3">
        <f t="shared" ca="1" si="15"/>
        <v>1</v>
      </c>
      <c r="K37" s="3">
        <f t="shared" ca="1" si="15"/>
        <v>1</v>
      </c>
      <c r="L37" s="3">
        <f t="shared" ca="1" si="15"/>
        <v>1</v>
      </c>
      <c r="M37" s="3">
        <f t="shared" ca="1" si="20"/>
        <v>1</v>
      </c>
      <c r="N37" s="3">
        <f t="shared" ca="1" si="20"/>
        <v>1</v>
      </c>
      <c r="O37" s="3">
        <f t="shared" ca="1" si="20"/>
        <v>1</v>
      </c>
      <c r="P37" s="3">
        <f t="shared" ca="1" si="20"/>
        <v>1</v>
      </c>
      <c r="Q37" s="3">
        <f t="shared" ca="1" si="20"/>
        <v>1</v>
      </c>
      <c r="R37" s="3">
        <f t="shared" ca="1" si="20"/>
        <v>1</v>
      </c>
      <c r="S37" s="3">
        <f t="shared" ca="1" si="20"/>
        <v>1</v>
      </c>
      <c r="U37" s="3">
        <f t="shared" si="7"/>
        <v>5</v>
      </c>
      <c r="V37" s="3">
        <f>IF(H37="","",Weights!G37)</f>
        <v>5</v>
      </c>
      <c r="W37" s="3">
        <f t="shared" si="8"/>
        <v>0</v>
      </c>
    </row>
    <row r="38" spans="2:23" ht="15" customHeight="1">
      <c r="B38" s="3">
        <f t="shared" si="9"/>
        <v>26</v>
      </c>
      <c r="C38" s="35" t="str">
        <f>tblIndiSets!A106</f>
        <v>SUST4_3</v>
      </c>
      <c r="D38" s="15">
        <f>tblIndiSets!B106</f>
        <v>66</v>
      </c>
      <c r="E38" s="15">
        <f t="shared" ca="1" si="18"/>
        <v>2</v>
      </c>
      <c r="F38" s="15" t="str">
        <f>tblIndiSets!E106</f>
        <v>4.3) Pollution</v>
      </c>
      <c r="G38" s="15" t="str">
        <f t="shared" ca="1" si="19"/>
        <v>4.3) Pollution</v>
      </c>
      <c r="H38" s="3">
        <v>4</v>
      </c>
      <c r="I38" s="3">
        <f t="shared" ca="1" si="15"/>
        <v>1</v>
      </c>
      <c r="J38" s="3">
        <f t="shared" ca="1" si="15"/>
        <v>1</v>
      </c>
      <c r="K38" s="3">
        <f t="shared" ca="1" si="15"/>
        <v>1</v>
      </c>
      <c r="L38" s="3">
        <f t="shared" ca="1" si="15"/>
        <v>1</v>
      </c>
      <c r="M38" s="3">
        <f t="shared" ca="1" si="20"/>
        <v>1</v>
      </c>
      <c r="N38" s="3">
        <f t="shared" ca="1" si="20"/>
        <v>1</v>
      </c>
      <c r="O38" s="3">
        <f t="shared" ca="1" si="20"/>
        <v>1</v>
      </c>
      <c r="P38" s="3">
        <f t="shared" ca="1" si="20"/>
        <v>1</v>
      </c>
      <c r="Q38" s="3">
        <f t="shared" ca="1" si="20"/>
        <v>1</v>
      </c>
      <c r="R38" s="3">
        <f t="shared" ca="1" si="20"/>
        <v>1</v>
      </c>
      <c r="S38" s="3">
        <f t="shared" ca="1" si="20"/>
        <v>1</v>
      </c>
      <c r="U38" s="3">
        <f t="shared" si="7"/>
        <v>4</v>
      </c>
      <c r="V38" s="3">
        <f>IF(H38="","",Weights!G38)</f>
        <v>4</v>
      </c>
      <c r="W38" s="3">
        <f t="shared" si="8"/>
        <v>0</v>
      </c>
    </row>
    <row r="39" spans="2:23" ht="15" customHeight="1">
      <c r="B39" s="3">
        <f t="shared" si="9"/>
        <v>27</v>
      </c>
      <c r="C39" s="35" t="str">
        <f>tblIndiSets!A107</f>
        <v>SUST4_4</v>
      </c>
      <c r="D39" s="15">
        <f>tblIndiSets!B107</f>
        <v>68</v>
      </c>
      <c r="E39" s="15">
        <f t="shared" ca="1" si="18"/>
        <v>2</v>
      </c>
      <c r="F39" s="15" t="str">
        <f>tblIndiSets!E107</f>
        <v>4.4) Circular economy</v>
      </c>
      <c r="G39" s="15" t="str">
        <f t="shared" ca="1" si="19"/>
        <v>4.4) Circular economy</v>
      </c>
      <c r="H39" s="3">
        <v>4</v>
      </c>
      <c r="I39" s="3">
        <f t="shared" ca="1" si="15"/>
        <v>1</v>
      </c>
      <c r="J39" s="3">
        <f t="shared" ca="1" si="15"/>
        <v>1</v>
      </c>
      <c r="K39" s="3">
        <f t="shared" ca="1" si="15"/>
        <v>1</v>
      </c>
      <c r="L39" s="3">
        <f t="shared" ca="1" si="15"/>
        <v>1</v>
      </c>
      <c r="M39" s="3">
        <f t="shared" ca="1" si="20"/>
        <v>1</v>
      </c>
      <c r="N39" s="3">
        <f t="shared" ca="1" si="20"/>
        <v>1</v>
      </c>
      <c r="O39" s="3">
        <f t="shared" ca="1" si="20"/>
        <v>1</v>
      </c>
      <c r="P39" s="3">
        <f t="shared" ca="1" si="20"/>
        <v>1</v>
      </c>
      <c r="Q39" s="3">
        <f t="shared" ca="1" si="20"/>
        <v>1</v>
      </c>
      <c r="R39" s="3">
        <f t="shared" ca="1" si="20"/>
        <v>1</v>
      </c>
      <c r="S39" s="3">
        <f t="shared" ca="1" si="20"/>
        <v>1</v>
      </c>
      <c r="U39" s="3">
        <f t="shared" si="7"/>
        <v>4</v>
      </c>
      <c r="V39" s="3">
        <f>IF(H39="","",Weights!G39)</f>
        <v>4</v>
      </c>
      <c r="W39" s="3">
        <f t="shared" si="8"/>
        <v>0</v>
      </c>
    </row>
    <row r="40" spans="2:23" ht="15" customHeight="1">
      <c r="B40" s="3">
        <f t="shared" si="9"/>
        <v>28</v>
      </c>
      <c r="U40" s="3" t="str">
        <f t="shared" si="7"/>
        <v/>
      </c>
      <c r="V40" s="3" t="str">
        <f>IF(H40="","",Weights!G40)</f>
        <v/>
      </c>
      <c r="W40" s="3">
        <f t="shared" si="8"/>
        <v>0</v>
      </c>
    </row>
    <row r="41" spans="2:23" ht="15" customHeight="1">
      <c r="B41" s="3">
        <f t="shared" si="9"/>
        <v>29</v>
      </c>
      <c r="U41" s="3" t="str">
        <f t="shared" si="7"/>
        <v/>
      </c>
      <c r="V41" s="3" t="str">
        <f>IF(H41="","",Weights!G41)</f>
        <v/>
      </c>
      <c r="W41" s="3">
        <f t="shared" si="8"/>
        <v>0</v>
      </c>
    </row>
    <row r="42" spans="2:23" ht="15" customHeight="1">
      <c r="B42" s="3">
        <f t="shared" si="9"/>
        <v>30</v>
      </c>
      <c r="C42" s="35" t="str">
        <f>tblIndiSets!A113</f>
        <v>CNTY1_1</v>
      </c>
      <c r="D42" s="15">
        <f>tblIndiSets!B113</f>
        <v>3</v>
      </c>
      <c r="E42" s="15">
        <f t="shared" ref="E42" ca="1" si="21">INDEX(OFFSET(lu_indicode,0,0),D42)</f>
        <v>2</v>
      </c>
      <c r="F42" s="15" t="str">
        <f>tblIndiSets!E113</f>
        <v>1.1) Digital infrastructure</v>
      </c>
      <c r="G42" s="15" t="str">
        <f t="shared" ref="G42" ca="1" si="22">IF(E42=1,UPPER(F42),F42)</f>
        <v>1.1) Digital infrastructure</v>
      </c>
      <c r="U42" s="3" t="str">
        <f t="shared" si="7"/>
        <v/>
      </c>
      <c r="V42" s="3" t="str">
        <f>IF(H42="","",Weights!G42)</f>
        <v/>
      </c>
      <c r="W42" s="3">
        <f t="shared" si="8"/>
        <v>0</v>
      </c>
    </row>
    <row r="43" spans="2:23" ht="15" customHeight="1">
      <c r="B43" s="3">
        <f t="shared" si="9"/>
        <v>31</v>
      </c>
      <c r="C43" s="35" t="str">
        <f>tblIndiSets!A114</f>
        <v>CNTY1_1_1</v>
      </c>
      <c r="D43" s="15">
        <f>tblIndiSets!B114</f>
        <v>4</v>
      </c>
      <c r="E43" s="15">
        <f t="shared" ref="E43" ca="1" si="23">INDEX(OFFSET(lu_indicode,0,0),D43)</f>
        <v>3</v>
      </c>
      <c r="F43" s="15" t="str">
        <f>tblIndiSets!E114</f>
        <v>1.1.1) Mobile broadband subscriptions</v>
      </c>
      <c r="G43" s="15" t="str">
        <f t="shared" ref="G43" ca="1" si="24">IF(E43=1,UPPER(F43),F43)</f>
        <v>1.1.1) Mobile broadband subscriptions</v>
      </c>
      <c r="H43" s="3">
        <v>4.333333333333333</v>
      </c>
      <c r="I43" s="3">
        <f t="shared" ref="I43:S59" ca="1" si="25">IF($E43=2,"",1)</f>
        <v>1</v>
      </c>
      <c r="J43" s="3">
        <f t="shared" ca="1" si="25"/>
        <v>1</v>
      </c>
      <c r="K43" s="3">
        <f t="shared" ca="1" si="25"/>
        <v>1</v>
      </c>
      <c r="L43" s="3">
        <f t="shared" ca="1" si="25"/>
        <v>1</v>
      </c>
      <c r="M43" s="3">
        <f t="shared" ca="1" si="25"/>
        <v>1</v>
      </c>
      <c r="N43" s="3">
        <f t="shared" ca="1" si="25"/>
        <v>1</v>
      </c>
      <c r="O43" s="3">
        <f t="shared" ca="1" si="25"/>
        <v>1</v>
      </c>
      <c r="P43" s="3">
        <f t="shared" ca="1" si="25"/>
        <v>1</v>
      </c>
      <c r="Q43" s="3">
        <f t="shared" ca="1" si="25"/>
        <v>1</v>
      </c>
      <c r="R43" s="3">
        <f t="shared" ca="1" si="25"/>
        <v>1</v>
      </c>
      <c r="S43" s="3">
        <f t="shared" ca="1" si="25"/>
        <v>1</v>
      </c>
      <c r="U43" s="3">
        <f t="shared" ref="U43:U106" si="26">IF(H43="","",H43)</f>
        <v>4.333333333333333</v>
      </c>
      <c r="V43" s="3">
        <f>IF(H43="","",Weights!G43)</f>
        <v>4.333333333333333</v>
      </c>
      <c r="W43" s="3">
        <f t="shared" ref="W43:W106" si="27">IF(AND(V43=U43),0,1)</f>
        <v>0</v>
      </c>
    </row>
    <row r="44" spans="2:23" ht="15" customHeight="1">
      <c r="B44" s="3">
        <f t="shared" si="9"/>
        <v>32</v>
      </c>
      <c r="C44" s="35" t="str">
        <f>tblIndiSets!A115</f>
        <v>CNTY1_1_2</v>
      </c>
      <c r="D44" s="15">
        <f>tblIndiSets!B115</f>
        <v>5</v>
      </c>
      <c r="E44" s="15">
        <f t="shared" ref="E44:E99" ca="1" si="28">INDEX(OFFSET(lu_indicode,0,0),D44)</f>
        <v>3</v>
      </c>
      <c r="F44" s="15" t="str">
        <f>tblIndiSets!E115</f>
        <v>1.1.2) Fixed broadband susbcriptions</v>
      </c>
      <c r="G44" s="15" t="str">
        <f t="shared" ref="G44:G99" ca="1" si="29">IF(E44=1,UPPER(F44),F44)</f>
        <v>1.1.2) Fixed broadband susbcriptions</v>
      </c>
      <c r="H44" s="3">
        <v>3.3333333333333335</v>
      </c>
      <c r="I44" s="3">
        <f t="shared" ca="1" si="25"/>
        <v>1</v>
      </c>
      <c r="J44" s="3">
        <f t="shared" ca="1" si="25"/>
        <v>1</v>
      </c>
      <c r="K44" s="3">
        <f t="shared" ca="1" si="25"/>
        <v>1</v>
      </c>
      <c r="L44" s="3">
        <f t="shared" ca="1" si="25"/>
        <v>1</v>
      </c>
      <c r="M44" s="3">
        <f t="shared" ca="1" si="25"/>
        <v>1</v>
      </c>
      <c r="N44" s="3">
        <f t="shared" ca="1" si="25"/>
        <v>1</v>
      </c>
      <c r="O44" s="3">
        <f t="shared" ca="1" si="25"/>
        <v>1</v>
      </c>
      <c r="P44" s="3">
        <f t="shared" ca="1" si="25"/>
        <v>1</v>
      </c>
      <c r="Q44" s="3">
        <f t="shared" ca="1" si="25"/>
        <v>1</v>
      </c>
      <c r="R44" s="3">
        <f t="shared" ca="1" si="25"/>
        <v>1</v>
      </c>
      <c r="S44" s="3">
        <f t="shared" ca="1" si="25"/>
        <v>1</v>
      </c>
      <c r="U44" s="3">
        <f t="shared" si="26"/>
        <v>3.3333333333333335</v>
      </c>
      <c r="V44" s="3">
        <f>IF(H44="","",Weights!G44)</f>
        <v>3.3333333333333335</v>
      </c>
      <c r="W44" s="3">
        <f t="shared" si="27"/>
        <v>0</v>
      </c>
    </row>
    <row r="45" spans="2:23" ht="15" customHeight="1">
      <c r="B45" s="3">
        <f t="shared" si="9"/>
        <v>33</v>
      </c>
      <c r="C45" s="35" t="str">
        <f>tblIndiSets!A116</f>
        <v>CNTY1_1_3</v>
      </c>
      <c r="D45" s="15">
        <f>tblIndiSets!B116</f>
        <v>6</v>
      </c>
      <c r="E45" s="15">
        <f t="shared" ca="1" si="28"/>
        <v>3</v>
      </c>
      <c r="F45" s="15" t="str">
        <f>tblIndiSets!E116</f>
        <v>1.1.3) 5G readiness</v>
      </c>
      <c r="G45" s="15" t="str">
        <f t="shared" ca="1" si="29"/>
        <v>1.1.3) 5G readiness</v>
      </c>
      <c r="H45" s="3">
        <v>3</v>
      </c>
      <c r="I45" s="3">
        <f t="shared" ca="1" si="25"/>
        <v>1</v>
      </c>
      <c r="J45" s="3">
        <f t="shared" ca="1" si="25"/>
        <v>1</v>
      </c>
      <c r="K45" s="3">
        <f t="shared" ca="1" si="25"/>
        <v>1</v>
      </c>
      <c r="L45" s="3">
        <f t="shared" ca="1" si="25"/>
        <v>1</v>
      </c>
      <c r="M45" s="3">
        <f t="shared" ca="1" si="25"/>
        <v>1</v>
      </c>
      <c r="N45" s="3">
        <f t="shared" ca="1" si="25"/>
        <v>1</v>
      </c>
      <c r="O45" s="3">
        <f t="shared" ca="1" si="25"/>
        <v>1</v>
      </c>
      <c r="P45" s="3">
        <f t="shared" ca="1" si="25"/>
        <v>1</v>
      </c>
      <c r="Q45" s="3">
        <f t="shared" ca="1" si="25"/>
        <v>1</v>
      </c>
      <c r="R45" s="3">
        <f t="shared" ca="1" si="25"/>
        <v>1</v>
      </c>
      <c r="S45" s="3">
        <f t="shared" ca="1" si="25"/>
        <v>1</v>
      </c>
      <c r="U45" s="3">
        <f t="shared" si="26"/>
        <v>3</v>
      </c>
      <c r="V45" s="3">
        <f>IF(H45="","",Weights!G45)</f>
        <v>3</v>
      </c>
      <c r="W45" s="3">
        <f t="shared" si="27"/>
        <v>0</v>
      </c>
    </row>
    <row r="46" spans="2:23" ht="15" customHeight="1">
      <c r="B46" s="3">
        <f t="shared" si="9"/>
        <v>34</v>
      </c>
      <c r="C46" s="35" t="str">
        <f>tblIndiSets!A117</f>
        <v>CNTY1_1_4</v>
      </c>
      <c r="D46" s="15">
        <f>tblIndiSets!B117</f>
        <v>7</v>
      </c>
      <c r="E46" s="15">
        <f t="shared" ca="1" si="28"/>
        <v>3</v>
      </c>
      <c r="F46" s="15" t="str">
        <f>tblIndiSets!E117</f>
        <v>1.1.4) 5G deployment</v>
      </c>
      <c r="G46" s="15" t="str">
        <f t="shared" ca="1" si="29"/>
        <v>1.1.4) 5G deployment</v>
      </c>
      <c r="H46" s="3">
        <v>4.333333333333333</v>
      </c>
      <c r="I46" s="3">
        <f t="shared" ca="1" si="25"/>
        <v>1</v>
      </c>
      <c r="J46" s="3">
        <f t="shared" ca="1" si="25"/>
        <v>1</v>
      </c>
      <c r="K46" s="3">
        <f t="shared" ca="1" si="25"/>
        <v>1</v>
      </c>
      <c r="L46" s="3">
        <f t="shared" ca="1" si="25"/>
        <v>1</v>
      </c>
      <c r="M46" s="3">
        <f t="shared" ca="1" si="25"/>
        <v>1</v>
      </c>
      <c r="N46" s="3">
        <f t="shared" ca="1" si="25"/>
        <v>1</v>
      </c>
      <c r="O46" s="3">
        <f t="shared" ca="1" si="25"/>
        <v>1</v>
      </c>
      <c r="P46" s="3">
        <f t="shared" ca="1" si="25"/>
        <v>1</v>
      </c>
      <c r="Q46" s="3">
        <f t="shared" ca="1" si="25"/>
        <v>1</v>
      </c>
      <c r="R46" s="3">
        <f t="shared" ca="1" si="25"/>
        <v>1</v>
      </c>
      <c r="S46" s="3">
        <f t="shared" ca="1" si="25"/>
        <v>1</v>
      </c>
      <c r="U46" s="3">
        <f t="shared" si="26"/>
        <v>4.333333333333333</v>
      </c>
      <c r="V46" s="3">
        <f>IF(H46="","",Weights!G46)</f>
        <v>4.333333333333333</v>
      </c>
      <c r="W46" s="3">
        <f t="shared" si="27"/>
        <v>0</v>
      </c>
    </row>
    <row r="47" spans="2:23" ht="15" customHeight="1">
      <c r="B47" s="3">
        <f t="shared" si="9"/>
        <v>35</v>
      </c>
      <c r="C47" s="35" t="str">
        <f>tblIndiSets!A118</f>
        <v>CNTY1_2</v>
      </c>
      <c r="D47" s="15">
        <f>tblIndiSets!B118</f>
        <v>8</v>
      </c>
      <c r="E47" s="15">
        <f t="shared" ca="1" si="28"/>
        <v>2</v>
      </c>
      <c r="F47" s="15" t="str">
        <f>tblIndiSets!E118</f>
        <v>1.2) Quality</v>
      </c>
      <c r="G47" s="15" t="str">
        <f t="shared" ca="1" si="29"/>
        <v>1.2) Quality</v>
      </c>
      <c r="I47" s="3" t="str">
        <f t="shared" ca="1" si="25"/>
        <v/>
      </c>
      <c r="J47" s="3" t="str">
        <f t="shared" ca="1" si="25"/>
        <v/>
      </c>
      <c r="K47" s="3" t="str">
        <f t="shared" ca="1" si="25"/>
        <v/>
      </c>
      <c r="L47" s="3" t="str">
        <f t="shared" ca="1" si="25"/>
        <v/>
      </c>
      <c r="M47" s="3" t="str">
        <f t="shared" ca="1" si="25"/>
        <v/>
      </c>
      <c r="N47" s="3" t="str">
        <f t="shared" ca="1" si="25"/>
        <v/>
      </c>
      <c r="O47" s="3" t="str">
        <f t="shared" ca="1" si="25"/>
        <v/>
      </c>
      <c r="P47" s="3" t="str">
        <f t="shared" ca="1" si="25"/>
        <v/>
      </c>
      <c r="Q47" s="3" t="str">
        <f t="shared" ca="1" si="25"/>
        <v/>
      </c>
      <c r="R47" s="3" t="str">
        <f t="shared" ca="1" si="25"/>
        <v/>
      </c>
      <c r="S47" s="3" t="str">
        <f t="shared" ca="1" si="25"/>
        <v/>
      </c>
      <c r="U47" s="3" t="str">
        <f t="shared" si="26"/>
        <v/>
      </c>
      <c r="V47" s="3" t="str">
        <f>IF(H47="","",Weights!G47)</f>
        <v/>
      </c>
      <c r="W47" s="3">
        <f t="shared" si="27"/>
        <v>0</v>
      </c>
    </row>
    <row r="48" spans="2:23" ht="15" customHeight="1">
      <c r="B48" s="3">
        <f t="shared" si="9"/>
        <v>36</v>
      </c>
      <c r="C48" s="35" t="str">
        <f>tblIndiSets!A119</f>
        <v>CNTY1_2_1</v>
      </c>
      <c r="D48" s="15">
        <f>tblIndiSets!B119</f>
        <v>9</v>
      </c>
      <c r="E48" s="15">
        <f t="shared" ca="1" si="28"/>
        <v>3</v>
      </c>
      <c r="F48" s="15" t="str">
        <f>tblIndiSets!E119</f>
        <v>1.2.1) Internet upload speed</v>
      </c>
      <c r="G48" s="15" t="str">
        <f t="shared" ca="1" si="29"/>
        <v>1.2.1) Internet upload speed</v>
      </c>
      <c r="H48" s="3">
        <v>2.6666666666666665</v>
      </c>
      <c r="I48" s="3">
        <f t="shared" ca="1" si="25"/>
        <v>1</v>
      </c>
      <c r="J48" s="3">
        <f t="shared" ca="1" si="25"/>
        <v>1</v>
      </c>
      <c r="K48" s="3">
        <f t="shared" ca="1" si="25"/>
        <v>1</v>
      </c>
      <c r="L48" s="3">
        <f t="shared" ca="1" si="25"/>
        <v>1</v>
      </c>
      <c r="M48" s="3">
        <f t="shared" ca="1" si="25"/>
        <v>1</v>
      </c>
      <c r="N48" s="3">
        <f t="shared" ca="1" si="25"/>
        <v>1</v>
      </c>
      <c r="O48" s="3">
        <f t="shared" ca="1" si="25"/>
        <v>1</v>
      </c>
      <c r="P48" s="3">
        <f t="shared" ca="1" si="25"/>
        <v>1</v>
      </c>
      <c r="Q48" s="3">
        <f t="shared" ca="1" si="25"/>
        <v>1</v>
      </c>
      <c r="R48" s="3">
        <f t="shared" ca="1" si="25"/>
        <v>1</v>
      </c>
      <c r="S48" s="3">
        <f t="shared" ca="1" si="25"/>
        <v>1</v>
      </c>
      <c r="U48" s="3">
        <f t="shared" si="26"/>
        <v>2.6666666666666665</v>
      </c>
      <c r="V48" s="3">
        <f>IF(H48="","",Weights!G48)</f>
        <v>2.6666666666666665</v>
      </c>
      <c r="W48" s="3">
        <f t="shared" si="27"/>
        <v>0</v>
      </c>
    </row>
    <row r="49" spans="2:23" ht="15" customHeight="1">
      <c r="B49" s="3">
        <f t="shared" si="9"/>
        <v>37</v>
      </c>
      <c r="C49" s="35" t="str">
        <f>tblIndiSets!A120</f>
        <v>CNTY1_2_2</v>
      </c>
      <c r="D49" s="15">
        <f>tblIndiSets!B120</f>
        <v>10</v>
      </c>
      <c r="E49" s="15">
        <f t="shared" ca="1" si="28"/>
        <v>3</v>
      </c>
      <c r="F49" s="15" t="str">
        <f>tblIndiSets!E120</f>
        <v>1.2.2) Internet download speed</v>
      </c>
      <c r="G49" s="15" t="str">
        <f t="shared" ca="1" si="29"/>
        <v>1.2.2) Internet download speed</v>
      </c>
      <c r="H49" s="3">
        <v>3</v>
      </c>
      <c r="I49" s="3">
        <f t="shared" ca="1" si="25"/>
        <v>1</v>
      </c>
      <c r="J49" s="3">
        <f t="shared" ca="1" si="25"/>
        <v>1</v>
      </c>
      <c r="K49" s="3">
        <f t="shared" ca="1" si="25"/>
        <v>1</v>
      </c>
      <c r="L49" s="3">
        <f t="shared" ca="1" si="25"/>
        <v>1</v>
      </c>
      <c r="M49" s="3">
        <f t="shared" ca="1" si="25"/>
        <v>1</v>
      </c>
      <c r="N49" s="3">
        <f t="shared" ca="1" si="25"/>
        <v>1</v>
      </c>
      <c r="O49" s="3">
        <f t="shared" ca="1" si="25"/>
        <v>1</v>
      </c>
      <c r="P49" s="3">
        <f t="shared" ca="1" si="25"/>
        <v>1</v>
      </c>
      <c r="Q49" s="3">
        <f t="shared" ca="1" si="25"/>
        <v>1</v>
      </c>
      <c r="R49" s="3">
        <f t="shared" ca="1" si="25"/>
        <v>1</v>
      </c>
      <c r="S49" s="3">
        <f t="shared" ca="1" si="25"/>
        <v>1</v>
      </c>
      <c r="U49" s="3">
        <f t="shared" si="26"/>
        <v>3</v>
      </c>
      <c r="V49" s="3">
        <f>IF(H49="","",Weights!G49)</f>
        <v>3</v>
      </c>
      <c r="W49" s="3">
        <f t="shared" si="27"/>
        <v>0</v>
      </c>
    </row>
    <row r="50" spans="2:23" ht="15" customHeight="1">
      <c r="B50" s="3">
        <f t="shared" si="9"/>
        <v>38</v>
      </c>
      <c r="C50" s="35" t="str">
        <f>tblIndiSets!A121</f>
        <v>CNTY1_2_3</v>
      </c>
      <c r="D50" s="15">
        <f>tblIndiSets!B121</f>
        <v>11</v>
      </c>
      <c r="E50" s="15">
        <f t="shared" ca="1" si="28"/>
        <v>3</v>
      </c>
      <c r="F50" s="15" t="str">
        <f>tblIndiSets!E121</f>
        <v>1.2.3) Mobile broadband latency</v>
      </c>
      <c r="G50" s="15" t="str">
        <f t="shared" ca="1" si="29"/>
        <v>1.2.3) Mobile broadband latency</v>
      </c>
      <c r="H50" s="3">
        <v>1.6666666666666667</v>
      </c>
      <c r="I50" s="3">
        <f t="shared" ca="1" si="25"/>
        <v>1</v>
      </c>
      <c r="J50" s="3">
        <f t="shared" ca="1" si="25"/>
        <v>1</v>
      </c>
      <c r="K50" s="3">
        <f t="shared" ca="1" si="25"/>
        <v>1</v>
      </c>
      <c r="L50" s="3">
        <f t="shared" ca="1" si="25"/>
        <v>1</v>
      </c>
      <c r="M50" s="3">
        <f t="shared" ca="1" si="25"/>
        <v>1</v>
      </c>
      <c r="N50" s="3">
        <f t="shared" ca="1" si="25"/>
        <v>1</v>
      </c>
      <c r="O50" s="3">
        <f t="shared" ca="1" si="25"/>
        <v>1</v>
      </c>
      <c r="P50" s="3">
        <f t="shared" ca="1" si="25"/>
        <v>1</v>
      </c>
      <c r="Q50" s="3">
        <f t="shared" ca="1" si="25"/>
        <v>1</v>
      </c>
      <c r="R50" s="3">
        <f t="shared" ca="1" si="25"/>
        <v>1</v>
      </c>
      <c r="S50" s="3">
        <f t="shared" ca="1" si="25"/>
        <v>1</v>
      </c>
      <c r="U50" s="3">
        <f t="shared" si="26"/>
        <v>1.6666666666666667</v>
      </c>
      <c r="V50" s="3">
        <f>IF(H50="","",Weights!G50)</f>
        <v>1.6666666666666667</v>
      </c>
      <c r="W50" s="3">
        <f t="shared" si="27"/>
        <v>0</v>
      </c>
    </row>
    <row r="51" spans="2:23" ht="15" customHeight="1">
      <c r="B51" s="3">
        <f t="shared" si="9"/>
        <v>39</v>
      </c>
      <c r="C51" s="35" t="str">
        <f>tblIndiSets!A122</f>
        <v>CNTY1_2_4</v>
      </c>
      <c r="D51" s="15">
        <f>tblIndiSets!B122</f>
        <v>12</v>
      </c>
      <c r="E51" s="15">
        <f t="shared" ref="E51:E52" ca="1" si="30">INDEX(OFFSET(lu_indicode,0,0),D51)</f>
        <v>3</v>
      </c>
      <c r="F51" s="15" t="str">
        <f>tblIndiSets!E122</f>
        <v>1.2.4) Fixed broadband latency</v>
      </c>
      <c r="G51" s="15" t="str">
        <f t="shared" ref="G51:G52" ca="1" si="31">IF(E51=1,UPPER(F51),F51)</f>
        <v>1.2.4) Fixed broadband latency</v>
      </c>
      <c r="H51" s="3">
        <v>2</v>
      </c>
      <c r="I51" s="3">
        <f t="shared" ca="1" si="25"/>
        <v>1</v>
      </c>
      <c r="J51" s="3">
        <f t="shared" ca="1" si="25"/>
        <v>1</v>
      </c>
      <c r="K51" s="3">
        <f t="shared" ca="1" si="25"/>
        <v>1</v>
      </c>
      <c r="L51" s="3">
        <f t="shared" ca="1" si="25"/>
        <v>1</v>
      </c>
      <c r="M51" s="3">
        <f t="shared" ca="1" si="25"/>
        <v>1</v>
      </c>
      <c r="N51" s="3">
        <f t="shared" ca="1" si="25"/>
        <v>1</v>
      </c>
      <c r="O51" s="3">
        <f t="shared" ca="1" si="25"/>
        <v>1</v>
      </c>
      <c r="P51" s="3">
        <f t="shared" ca="1" si="25"/>
        <v>1</v>
      </c>
      <c r="Q51" s="3">
        <f t="shared" ca="1" si="25"/>
        <v>1</v>
      </c>
      <c r="R51" s="3">
        <f t="shared" ca="1" si="25"/>
        <v>1</v>
      </c>
      <c r="S51" s="3">
        <f t="shared" ca="1" si="25"/>
        <v>1</v>
      </c>
      <c r="U51" s="3">
        <f t="shared" si="26"/>
        <v>2</v>
      </c>
      <c r="V51" s="3">
        <f>IF(H51="","",Weights!G51)</f>
        <v>2</v>
      </c>
      <c r="W51" s="3">
        <f t="shared" si="27"/>
        <v>0</v>
      </c>
    </row>
    <row r="52" spans="2:23" ht="15" customHeight="1">
      <c r="B52" s="3">
        <f t="shared" si="9"/>
        <v>40</v>
      </c>
      <c r="C52" s="35" t="str">
        <f>tblIndiSets!A123</f>
        <v>CNTY1_3</v>
      </c>
      <c r="D52" s="15">
        <f>tblIndiSets!B123</f>
        <v>13</v>
      </c>
      <c r="E52" s="15">
        <f t="shared" ca="1" si="30"/>
        <v>2</v>
      </c>
      <c r="F52" s="15" t="str">
        <f>tblIndiSets!E123</f>
        <v>1.3) Affordability</v>
      </c>
      <c r="G52" s="15" t="str">
        <f t="shared" ca="1" si="31"/>
        <v>1.3) Affordability</v>
      </c>
      <c r="I52" s="3" t="str">
        <f t="shared" ca="1" si="25"/>
        <v/>
      </c>
      <c r="J52" s="3" t="str">
        <f t="shared" ca="1" si="25"/>
        <v/>
      </c>
      <c r="K52" s="3" t="str">
        <f t="shared" ca="1" si="25"/>
        <v/>
      </c>
      <c r="L52" s="3" t="str">
        <f t="shared" ca="1" si="25"/>
        <v/>
      </c>
      <c r="M52" s="3" t="str">
        <f t="shared" ca="1" si="25"/>
        <v/>
      </c>
      <c r="N52" s="3" t="str">
        <f t="shared" ca="1" si="25"/>
        <v/>
      </c>
      <c r="O52" s="3" t="str">
        <f t="shared" ca="1" si="25"/>
        <v/>
      </c>
      <c r="P52" s="3" t="str">
        <f t="shared" ca="1" si="25"/>
        <v/>
      </c>
      <c r="Q52" s="3" t="str">
        <f t="shared" ca="1" si="25"/>
        <v/>
      </c>
      <c r="R52" s="3" t="str">
        <f t="shared" ca="1" si="25"/>
        <v/>
      </c>
      <c r="S52" s="3" t="str">
        <f t="shared" ca="1" si="25"/>
        <v/>
      </c>
      <c r="U52" s="3" t="str">
        <f t="shared" si="26"/>
        <v/>
      </c>
      <c r="V52" s="3" t="str">
        <f>IF(H52="","",Weights!G52)</f>
        <v/>
      </c>
      <c r="W52" s="3">
        <f t="shared" si="27"/>
        <v>0</v>
      </c>
    </row>
    <row r="53" spans="2:23" ht="15" customHeight="1">
      <c r="B53" s="3">
        <f t="shared" si="9"/>
        <v>41</v>
      </c>
      <c r="C53" s="35" t="str">
        <f>tblIndiSets!A124</f>
        <v>CNTY1_3_1</v>
      </c>
      <c r="D53" s="15">
        <f>tblIndiSets!B124</f>
        <v>14</v>
      </c>
      <c r="E53" s="15">
        <f t="shared" ca="1" si="28"/>
        <v>3</v>
      </c>
      <c r="F53" s="15" t="str">
        <f>tblIndiSets!E124</f>
        <v>1.3.1) Mobile data affordability</v>
      </c>
      <c r="G53" s="15" t="str">
        <f t="shared" ca="1" si="29"/>
        <v>1.3.1) Mobile data affordability</v>
      </c>
      <c r="H53" s="3">
        <v>4</v>
      </c>
      <c r="I53" s="3">
        <f t="shared" ca="1" si="25"/>
        <v>1</v>
      </c>
      <c r="J53" s="3">
        <f t="shared" ca="1" si="25"/>
        <v>1</v>
      </c>
      <c r="K53" s="3">
        <f t="shared" ca="1" si="25"/>
        <v>1</v>
      </c>
      <c r="L53" s="3">
        <f t="shared" ca="1" si="25"/>
        <v>1</v>
      </c>
      <c r="M53" s="3">
        <f t="shared" ca="1" si="25"/>
        <v>1</v>
      </c>
      <c r="N53" s="3">
        <f t="shared" ca="1" si="25"/>
        <v>1</v>
      </c>
      <c r="O53" s="3">
        <f t="shared" ca="1" si="25"/>
        <v>1</v>
      </c>
      <c r="P53" s="3">
        <f t="shared" ca="1" si="25"/>
        <v>1</v>
      </c>
      <c r="Q53" s="3">
        <f t="shared" ca="1" si="25"/>
        <v>1</v>
      </c>
      <c r="R53" s="3">
        <f t="shared" ca="1" si="25"/>
        <v>1</v>
      </c>
      <c r="S53" s="3">
        <f t="shared" ca="1" si="25"/>
        <v>1</v>
      </c>
      <c r="U53" s="3">
        <f t="shared" si="26"/>
        <v>4</v>
      </c>
      <c r="V53" s="3">
        <f>IF(H53="","",Weights!G53)</f>
        <v>4</v>
      </c>
      <c r="W53" s="3">
        <f t="shared" si="27"/>
        <v>0</v>
      </c>
    </row>
    <row r="54" spans="2:23" ht="15" customHeight="1">
      <c r="B54" s="3">
        <f t="shared" si="9"/>
        <v>42</v>
      </c>
      <c r="C54" s="35" t="str">
        <f>tblIndiSets!A125</f>
        <v>CNTY1_3_2</v>
      </c>
      <c r="D54" s="15">
        <f>tblIndiSets!B125</f>
        <v>15</v>
      </c>
      <c r="E54" s="15">
        <f t="shared" ca="1" si="28"/>
        <v>3</v>
      </c>
      <c r="F54" s="15" t="str">
        <f>tblIndiSets!E125</f>
        <v>1.3.2) Fixed broadband affordability</v>
      </c>
      <c r="G54" s="15" t="str">
        <f t="shared" ca="1" si="29"/>
        <v>1.3.2) Fixed broadband affordability</v>
      </c>
      <c r="H54" s="3">
        <v>3.6669999999999998</v>
      </c>
      <c r="I54" s="3">
        <f t="shared" ca="1" si="25"/>
        <v>1</v>
      </c>
      <c r="J54" s="3">
        <f t="shared" ca="1" si="25"/>
        <v>1</v>
      </c>
      <c r="K54" s="3">
        <f t="shared" ca="1" si="25"/>
        <v>1</v>
      </c>
      <c r="L54" s="3">
        <f t="shared" ca="1" si="25"/>
        <v>1</v>
      </c>
      <c r="M54" s="3">
        <f t="shared" ca="1" si="25"/>
        <v>1</v>
      </c>
      <c r="N54" s="3">
        <f t="shared" ca="1" si="25"/>
        <v>1</v>
      </c>
      <c r="O54" s="3">
        <f t="shared" ca="1" si="25"/>
        <v>1</v>
      </c>
      <c r="P54" s="3">
        <f t="shared" ca="1" si="25"/>
        <v>1</v>
      </c>
      <c r="Q54" s="3">
        <f t="shared" ca="1" si="25"/>
        <v>1</v>
      </c>
      <c r="R54" s="3">
        <f t="shared" ca="1" si="25"/>
        <v>1</v>
      </c>
      <c r="S54" s="3">
        <f t="shared" ca="1" si="25"/>
        <v>1</v>
      </c>
      <c r="U54" s="3">
        <f t="shared" si="26"/>
        <v>3.6669999999999998</v>
      </c>
      <c r="V54" s="3">
        <f>IF(H54="","",Weights!G54)</f>
        <v>3.6669999999999998</v>
      </c>
      <c r="W54" s="3">
        <f t="shared" si="27"/>
        <v>0</v>
      </c>
    </row>
    <row r="55" spans="2:23" ht="15" customHeight="1">
      <c r="B55" s="3">
        <f t="shared" si="9"/>
        <v>43</v>
      </c>
      <c r="C55" s="35" t="str">
        <f>tblIndiSets!A126</f>
        <v>SERV2_1</v>
      </c>
      <c r="D55" s="15">
        <f>tblIndiSets!B126</f>
        <v>17</v>
      </c>
      <c r="E55" s="15">
        <f t="shared" ca="1" si="28"/>
        <v>2</v>
      </c>
      <c r="F55" s="15" t="str">
        <f>tblIndiSets!E126</f>
        <v>2.1) E-gov services for residents &amp; businesses</v>
      </c>
      <c r="G55" s="15" t="str">
        <f t="shared" ca="1" si="29"/>
        <v>2.1) E-gov services for residents &amp; businesses</v>
      </c>
      <c r="I55" s="3" t="str">
        <f t="shared" ca="1" si="25"/>
        <v/>
      </c>
      <c r="J55" s="3" t="str">
        <f t="shared" ca="1" si="25"/>
        <v/>
      </c>
      <c r="K55" s="3" t="str">
        <f t="shared" ca="1" si="25"/>
        <v/>
      </c>
      <c r="L55" s="3" t="str">
        <f t="shared" ca="1" si="25"/>
        <v/>
      </c>
      <c r="M55" s="3" t="str">
        <f t="shared" ca="1" si="25"/>
        <v/>
      </c>
      <c r="N55" s="3" t="str">
        <f t="shared" ca="1" si="25"/>
        <v/>
      </c>
      <c r="O55" s="3" t="str">
        <f t="shared" ca="1" si="25"/>
        <v/>
      </c>
      <c r="P55" s="3" t="str">
        <f t="shared" ca="1" si="25"/>
        <v/>
      </c>
      <c r="Q55" s="3" t="str">
        <f t="shared" ca="1" si="25"/>
        <v/>
      </c>
      <c r="R55" s="3" t="str">
        <f t="shared" ca="1" si="25"/>
        <v/>
      </c>
      <c r="S55" s="3" t="str">
        <f t="shared" ca="1" si="25"/>
        <v/>
      </c>
      <c r="U55" s="3" t="str">
        <f t="shared" si="26"/>
        <v/>
      </c>
      <c r="V55" s="3" t="str">
        <f>IF(H55="","",Weights!G55)</f>
        <v/>
      </c>
      <c r="W55" s="3">
        <f t="shared" si="27"/>
        <v>0</v>
      </c>
    </row>
    <row r="56" spans="2:23" ht="15" customHeight="1">
      <c r="B56" s="3">
        <f t="shared" si="9"/>
        <v>44</v>
      </c>
      <c r="C56" s="35" t="str">
        <f>tblIndiSets!A127</f>
        <v>SERV2_1_1</v>
      </c>
      <c r="D56" s="15">
        <f>tblIndiSets!B127</f>
        <v>18</v>
      </c>
      <c r="E56" s="15">
        <f t="shared" ca="1" si="28"/>
        <v>3</v>
      </c>
      <c r="F56" s="15" t="str">
        <f>tblIndiSets!E127</f>
        <v>2.1.1) Mobile digital national ID</v>
      </c>
      <c r="G56" s="15" t="str">
        <f t="shared" ca="1" si="29"/>
        <v>2.1.1) Mobile digital national ID</v>
      </c>
      <c r="H56" s="3">
        <v>4.5</v>
      </c>
      <c r="I56" s="3">
        <f t="shared" ca="1" si="25"/>
        <v>1</v>
      </c>
      <c r="J56" s="3">
        <f t="shared" ca="1" si="25"/>
        <v>1</v>
      </c>
      <c r="K56" s="3">
        <f t="shared" ca="1" si="25"/>
        <v>1</v>
      </c>
      <c r="L56" s="3">
        <f t="shared" ca="1" si="25"/>
        <v>1</v>
      </c>
      <c r="M56" s="3">
        <f t="shared" ca="1" si="25"/>
        <v>1</v>
      </c>
      <c r="N56" s="3">
        <f t="shared" ca="1" si="25"/>
        <v>1</v>
      </c>
      <c r="O56" s="3">
        <f t="shared" ca="1" si="25"/>
        <v>1</v>
      </c>
      <c r="P56" s="3">
        <f t="shared" ca="1" si="25"/>
        <v>1</v>
      </c>
      <c r="Q56" s="3">
        <f t="shared" ca="1" si="25"/>
        <v>1</v>
      </c>
      <c r="R56" s="3">
        <f t="shared" ca="1" si="25"/>
        <v>1</v>
      </c>
      <c r="S56" s="3">
        <f t="shared" ca="1" si="25"/>
        <v>1</v>
      </c>
      <c r="U56" s="3">
        <f t="shared" si="26"/>
        <v>4.5</v>
      </c>
      <c r="V56" s="3">
        <f>IF(H56="","",Weights!G56)</f>
        <v>4.5</v>
      </c>
      <c r="W56" s="3">
        <f t="shared" si="27"/>
        <v>0</v>
      </c>
    </row>
    <row r="57" spans="2:23" ht="15" customHeight="1">
      <c r="B57" s="3">
        <f t="shared" si="9"/>
        <v>45</v>
      </c>
      <c r="C57" s="35" t="str">
        <f>tblIndiSets!A128</f>
        <v>SERV2_1_2</v>
      </c>
      <c r="D57" s="15">
        <f>tblIndiSets!B128</f>
        <v>19</v>
      </c>
      <c r="E57" s="15">
        <f t="shared" ca="1" si="28"/>
        <v>3</v>
      </c>
      <c r="F57" s="15" t="str">
        <f>tblIndiSets!E128</f>
        <v>2.1.2) E-gov service portal for residents</v>
      </c>
      <c r="G57" s="15" t="str">
        <f t="shared" ca="1" si="29"/>
        <v>2.1.2) E-gov service portal for residents</v>
      </c>
      <c r="H57" s="3">
        <v>5</v>
      </c>
      <c r="I57" s="3">
        <f t="shared" ca="1" si="25"/>
        <v>1</v>
      </c>
      <c r="J57" s="3">
        <f t="shared" ca="1" si="25"/>
        <v>1</v>
      </c>
      <c r="K57" s="3">
        <f t="shared" ca="1" si="25"/>
        <v>1</v>
      </c>
      <c r="L57" s="3">
        <f t="shared" ca="1" si="25"/>
        <v>1</v>
      </c>
      <c r="M57" s="3">
        <f t="shared" ca="1" si="25"/>
        <v>1</v>
      </c>
      <c r="N57" s="3">
        <f t="shared" ca="1" si="25"/>
        <v>1</v>
      </c>
      <c r="O57" s="3">
        <f t="shared" ca="1" si="25"/>
        <v>1</v>
      </c>
      <c r="P57" s="3">
        <f t="shared" ca="1" si="25"/>
        <v>1</v>
      </c>
      <c r="Q57" s="3">
        <f t="shared" ca="1" si="25"/>
        <v>1</v>
      </c>
      <c r="R57" s="3">
        <f t="shared" ca="1" si="25"/>
        <v>1</v>
      </c>
      <c r="S57" s="3">
        <f t="shared" ca="1" si="25"/>
        <v>1</v>
      </c>
      <c r="U57" s="3">
        <f t="shared" si="26"/>
        <v>5</v>
      </c>
      <c r="V57" s="3">
        <f>IF(H57="","",Weights!G57)</f>
        <v>5</v>
      </c>
      <c r="W57" s="3">
        <f t="shared" si="27"/>
        <v>0</v>
      </c>
    </row>
    <row r="58" spans="2:23" ht="15" customHeight="1">
      <c r="B58" s="3">
        <f t="shared" si="9"/>
        <v>46</v>
      </c>
      <c r="C58" s="35" t="str">
        <f>tblIndiSets!A129</f>
        <v>SERV2_1_3</v>
      </c>
      <c r="D58" s="15">
        <f>tblIndiSets!B129</f>
        <v>20</v>
      </c>
      <c r="E58" s="15">
        <f t="shared" ca="1" si="28"/>
        <v>3</v>
      </c>
      <c r="F58" s="15" t="str">
        <f>tblIndiSets!E129</f>
        <v>2.1.3) E-gov service portal for businesses</v>
      </c>
      <c r="G58" s="15" t="str">
        <f t="shared" ca="1" si="29"/>
        <v>2.1.3) E-gov service portal for businesses</v>
      </c>
      <c r="H58" s="3">
        <v>4.5</v>
      </c>
      <c r="I58" s="3">
        <f t="shared" ca="1" si="25"/>
        <v>1</v>
      </c>
      <c r="J58" s="3">
        <f t="shared" ca="1" si="25"/>
        <v>1</v>
      </c>
      <c r="K58" s="3">
        <f t="shared" ca="1" si="25"/>
        <v>1</v>
      </c>
      <c r="L58" s="3">
        <f t="shared" ca="1" si="25"/>
        <v>1</v>
      </c>
      <c r="M58" s="3">
        <f t="shared" ca="1" si="25"/>
        <v>1</v>
      </c>
      <c r="N58" s="3">
        <f t="shared" ca="1" si="25"/>
        <v>1</v>
      </c>
      <c r="O58" s="3">
        <f t="shared" ca="1" si="25"/>
        <v>1</v>
      </c>
      <c r="P58" s="3">
        <f t="shared" ca="1" si="25"/>
        <v>1</v>
      </c>
      <c r="Q58" s="3">
        <f t="shared" ca="1" si="25"/>
        <v>1</v>
      </c>
      <c r="R58" s="3">
        <f t="shared" ca="1" si="25"/>
        <v>1</v>
      </c>
      <c r="S58" s="3">
        <f t="shared" ca="1" si="25"/>
        <v>1</v>
      </c>
      <c r="U58" s="3">
        <f t="shared" si="26"/>
        <v>4.5</v>
      </c>
      <c r="V58" s="3">
        <f>IF(H58="","",Weights!G58)</f>
        <v>4.5</v>
      </c>
      <c r="W58" s="3">
        <f t="shared" si="27"/>
        <v>0</v>
      </c>
    </row>
    <row r="59" spans="2:23" ht="15" customHeight="1">
      <c r="B59" s="3">
        <f t="shared" si="9"/>
        <v>47</v>
      </c>
      <c r="C59" s="35" t="str">
        <f>tblIndiSets!A130</f>
        <v>SERV2_2</v>
      </c>
      <c r="D59" s="15">
        <f>tblIndiSets!B130</f>
        <v>21</v>
      </c>
      <c r="E59" s="15">
        <f t="shared" ca="1" si="28"/>
        <v>2</v>
      </c>
      <c r="F59" s="15" t="str">
        <f>tblIndiSets!E130</f>
        <v>2.2) Digital finance</v>
      </c>
      <c r="G59" s="15" t="str">
        <f t="shared" ca="1" si="29"/>
        <v>2.2) Digital finance</v>
      </c>
      <c r="I59" s="3" t="str">
        <f t="shared" ca="1" si="25"/>
        <v/>
      </c>
      <c r="J59" s="3" t="str">
        <f t="shared" ca="1" si="25"/>
        <v/>
      </c>
      <c r="K59" s="3" t="str">
        <f t="shared" ca="1" si="25"/>
        <v/>
      </c>
      <c r="L59" s="3" t="str">
        <f t="shared" ca="1" si="25"/>
        <v/>
      </c>
      <c r="M59" s="3" t="str">
        <f t="shared" ca="1" si="25"/>
        <v/>
      </c>
      <c r="N59" s="3" t="str">
        <f t="shared" ca="1" si="25"/>
        <v/>
      </c>
      <c r="O59" s="3" t="str">
        <f t="shared" ca="1" si="25"/>
        <v/>
      </c>
      <c r="P59" s="3" t="str">
        <f t="shared" ca="1" si="25"/>
        <v/>
      </c>
      <c r="Q59" s="3" t="str">
        <f t="shared" ca="1" si="25"/>
        <v/>
      </c>
      <c r="R59" s="3" t="str">
        <f t="shared" ca="1" si="25"/>
        <v/>
      </c>
      <c r="S59" s="3" t="str">
        <f t="shared" ca="1" si="25"/>
        <v/>
      </c>
      <c r="U59" s="3" t="str">
        <f t="shared" si="26"/>
        <v/>
      </c>
      <c r="V59" s="3" t="str">
        <f>IF(H59="","",Weights!G59)</f>
        <v/>
      </c>
      <c r="W59" s="3">
        <f t="shared" si="27"/>
        <v>0</v>
      </c>
    </row>
    <row r="60" spans="2:23" ht="15" customHeight="1">
      <c r="B60" s="3">
        <f t="shared" si="9"/>
        <v>48</v>
      </c>
      <c r="C60" s="35" t="str">
        <f>tblIndiSets!A131</f>
        <v>SERV2_2_1</v>
      </c>
      <c r="D60" s="15">
        <f>tblIndiSets!B131</f>
        <v>22</v>
      </c>
      <c r="E60" s="15">
        <f t="shared" ca="1" si="28"/>
        <v>3</v>
      </c>
      <c r="F60" s="15" t="str">
        <f>tblIndiSets!E131</f>
        <v>2.2.1) Digital platforms for banking and personal finance</v>
      </c>
      <c r="G60" s="15" t="str">
        <f t="shared" ca="1" si="29"/>
        <v>2.2.1) Digital platforms for banking and personal finance</v>
      </c>
      <c r="H60" s="3">
        <v>4</v>
      </c>
      <c r="I60" s="3">
        <f t="shared" ref="I60:S83" ca="1" si="32">IF($E60=2,"",1)</f>
        <v>1</v>
      </c>
      <c r="J60" s="3">
        <f t="shared" ca="1" si="32"/>
        <v>1</v>
      </c>
      <c r="K60" s="3">
        <f t="shared" ca="1" si="32"/>
        <v>1</v>
      </c>
      <c r="L60" s="3">
        <f t="shared" ca="1" si="32"/>
        <v>1</v>
      </c>
      <c r="M60" s="3">
        <f t="shared" ca="1" si="32"/>
        <v>1</v>
      </c>
      <c r="N60" s="3">
        <f t="shared" ca="1" si="32"/>
        <v>1</v>
      </c>
      <c r="O60" s="3">
        <f t="shared" ca="1" si="32"/>
        <v>1</v>
      </c>
      <c r="P60" s="3">
        <f t="shared" ca="1" si="32"/>
        <v>1</v>
      </c>
      <c r="Q60" s="3">
        <f t="shared" ca="1" si="32"/>
        <v>1</v>
      </c>
      <c r="R60" s="3">
        <f t="shared" ca="1" si="32"/>
        <v>1</v>
      </c>
      <c r="S60" s="3">
        <f t="shared" ca="1" si="32"/>
        <v>1</v>
      </c>
      <c r="U60" s="3">
        <f t="shared" si="26"/>
        <v>4</v>
      </c>
      <c r="V60" s="3">
        <f>IF(H60="","",Weights!G60)</f>
        <v>4</v>
      </c>
      <c r="W60" s="3">
        <f t="shared" si="27"/>
        <v>0</v>
      </c>
    </row>
    <row r="61" spans="2:23" ht="15" customHeight="1">
      <c r="B61" s="3">
        <f t="shared" si="9"/>
        <v>49</v>
      </c>
      <c r="C61" s="35" t="str">
        <f>tblIndiSets!A132</f>
        <v>SERV2_2_2</v>
      </c>
      <c r="D61" s="15">
        <f>tblIndiSets!B132</f>
        <v>23</v>
      </c>
      <c r="E61" s="15">
        <f t="shared" ca="1" si="28"/>
        <v>3</v>
      </c>
      <c r="F61" s="15" t="str">
        <f>tblIndiSets!E132</f>
        <v>2.2.2) Digital investment management tools</v>
      </c>
      <c r="G61" s="15" t="str">
        <f t="shared" ca="1" si="29"/>
        <v>2.2.2) Digital investment management tools</v>
      </c>
      <c r="H61" s="3">
        <v>2.6666666666666665</v>
      </c>
      <c r="I61" s="3">
        <f t="shared" ca="1" si="32"/>
        <v>1</v>
      </c>
      <c r="J61" s="3">
        <f t="shared" ca="1" si="32"/>
        <v>1</v>
      </c>
      <c r="K61" s="3">
        <f t="shared" ca="1" si="32"/>
        <v>1</v>
      </c>
      <c r="L61" s="3">
        <f t="shared" ca="1" si="32"/>
        <v>1</v>
      </c>
      <c r="M61" s="3">
        <f t="shared" ca="1" si="32"/>
        <v>1</v>
      </c>
      <c r="N61" s="3">
        <f t="shared" ca="1" si="32"/>
        <v>1</v>
      </c>
      <c r="O61" s="3">
        <f t="shared" ca="1" si="32"/>
        <v>1</v>
      </c>
      <c r="P61" s="3">
        <f t="shared" ca="1" si="32"/>
        <v>1</v>
      </c>
      <c r="Q61" s="3">
        <f t="shared" ca="1" si="32"/>
        <v>1</v>
      </c>
      <c r="R61" s="3">
        <f t="shared" ca="1" si="32"/>
        <v>1</v>
      </c>
      <c r="S61" s="3">
        <f t="shared" ca="1" si="32"/>
        <v>1</v>
      </c>
      <c r="U61" s="3">
        <f t="shared" si="26"/>
        <v>2.6666666666666665</v>
      </c>
      <c r="V61" s="3">
        <f>IF(H61="","",Weights!G61)</f>
        <v>2.6666666666666665</v>
      </c>
      <c r="W61" s="3">
        <f t="shared" si="27"/>
        <v>0</v>
      </c>
    </row>
    <row r="62" spans="2:23" ht="15" customHeight="1">
      <c r="B62" s="3">
        <f t="shared" si="9"/>
        <v>50</v>
      </c>
      <c r="C62" s="35" t="str">
        <f>tblIndiSets!A133</f>
        <v>SERV2_2_3</v>
      </c>
      <c r="D62" s="15">
        <f>tblIndiSets!B133</f>
        <v>24</v>
      </c>
      <c r="E62" s="15">
        <f t="shared" ca="1" si="28"/>
        <v>3</v>
      </c>
      <c r="F62" s="15" t="str">
        <f>tblIndiSets!E133</f>
        <v>2.2.3) E-payments</v>
      </c>
      <c r="G62" s="15" t="str">
        <f t="shared" ca="1" si="29"/>
        <v>2.2.3) E-payments</v>
      </c>
      <c r="H62" s="3">
        <v>5</v>
      </c>
      <c r="I62" s="3">
        <f t="shared" ca="1" si="32"/>
        <v>1</v>
      </c>
      <c r="J62" s="3">
        <f t="shared" ca="1" si="32"/>
        <v>1</v>
      </c>
      <c r="K62" s="3">
        <f t="shared" ca="1" si="32"/>
        <v>1</v>
      </c>
      <c r="L62" s="3">
        <f t="shared" ca="1" si="32"/>
        <v>1</v>
      </c>
      <c r="M62" s="3">
        <f t="shared" ca="1" si="32"/>
        <v>1</v>
      </c>
      <c r="N62" s="3">
        <f t="shared" ca="1" si="32"/>
        <v>1</v>
      </c>
      <c r="O62" s="3">
        <f t="shared" ca="1" si="32"/>
        <v>1</v>
      </c>
      <c r="P62" s="3">
        <f t="shared" ca="1" si="32"/>
        <v>1</v>
      </c>
      <c r="Q62" s="3">
        <f t="shared" ca="1" si="32"/>
        <v>1</v>
      </c>
      <c r="R62" s="3">
        <f t="shared" ca="1" si="32"/>
        <v>1</v>
      </c>
      <c r="S62" s="3">
        <f t="shared" ca="1" si="32"/>
        <v>1</v>
      </c>
      <c r="U62" s="3">
        <f t="shared" si="26"/>
        <v>5</v>
      </c>
      <c r="V62" s="3">
        <f>IF(H62="","",Weights!G62)</f>
        <v>5</v>
      </c>
      <c r="W62" s="3">
        <f t="shared" si="27"/>
        <v>0</v>
      </c>
    </row>
    <row r="63" spans="2:23" ht="15" customHeight="1">
      <c r="B63" s="3">
        <f t="shared" si="9"/>
        <v>51</v>
      </c>
      <c r="C63" s="35" t="str">
        <f>tblIndiSets!A134</f>
        <v>SERV2_3</v>
      </c>
      <c r="D63" s="15">
        <f>tblIndiSets!B134</f>
        <v>25</v>
      </c>
      <c r="E63" s="15">
        <f t="shared" ca="1" si="28"/>
        <v>2</v>
      </c>
      <c r="F63" s="15" t="str">
        <f>tblIndiSets!E134</f>
        <v>2.3) Transportation</v>
      </c>
      <c r="G63" s="15" t="str">
        <f t="shared" ca="1" si="29"/>
        <v>2.3) Transportation</v>
      </c>
      <c r="I63" s="3" t="str">
        <f t="shared" ca="1" si="32"/>
        <v/>
      </c>
      <c r="J63" s="3" t="str">
        <f t="shared" ca="1" si="32"/>
        <v/>
      </c>
      <c r="K63" s="3" t="str">
        <f t="shared" ca="1" si="32"/>
        <v/>
      </c>
      <c r="L63" s="3" t="str">
        <f t="shared" ca="1" si="32"/>
        <v/>
      </c>
      <c r="M63" s="3" t="str">
        <f t="shared" ca="1" si="32"/>
        <v/>
      </c>
      <c r="N63" s="3" t="str">
        <f t="shared" ca="1" si="32"/>
        <v/>
      </c>
      <c r="O63" s="3" t="str">
        <f t="shared" ca="1" si="32"/>
        <v/>
      </c>
      <c r="P63" s="3" t="str">
        <f t="shared" ca="1" si="32"/>
        <v/>
      </c>
      <c r="Q63" s="3" t="str">
        <f t="shared" ca="1" si="32"/>
        <v/>
      </c>
      <c r="R63" s="3" t="str">
        <f t="shared" ca="1" si="32"/>
        <v/>
      </c>
      <c r="S63" s="3" t="str">
        <f t="shared" ca="1" si="32"/>
        <v/>
      </c>
      <c r="U63" s="3" t="str">
        <f t="shared" si="26"/>
        <v/>
      </c>
      <c r="V63" s="3" t="str">
        <f>IF(H63="","",Weights!G63)</f>
        <v/>
      </c>
      <c r="W63" s="3">
        <f t="shared" si="27"/>
        <v>0</v>
      </c>
    </row>
    <row r="64" spans="2:23" ht="15" customHeight="1">
      <c r="B64" s="3">
        <f t="shared" si="9"/>
        <v>52</v>
      </c>
      <c r="C64" s="35" t="str">
        <f>tblIndiSets!A135</f>
        <v>SERV2_3_1</v>
      </c>
      <c r="D64" s="15">
        <f>tblIndiSets!B135</f>
        <v>26</v>
      </c>
      <c r="E64" s="15">
        <f t="shared" ca="1" si="28"/>
        <v>3</v>
      </c>
      <c r="F64" s="15" t="str">
        <f>tblIndiSets!E135</f>
        <v>2.3.1) Integrated public transport apps</v>
      </c>
      <c r="G64" s="15" t="str">
        <f t="shared" ca="1" si="29"/>
        <v>2.3.1) Integrated public transport apps</v>
      </c>
      <c r="H64" s="3">
        <v>4.666666666666667</v>
      </c>
      <c r="I64" s="3">
        <f t="shared" ca="1" si="32"/>
        <v>1</v>
      </c>
      <c r="J64" s="3">
        <f t="shared" ca="1" si="32"/>
        <v>1</v>
      </c>
      <c r="K64" s="3">
        <f t="shared" ca="1" si="32"/>
        <v>1</v>
      </c>
      <c r="L64" s="3">
        <f t="shared" ca="1" si="32"/>
        <v>1</v>
      </c>
      <c r="M64" s="3">
        <f t="shared" ca="1" si="32"/>
        <v>1</v>
      </c>
      <c r="N64" s="3">
        <f t="shared" ca="1" si="32"/>
        <v>1</v>
      </c>
      <c r="O64" s="3">
        <f t="shared" ca="1" si="32"/>
        <v>1</v>
      </c>
      <c r="P64" s="3">
        <f t="shared" ca="1" si="32"/>
        <v>1</v>
      </c>
      <c r="Q64" s="3">
        <f t="shared" ca="1" si="32"/>
        <v>1</v>
      </c>
      <c r="R64" s="3">
        <f t="shared" ca="1" si="32"/>
        <v>1</v>
      </c>
      <c r="S64" s="3">
        <f t="shared" ca="1" si="32"/>
        <v>1</v>
      </c>
      <c r="U64" s="3">
        <f t="shared" si="26"/>
        <v>4.666666666666667</v>
      </c>
      <c r="V64" s="3">
        <f>IF(H64="","",Weights!G64)</f>
        <v>4.666666666666667</v>
      </c>
      <c r="W64" s="3">
        <f t="shared" si="27"/>
        <v>0</v>
      </c>
    </row>
    <row r="65" spans="2:23" ht="15" customHeight="1">
      <c r="B65" s="3">
        <f t="shared" si="9"/>
        <v>53</v>
      </c>
      <c r="C65" s="35" t="str">
        <f>tblIndiSets!A136</f>
        <v>SERV2_3_2</v>
      </c>
      <c r="D65" s="15">
        <f>tblIndiSets!B136</f>
        <v>27</v>
      </c>
      <c r="E65" s="15">
        <f t="shared" ca="1" si="28"/>
        <v>3</v>
      </c>
      <c r="F65" s="15" t="str">
        <f>tblIndiSets!E136</f>
        <v>2.3.2) Digital identification at airports</v>
      </c>
      <c r="G65" s="15" t="str">
        <f t="shared" ca="1" si="29"/>
        <v>2.3.2) Digital identification at airports</v>
      </c>
      <c r="H65" s="3">
        <v>4</v>
      </c>
      <c r="I65" s="3">
        <f t="shared" ca="1" si="32"/>
        <v>1</v>
      </c>
      <c r="J65" s="3">
        <f t="shared" ca="1" si="32"/>
        <v>1</v>
      </c>
      <c r="K65" s="3">
        <f t="shared" ca="1" si="32"/>
        <v>1</v>
      </c>
      <c r="L65" s="3">
        <f t="shared" ca="1" si="32"/>
        <v>1</v>
      </c>
      <c r="M65" s="3">
        <f t="shared" ca="1" si="32"/>
        <v>1</v>
      </c>
      <c r="N65" s="3">
        <f t="shared" ca="1" si="32"/>
        <v>1</v>
      </c>
      <c r="O65" s="3">
        <f t="shared" ca="1" si="32"/>
        <v>1</v>
      </c>
      <c r="P65" s="3">
        <f t="shared" ca="1" si="32"/>
        <v>1</v>
      </c>
      <c r="Q65" s="3">
        <f t="shared" ca="1" si="32"/>
        <v>1</v>
      </c>
      <c r="R65" s="3">
        <f t="shared" ca="1" si="32"/>
        <v>1</v>
      </c>
      <c r="S65" s="3">
        <f t="shared" ca="1" si="32"/>
        <v>1</v>
      </c>
      <c r="U65" s="3">
        <f t="shared" si="26"/>
        <v>4</v>
      </c>
      <c r="V65" s="3">
        <f>IF(H65="","",Weights!G65)</f>
        <v>4</v>
      </c>
      <c r="W65" s="3">
        <f t="shared" si="27"/>
        <v>0</v>
      </c>
    </row>
    <row r="66" spans="2:23" ht="15" customHeight="1">
      <c r="B66" s="3">
        <f t="shared" si="9"/>
        <v>54</v>
      </c>
      <c r="C66" s="35" t="str">
        <f>tblIndiSets!A137</f>
        <v>SERV2_4</v>
      </c>
      <c r="D66" s="15">
        <f>tblIndiSets!B137</f>
        <v>28</v>
      </c>
      <c r="E66" s="15">
        <f t="shared" ca="1" si="28"/>
        <v>2</v>
      </c>
      <c r="F66" s="15" t="str">
        <f>tblIndiSets!E137</f>
        <v>2.4) Healthcare</v>
      </c>
      <c r="G66" s="15" t="str">
        <f t="shared" ca="1" si="29"/>
        <v>2.4) Healthcare</v>
      </c>
      <c r="I66" s="3" t="str">
        <f t="shared" ca="1" si="32"/>
        <v/>
      </c>
      <c r="J66" s="3" t="str">
        <f t="shared" ca="1" si="32"/>
        <v/>
      </c>
      <c r="K66" s="3" t="str">
        <f t="shared" ca="1" si="32"/>
        <v/>
      </c>
      <c r="L66" s="3" t="str">
        <f t="shared" ca="1" si="32"/>
        <v/>
      </c>
      <c r="M66" s="3" t="str">
        <f t="shared" ca="1" si="32"/>
        <v/>
      </c>
      <c r="N66" s="3" t="str">
        <f t="shared" ca="1" si="32"/>
        <v/>
      </c>
      <c r="O66" s="3" t="str">
        <f t="shared" ca="1" si="32"/>
        <v/>
      </c>
      <c r="P66" s="3" t="str">
        <f t="shared" ca="1" si="32"/>
        <v/>
      </c>
      <c r="Q66" s="3" t="str">
        <f t="shared" ca="1" si="32"/>
        <v/>
      </c>
      <c r="R66" s="3" t="str">
        <f t="shared" ca="1" si="32"/>
        <v/>
      </c>
      <c r="S66" s="3" t="str">
        <f t="shared" ca="1" si="32"/>
        <v/>
      </c>
      <c r="U66" s="3" t="str">
        <f t="shared" si="26"/>
        <v/>
      </c>
      <c r="V66" s="3" t="str">
        <f>IF(H66="","",Weights!G66)</f>
        <v/>
      </c>
      <c r="W66" s="3">
        <f t="shared" si="27"/>
        <v>0</v>
      </c>
    </row>
    <row r="67" spans="2:23" ht="15" customHeight="1">
      <c r="B67" s="3">
        <f t="shared" si="9"/>
        <v>55</v>
      </c>
      <c r="C67" s="35" t="str">
        <f>tblIndiSets!A138</f>
        <v>SERV2_4_1</v>
      </c>
      <c r="D67" s="15">
        <f>tblIndiSets!B138</f>
        <v>29</v>
      </c>
      <c r="E67" s="15">
        <f t="shared" ca="1" si="28"/>
        <v>3</v>
      </c>
      <c r="F67" s="15" t="str">
        <f>tblIndiSets!E138</f>
        <v>2.4.1) Telehealth &amp; telemedicine</v>
      </c>
      <c r="G67" s="15" t="str">
        <f t="shared" ca="1" si="29"/>
        <v>2.4.1) Telehealth &amp; telemedicine</v>
      </c>
      <c r="H67" s="3">
        <v>4</v>
      </c>
      <c r="I67" s="3">
        <f t="shared" ca="1" si="32"/>
        <v>1</v>
      </c>
      <c r="J67" s="3">
        <f t="shared" ca="1" si="32"/>
        <v>1</v>
      </c>
      <c r="K67" s="3">
        <f t="shared" ca="1" si="32"/>
        <v>1</v>
      </c>
      <c r="L67" s="3">
        <f t="shared" ca="1" si="32"/>
        <v>1</v>
      </c>
      <c r="M67" s="3">
        <f t="shared" ca="1" si="32"/>
        <v>1</v>
      </c>
      <c r="N67" s="3">
        <f t="shared" ca="1" si="32"/>
        <v>1</v>
      </c>
      <c r="O67" s="3">
        <f t="shared" ca="1" si="32"/>
        <v>1</v>
      </c>
      <c r="P67" s="3">
        <f t="shared" ca="1" si="32"/>
        <v>1</v>
      </c>
      <c r="Q67" s="3">
        <f t="shared" ca="1" si="32"/>
        <v>1</v>
      </c>
      <c r="R67" s="3">
        <f t="shared" ca="1" si="32"/>
        <v>1</v>
      </c>
      <c r="S67" s="3">
        <f t="shared" ca="1" si="32"/>
        <v>1</v>
      </c>
      <c r="U67" s="3">
        <f t="shared" si="26"/>
        <v>4</v>
      </c>
      <c r="V67" s="3">
        <f>IF(H67="","",Weights!G67)</f>
        <v>4</v>
      </c>
      <c r="W67" s="3">
        <f t="shared" si="27"/>
        <v>0</v>
      </c>
    </row>
    <row r="68" spans="2:23" ht="15" customHeight="1">
      <c r="B68" s="3">
        <f t="shared" si="9"/>
        <v>56</v>
      </c>
      <c r="C68" s="35" t="str">
        <f>tblIndiSets!A139</f>
        <v>SERV2_4_2</v>
      </c>
      <c r="D68" s="15">
        <f>tblIndiSets!B139</f>
        <v>30</v>
      </c>
      <c r="E68" s="15">
        <f t="shared" ca="1" si="28"/>
        <v>3</v>
      </c>
      <c r="F68" s="15" t="str">
        <f>tblIndiSets!E139</f>
        <v>2.4.2) Electronic health records</v>
      </c>
      <c r="G68" s="15" t="str">
        <f t="shared" ca="1" si="29"/>
        <v>2.4.2) Electronic health records</v>
      </c>
      <c r="H68" s="3">
        <v>4.666666666666667</v>
      </c>
      <c r="I68" s="3">
        <f t="shared" ca="1" si="32"/>
        <v>1</v>
      </c>
      <c r="J68" s="3">
        <f t="shared" ca="1" si="32"/>
        <v>1</v>
      </c>
      <c r="K68" s="3">
        <f t="shared" ca="1" si="32"/>
        <v>1</v>
      </c>
      <c r="L68" s="3">
        <f t="shared" ca="1" si="32"/>
        <v>1</v>
      </c>
      <c r="M68" s="3">
        <f t="shared" ca="1" si="32"/>
        <v>1</v>
      </c>
      <c r="N68" s="3">
        <f t="shared" ca="1" si="32"/>
        <v>1</v>
      </c>
      <c r="O68" s="3">
        <f t="shared" ca="1" si="32"/>
        <v>1</v>
      </c>
      <c r="P68" s="3">
        <f t="shared" ca="1" si="32"/>
        <v>1</v>
      </c>
      <c r="Q68" s="3">
        <f t="shared" ca="1" si="32"/>
        <v>1</v>
      </c>
      <c r="R68" s="3">
        <f t="shared" ca="1" si="32"/>
        <v>1</v>
      </c>
      <c r="S68" s="3">
        <f t="shared" ca="1" si="32"/>
        <v>1</v>
      </c>
      <c r="U68" s="3">
        <f t="shared" si="26"/>
        <v>4.666666666666667</v>
      </c>
      <c r="V68" s="3">
        <f>IF(H68="","",Weights!G68)</f>
        <v>4.666666666666667</v>
      </c>
      <c r="W68" s="3">
        <f t="shared" si="27"/>
        <v>0</v>
      </c>
    </row>
    <row r="69" spans="2:23" ht="15" customHeight="1">
      <c r="B69" s="3">
        <f t="shared" si="9"/>
        <v>57</v>
      </c>
      <c r="C69" s="35" t="str">
        <f>tblIndiSets!A140</f>
        <v>SERV2_4_3</v>
      </c>
      <c r="D69" s="15">
        <f>tblIndiSets!B140</f>
        <v>31</v>
      </c>
      <c r="E69" s="15">
        <f t="shared" ca="1" si="28"/>
        <v>3</v>
      </c>
      <c r="F69" s="15" t="str">
        <f>tblIndiSets!E140</f>
        <v>2.4.3) Pandemic-related applications</v>
      </c>
      <c r="G69" s="15" t="str">
        <f t="shared" ca="1" si="29"/>
        <v>2.4.3) Pandemic-related applications</v>
      </c>
      <c r="H69" s="3">
        <v>4</v>
      </c>
      <c r="I69" s="3">
        <f t="shared" ca="1" si="32"/>
        <v>1</v>
      </c>
      <c r="J69" s="3">
        <f t="shared" ca="1" si="32"/>
        <v>1</v>
      </c>
      <c r="K69" s="3">
        <f t="shared" ca="1" si="32"/>
        <v>1</v>
      </c>
      <c r="L69" s="3">
        <f t="shared" ca="1" si="32"/>
        <v>1</v>
      </c>
      <c r="M69" s="3">
        <f t="shared" ca="1" si="32"/>
        <v>1</v>
      </c>
      <c r="N69" s="3">
        <f t="shared" ca="1" si="32"/>
        <v>1</v>
      </c>
      <c r="O69" s="3">
        <f t="shared" ca="1" si="32"/>
        <v>1</v>
      </c>
      <c r="P69" s="3">
        <f t="shared" ca="1" si="32"/>
        <v>1</v>
      </c>
      <c r="Q69" s="3">
        <f t="shared" ca="1" si="32"/>
        <v>1</v>
      </c>
      <c r="R69" s="3">
        <f t="shared" ca="1" si="32"/>
        <v>1</v>
      </c>
      <c r="S69" s="3">
        <f t="shared" ca="1" si="32"/>
        <v>1</v>
      </c>
      <c r="U69" s="3">
        <f t="shared" si="26"/>
        <v>4</v>
      </c>
      <c r="V69" s="3">
        <f>IF(H69="","",Weights!G69)</f>
        <v>4</v>
      </c>
      <c r="W69" s="3">
        <f t="shared" si="27"/>
        <v>0</v>
      </c>
    </row>
    <row r="70" spans="2:23" ht="15" customHeight="1">
      <c r="B70" s="3">
        <f t="shared" si="9"/>
        <v>58</v>
      </c>
      <c r="C70" s="35" t="str">
        <f>tblIndiSets!A141</f>
        <v>SERV2_5</v>
      </c>
      <c r="D70" s="15">
        <f>tblIndiSets!B141</f>
        <v>32</v>
      </c>
      <c r="E70" s="15">
        <f t="shared" ca="1" si="28"/>
        <v>2</v>
      </c>
      <c r="F70" s="15" t="str">
        <f>tblIndiSets!E141</f>
        <v>2.5) Education</v>
      </c>
      <c r="G70" s="15" t="str">
        <f t="shared" ca="1" si="29"/>
        <v>2.5) Education</v>
      </c>
      <c r="I70" s="3" t="str">
        <f t="shared" ca="1" si="32"/>
        <v/>
      </c>
      <c r="J70" s="3" t="str">
        <f t="shared" ca="1" si="32"/>
        <v/>
      </c>
      <c r="K70" s="3" t="str">
        <f t="shared" ca="1" si="32"/>
        <v/>
      </c>
      <c r="L70" s="3" t="str">
        <f t="shared" ca="1" si="32"/>
        <v/>
      </c>
      <c r="M70" s="3" t="str">
        <f t="shared" ca="1" si="32"/>
        <v/>
      </c>
      <c r="N70" s="3" t="str">
        <f t="shared" ca="1" si="32"/>
        <v/>
      </c>
      <c r="O70" s="3" t="str">
        <f t="shared" ca="1" si="32"/>
        <v/>
      </c>
      <c r="P70" s="3" t="str">
        <f t="shared" ca="1" si="32"/>
        <v/>
      </c>
      <c r="Q70" s="3" t="str">
        <f t="shared" ca="1" si="32"/>
        <v/>
      </c>
      <c r="R70" s="3" t="str">
        <f t="shared" ca="1" si="32"/>
        <v/>
      </c>
      <c r="S70" s="3" t="str">
        <f t="shared" ca="1" si="32"/>
        <v/>
      </c>
      <c r="U70" s="3" t="str">
        <f t="shared" si="26"/>
        <v/>
      </c>
      <c r="V70" s="3" t="str">
        <f>IF(H70="","",Weights!G70)</f>
        <v/>
      </c>
      <c r="W70" s="3">
        <f t="shared" si="27"/>
        <v>0</v>
      </c>
    </row>
    <row r="71" spans="2:23" ht="15" customHeight="1">
      <c r="B71" s="3">
        <f t="shared" si="9"/>
        <v>59</v>
      </c>
      <c r="C71" s="35" t="str">
        <f>tblIndiSets!A142</f>
        <v>SERV2_5_1</v>
      </c>
      <c r="D71" s="15">
        <f>tblIndiSets!B142</f>
        <v>33</v>
      </c>
      <c r="E71" s="15">
        <f t="shared" ca="1" si="28"/>
        <v>3</v>
      </c>
      <c r="F71" s="15" t="str">
        <f>tblIndiSets!E142</f>
        <v>2.5.1) Digital education</v>
      </c>
      <c r="G71" s="15" t="str">
        <f t="shared" ca="1" si="29"/>
        <v>2.5.1) Digital education</v>
      </c>
      <c r="H71" s="3">
        <v>1</v>
      </c>
      <c r="I71" s="3">
        <f t="shared" ca="1" si="32"/>
        <v>1</v>
      </c>
      <c r="J71" s="3">
        <f t="shared" ca="1" si="32"/>
        <v>1</v>
      </c>
      <c r="K71" s="3">
        <f t="shared" ca="1" si="32"/>
        <v>1</v>
      </c>
      <c r="L71" s="3">
        <f t="shared" ca="1" si="32"/>
        <v>1</v>
      </c>
      <c r="M71" s="3">
        <f t="shared" ca="1" si="32"/>
        <v>1</v>
      </c>
      <c r="N71" s="3">
        <f t="shared" ca="1" si="32"/>
        <v>1</v>
      </c>
      <c r="O71" s="3">
        <f t="shared" ca="1" si="32"/>
        <v>1</v>
      </c>
      <c r="P71" s="3">
        <f t="shared" ca="1" si="32"/>
        <v>1</v>
      </c>
      <c r="Q71" s="3">
        <f t="shared" ca="1" si="32"/>
        <v>1</v>
      </c>
      <c r="R71" s="3">
        <f t="shared" ca="1" si="32"/>
        <v>1</v>
      </c>
      <c r="S71" s="3">
        <f t="shared" ca="1" si="32"/>
        <v>1</v>
      </c>
      <c r="U71" s="3">
        <f t="shared" si="26"/>
        <v>1</v>
      </c>
      <c r="V71" s="3">
        <f>IF(H71="","",Weights!G71)</f>
        <v>1</v>
      </c>
      <c r="W71" s="3">
        <f t="shared" si="27"/>
        <v>0</v>
      </c>
    </row>
    <row r="72" spans="2:23" ht="15" customHeight="1">
      <c r="B72" s="3">
        <f t="shared" si="9"/>
        <v>60</v>
      </c>
      <c r="C72" s="35" t="str">
        <f>tblIndiSets!A143</f>
        <v>SERV2_6</v>
      </c>
      <c r="D72" s="15">
        <f>tblIndiSets!B143</f>
        <v>34</v>
      </c>
      <c r="E72" s="15">
        <f t="shared" ca="1" si="28"/>
        <v>2</v>
      </c>
      <c r="F72" s="15" t="str">
        <f>tblIndiSets!E143</f>
        <v>2.6) Retail and hospitality</v>
      </c>
      <c r="G72" s="15" t="str">
        <f t="shared" ca="1" si="29"/>
        <v>2.6) Retail and hospitality</v>
      </c>
      <c r="I72" s="3" t="str">
        <f t="shared" ca="1" si="32"/>
        <v/>
      </c>
      <c r="J72" s="3" t="str">
        <f t="shared" ca="1" si="32"/>
        <v/>
      </c>
      <c r="K72" s="3" t="str">
        <f t="shared" ca="1" si="32"/>
        <v/>
      </c>
      <c r="L72" s="3" t="str">
        <f t="shared" ca="1" si="32"/>
        <v/>
      </c>
      <c r="M72" s="3" t="str">
        <f t="shared" ca="1" si="32"/>
        <v/>
      </c>
      <c r="N72" s="3" t="str">
        <f t="shared" ca="1" si="32"/>
        <v/>
      </c>
      <c r="O72" s="3" t="str">
        <f t="shared" ca="1" si="32"/>
        <v/>
      </c>
      <c r="P72" s="3" t="str">
        <f t="shared" ca="1" si="32"/>
        <v/>
      </c>
      <c r="Q72" s="3" t="str">
        <f t="shared" ca="1" si="32"/>
        <v/>
      </c>
      <c r="R72" s="3" t="str">
        <f t="shared" ca="1" si="32"/>
        <v/>
      </c>
      <c r="S72" s="3" t="str">
        <f t="shared" ca="1" si="32"/>
        <v/>
      </c>
      <c r="U72" s="3" t="str">
        <f t="shared" si="26"/>
        <v/>
      </c>
      <c r="V72" s="3" t="str">
        <f>IF(H72="","",Weights!G72)</f>
        <v/>
      </c>
      <c r="W72" s="3">
        <f t="shared" si="27"/>
        <v>0</v>
      </c>
    </row>
    <row r="73" spans="2:23" ht="15" customHeight="1">
      <c r="B73" s="3">
        <f t="shared" si="9"/>
        <v>61</v>
      </c>
      <c r="C73" s="35" t="str">
        <f>tblIndiSets!A144</f>
        <v>SERV2_6_1</v>
      </c>
      <c r="D73" s="15">
        <f>tblIndiSets!B144</f>
        <v>35</v>
      </c>
      <c r="E73" s="15">
        <f t="shared" ca="1" si="28"/>
        <v>3</v>
      </c>
      <c r="F73" s="15" t="str">
        <f>tblIndiSets!E144</f>
        <v>2.6.1) E-commerce penetration</v>
      </c>
      <c r="G73" s="15" t="str">
        <f t="shared" ca="1" si="29"/>
        <v>2.6.1) E-commerce penetration</v>
      </c>
      <c r="H73" s="3">
        <v>4.333333333333333</v>
      </c>
      <c r="I73" s="3">
        <f t="shared" ca="1" si="32"/>
        <v>1</v>
      </c>
      <c r="J73" s="3">
        <f t="shared" ca="1" si="32"/>
        <v>1</v>
      </c>
      <c r="K73" s="3">
        <f t="shared" ca="1" si="32"/>
        <v>1</v>
      </c>
      <c r="L73" s="3">
        <f t="shared" ca="1" si="32"/>
        <v>1</v>
      </c>
      <c r="M73" s="3">
        <f t="shared" ca="1" si="32"/>
        <v>1</v>
      </c>
      <c r="N73" s="3">
        <f t="shared" ca="1" si="32"/>
        <v>1</v>
      </c>
      <c r="O73" s="3">
        <f t="shared" ca="1" si="32"/>
        <v>1</v>
      </c>
      <c r="P73" s="3">
        <f t="shared" ca="1" si="32"/>
        <v>1</v>
      </c>
      <c r="Q73" s="3">
        <f t="shared" ca="1" si="32"/>
        <v>1</v>
      </c>
      <c r="R73" s="3">
        <f t="shared" ca="1" si="32"/>
        <v>1</v>
      </c>
      <c r="S73" s="3">
        <f t="shared" ca="1" si="32"/>
        <v>1</v>
      </c>
      <c r="U73" s="3">
        <f t="shared" si="26"/>
        <v>4.333333333333333</v>
      </c>
      <c r="V73" s="3">
        <f>IF(H73="","",Weights!G73)</f>
        <v>4.333333333333333</v>
      </c>
      <c r="W73" s="3">
        <f t="shared" si="27"/>
        <v>0</v>
      </c>
    </row>
    <row r="74" spans="2:23" ht="15" customHeight="1">
      <c r="B74" s="3">
        <f t="shared" si="9"/>
        <v>62</v>
      </c>
      <c r="C74" s="35" t="str">
        <f>tblIndiSets!A145</f>
        <v>SERV2_6_2</v>
      </c>
      <c r="D74" s="15">
        <f>tblIndiSets!B145</f>
        <v>36</v>
      </c>
      <c r="E74" s="15">
        <f t="shared" ca="1" si="28"/>
        <v>3</v>
      </c>
      <c r="F74" s="15" t="str">
        <f>tblIndiSets!E145</f>
        <v>2.6.2) Digital tourist passes</v>
      </c>
      <c r="G74" s="15" t="str">
        <f t="shared" ca="1" si="29"/>
        <v>2.6.2) Digital tourist passes</v>
      </c>
      <c r="H74" s="3">
        <v>3.3333333333333335</v>
      </c>
      <c r="I74" s="3">
        <f t="shared" ca="1" si="32"/>
        <v>1</v>
      </c>
      <c r="J74" s="3">
        <f t="shared" ca="1" si="32"/>
        <v>1</v>
      </c>
      <c r="K74" s="3">
        <f t="shared" ca="1" si="32"/>
        <v>1</v>
      </c>
      <c r="L74" s="3">
        <f t="shared" ca="1" si="32"/>
        <v>1</v>
      </c>
      <c r="M74" s="3">
        <f t="shared" ca="1" si="32"/>
        <v>1</v>
      </c>
      <c r="N74" s="3">
        <f t="shared" ca="1" si="32"/>
        <v>1</v>
      </c>
      <c r="O74" s="3">
        <f t="shared" ca="1" si="32"/>
        <v>1</v>
      </c>
      <c r="P74" s="3">
        <f t="shared" ca="1" si="32"/>
        <v>1</v>
      </c>
      <c r="Q74" s="3">
        <f t="shared" ca="1" si="32"/>
        <v>1</v>
      </c>
      <c r="R74" s="3">
        <f t="shared" ca="1" si="32"/>
        <v>1</v>
      </c>
      <c r="S74" s="3">
        <f t="shared" ca="1" si="32"/>
        <v>1</v>
      </c>
      <c r="U74" s="3">
        <f t="shared" si="26"/>
        <v>3.3333333333333335</v>
      </c>
      <c r="V74" s="3">
        <f>IF(H74="","",Weights!G74)</f>
        <v>3.3333333333333335</v>
      </c>
      <c r="W74" s="3">
        <f t="shared" si="27"/>
        <v>0</v>
      </c>
    </row>
    <row r="75" spans="2:23" ht="15" customHeight="1">
      <c r="B75" s="3">
        <f t="shared" si="9"/>
        <v>63</v>
      </c>
      <c r="C75" s="35" t="str">
        <f>tblIndiSets!A146</f>
        <v>CULT3_1</v>
      </c>
      <c r="D75" s="15">
        <f>tblIndiSets!B146</f>
        <v>38</v>
      </c>
      <c r="E75" s="15">
        <f t="shared" ca="1" si="28"/>
        <v>2</v>
      </c>
      <c r="F75" s="15" t="str">
        <f>tblIndiSets!E146</f>
        <v>3.1) Digital inclusion</v>
      </c>
      <c r="G75" s="15" t="str">
        <f t="shared" ca="1" si="29"/>
        <v>3.1) Digital inclusion</v>
      </c>
      <c r="I75" s="3" t="str">
        <f t="shared" ca="1" si="32"/>
        <v/>
      </c>
      <c r="J75" s="3" t="str">
        <f t="shared" ca="1" si="32"/>
        <v/>
      </c>
      <c r="K75" s="3" t="str">
        <f t="shared" ca="1" si="32"/>
        <v/>
      </c>
      <c r="L75" s="3" t="str">
        <f t="shared" ca="1" si="32"/>
        <v/>
      </c>
      <c r="M75" s="3" t="str">
        <f t="shared" ca="1" si="32"/>
        <v/>
      </c>
      <c r="N75" s="3" t="str">
        <f t="shared" ca="1" si="32"/>
        <v/>
      </c>
      <c r="O75" s="3" t="str">
        <f t="shared" ca="1" si="32"/>
        <v/>
      </c>
      <c r="P75" s="3" t="str">
        <f t="shared" ca="1" si="32"/>
        <v/>
      </c>
      <c r="Q75" s="3" t="str">
        <f t="shared" ca="1" si="32"/>
        <v/>
      </c>
      <c r="R75" s="3" t="str">
        <f t="shared" ca="1" si="32"/>
        <v/>
      </c>
      <c r="S75" s="3" t="str">
        <f t="shared" ca="1" si="32"/>
        <v/>
      </c>
      <c r="U75" s="3" t="str">
        <f t="shared" si="26"/>
        <v/>
      </c>
      <c r="V75" s="3" t="str">
        <f>IF(H75="","",Weights!G75)</f>
        <v/>
      </c>
      <c r="W75" s="3">
        <f t="shared" si="27"/>
        <v>0</v>
      </c>
    </row>
    <row r="76" spans="2:23" ht="15" customHeight="1">
      <c r="B76" s="3">
        <f t="shared" si="9"/>
        <v>64</v>
      </c>
      <c r="C76" s="35" t="str">
        <f>tblIndiSets!A147</f>
        <v>CULT3_1_1</v>
      </c>
      <c r="D76" s="15">
        <f>tblIndiSets!B147</f>
        <v>39</v>
      </c>
      <c r="E76" s="15">
        <f t="shared" ca="1" si="28"/>
        <v>3</v>
      </c>
      <c r="F76" s="15" t="str">
        <f>tblIndiSets!E147</f>
        <v>3.1.1) Internet usage</v>
      </c>
      <c r="G76" s="15" t="str">
        <f t="shared" ca="1" si="29"/>
        <v>3.1.1) Internet usage</v>
      </c>
      <c r="H76" s="3">
        <v>3.5</v>
      </c>
      <c r="I76" s="3">
        <f t="shared" ca="1" si="32"/>
        <v>1</v>
      </c>
      <c r="J76" s="3">
        <f t="shared" ca="1" si="32"/>
        <v>1</v>
      </c>
      <c r="K76" s="3">
        <f t="shared" ca="1" si="32"/>
        <v>1</v>
      </c>
      <c r="L76" s="3">
        <f t="shared" ca="1" si="32"/>
        <v>1</v>
      </c>
      <c r="M76" s="3">
        <f t="shared" ca="1" si="32"/>
        <v>1</v>
      </c>
      <c r="N76" s="3">
        <f t="shared" ca="1" si="32"/>
        <v>1</v>
      </c>
      <c r="O76" s="3">
        <f t="shared" ca="1" si="32"/>
        <v>1</v>
      </c>
      <c r="P76" s="3">
        <f t="shared" ca="1" si="32"/>
        <v>1</v>
      </c>
      <c r="Q76" s="3">
        <f t="shared" ca="1" si="32"/>
        <v>1</v>
      </c>
      <c r="R76" s="3">
        <f t="shared" ca="1" si="32"/>
        <v>1</v>
      </c>
      <c r="S76" s="3">
        <f t="shared" ca="1" si="32"/>
        <v>1</v>
      </c>
      <c r="U76" s="3">
        <f t="shared" si="26"/>
        <v>3.5</v>
      </c>
      <c r="V76" s="3">
        <f>IF(H76="","",Weights!G76)</f>
        <v>3.5</v>
      </c>
      <c r="W76" s="3">
        <f t="shared" si="27"/>
        <v>0</v>
      </c>
    </row>
    <row r="77" spans="2:23" ht="15" customHeight="1">
      <c r="B77" s="3">
        <f t="shared" si="9"/>
        <v>65</v>
      </c>
      <c r="C77" s="35" t="str">
        <f>tblIndiSets!A148</f>
        <v>CULT3_1_2</v>
      </c>
      <c r="D77" s="15">
        <f>tblIndiSets!B148</f>
        <v>40</v>
      </c>
      <c r="E77" s="15">
        <f t="shared" ca="1" si="28"/>
        <v>3</v>
      </c>
      <c r="F77" s="15" t="str">
        <f>tblIndiSets!E148</f>
        <v>3.1.2) Gap between female and male access to the internet</v>
      </c>
      <c r="G77" s="15" t="str">
        <f t="shared" ca="1" si="29"/>
        <v>3.1.2) Gap between female and male access to the internet</v>
      </c>
      <c r="H77" s="3">
        <v>3</v>
      </c>
      <c r="I77" s="3">
        <f t="shared" ca="1" si="32"/>
        <v>1</v>
      </c>
      <c r="J77" s="3">
        <f t="shared" ca="1" si="32"/>
        <v>1</v>
      </c>
      <c r="K77" s="3">
        <f t="shared" ca="1" si="32"/>
        <v>1</v>
      </c>
      <c r="L77" s="3">
        <f t="shared" ca="1" si="32"/>
        <v>1</v>
      </c>
      <c r="M77" s="3">
        <f t="shared" ca="1" si="32"/>
        <v>1</v>
      </c>
      <c r="N77" s="3">
        <f t="shared" ca="1" si="32"/>
        <v>1</v>
      </c>
      <c r="O77" s="3">
        <f t="shared" ca="1" si="32"/>
        <v>1</v>
      </c>
      <c r="P77" s="3">
        <f t="shared" ca="1" si="32"/>
        <v>1</v>
      </c>
      <c r="Q77" s="3">
        <f t="shared" ca="1" si="32"/>
        <v>1</v>
      </c>
      <c r="R77" s="3">
        <f t="shared" ca="1" si="32"/>
        <v>1</v>
      </c>
      <c r="S77" s="3">
        <f t="shared" ca="1" si="32"/>
        <v>1</v>
      </c>
      <c r="U77" s="3">
        <f t="shared" si="26"/>
        <v>3</v>
      </c>
      <c r="V77" s="3">
        <f>IF(H77="","",Weights!G77)</f>
        <v>3</v>
      </c>
      <c r="W77" s="3">
        <f t="shared" si="27"/>
        <v>0</v>
      </c>
    </row>
    <row r="78" spans="2:23" ht="15" customHeight="1">
      <c r="B78" s="3">
        <f t="shared" si="9"/>
        <v>66</v>
      </c>
      <c r="C78" s="35" t="str">
        <f>tblIndiSets!A149</f>
        <v>CULT3_1_3</v>
      </c>
      <c r="D78" s="15">
        <f>tblIndiSets!B149</f>
        <v>41</v>
      </c>
      <c r="E78" s="15">
        <f t="shared" ca="1" si="28"/>
        <v>3</v>
      </c>
      <c r="F78" s="15" t="str">
        <f>tblIndiSets!E149</f>
        <v>3.1.3) Digital skills</v>
      </c>
      <c r="G78" s="15" t="str">
        <f t="shared" ca="1" si="29"/>
        <v>3.1.3) Digital skills</v>
      </c>
      <c r="H78" s="3">
        <v>3</v>
      </c>
      <c r="I78" s="3">
        <f t="shared" ca="1" si="32"/>
        <v>1</v>
      </c>
      <c r="J78" s="3">
        <f t="shared" ca="1" si="32"/>
        <v>1</v>
      </c>
      <c r="K78" s="3">
        <f t="shared" ca="1" si="32"/>
        <v>1</v>
      </c>
      <c r="L78" s="3">
        <f t="shared" ca="1" si="32"/>
        <v>1</v>
      </c>
      <c r="M78" s="3">
        <f t="shared" ca="1" si="32"/>
        <v>1</v>
      </c>
      <c r="N78" s="3">
        <f t="shared" ca="1" si="32"/>
        <v>1</v>
      </c>
      <c r="O78" s="3">
        <f t="shared" ca="1" si="32"/>
        <v>1</v>
      </c>
      <c r="P78" s="3">
        <f t="shared" ca="1" si="32"/>
        <v>1</v>
      </c>
      <c r="Q78" s="3">
        <f t="shared" ca="1" si="32"/>
        <v>1</v>
      </c>
      <c r="R78" s="3">
        <f t="shared" ca="1" si="32"/>
        <v>1</v>
      </c>
      <c r="S78" s="3">
        <f t="shared" ca="1" si="32"/>
        <v>1</v>
      </c>
      <c r="U78" s="3">
        <f t="shared" si="26"/>
        <v>3</v>
      </c>
      <c r="V78" s="3">
        <f>IF(H78="","",Weights!G78)</f>
        <v>3</v>
      </c>
      <c r="W78" s="3">
        <f t="shared" si="27"/>
        <v>0</v>
      </c>
    </row>
    <row r="79" spans="2:23" ht="15" customHeight="1">
      <c r="B79" s="3">
        <f t="shared" si="9"/>
        <v>67</v>
      </c>
      <c r="C79" s="35" t="str">
        <f>tblIndiSets!A150</f>
        <v>CULT3_2</v>
      </c>
      <c r="D79" s="15">
        <f>tblIndiSets!B150</f>
        <v>42</v>
      </c>
      <c r="E79" s="15">
        <f t="shared" ca="1" si="28"/>
        <v>2</v>
      </c>
      <c r="F79" s="15" t="str">
        <f>tblIndiSets!E150</f>
        <v>3.2) Government support</v>
      </c>
      <c r="G79" s="15" t="str">
        <f t="shared" ca="1" si="29"/>
        <v>3.2) Government support</v>
      </c>
      <c r="I79" s="3" t="str">
        <f t="shared" ca="1" si="32"/>
        <v/>
      </c>
      <c r="J79" s="3" t="str">
        <f t="shared" ca="1" si="32"/>
        <v/>
      </c>
      <c r="K79" s="3" t="str">
        <f t="shared" ca="1" si="32"/>
        <v/>
      </c>
      <c r="L79" s="3" t="str">
        <f t="shared" ca="1" si="32"/>
        <v/>
      </c>
      <c r="M79" s="3" t="str">
        <f t="shared" ca="1" si="32"/>
        <v/>
      </c>
      <c r="N79" s="3" t="str">
        <f t="shared" ca="1" si="32"/>
        <v/>
      </c>
      <c r="O79" s="3" t="str">
        <f t="shared" ca="1" si="32"/>
        <v/>
      </c>
      <c r="P79" s="3" t="str">
        <f t="shared" ca="1" si="32"/>
        <v/>
      </c>
      <c r="Q79" s="3" t="str">
        <f t="shared" ca="1" si="32"/>
        <v/>
      </c>
      <c r="R79" s="3" t="str">
        <f t="shared" ca="1" si="32"/>
        <v/>
      </c>
      <c r="S79" s="3" t="str">
        <f t="shared" ca="1" si="32"/>
        <v/>
      </c>
      <c r="U79" s="3" t="str">
        <f t="shared" si="26"/>
        <v/>
      </c>
      <c r="V79" s="3" t="str">
        <f>IF(H79="","",Weights!G79)</f>
        <v/>
      </c>
      <c r="W79" s="3">
        <f t="shared" si="27"/>
        <v>0</v>
      </c>
    </row>
    <row r="80" spans="2:23" ht="15" customHeight="1">
      <c r="B80" s="3">
        <f t="shared" si="9"/>
        <v>68</v>
      </c>
      <c r="C80" s="35" t="str">
        <f>tblIndiSets!A151</f>
        <v>CULT3_2_1</v>
      </c>
      <c r="D80" s="15">
        <f>tblIndiSets!B151</f>
        <v>43</v>
      </c>
      <c r="E80" s="15">
        <f t="shared" ca="1" si="28"/>
        <v>3</v>
      </c>
      <c r="F80" s="15" t="str">
        <f>tblIndiSets!E151</f>
        <v>3.2.1) Data protection law</v>
      </c>
      <c r="G80" s="15" t="str">
        <f t="shared" ca="1" si="29"/>
        <v>3.2.1) Data protection law</v>
      </c>
      <c r="H80" s="3">
        <v>1</v>
      </c>
      <c r="I80" s="3">
        <f t="shared" ca="1" si="32"/>
        <v>1</v>
      </c>
      <c r="J80" s="3">
        <f t="shared" ca="1" si="32"/>
        <v>1</v>
      </c>
      <c r="K80" s="3">
        <f t="shared" ca="1" si="32"/>
        <v>1</v>
      </c>
      <c r="L80" s="3">
        <f t="shared" ca="1" si="32"/>
        <v>1</v>
      </c>
      <c r="M80" s="3">
        <f t="shared" ca="1" si="32"/>
        <v>1</v>
      </c>
      <c r="N80" s="3">
        <f t="shared" ca="1" si="32"/>
        <v>1</v>
      </c>
      <c r="O80" s="3">
        <f t="shared" ca="1" si="32"/>
        <v>1</v>
      </c>
      <c r="P80" s="3">
        <f t="shared" ca="1" si="32"/>
        <v>1</v>
      </c>
      <c r="Q80" s="3">
        <f t="shared" ca="1" si="32"/>
        <v>1</v>
      </c>
      <c r="R80" s="3">
        <f t="shared" ca="1" si="32"/>
        <v>1</v>
      </c>
      <c r="S80" s="3">
        <f t="shared" ca="1" si="32"/>
        <v>1</v>
      </c>
      <c r="U80" s="3">
        <f t="shared" si="26"/>
        <v>1</v>
      </c>
      <c r="V80" s="3">
        <f>IF(H80="","",Weights!G80)</f>
        <v>1</v>
      </c>
      <c r="W80" s="3">
        <f t="shared" si="27"/>
        <v>0</v>
      </c>
    </row>
    <row r="81" spans="2:23" ht="15" customHeight="1">
      <c r="B81" s="3">
        <f t="shared" si="9"/>
        <v>69</v>
      </c>
      <c r="C81" s="35" t="str">
        <f>tblIndiSets!A152</f>
        <v>CULT3_2_2</v>
      </c>
      <c r="D81" s="15">
        <f>tblIndiSets!B152</f>
        <v>44</v>
      </c>
      <c r="E81" s="15">
        <f t="shared" ca="1" si="28"/>
        <v>3</v>
      </c>
      <c r="F81" s="15" t="str">
        <f>tblIndiSets!E152</f>
        <v>3.2.2) Cyber security preparedness</v>
      </c>
      <c r="G81" s="15" t="str">
        <f t="shared" ca="1" si="29"/>
        <v>3.2.2) Cyber security preparedness</v>
      </c>
      <c r="H81" s="3">
        <v>1</v>
      </c>
      <c r="I81" s="3">
        <f t="shared" ca="1" si="32"/>
        <v>1</v>
      </c>
      <c r="J81" s="3">
        <f t="shared" ca="1" si="32"/>
        <v>1</v>
      </c>
      <c r="K81" s="3">
        <f t="shared" ca="1" si="32"/>
        <v>1</v>
      </c>
      <c r="L81" s="3">
        <f t="shared" ca="1" si="32"/>
        <v>1</v>
      </c>
      <c r="M81" s="3">
        <f t="shared" ca="1" si="32"/>
        <v>1</v>
      </c>
      <c r="N81" s="3">
        <f t="shared" ca="1" si="32"/>
        <v>1</v>
      </c>
      <c r="O81" s="3">
        <f t="shared" ca="1" si="32"/>
        <v>1</v>
      </c>
      <c r="P81" s="3">
        <f t="shared" ca="1" si="32"/>
        <v>1</v>
      </c>
      <c r="Q81" s="3">
        <f t="shared" ca="1" si="32"/>
        <v>1</v>
      </c>
      <c r="R81" s="3">
        <f t="shared" ca="1" si="32"/>
        <v>1</v>
      </c>
      <c r="S81" s="3">
        <f t="shared" ca="1" si="32"/>
        <v>1</v>
      </c>
      <c r="U81" s="3">
        <f t="shared" si="26"/>
        <v>1</v>
      </c>
      <c r="V81" s="3">
        <f>IF(H81="","",Weights!G81)</f>
        <v>1</v>
      </c>
      <c r="W81" s="3">
        <f t="shared" si="27"/>
        <v>0</v>
      </c>
    </row>
    <row r="82" spans="2:23" ht="15" customHeight="1">
      <c r="B82" s="3">
        <f t="shared" si="9"/>
        <v>70</v>
      </c>
      <c r="C82" s="35" t="str">
        <f>tblIndiSets!A153</f>
        <v>CULT3_2_3</v>
      </c>
      <c r="D82" s="15">
        <f>tblIndiSets!B153</f>
        <v>45</v>
      </c>
      <c r="E82" s="15">
        <f t="shared" ca="1" si="28"/>
        <v>3</v>
      </c>
      <c r="F82" s="15" t="str">
        <f>tblIndiSets!E153</f>
        <v>3.2.3) Cyber security risk awareness</v>
      </c>
      <c r="G82" s="15" t="str">
        <f t="shared" ca="1" si="29"/>
        <v>3.2.3) Cyber security risk awareness</v>
      </c>
      <c r="H82" s="3">
        <v>1</v>
      </c>
      <c r="I82" s="3">
        <f t="shared" ca="1" si="32"/>
        <v>1</v>
      </c>
      <c r="J82" s="3">
        <f t="shared" ca="1" si="32"/>
        <v>1</v>
      </c>
      <c r="K82" s="3">
        <f t="shared" ca="1" si="32"/>
        <v>1</v>
      </c>
      <c r="L82" s="3">
        <f t="shared" ca="1" si="32"/>
        <v>1</v>
      </c>
      <c r="M82" s="3">
        <f t="shared" ca="1" si="32"/>
        <v>1</v>
      </c>
      <c r="N82" s="3">
        <f t="shared" ca="1" si="32"/>
        <v>1</v>
      </c>
      <c r="O82" s="3">
        <f t="shared" ca="1" si="32"/>
        <v>1</v>
      </c>
      <c r="P82" s="3">
        <f t="shared" ca="1" si="32"/>
        <v>1</v>
      </c>
      <c r="Q82" s="3">
        <f t="shared" ca="1" si="32"/>
        <v>1</v>
      </c>
      <c r="R82" s="3">
        <f t="shared" ca="1" si="32"/>
        <v>1</v>
      </c>
      <c r="S82" s="3">
        <f t="shared" ca="1" si="32"/>
        <v>1</v>
      </c>
      <c r="U82" s="3">
        <f t="shared" si="26"/>
        <v>1</v>
      </c>
      <c r="V82" s="3">
        <f>IF(H82="","",Weights!G82)</f>
        <v>1</v>
      </c>
      <c r="W82" s="3">
        <f t="shared" si="27"/>
        <v>0</v>
      </c>
    </row>
    <row r="83" spans="2:23" ht="15" customHeight="1">
      <c r="B83" s="3">
        <f t="shared" si="9"/>
        <v>71</v>
      </c>
      <c r="C83" s="35" t="str">
        <f>tblIndiSets!A154</f>
        <v>CULT3_2_4</v>
      </c>
      <c r="D83" s="15">
        <f>tblIndiSets!B154</f>
        <v>46</v>
      </c>
      <c r="E83" s="15">
        <f t="shared" ca="1" si="28"/>
        <v>3</v>
      </c>
      <c r="F83" s="15" t="str">
        <f>tblIndiSets!E154</f>
        <v>3.2.4) Open data access and use</v>
      </c>
      <c r="G83" s="15" t="str">
        <f t="shared" ca="1" si="29"/>
        <v>3.2.4) Open data access and use</v>
      </c>
      <c r="H83" s="3">
        <v>1</v>
      </c>
      <c r="I83" s="3">
        <f t="shared" ca="1" si="32"/>
        <v>1</v>
      </c>
      <c r="J83" s="3">
        <f t="shared" ca="1" si="32"/>
        <v>1</v>
      </c>
      <c r="K83" s="3">
        <f t="shared" ref="I83:S101" ca="1" si="33">IF($E83=2,"",1)</f>
        <v>1</v>
      </c>
      <c r="L83" s="3">
        <f t="shared" ca="1" si="33"/>
        <v>1</v>
      </c>
      <c r="M83" s="3">
        <f t="shared" ca="1" si="33"/>
        <v>1</v>
      </c>
      <c r="N83" s="3">
        <f t="shared" ca="1" si="33"/>
        <v>1</v>
      </c>
      <c r="O83" s="3">
        <f t="shared" ca="1" si="33"/>
        <v>1</v>
      </c>
      <c r="P83" s="3">
        <f t="shared" ca="1" si="33"/>
        <v>1</v>
      </c>
      <c r="Q83" s="3">
        <f t="shared" ca="1" si="33"/>
        <v>1</v>
      </c>
      <c r="R83" s="3">
        <f t="shared" ca="1" si="33"/>
        <v>1</v>
      </c>
      <c r="S83" s="3">
        <f t="shared" ca="1" si="33"/>
        <v>1</v>
      </c>
      <c r="U83" s="3">
        <f t="shared" si="26"/>
        <v>1</v>
      </c>
      <c r="V83" s="3">
        <f>IF(H83="","",Weights!G83)</f>
        <v>1</v>
      </c>
      <c r="W83" s="3">
        <f t="shared" si="27"/>
        <v>0</v>
      </c>
    </row>
    <row r="84" spans="2:23" ht="15" customHeight="1">
      <c r="B84" s="3">
        <f t="shared" si="9"/>
        <v>72</v>
      </c>
      <c r="C84" s="35" t="str">
        <f>tblIndiSets!A155</f>
        <v>CULT3_2_5</v>
      </c>
      <c r="D84" s="15">
        <f>tblIndiSets!B155</f>
        <v>47</v>
      </c>
      <c r="E84" s="15">
        <f t="shared" ref="E84:E85" ca="1" si="34">INDEX(OFFSET(lu_indicode,0,0),D84)</f>
        <v>3</v>
      </c>
      <c r="F84" s="15" t="str">
        <f>tblIndiSets!E155</f>
        <v>3.2.5) Internet freedom</v>
      </c>
      <c r="G84" s="15" t="str">
        <f t="shared" ref="G84:G85" ca="1" si="35">IF(E84=1,UPPER(F84),F84)</f>
        <v>3.2.5) Internet freedom</v>
      </c>
      <c r="H84" s="3">
        <v>1</v>
      </c>
      <c r="I84" s="3">
        <f t="shared" ref="I84:J85" ca="1" si="36">IF($E84=2,"",1)</f>
        <v>1</v>
      </c>
      <c r="J84" s="3">
        <f t="shared" ca="1" si="36"/>
        <v>1</v>
      </c>
      <c r="K84" s="3">
        <f t="shared" ca="1" si="33"/>
        <v>1</v>
      </c>
      <c r="L84" s="3">
        <f t="shared" ca="1" si="33"/>
        <v>1</v>
      </c>
      <c r="M84" s="3">
        <f t="shared" ca="1" si="33"/>
        <v>1</v>
      </c>
      <c r="N84" s="3">
        <f t="shared" ca="1" si="33"/>
        <v>1</v>
      </c>
      <c r="O84" s="3">
        <f t="shared" ca="1" si="33"/>
        <v>1</v>
      </c>
      <c r="P84" s="3">
        <f t="shared" ca="1" si="33"/>
        <v>1</v>
      </c>
      <c r="Q84" s="3">
        <f t="shared" ca="1" si="33"/>
        <v>1</v>
      </c>
      <c r="R84" s="3">
        <f t="shared" ca="1" si="33"/>
        <v>1</v>
      </c>
      <c r="S84" s="3">
        <f t="shared" ca="1" si="33"/>
        <v>1</v>
      </c>
      <c r="U84" s="3">
        <f t="shared" si="26"/>
        <v>1</v>
      </c>
      <c r="V84" s="3">
        <f>IF(H84="","",Weights!G84)</f>
        <v>1</v>
      </c>
      <c r="W84" s="3">
        <f t="shared" si="27"/>
        <v>0</v>
      </c>
    </row>
    <row r="85" spans="2:23" ht="15" customHeight="1">
      <c r="B85" s="3">
        <f t="shared" ref="B85" si="37">B84+1</f>
        <v>73</v>
      </c>
      <c r="C85" s="35" t="str">
        <f>tblIndiSets!A156</f>
        <v>CULT3_3</v>
      </c>
      <c r="D85" s="15">
        <f>tblIndiSets!B156</f>
        <v>48</v>
      </c>
      <c r="E85" s="15">
        <f t="shared" ca="1" si="34"/>
        <v>2</v>
      </c>
      <c r="F85" s="15" t="str">
        <f>tblIndiSets!E156</f>
        <v>3.3) Innovation ecosystem</v>
      </c>
      <c r="G85" s="15" t="str">
        <f t="shared" ca="1" si="35"/>
        <v>3.3) Innovation ecosystem</v>
      </c>
      <c r="I85" s="3" t="str">
        <f t="shared" ca="1" si="36"/>
        <v/>
      </c>
      <c r="J85" s="3" t="str">
        <f t="shared" ca="1" si="36"/>
        <v/>
      </c>
      <c r="K85" s="3" t="str">
        <f t="shared" ca="1" si="33"/>
        <v/>
      </c>
      <c r="L85" s="3" t="str">
        <f t="shared" ca="1" si="33"/>
        <v/>
      </c>
      <c r="M85" s="3" t="str">
        <f t="shared" ca="1" si="33"/>
        <v/>
      </c>
      <c r="N85" s="3" t="str">
        <f t="shared" ca="1" si="33"/>
        <v/>
      </c>
      <c r="O85" s="3" t="str">
        <f t="shared" ca="1" si="33"/>
        <v/>
      </c>
      <c r="P85" s="3" t="str">
        <f t="shared" ca="1" si="33"/>
        <v/>
      </c>
      <c r="Q85" s="3" t="str">
        <f t="shared" ca="1" si="33"/>
        <v/>
      </c>
      <c r="R85" s="3" t="str">
        <f t="shared" ca="1" si="33"/>
        <v/>
      </c>
      <c r="S85" s="3" t="str">
        <f t="shared" ca="1" si="33"/>
        <v/>
      </c>
      <c r="U85" s="3" t="str">
        <f t="shared" si="26"/>
        <v/>
      </c>
      <c r="V85" s="3" t="str">
        <f>IF(H85="","",Weights!G85)</f>
        <v/>
      </c>
      <c r="W85" s="3">
        <f t="shared" si="27"/>
        <v>0</v>
      </c>
    </row>
    <row r="86" spans="2:23" ht="15" customHeight="1">
      <c r="B86" s="3">
        <f t="shared" ref="B86:B106" si="38">B85+1</f>
        <v>74</v>
      </c>
      <c r="C86" s="35" t="str">
        <f>tblIndiSets!A157</f>
        <v>CULT3_3_1</v>
      </c>
      <c r="D86" s="15">
        <f>tblIndiSets!B157</f>
        <v>49</v>
      </c>
      <c r="E86" s="15">
        <f t="shared" ca="1" si="28"/>
        <v>3</v>
      </c>
      <c r="F86" s="15" t="str">
        <f>tblIndiSets!E157</f>
        <v>3.3.1) AI readiness of government</v>
      </c>
      <c r="G86" s="15" t="str">
        <f t="shared" ca="1" si="29"/>
        <v>3.3.1) AI readiness of government</v>
      </c>
      <c r="H86" s="3">
        <v>4.333333333333333</v>
      </c>
      <c r="I86" s="3">
        <f t="shared" ca="1" si="33"/>
        <v>1</v>
      </c>
      <c r="J86" s="3">
        <f t="shared" ca="1" si="33"/>
        <v>1</v>
      </c>
      <c r="K86" s="3">
        <f t="shared" ca="1" si="33"/>
        <v>1</v>
      </c>
      <c r="L86" s="3">
        <f t="shared" ca="1" si="33"/>
        <v>1</v>
      </c>
      <c r="M86" s="3">
        <f t="shared" ca="1" si="33"/>
        <v>1</v>
      </c>
      <c r="N86" s="3">
        <f t="shared" ca="1" si="33"/>
        <v>1</v>
      </c>
      <c r="O86" s="3">
        <f t="shared" ca="1" si="33"/>
        <v>1</v>
      </c>
      <c r="P86" s="3">
        <f t="shared" ca="1" si="33"/>
        <v>1</v>
      </c>
      <c r="Q86" s="3">
        <f t="shared" ca="1" si="33"/>
        <v>1</v>
      </c>
      <c r="R86" s="3">
        <f t="shared" ca="1" si="33"/>
        <v>1</v>
      </c>
      <c r="S86" s="3">
        <f t="shared" ca="1" si="33"/>
        <v>1</v>
      </c>
      <c r="U86" s="3">
        <f t="shared" si="26"/>
        <v>4.333333333333333</v>
      </c>
      <c r="V86" s="3">
        <f>IF(H86="","",Weights!G86)</f>
        <v>4.333333333333333</v>
      </c>
      <c r="W86" s="3">
        <f t="shared" si="27"/>
        <v>0</v>
      </c>
    </row>
    <row r="87" spans="2:23" ht="15" customHeight="1">
      <c r="B87" s="3">
        <f t="shared" si="38"/>
        <v>75</v>
      </c>
      <c r="C87" s="35" t="str">
        <f>tblIndiSets!A158</f>
        <v>CULT3_3_2</v>
      </c>
      <c r="D87" s="15">
        <f>tblIndiSets!B158</f>
        <v>50</v>
      </c>
      <c r="E87" s="15">
        <f t="shared" ca="1" si="28"/>
        <v>3</v>
      </c>
      <c r="F87" s="15" t="str">
        <f>tblIndiSets!E158</f>
        <v>3.3.2) Blockchain technology strategy</v>
      </c>
      <c r="G87" s="15" t="str">
        <f t="shared" ca="1" si="29"/>
        <v>3.3.2) Blockchain technology strategy</v>
      </c>
      <c r="H87" s="3">
        <v>2.3333333333333335</v>
      </c>
      <c r="I87" s="3">
        <f t="shared" ca="1" si="33"/>
        <v>1</v>
      </c>
      <c r="J87" s="3">
        <f t="shared" ca="1" si="33"/>
        <v>1</v>
      </c>
      <c r="K87" s="3">
        <f t="shared" ca="1" si="33"/>
        <v>1</v>
      </c>
      <c r="L87" s="3">
        <f t="shared" ca="1" si="33"/>
        <v>1</v>
      </c>
      <c r="M87" s="3">
        <f t="shared" ca="1" si="33"/>
        <v>1</v>
      </c>
      <c r="N87" s="3">
        <f t="shared" ca="1" si="33"/>
        <v>1</v>
      </c>
      <c r="O87" s="3">
        <f t="shared" ca="1" si="33"/>
        <v>1</v>
      </c>
      <c r="P87" s="3">
        <f t="shared" ca="1" si="33"/>
        <v>1</v>
      </c>
      <c r="Q87" s="3">
        <f t="shared" ca="1" si="33"/>
        <v>1</v>
      </c>
      <c r="R87" s="3">
        <f t="shared" ca="1" si="33"/>
        <v>1</v>
      </c>
      <c r="S87" s="3">
        <f t="shared" ca="1" si="33"/>
        <v>1</v>
      </c>
      <c r="U87" s="3">
        <f t="shared" si="26"/>
        <v>2.3333333333333335</v>
      </c>
      <c r="V87" s="3">
        <f>IF(H87="","",Weights!G87)</f>
        <v>2.3333333333333335</v>
      </c>
      <c r="W87" s="3">
        <f t="shared" si="27"/>
        <v>0</v>
      </c>
    </row>
    <row r="88" spans="2:23" ht="15" customHeight="1">
      <c r="B88" s="3">
        <f t="shared" si="38"/>
        <v>76</v>
      </c>
      <c r="C88" s="35" t="str">
        <f>tblIndiSets!A159</f>
        <v>CULT3_3_3</v>
      </c>
      <c r="D88" s="15">
        <f>tblIndiSets!B159</f>
        <v>51</v>
      </c>
      <c r="E88" s="15">
        <f t="shared" ca="1" si="28"/>
        <v>3</v>
      </c>
      <c r="F88" s="15" t="str">
        <f>tblIndiSets!E159</f>
        <v>3.3.3) Tech startup ecosytem</v>
      </c>
      <c r="G88" s="15" t="str">
        <f t="shared" ca="1" si="29"/>
        <v>3.3.3) Tech startup ecosytem</v>
      </c>
      <c r="H88" s="3">
        <v>4.666666666666667</v>
      </c>
      <c r="I88" s="3">
        <f t="shared" ca="1" si="33"/>
        <v>1</v>
      </c>
      <c r="J88" s="3">
        <f t="shared" ca="1" si="33"/>
        <v>1</v>
      </c>
      <c r="K88" s="3">
        <f t="shared" ca="1" si="33"/>
        <v>1</v>
      </c>
      <c r="L88" s="3">
        <f t="shared" ca="1" si="33"/>
        <v>1</v>
      </c>
      <c r="M88" s="3">
        <f t="shared" ca="1" si="33"/>
        <v>1</v>
      </c>
      <c r="N88" s="3">
        <f t="shared" ca="1" si="33"/>
        <v>1</v>
      </c>
      <c r="O88" s="3">
        <f t="shared" ca="1" si="33"/>
        <v>1</v>
      </c>
      <c r="P88" s="3">
        <f t="shared" ca="1" si="33"/>
        <v>1</v>
      </c>
      <c r="Q88" s="3">
        <f t="shared" ca="1" si="33"/>
        <v>1</v>
      </c>
      <c r="R88" s="3">
        <f t="shared" ca="1" si="33"/>
        <v>1</v>
      </c>
      <c r="S88" s="3">
        <f t="shared" ca="1" si="33"/>
        <v>1</v>
      </c>
      <c r="U88" s="3">
        <f t="shared" si="26"/>
        <v>4.666666666666667</v>
      </c>
      <c r="V88" s="3">
        <f>IF(H88="","",Weights!G88)</f>
        <v>4.666666666666667</v>
      </c>
      <c r="W88" s="3">
        <f t="shared" si="27"/>
        <v>0</v>
      </c>
    </row>
    <row r="89" spans="2:23" ht="15" customHeight="1">
      <c r="B89" s="3">
        <f t="shared" si="38"/>
        <v>77</v>
      </c>
      <c r="C89" s="35" t="str">
        <f>tblIndiSets!A160</f>
        <v>CULT3_3_4</v>
      </c>
      <c r="D89" s="15">
        <f>tblIndiSets!B160</f>
        <v>52</v>
      </c>
      <c r="E89" s="15">
        <f t="shared" ca="1" si="28"/>
        <v>3</v>
      </c>
      <c r="F89" s="15" t="str">
        <f>tblIndiSets!E160</f>
        <v>3.3.4) Intellectual Property Rights</v>
      </c>
      <c r="G89" s="15" t="str">
        <f t="shared" ca="1" si="29"/>
        <v>3.3.4) Intellectual Property Rights</v>
      </c>
      <c r="H89" s="3">
        <v>3.6666666666666665</v>
      </c>
      <c r="I89" s="3">
        <f t="shared" ca="1" si="33"/>
        <v>1</v>
      </c>
      <c r="J89" s="3">
        <f t="shared" ca="1" si="33"/>
        <v>1</v>
      </c>
      <c r="K89" s="3">
        <f t="shared" ca="1" si="33"/>
        <v>1</v>
      </c>
      <c r="L89" s="3">
        <f t="shared" ca="1" si="33"/>
        <v>1</v>
      </c>
      <c r="M89" s="3">
        <f t="shared" ca="1" si="33"/>
        <v>1</v>
      </c>
      <c r="N89" s="3">
        <f t="shared" ca="1" si="33"/>
        <v>1</v>
      </c>
      <c r="O89" s="3">
        <f t="shared" ca="1" si="33"/>
        <v>1</v>
      </c>
      <c r="P89" s="3">
        <f t="shared" ca="1" si="33"/>
        <v>1</v>
      </c>
      <c r="Q89" s="3">
        <f t="shared" ca="1" si="33"/>
        <v>1</v>
      </c>
      <c r="R89" s="3">
        <f t="shared" ca="1" si="33"/>
        <v>1</v>
      </c>
      <c r="S89" s="3">
        <f t="shared" ca="1" si="33"/>
        <v>1</v>
      </c>
      <c r="U89" s="3">
        <f t="shared" si="26"/>
        <v>3.6666666666666665</v>
      </c>
      <c r="V89" s="3">
        <f>IF(H89="","",Weights!G89)</f>
        <v>3.6666666666666665</v>
      </c>
      <c r="W89" s="3">
        <f t="shared" si="27"/>
        <v>0</v>
      </c>
    </row>
    <row r="90" spans="2:23" ht="15" customHeight="1">
      <c r="B90" s="3">
        <f t="shared" si="38"/>
        <v>78</v>
      </c>
      <c r="C90" s="35" t="str">
        <f>tblIndiSets!A161</f>
        <v>CULT3_3_5</v>
      </c>
      <c r="D90" s="15">
        <f>tblIndiSets!B161</f>
        <v>53</v>
      </c>
      <c r="E90" s="15">
        <f t="shared" ref="E90:E91" ca="1" si="39">INDEX(OFFSET(lu_indicode,0,0),D90)</f>
        <v>3</v>
      </c>
      <c r="F90" s="15" t="str">
        <f>tblIndiSets!E161</f>
        <v>3.3.5) Business environment</v>
      </c>
      <c r="G90" s="15" t="str">
        <f t="shared" ref="G90:G91" ca="1" si="40">IF(E90=1,UPPER(F90),F90)</f>
        <v>3.3.5) Business environment</v>
      </c>
      <c r="H90" s="3">
        <v>4.33</v>
      </c>
      <c r="I90" s="3">
        <f t="shared" ca="1" si="33"/>
        <v>1</v>
      </c>
      <c r="J90" s="3">
        <f t="shared" ca="1" si="33"/>
        <v>1</v>
      </c>
      <c r="K90" s="3">
        <f t="shared" ca="1" si="33"/>
        <v>1</v>
      </c>
      <c r="L90" s="3">
        <f t="shared" ca="1" si="33"/>
        <v>1</v>
      </c>
      <c r="M90" s="3">
        <f t="shared" ca="1" si="33"/>
        <v>1</v>
      </c>
      <c r="N90" s="3">
        <f t="shared" ca="1" si="33"/>
        <v>1</v>
      </c>
      <c r="O90" s="3">
        <f t="shared" ca="1" si="33"/>
        <v>1</v>
      </c>
      <c r="P90" s="3">
        <f t="shared" ca="1" si="33"/>
        <v>1</v>
      </c>
      <c r="Q90" s="3">
        <f t="shared" ca="1" si="33"/>
        <v>1</v>
      </c>
      <c r="R90" s="3">
        <f t="shared" ca="1" si="33"/>
        <v>1</v>
      </c>
      <c r="S90" s="3">
        <f t="shared" ca="1" si="33"/>
        <v>1</v>
      </c>
      <c r="U90" s="3">
        <f t="shared" si="26"/>
        <v>4.33</v>
      </c>
      <c r="V90" s="3">
        <f>IF(H90="","",Weights!G90)</f>
        <v>4.33</v>
      </c>
      <c r="W90" s="3">
        <f t="shared" si="27"/>
        <v>0</v>
      </c>
    </row>
    <row r="91" spans="2:23" ht="15" customHeight="1">
      <c r="B91" s="3">
        <f t="shared" si="38"/>
        <v>79</v>
      </c>
      <c r="C91" s="35" t="str">
        <f>tblIndiSets!A162</f>
        <v>CULT3_4</v>
      </c>
      <c r="D91" s="15">
        <f>tblIndiSets!B162</f>
        <v>54</v>
      </c>
      <c r="E91" s="15">
        <f t="shared" ca="1" si="39"/>
        <v>2</v>
      </c>
      <c r="F91" s="15" t="str">
        <f>tblIndiSets!E162</f>
        <v>3.4) Public attitude and engagement</v>
      </c>
      <c r="G91" s="15" t="str">
        <f t="shared" ca="1" si="40"/>
        <v>3.4) Public attitude and engagement</v>
      </c>
      <c r="I91" s="3" t="str">
        <f t="shared" ca="1" si="33"/>
        <v/>
      </c>
      <c r="J91" s="3" t="str">
        <f t="shared" ca="1" si="33"/>
        <v/>
      </c>
      <c r="K91" s="3" t="str">
        <f t="shared" ca="1" si="33"/>
        <v/>
      </c>
      <c r="L91" s="3" t="str">
        <f t="shared" ca="1" si="33"/>
        <v/>
      </c>
      <c r="M91" s="3" t="str">
        <f t="shared" ca="1" si="33"/>
        <v/>
      </c>
      <c r="N91" s="3" t="str">
        <f t="shared" ca="1" si="33"/>
        <v/>
      </c>
      <c r="O91" s="3" t="str">
        <f t="shared" ca="1" si="33"/>
        <v/>
      </c>
      <c r="P91" s="3" t="str">
        <f t="shared" ca="1" si="33"/>
        <v/>
      </c>
      <c r="Q91" s="3" t="str">
        <f t="shared" ca="1" si="33"/>
        <v/>
      </c>
      <c r="R91" s="3" t="str">
        <f t="shared" ca="1" si="33"/>
        <v/>
      </c>
      <c r="S91" s="3" t="str">
        <f t="shared" ca="1" si="33"/>
        <v/>
      </c>
      <c r="U91" s="3" t="str">
        <f t="shared" si="26"/>
        <v/>
      </c>
      <c r="V91" s="3" t="str">
        <f>IF(H91="","",Weights!G91)</f>
        <v/>
      </c>
      <c r="W91" s="3">
        <f t="shared" si="27"/>
        <v>0</v>
      </c>
    </row>
    <row r="92" spans="2:23" ht="15" customHeight="1">
      <c r="B92" s="3">
        <f t="shared" si="38"/>
        <v>80</v>
      </c>
      <c r="C92" s="35" t="str">
        <f>tblIndiSets!A163</f>
        <v>CULT3_4_1</v>
      </c>
      <c r="D92" s="15">
        <f>tblIndiSets!B163</f>
        <v>55</v>
      </c>
      <c r="E92" s="15">
        <f t="shared" ca="1" si="28"/>
        <v>3</v>
      </c>
      <c r="F92" s="15" t="str">
        <f>tblIndiSets!E163</f>
        <v>3.4.1) Online public comfort</v>
      </c>
      <c r="G92" s="15" t="str">
        <f t="shared" ca="1" si="29"/>
        <v>3.4.1) Online public comfort</v>
      </c>
      <c r="H92" s="3">
        <v>4.666666666666667</v>
      </c>
      <c r="I92" s="3">
        <f t="shared" ca="1" si="33"/>
        <v>1</v>
      </c>
      <c r="J92" s="3">
        <f t="shared" ca="1" si="33"/>
        <v>1</v>
      </c>
      <c r="K92" s="3">
        <f t="shared" ca="1" si="33"/>
        <v>1</v>
      </c>
      <c r="L92" s="3">
        <f t="shared" ca="1" si="33"/>
        <v>1</v>
      </c>
      <c r="M92" s="3">
        <f t="shared" ca="1" si="33"/>
        <v>1</v>
      </c>
      <c r="N92" s="3">
        <f t="shared" ca="1" si="33"/>
        <v>1</v>
      </c>
      <c r="O92" s="3">
        <f t="shared" ca="1" si="33"/>
        <v>1</v>
      </c>
      <c r="P92" s="3">
        <f t="shared" ca="1" si="33"/>
        <v>1</v>
      </c>
      <c r="Q92" s="3">
        <f t="shared" ca="1" si="33"/>
        <v>1</v>
      </c>
      <c r="R92" s="3">
        <f t="shared" ca="1" si="33"/>
        <v>1</v>
      </c>
      <c r="S92" s="3">
        <f t="shared" ca="1" si="33"/>
        <v>1</v>
      </c>
      <c r="U92" s="3">
        <f t="shared" si="26"/>
        <v>4.666666666666667</v>
      </c>
      <c r="V92" s="3">
        <f>IF(H92="","",Weights!G92)</f>
        <v>4.666666666666667</v>
      </c>
      <c r="W92" s="3">
        <f t="shared" si="27"/>
        <v>0</v>
      </c>
    </row>
    <row r="93" spans="2:23" ht="15" customHeight="1">
      <c r="B93" s="3">
        <f t="shared" si="38"/>
        <v>81</v>
      </c>
      <c r="C93" s="35" t="str">
        <f>tblIndiSets!A164</f>
        <v>CULT3_4_2</v>
      </c>
      <c r="D93" s="15">
        <f>tblIndiSets!B164</f>
        <v>56</v>
      </c>
      <c r="E93" s="15">
        <f t="shared" ca="1" si="28"/>
        <v>3</v>
      </c>
      <c r="F93" s="15" t="str">
        <f>tblIndiSets!E164</f>
        <v>3.4.2) E-participation on government portals</v>
      </c>
      <c r="G93" s="15" t="str">
        <f t="shared" ca="1" si="29"/>
        <v>3.4.2) E-participation on government portals</v>
      </c>
      <c r="H93" s="3">
        <v>4.666666666666667</v>
      </c>
      <c r="I93" s="3">
        <f t="shared" ca="1" si="33"/>
        <v>1</v>
      </c>
      <c r="J93" s="3">
        <f t="shared" ca="1" si="33"/>
        <v>1</v>
      </c>
      <c r="K93" s="3">
        <f t="shared" ca="1" si="33"/>
        <v>1</v>
      </c>
      <c r="L93" s="3">
        <f t="shared" ca="1" si="33"/>
        <v>1</v>
      </c>
      <c r="M93" s="3">
        <f t="shared" ca="1" si="33"/>
        <v>1</v>
      </c>
      <c r="N93" s="3">
        <f t="shared" ca="1" si="33"/>
        <v>1</v>
      </c>
      <c r="O93" s="3">
        <f t="shared" ca="1" si="33"/>
        <v>1</v>
      </c>
      <c r="P93" s="3">
        <f t="shared" ca="1" si="33"/>
        <v>1</v>
      </c>
      <c r="Q93" s="3">
        <f t="shared" ca="1" si="33"/>
        <v>1</v>
      </c>
      <c r="R93" s="3">
        <f t="shared" ca="1" si="33"/>
        <v>1</v>
      </c>
      <c r="S93" s="3">
        <f t="shared" ca="1" si="33"/>
        <v>1</v>
      </c>
      <c r="U93" s="3">
        <f t="shared" si="26"/>
        <v>4.666666666666667</v>
      </c>
      <c r="V93" s="3">
        <f>IF(H93="","",Weights!G93)</f>
        <v>4.666666666666667</v>
      </c>
      <c r="W93" s="3">
        <f t="shared" si="27"/>
        <v>0</v>
      </c>
    </row>
    <row r="94" spans="2:23" ht="15" customHeight="1">
      <c r="B94" s="3">
        <f t="shared" si="38"/>
        <v>82</v>
      </c>
      <c r="C94" s="35" t="str">
        <f>tblIndiSets!A165</f>
        <v>SUST4_1</v>
      </c>
      <c r="D94" s="15">
        <f>tblIndiSets!B165</f>
        <v>58</v>
      </c>
      <c r="E94" s="15">
        <f t="shared" ca="1" si="28"/>
        <v>2</v>
      </c>
      <c r="F94" s="15" t="str">
        <f>tblIndiSets!E165</f>
        <v>4.1) Efficient resource management</v>
      </c>
      <c r="G94" s="15" t="str">
        <f t="shared" ca="1" si="29"/>
        <v>4.1) Efficient resource management</v>
      </c>
      <c r="I94" s="3" t="str">
        <f t="shared" ca="1" si="33"/>
        <v/>
      </c>
      <c r="J94" s="3" t="str">
        <f t="shared" ca="1" si="33"/>
        <v/>
      </c>
      <c r="K94" s="3" t="str">
        <f t="shared" ca="1" si="33"/>
        <v/>
      </c>
      <c r="L94" s="3" t="str">
        <f t="shared" ca="1" si="33"/>
        <v/>
      </c>
      <c r="M94" s="3" t="str">
        <f t="shared" ca="1" si="33"/>
        <v/>
      </c>
      <c r="N94" s="3" t="str">
        <f t="shared" ca="1" si="33"/>
        <v/>
      </c>
      <c r="O94" s="3" t="str">
        <f t="shared" ca="1" si="33"/>
        <v/>
      </c>
      <c r="P94" s="3" t="str">
        <f t="shared" ca="1" si="33"/>
        <v/>
      </c>
      <c r="Q94" s="3" t="str">
        <f t="shared" ca="1" si="33"/>
        <v/>
      </c>
      <c r="R94" s="3" t="str">
        <f t="shared" ca="1" si="33"/>
        <v/>
      </c>
      <c r="S94" s="3" t="str">
        <f t="shared" ca="1" si="33"/>
        <v/>
      </c>
      <c r="U94" s="3" t="str">
        <f t="shared" si="26"/>
        <v/>
      </c>
      <c r="V94" s="3" t="str">
        <f>IF(H94="","",Weights!G94)</f>
        <v/>
      </c>
      <c r="W94" s="3">
        <f t="shared" si="27"/>
        <v>0</v>
      </c>
    </row>
    <row r="95" spans="2:23" ht="15" customHeight="1">
      <c r="B95" s="3">
        <f t="shared" si="38"/>
        <v>83</v>
      </c>
      <c r="C95" s="35" t="str">
        <f>tblIndiSets!A166</f>
        <v>SUST4_1_1</v>
      </c>
      <c r="D95" s="15">
        <f>tblIndiSets!B166</f>
        <v>59</v>
      </c>
      <c r="E95" s="15">
        <f t="shared" ca="1" si="28"/>
        <v>3</v>
      </c>
      <c r="F95" s="15" t="str">
        <f>tblIndiSets!E166</f>
        <v>4.1.1) Smart utility management</v>
      </c>
      <c r="G95" s="15" t="str">
        <f t="shared" ca="1" si="29"/>
        <v>4.1.1) Smart utility management</v>
      </c>
      <c r="H95" s="3">
        <v>6.33</v>
      </c>
      <c r="I95" s="3">
        <f t="shared" ca="1" si="33"/>
        <v>1</v>
      </c>
      <c r="J95" s="3">
        <f t="shared" ca="1" si="33"/>
        <v>1</v>
      </c>
      <c r="K95" s="3">
        <f t="shared" ca="1" si="33"/>
        <v>1</v>
      </c>
      <c r="L95" s="3">
        <f t="shared" ca="1" si="33"/>
        <v>1</v>
      </c>
      <c r="M95" s="3">
        <f t="shared" ca="1" si="33"/>
        <v>1</v>
      </c>
      <c r="N95" s="3">
        <f t="shared" ca="1" si="33"/>
        <v>1</v>
      </c>
      <c r="O95" s="3">
        <f t="shared" ca="1" si="33"/>
        <v>1</v>
      </c>
      <c r="P95" s="3">
        <f t="shared" ca="1" si="33"/>
        <v>1</v>
      </c>
      <c r="Q95" s="3">
        <f t="shared" ca="1" si="33"/>
        <v>1</v>
      </c>
      <c r="R95" s="3">
        <f t="shared" ca="1" si="33"/>
        <v>1</v>
      </c>
      <c r="S95" s="3">
        <f t="shared" ca="1" si="33"/>
        <v>1</v>
      </c>
      <c r="U95" s="3">
        <f t="shared" si="26"/>
        <v>6.33</v>
      </c>
      <c r="V95" s="3">
        <f>IF(H95="","",Weights!G95)</f>
        <v>6.33</v>
      </c>
      <c r="W95" s="3">
        <f t="shared" si="27"/>
        <v>0</v>
      </c>
    </row>
    <row r="96" spans="2:23" ht="15" customHeight="1">
      <c r="B96" s="3">
        <f t="shared" si="38"/>
        <v>84</v>
      </c>
      <c r="C96" s="35" t="str">
        <f>tblIndiSets!A167</f>
        <v>SUST4_1_2</v>
      </c>
      <c r="D96" s="15">
        <f>tblIndiSets!B167</f>
        <v>60</v>
      </c>
      <c r="E96" s="15">
        <f t="shared" ca="1" si="28"/>
        <v>3</v>
      </c>
      <c r="F96" s="15" t="str">
        <f>tblIndiSets!E167</f>
        <v>4.1.2) Smart urban agriculture</v>
      </c>
      <c r="G96" s="15" t="str">
        <f t="shared" ca="1" si="29"/>
        <v>4.1.2) Smart urban agriculture</v>
      </c>
      <c r="H96" s="3">
        <v>2.6666666666666665</v>
      </c>
      <c r="I96" s="3">
        <f t="shared" ca="1" si="33"/>
        <v>1</v>
      </c>
      <c r="J96" s="3">
        <f t="shared" ca="1" si="33"/>
        <v>1</v>
      </c>
      <c r="K96" s="3">
        <f t="shared" ca="1" si="33"/>
        <v>1</v>
      </c>
      <c r="L96" s="3">
        <f t="shared" ca="1" si="33"/>
        <v>1</v>
      </c>
      <c r="M96" s="3">
        <f t="shared" ca="1" si="33"/>
        <v>1</v>
      </c>
      <c r="N96" s="3">
        <f t="shared" ca="1" si="33"/>
        <v>1</v>
      </c>
      <c r="O96" s="3">
        <f t="shared" ca="1" si="33"/>
        <v>1</v>
      </c>
      <c r="P96" s="3">
        <f t="shared" ca="1" si="33"/>
        <v>1</v>
      </c>
      <c r="Q96" s="3">
        <f t="shared" ca="1" si="33"/>
        <v>1</v>
      </c>
      <c r="R96" s="3">
        <f t="shared" ca="1" si="33"/>
        <v>1</v>
      </c>
      <c r="S96" s="3">
        <f t="shared" ca="1" si="33"/>
        <v>1</v>
      </c>
      <c r="U96" s="3">
        <f t="shared" si="26"/>
        <v>2.6666666666666665</v>
      </c>
      <c r="V96" s="3">
        <f>IF(H96="","",Weights!G96)</f>
        <v>2.6666666666666665</v>
      </c>
      <c r="W96" s="3">
        <f t="shared" si="27"/>
        <v>0</v>
      </c>
    </row>
    <row r="97" spans="2:23" ht="15" customHeight="1">
      <c r="B97" s="3">
        <f t="shared" si="38"/>
        <v>85</v>
      </c>
      <c r="C97" s="35" t="str">
        <f>tblIndiSets!A168</f>
        <v>SUST4_1_3</v>
      </c>
      <c r="D97" s="15">
        <f>tblIndiSets!B168</f>
        <v>61</v>
      </c>
      <c r="E97" s="15">
        <f t="shared" ca="1" si="28"/>
        <v>3</v>
      </c>
      <c r="F97" s="15" t="str">
        <f>tblIndiSets!E168</f>
        <v>4.1.3) Smart construction</v>
      </c>
      <c r="G97" s="15" t="str">
        <f t="shared" ca="1" si="29"/>
        <v>4.1.3) Smart construction</v>
      </c>
      <c r="H97" s="3">
        <v>3.6666666666666665</v>
      </c>
      <c r="I97" s="3">
        <f t="shared" ca="1" si="33"/>
        <v>1</v>
      </c>
      <c r="J97" s="3">
        <f t="shared" ca="1" si="33"/>
        <v>1</v>
      </c>
      <c r="K97" s="3">
        <f t="shared" ca="1" si="33"/>
        <v>1</v>
      </c>
      <c r="L97" s="3">
        <f t="shared" ca="1" si="33"/>
        <v>1</v>
      </c>
      <c r="M97" s="3">
        <f t="shared" ca="1" si="33"/>
        <v>1</v>
      </c>
      <c r="N97" s="3">
        <f t="shared" ca="1" si="33"/>
        <v>1</v>
      </c>
      <c r="O97" s="3">
        <f t="shared" ca="1" si="33"/>
        <v>1</v>
      </c>
      <c r="P97" s="3">
        <f t="shared" ca="1" si="33"/>
        <v>1</v>
      </c>
      <c r="Q97" s="3">
        <f t="shared" ca="1" si="33"/>
        <v>1</v>
      </c>
      <c r="R97" s="3">
        <f t="shared" ca="1" si="33"/>
        <v>1</v>
      </c>
      <c r="S97" s="3">
        <f t="shared" ca="1" si="33"/>
        <v>1</v>
      </c>
      <c r="U97" s="3">
        <f t="shared" si="26"/>
        <v>3.6666666666666665</v>
      </c>
      <c r="V97" s="3">
        <f>IF(H97="","",Weights!G97)</f>
        <v>3.6666666666666665</v>
      </c>
      <c r="W97" s="3">
        <f t="shared" si="27"/>
        <v>0</v>
      </c>
    </row>
    <row r="98" spans="2:23" ht="15" customHeight="1">
      <c r="B98" s="3">
        <f t="shared" si="38"/>
        <v>86</v>
      </c>
      <c r="C98" s="35" t="str">
        <f>tblIndiSets!A169</f>
        <v>SUST4_2</v>
      </c>
      <c r="D98" s="15">
        <f>tblIndiSets!B169</f>
        <v>62</v>
      </c>
      <c r="E98" s="15">
        <f t="shared" ca="1" si="28"/>
        <v>2</v>
      </c>
      <c r="F98" s="15" t="str">
        <f>tblIndiSets!E169</f>
        <v>4.2) Emissions reduction</v>
      </c>
      <c r="G98" s="15" t="str">
        <f t="shared" ca="1" si="29"/>
        <v>4.2) Emissions reduction</v>
      </c>
      <c r="I98" s="3" t="str">
        <f t="shared" ca="1" si="33"/>
        <v/>
      </c>
      <c r="J98" s="3" t="str">
        <f t="shared" ca="1" si="33"/>
        <v/>
      </c>
      <c r="K98" s="3" t="str">
        <f t="shared" ca="1" si="33"/>
        <v/>
      </c>
      <c r="L98" s="3" t="str">
        <f t="shared" ca="1" si="33"/>
        <v/>
      </c>
      <c r="M98" s="3" t="str">
        <f t="shared" ca="1" si="33"/>
        <v/>
      </c>
      <c r="N98" s="3" t="str">
        <f t="shared" ca="1" si="33"/>
        <v/>
      </c>
      <c r="O98" s="3" t="str">
        <f t="shared" ca="1" si="33"/>
        <v/>
      </c>
      <c r="P98" s="3" t="str">
        <f t="shared" ca="1" si="33"/>
        <v/>
      </c>
      <c r="Q98" s="3" t="str">
        <f t="shared" ca="1" si="33"/>
        <v/>
      </c>
      <c r="R98" s="3" t="str">
        <f t="shared" ca="1" si="33"/>
        <v/>
      </c>
      <c r="S98" s="3" t="str">
        <f t="shared" ca="1" si="33"/>
        <v/>
      </c>
      <c r="U98" s="3" t="str">
        <f t="shared" si="26"/>
        <v/>
      </c>
      <c r="V98" s="3" t="str">
        <f>IF(H98="","",Weights!G98)</f>
        <v/>
      </c>
      <c r="W98" s="3">
        <f t="shared" si="27"/>
        <v>0</v>
      </c>
    </row>
    <row r="99" spans="2:23" ht="15" customHeight="1">
      <c r="B99" s="3">
        <f t="shared" si="38"/>
        <v>87</v>
      </c>
      <c r="C99" s="35" t="str">
        <f>tblIndiSets!A170</f>
        <v>SUST4_2_1</v>
      </c>
      <c r="D99" s="15">
        <f>tblIndiSets!B170</f>
        <v>63</v>
      </c>
      <c r="E99" s="15">
        <f t="shared" ca="1" si="28"/>
        <v>3</v>
      </c>
      <c r="F99" s="15" t="str">
        <f>tblIndiSets!E170</f>
        <v>4.2.1) Net-zero emission</v>
      </c>
      <c r="G99" s="15" t="str">
        <f t="shared" ca="1" si="29"/>
        <v>4.2.1) Net-zero emission</v>
      </c>
      <c r="H99" s="3">
        <v>4</v>
      </c>
      <c r="I99" s="3">
        <f t="shared" ca="1" si="33"/>
        <v>1</v>
      </c>
      <c r="J99" s="3">
        <f t="shared" ca="1" si="33"/>
        <v>1</v>
      </c>
      <c r="K99" s="3">
        <f t="shared" ca="1" si="33"/>
        <v>1</v>
      </c>
      <c r="L99" s="3">
        <f t="shared" ca="1" si="33"/>
        <v>1</v>
      </c>
      <c r="M99" s="3">
        <f t="shared" ca="1" si="33"/>
        <v>1</v>
      </c>
      <c r="N99" s="3">
        <f t="shared" ca="1" si="33"/>
        <v>1</v>
      </c>
      <c r="O99" s="3">
        <f t="shared" ca="1" si="33"/>
        <v>1</v>
      </c>
      <c r="P99" s="3">
        <f t="shared" ca="1" si="33"/>
        <v>1</v>
      </c>
      <c r="Q99" s="3">
        <f t="shared" ca="1" si="33"/>
        <v>1</v>
      </c>
      <c r="R99" s="3">
        <f t="shared" ca="1" si="33"/>
        <v>1</v>
      </c>
      <c r="S99" s="3">
        <f t="shared" ca="1" si="33"/>
        <v>1</v>
      </c>
      <c r="U99" s="3">
        <f t="shared" si="26"/>
        <v>4</v>
      </c>
      <c r="V99" s="3">
        <f>IF(H99="","",Weights!G99)</f>
        <v>4</v>
      </c>
      <c r="W99" s="3">
        <f t="shared" si="27"/>
        <v>0</v>
      </c>
    </row>
    <row r="100" spans="2:23" ht="15" customHeight="1">
      <c r="B100" s="3">
        <f t="shared" si="38"/>
        <v>88</v>
      </c>
      <c r="C100" s="35" t="str">
        <f>tblIndiSets!A171</f>
        <v>SUST4_2_2</v>
      </c>
      <c r="D100" s="15">
        <f>tblIndiSets!B171</f>
        <v>64</v>
      </c>
      <c r="E100" s="15">
        <f t="shared" ref="E100:E106" ca="1" si="41">INDEX(OFFSET(lu_indicode,0,0),D100)</f>
        <v>3</v>
      </c>
      <c r="F100" s="15" t="str">
        <f>tblIndiSets!E171</f>
        <v xml:space="preserve">4.2.2) Traffic management </v>
      </c>
      <c r="G100" s="15" t="str">
        <f t="shared" ref="G100:G106" ca="1" si="42">IF(E100=1,UPPER(F100),F100)</f>
        <v xml:space="preserve">4.2.2) Traffic management </v>
      </c>
      <c r="H100" s="3">
        <v>4.666666666666667</v>
      </c>
      <c r="I100" s="3">
        <f t="shared" ca="1" si="33"/>
        <v>1</v>
      </c>
      <c r="J100" s="3">
        <f t="shared" ca="1" si="33"/>
        <v>1</v>
      </c>
      <c r="K100" s="3">
        <f t="shared" ca="1" si="33"/>
        <v>1</v>
      </c>
      <c r="L100" s="3">
        <f t="shared" ca="1" si="33"/>
        <v>1</v>
      </c>
      <c r="M100" s="3">
        <f t="shared" ca="1" si="33"/>
        <v>1</v>
      </c>
      <c r="N100" s="3">
        <f t="shared" ca="1" si="33"/>
        <v>1</v>
      </c>
      <c r="O100" s="3">
        <f t="shared" ca="1" si="33"/>
        <v>1</v>
      </c>
      <c r="P100" s="3">
        <f t="shared" ca="1" si="33"/>
        <v>1</v>
      </c>
      <c r="Q100" s="3">
        <f t="shared" ca="1" si="33"/>
        <v>1</v>
      </c>
      <c r="R100" s="3">
        <f t="shared" ca="1" si="33"/>
        <v>1</v>
      </c>
      <c r="S100" s="3">
        <f t="shared" ca="1" si="33"/>
        <v>1</v>
      </c>
      <c r="U100" s="3">
        <f t="shared" si="26"/>
        <v>4.666666666666667</v>
      </c>
      <c r="V100" s="3">
        <f>IF(H100="","",Weights!G100)</f>
        <v>4.666666666666667</v>
      </c>
      <c r="W100" s="3">
        <f t="shared" si="27"/>
        <v>0</v>
      </c>
    </row>
    <row r="101" spans="2:23" ht="15" customHeight="1">
      <c r="B101" s="3">
        <f t="shared" si="38"/>
        <v>89</v>
      </c>
      <c r="C101" s="35" t="str">
        <f>tblIndiSets!A172</f>
        <v>SUST4_2_3</v>
      </c>
      <c r="D101" s="15">
        <f>tblIndiSets!B172</f>
        <v>65</v>
      </c>
      <c r="E101" s="15">
        <f t="shared" ca="1" si="41"/>
        <v>3</v>
      </c>
      <c r="F101" s="15" t="str">
        <f>tblIndiSets!E172</f>
        <v>4.2.3) Support for autonomous vehicles</v>
      </c>
      <c r="G101" s="15" t="str">
        <f t="shared" ca="1" si="42"/>
        <v>4.2.3) Support for autonomous vehicles</v>
      </c>
      <c r="H101" s="3">
        <v>3.6666666666666665</v>
      </c>
      <c r="I101" s="3">
        <f t="shared" ca="1" si="33"/>
        <v>1</v>
      </c>
      <c r="J101" s="3">
        <f t="shared" ca="1" si="33"/>
        <v>1</v>
      </c>
      <c r="K101" s="3">
        <f t="shared" ca="1" si="33"/>
        <v>1</v>
      </c>
      <c r="L101" s="3">
        <f t="shared" ca="1" si="33"/>
        <v>1</v>
      </c>
      <c r="M101" s="3">
        <f t="shared" ref="I101:S106" ca="1" si="43">IF($E101=2,"",1)</f>
        <v>1</v>
      </c>
      <c r="N101" s="3">
        <f t="shared" ca="1" si="43"/>
        <v>1</v>
      </c>
      <c r="O101" s="3">
        <f t="shared" ca="1" si="43"/>
        <v>1</v>
      </c>
      <c r="P101" s="3">
        <f t="shared" ca="1" si="43"/>
        <v>1</v>
      </c>
      <c r="Q101" s="3">
        <f t="shared" ca="1" si="43"/>
        <v>1</v>
      </c>
      <c r="R101" s="3">
        <f t="shared" ca="1" si="43"/>
        <v>1</v>
      </c>
      <c r="S101" s="3">
        <f t="shared" ca="1" si="43"/>
        <v>1</v>
      </c>
      <c r="U101" s="3">
        <f t="shared" si="26"/>
        <v>3.6666666666666665</v>
      </c>
      <c r="V101" s="3">
        <f>IF(H101="","",Weights!G101)</f>
        <v>3.6666666666666665</v>
      </c>
      <c r="W101" s="3">
        <f t="shared" si="27"/>
        <v>0</v>
      </c>
    </row>
    <row r="102" spans="2:23" ht="15" customHeight="1">
      <c r="B102" s="3">
        <f t="shared" si="38"/>
        <v>90</v>
      </c>
      <c r="C102" s="35" t="str">
        <f>tblIndiSets!A173</f>
        <v>SUST4_3</v>
      </c>
      <c r="D102" s="15">
        <f>tblIndiSets!B173</f>
        <v>66</v>
      </c>
      <c r="E102" s="15">
        <f t="shared" ca="1" si="41"/>
        <v>2</v>
      </c>
      <c r="F102" s="15" t="str">
        <f>tblIndiSets!E173</f>
        <v>4.3) Pollution</v>
      </c>
      <c r="G102" s="15" t="str">
        <f t="shared" ca="1" si="42"/>
        <v>4.3) Pollution</v>
      </c>
      <c r="I102" s="3" t="str">
        <f t="shared" ca="1" si="43"/>
        <v/>
      </c>
      <c r="J102" s="3" t="str">
        <f t="shared" ca="1" si="43"/>
        <v/>
      </c>
      <c r="K102" s="3" t="str">
        <f t="shared" ca="1" si="43"/>
        <v/>
      </c>
      <c r="L102" s="3" t="str">
        <f t="shared" ca="1" si="43"/>
        <v/>
      </c>
      <c r="M102" s="3" t="str">
        <f t="shared" ca="1" si="43"/>
        <v/>
      </c>
      <c r="N102" s="3" t="str">
        <f t="shared" ca="1" si="43"/>
        <v/>
      </c>
      <c r="O102" s="3" t="str">
        <f t="shared" ca="1" si="43"/>
        <v/>
      </c>
      <c r="P102" s="3" t="str">
        <f t="shared" ca="1" si="43"/>
        <v/>
      </c>
      <c r="Q102" s="3" t="str">
        <f t="shared" ca="1" si="43"/>
        <v/>
      </c>
      <c r="R102" s="3" t="str">
        <f t="shared" ca="1" si="43"/>
        <v/>
      </c>
      <c r="S102" s="3" t="str">
        <f t="shared" ca="1" si="43"/>
        <v/>
      </c>
      <c r="U102" s="3" t="str">
        <f t="shared" si="26"/>
        <v/>
      </c>
      <c r="V102" s="3" t="str">
        <f>IF(H102="","",Weights!G102)</f>
        <v/>
      </c>
      <c r="W102" s="3">
        <f t="shared" si="27"/>
        <v>0</v>
      </c>
    </row>
    <row r="103" spans="2:23" ht="15" customHeight="1">
      <c r="B103" s="3">
        <f t="shared" si="38"/>
        <v>91</v>
      </c>
      <c r="C103" s="35" t="str">
        <f>tblIndiSets!A174</f>
        <v>SUST4_3_1</v>
      </c>
      <c r="D103" s="15">
        <f>tblIndiSets!B174</f>
        <v>67</v>
      </c>
      <c r="E103" s="15">
        <f t="shared" ca="1" si="41"/>
        <v>3</v>
      </c>
      <c r="F103" s="15" t="str">
        <f>tblIndiSets!E174</f>
        <v>4.3.1) Air pollution</v>
      </c>
      <c r="G103" s="15" t="str">
        <f t="shared" ca="1" si="42"/>
        <v>4.3.1) Air pollution</v>
      </c>
      <c r="H103" s="3">
        <v>1</v>
      </c>
      <c r="I103" s="3">
        <f t="shared" ca="1" si="43"/>
        <v>1</v>
      </c>
      <c r="J103" s="3">
        <f t="shared" ca="1" si="43"/>
        <v>1</v>
      </c>
      <c r="K103" s="3">
        <f t="shared" ca="1" si="43"/>
        <v>1</v>
      </c>
      <c r="L103" s="3">
        <f t="shared" ca="1" si="43"/>
        <v>1</v>
      </c>
      <c r="M103" s="3">
        <f t="shared" ca="1" si="43"/>
        <v>1</v>
      </c>
      <c r="N103" s="3">
        <f t="shared" ca="1" si="43"/>
        <v>1</v>
      </c>
      <c r="O103" s="3">
        <f t="shared" ca="1" si="43"/>
        <v>1</v>
      </c>
      <c r="P103" s="3">
        <f t="shared" ca="1" si="43"/>
        <v>1</v>
      </c>
      <c r="Q103" s="3">
        <f t="shared" ca="1" si="43"/>
        <v>1</v>
      </c>
      <c r="R103" s="3">
        <f t="shared" ca="1" si="43"/>
        <v>1</v>
      </c>
      <c r="S103" s="3">
        <f t="shared" ca="1" si="43"/>
        <v>1</v>
      </c>
      <c r="U103" s="3">
        <f t="shared" si="26"/>
        <v>1</v>
      </c>
      <c r="V103" s="3">
        <f>IF(H103="","",Weights!G103)</f>
        <v>1</v>
      </c>
      <c r="W103" s="3">
        <f t="shared" si="27"/>
        <v>0</v>
      </c>
    </row>
    <row r="104" spans="2:23" ht="15" customHeight="1">
      <c r="B104" s="3">
        <f t="shared" si="38"/>
        <v>92</v>
      </c>
      <c r="C104" s="35" t="str">
        <f>tblIndiSets!A175</f>
        <v>SUST4_4</v>
      </c>
      <c r="D104" s="15">
        <f>tblIndiSets!B175</f>
        <v>68</v>
      </c>
      <c r="E104" s="15">
        <f t="shared" ca="1" si="41"/>
        <v>2</v>
      </c>
      <c r="F104" s="15" t="str">
        <f>tblIndiSets!E175</f>
        <v>4.4) Circular economy</v>
      </c>
      <c r="G104" s="15" t="str">
        <f t="shared" ca="1" si="42"/>
        <v>4.4) Circular economy</v>
      </c>
      <c r="I104" s="3" t="str">
        <f t="shared" ca="1" si="43"/>
        <v/>
      </c>
      <c r="J104" s="3" t="str">
        <f t="shared" ca="1" si="43"/>
        <v/>
      </c>
      <c r="K104" s="3" t="str">
        <f t="shared" ca="1" si="43"/>
        <v/>
      </c>
      <c r="L104" s="3" t="str">
        <f t="shared" ca="1" si="43"/>
        <v/>
      </c>
      <c r="M104" s="3" t="str">
        <f t="shared" ca="1" si="43"/>
        <v/>
      </c>
      <c r="N104" s="3" t="str">
        <f t="shared" ca="1" si="43"/>
        <v/>
      </c>
      <c r="O104" s="3" t="str">
        <f t="shared" ca="1" si="43"/>
        <v/>
      </c>
      <c r="P104" s="3" t="str">
        <f t="shared" ca="1" si="43"/>
        <v/>
      </c>
      <c r="Q104" s="3" t="str">
        <f t="shared" ca="1" si="43"/>
        <v/>
      </c>
      <c r="R104" s="3" t="str">
        <f t="shared" ca="1" si="43"/>
        <v/>
      </c>
      <c r="S104" s="3" t="str">
        <f t="shared" ca="1" si="43"/>
        <v/>
      </c>
      <c r="U104" s="3" t="str">
        <f t="shared" si="26"/>
        <v/>
      </c>
      <c r="V104" s="3" t="str">
        <f>IF(H104="","",Weights!G104)</f>
        <v/>
      </c>
      <c r="W104" s="3">
        <f t="shared" si="27"/>
        <v>0</v>
      </c>
    </row>
    <row r="105" spans="2:23" ht="15" customHeight="1">
      <c r="B105" s="3">
        <f t="shared" si="38"/>
        <v>93</v>
      </c>
      <c r="C105" s="35" t="str">
        <f>tblIndiSets!A176</f>
        <v>SUST4_4_1</v>
      </c>
      <c r="D105" s="15">
        <f>tblIndiSets!B176</f>
        <v>69</v>
      </c>
      <c r="E105" s="15">
        <f t="shared" ca="1" si="41"/>
        <v>3</v>
      </c>
      <c r="F105" s="15" t="str">
        <f>tblIndiSets!E176</f>
        <v xml:space="preserve">4.4.1) Development of sharing economy </v>
      </c>
      <c r="G105" s="15" t="str">
        <f t="shared" ca="1" si="42"/>
        <v xml:space="preserve">4.4.1) Development of sharing economy </v>
      </c>
      <c r="H105" s="3">
        <v>4.333333333333333</v>
      </c>
      <c r="I105" s="3">
        <f t="shared" ca="1" si="43"/>
        <v>1</v>
      </c>
      <c r="J105" s="3">
        <f t="shared" ca="1" si="43"/>
        <v>1</v>
      </c>
      <c r="K105" s="3">
        <f t="shared" ca="1" si="43"/>
        <v>1</v>
      </c>
      <c r="L105" s="3">
        <f t="shared" ca="1" si="43"/>
        <v>1</v>
      </c>
      <c r="M105" s="3">
        <f t="shared" ca="1" si="43"/>
        <v>1</v>
      </c>
      <c r="N105" s="3">
        <f t="shared" ca="1" si="43"/>
        <v>1</v>
      </c>
      <c r="O105" s="3">
        <f t="shared" ca="1" si="43"/>
        <v>1</v>
      </c>
      <c r="P105" s="3">
        <f t="shared" ca="1" si="43"/>
        <v>1</v>
      </c>
      <c r="Q105" s="3">
        <f t="shared" ca="1" si="43"/>
        <v>1</v>
      </c>
      <c r="R105" s="3">
        <f t="shared" ca="1" si="43"/>
        <v>1</v>
      </c>
      <c r="S105" s="3">
        <f t="shared" ca="1" si="43"/>
        <v>1</v>
      </c>
      <c r="U105" s="3">
        <f t="shared" si="26"/>
        <v>4.333333333333333</v>
      </c>
      <c r="V105" s="3">
        <f>IF(H105="","",Weights!G105)</f>
        <v>4.333333333333333</v>
      </c>
      <c r="W105" s="3">
        <f t="shared" si="27"/>
        <v>0</v>
      </c>
    </row>
    <row r="106" spans="2:23" ht="15" customHeight="1">
      <c r="B106" s="3">
        <f t="shared" si="38"/>
        <v>94</v>
      </c>
      <c r="C106" s="35" t="str">
        <f>tblIndiSets!A177</f>
        <v>SUST4_4_2</v>
      </c>
      <c r="D106" s="15">
        <f>tblIndiSets!B177</f>
        <v>70</v>
      </c>
      <c r="E106" s="15">
        <f t="shared" ca="1" si="41"/>
        <v>3</v>
      </c>
      <c r="F106" s="15" t="str">
        <f>tblIndiSets!E177</f>
        <v>4.4.2) E-waste management</v>
      </c>
      <c r="G106" s="15" t="str">
        <f t="shared" ca="1" si="42"/>
        <v>4.4.2) E-waste management</v>
      </c>
      <c r="H106" s="3">
        <v>2.6666666666666665</v>
      </c>
      <c r="I106" s="3">
        <f t="shared" ca="1" si="43"/>
        <v>1</v>
      </c>
      <c r="J106" s="3">
        <f t="shared" ca="1" si="43"/>
        <v>1</v>
      </c>
      <c r="K106" s="3">
        <f t="shared" ca="1" si="43"/>
        <v>1</v>
      </c>
      <c r="L106" s="3">
        <f t="shared" ca="1" si="43"/>
        <v>1</v>
      </c>
      <c r="M106" s="3">
        <f t="shared" ca="1" si="43"/>
        <v>1</v>
      </c>
      <c r="N106" s="3">
        <f t="shared" ca="1" si="43"/>
        <v>1</v>
      </c>
      <c r="O106" s="3">
        <f t="shared" ca="1" si="43"/>
        <v>1</v>
      </c>
      <c r="P106" s="3">
        <f t="shared" ca="1" si="43"/>
        <v>1</v>
      </c>
      <c r="Q106" s="3">
        <f t="shared" ca="1" si="43"/>
        <v>1</v>
      </c>
      <c r="R106" s="3">
        <f t="shared" ca="1" si="43"/>
        <v>1</v>
      </c>
      <c r="S106" s="3">
        <f t="shared" ca="1" si="43"/>
        <v>1</v>
      </c>
      <c r="U106" s="3">
        <f t="shared" si="26"/>
        <v>2.6666666666666665</v>
      </c>
      <c r="V106" s="3">
        <f>IF(H106="","",Weights!G106)</f>
        <v>2.6666666666666665</v>
      </c>
      <c r="W106" s="3">
        <f t="shared" si="27"/>
        <v>0</v>
      </c>
    </row>
    <row r="107" spans="2:23" ht="15" customHeight="1">
      <c r="C107" s="35"/>
      <c r="D107" s="15"/>
      <c r="E107" s="15"/>
      <c r="F107" s="15"/>
      <c r="G107" s="15"/>
    </row>
    <row r="108" spans="2:23" ht="15" customHeight="1">
      <c r="C108" s="35"/>
      <c r="D108" s="15"/>
      <c r="E108" s="15"/>
      <c r="F108" s="15"/>
      <c r="G108" s="15"/>
    </row>
    <row r="109" spans="2:23" ht="15" customHeight="1">
      <c r="C109" s="35"/>
      <c r="D109" s="15"/>
      <c r="E109" s="15"/>
      <c r="F109" s="15"/>
      <c r="G109" s="15"/>
    </row>
  </sheetData>
  <phoneticPr fontId="4" type="noConversion"/>
  <pageMargins left="0.55118110236220474" right="0.55118110236220474" top="0.59055118110236227" bottom="0.78740157480314965" header="0.51181102362204722" footer="0.51181102362204722"/>
  <pageSetup paperSize="9" scale="31" orientation="landscape" r:id="rId1"/>
  <headerFooter alignWithMargins="0">
    <oddHeader>&amp;RCity Water Optimization Index: 2020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pageSetUpPr fitToPage="1"/>
  </sheetPr>
  <dimension ref="A1:CR106"/>
  <sheetViews>
    <sheetView showGridLines="0" showRowColHeaders="0" zoomScaleNormal="100" workbookViewId="0">
      <pane xSplit="15" ySplit="5" topLeftCell="Q6" activePane="bottomRight" state="frozen"/>
      <selection pane="topRight" activeCell="P1" sqref="P1"/>
      <selection pane="bottomLeft" activeCell="A6" sqref="A6"/>
      <selection pane="bottomRight" activeCell="Q6" sqref="Q6"/>
    </sheetView>
  </sheetViews>
  <sheetFormatPr defaultColWidth="8.7265625" defaultRowHeight="14.5"/>
  <cols>
    <col min="1" max="1" width="5.7265625" customWidth="1"/>
    <col min="2" max="2" width="7.7265625" customWidth="1"/>
    <col min="3" max="5" width="2.7265625" customWidth="1"/>
    <col min="6" max="6" width="5.7265625" bestFit="1" customWidth="1"/>
    <col min="7" max="12" width="2.54296875" customWidth="1"/>
    <col min="13" max="13" width="9.453125" bestFit="1" customWidth="1"/>
    <col min="14" max="14" width="24.26953125" customWidth="1"/>
    <col min="15" max="16" width="12.1796875" style="367" customWidth="1"/>
    <col min="17" max="17" width="12.1796875" style="117" customWidth="1"/>
    <col min="18" max="18" width="12.1796875" bestFit="1" customWidth="1"/>
    <col min="19" max="47" width="11.26953125" style="367" bestFit="1" customWidth="1"/>
    <col min="48" max="48" width="8.453125" customWidth="1"/>
    <col min="49" max="49" width="8.453125" style="17" customWidth="1"/>
    <col min="50" max="50" width="11.7265625" customWidth="1"/>
    <col min="51" max="70" width="5.453125" style="22" customWidth="1"/>
    <col min="71" max="80" width="2.7265625" style="22" customWidth="1"/>
    <col min="81" max="81" width="6.26953125" customWidth="1"/>
    <col min="82" max="82" width="10.1796875" bestFit="1" customWidth="1"/>
    <col min="83" max="83" width="11.26953125" customWidth="1"/>
    <col min="84" max="85" width="9.7265625" customWidth="1"/>
    <col min="86" max="95" width="9.7265625" style="367" customWidth="1"/>
  </cols>
  <sheetData>
    <row r="1" spans="1:96">
      <c r="N1" t="str">
        <f>uxb_works!$B$92</f>
        <v>Digital Cities Index</v>
      </c>
      <c r="Q1" s="289">
        <f>MAX(R1:AU1)</f>
        <v>100</v>
      </c>
      <c r="R1" s="289">
        <f t="shared" ref="R1:AU1" si="0">MAX(R6:R75)</f>
        <v>100</v>
      </c>
      <c r="S1" s="289">
        <f t="shared" si="0"/>
        <v>100</v>
      </c>
      <c r="T1" s="289">
        <f t="shared" si="0"/>
        <v>100</v>
      </c>
      <c r="U1" s="289">
        <f t="shared" si="0"/>
        <v>100</v>
      </c>
      <c r="V1" s="289">
        <f t="shared" si="0"/>
        <v>100</v>
      </c>
      <c r="W1" s="289">
        <f t="shared" si="0"/>
        <v>100</v>
      </c>
      <c r="X1" s="289">
        <f t="shared" si="0"/>
        <v>100</v>
      </c>
      <c r="Y1" s="289">
        <f t="shared" si="0"/>
        <v>100</v>
      </c>
      <c r="Z1" s="289">
        <f t="shared" si="0"/>
        <v>100</v>
      </c>
      <c r="AA1" s="289">
        <f t="shared" si="0"/>
        <v>100</v>
      </c>
      <c r="AB1" s="289">
        <f t="shared" si="0"/>
        <v>100</v>
      </c>
      <c r="AC1" s="289">
        <f t="shared" si="0"/>
        <v>100</v>
      </c>
      <c r="AD1" s="289">
        <f t="shared" si="0"/>
        <v>100</v>
      </c>
      <c r="AE1" s="289">
        <f t="shared" si="0"/>
        <v>100</v>
      </c>
      <c r="AF1" s="289">
        <f t="shared" si="0"/>
        <v>100</v>
      </c>
      <c r="AG1" s="289">
        <f t="shared" si="0"/>
        <v>100</v>
      </c>
      <c r="AH1" s="289">
        <f t="shared" si="0"/>
        <v>100</v>
      </c>
      <c r="AI1" s="289">
        <f t="shared" si="0"/>
        <v>100</v>
      </c>
      <c r="AJ1" s="289">
        <f t="shared" si="0"/>
        <v>100</v>
      </c>
      <c r="AK1" s="289">
        <f t="shared" si="0"/>
        <v>100</v>
      </c>
      <c r="AL1" s="289">
        <f t="shared" si="0"/>
        <v>100</v>
      </c>
      <c r="AM1" s="289">
        <f t="shared" si="0"/>
        <v>100</v>
      </c>
      <c r="AN1" s="289">
        <f t="shared" si="0"/>
        <v>100</v>
      </c>
      <c r="AO1" s="289">
        <f t="shared" si="0"/>
        <v>100</v>
      </c>
      <c r="AP1" s="289">
        <f t="shared" si="0"/>
        <v>100</v>
      </c>
      <c r="AQ1" s="289">
        <f t="shared" si="0"/>
        <v>100</v>
      </c>
      <c r="AR1" s="289">
        <f t="shared" si="0"/>
        <v>100</v>
      </c>
      <c r="AS1" s="289">
        <f t="shared" si="0"/>
        <v>100</v>
      </c>
      <c r="AT1" s="289">
        <f t="shared" si="0"/>
        <v>100</v>
      </c>
      <c r="AU1" s="289">
        <f t="shared" si="0"/>
        <v>100</v>
      </c>
      <c r="AY1" s="868" t="s">
        <v>322</v>
      </c>
      <c r="AZ1" s="868"/>
      <c r="BA1" s="868"/>
      <c r="BB1" s="868"/>
      <c r="BC1" s="868"/>
      <c r="BD1" s="868"/>
      <c r="BE1" s="868"/>
      <c r="BF1" s="868"/>
      <c r="BG1" s="868"/>
      <c r="BH1" s="868"/>
      <c r="BI1" s="868"/>
      <c r="BJ1" s="868"/>
      <c r="BK1" s="868"/>
      <c r="BL1" s="868"/>
      <c r="BM1" s="868"/>
      <c r="BN1" s="868"/>
      <c r="BO1" s="868"/>
      <c r="BP1" s="868"/>
      <c r="BQ1" s="868"/>
      <c r="BR1" s="868"/>
      <c r="BS1" s="868"/>
      <c r="BT1" s="868"/>
      <c r="BU1" s="868"/>
      <c r="BV1" s="868"/>
      <c r="BW1" s="868"/>
      <c r="BX1" s="868"/>
      <c r="BY1" s="868"/>
      <c r="BZ1" s="868"/>
      <c r="CA1" s="868"/>
      <c r="CB1" s="868"/>
      <c r="CD1" t="str">
        <f>uxb_works!A1</f>
        <v>TERRITORY_COUNT</v>
      </c>
      <c r="CE1">
        <f>uxb_works!B1</f>
        <v>30</v>
      </c>
      <c r="CF1">
        <v>1</v>
      </c>
    </row>
    <row r="2" spans="1:96">
      <c r="Q2" s="289">
        <f>MIN(R2:AU2)</f>
        <v>0</v>
      </c>
      <c r="R2" s="288">
        <f t="shared" ref="R2:AU2" si="1">MIN(R6:R75)</f>
        <v>0</v>
      </c>
      <c r="S2" s="288">
        <f t="shared" si="1"/>
        <v>0</v>
      </c>
      <c r="T2" s="288">
        <f t="shared" si="1"/>
        <v>0</v>
      </c>
      <c r="U2" s="288">
        <f t="shared" si="1"/>
        <v>0</v>
      </c>
      <c r="V2" s="288">
        <f t="shared" si="1"/>
        <v>0</v>
      </c>
      <c r="W2" s="288">
        <f t="shared" si="1"/>
        <v>0</v>
      </c>
      <c r="X2" s="288">
        <f t="shared" si="1"/>
        <v>0</v>
      </c>
      <c r="Y2" s="288">
        <f t="shared" si="1"/>
        <v>0</v>
      </c>
      <c r="Z2" s="288">
        <f t="shared" si="1"/>
        <v>0</v>
      </c>
      <c r="AA2" s="288">
        <f t="shared" si="1"/>
        <v>0</v>
      </c>
      <c r="AB2" s="288">
        <f t="shared" si="1"/>
        <v>0</v>
      </c>
      <c r="AC2" s="288">
        <f t="shared" si="1"/>
        <v>0</v>
      </c>
      <c r="AD2" s="288">
        <f t="shared" si="1"/>
        <v>0</v>
      </c>
      <c r="AE2" s="288">
        <f t="shared" si="1"/>
        <v>0</v>
      </c>
      <c r="AF2" s="288">
        <f t="shared" si="1"/>
        <v>0</v>
      </c>
      <c r="AG2" s="288">
        <f t="shared" si="1"/>
        <v>0</v>
      </c>
      <c r="AH2" s="288">
        <f t="shared" si="1"/>
        <v>0</v>
      </c>
      <c r="AI2" s="288">
        <f t="shared" si="1"/>
        <v>0</v>
      </c>
      <c r="AJ2" s="288">
        <f t="shared" si="1"/>
        <v>0</v>
      </c>
      <c r="AK2" s="288">
        <f t="shared" si="1"/>
        <v>0</v>
      </c>
      <c r="AL2" s="288">
        <f t="shared" si="1"/>
        <v>0</v>
      </c>
      <c r="AM2" s="288">
        <f t="shared" si="1"/>
        <v>0</v>
      </c>
      <c r="AN2" s="288">
        <f t="shared" si="1"/>
        <v>0</v>
      </c>
      <c r="AO2" s="288">
        <f t="shared" si="1"/>
        <v>0</v>
      </c>
      <c r="AP2" s="288">
        <f t="shared" si="1"/>
        <v>0</v>
      </c>
      <c r="AQ2" s="288">
        <f t="shared" si="1"/>
        <v>0</v>
      </c>
      <c r="AR2" s="288">
        <f t="shared" si="1"/>
        <v>0</v>
      </c>
      <c r="AS2" s="288">
        <f t="shared" si="1"/>
        <v>0</v>
      </c>
      <c r="AT2" s="288">
        <f t="shared" si="1"/>
        <v>0</v>
      </c>
      <c r="AU2" s="288">
        <f t="shared" si="1"/>
        <v>0</v>
      </c>
      <c r="AY2" s="22">
        <v>1</v>
      </c>
      <c r="AZ2" s="22">
        <f>AY2+1</f>
        <v>2</v>
      </c>
      <c r="BA2" s="22">
        <f t="shared" ref="BA2:CB2" si="2">AZ2+1</f>
        <v>3</v>
      </c>
      <c r="BB2" s="22">
        <f t="shared" si="2"/>
        <v>4</v>
      </c>
      <c r="BC2" s="22">
        <f t="shared" si="2"/>
        <v>5</v>
      </c>
      <c r="BD2" s="22">
        <f t="shared" si="2"/>
        <v>6</v>
      </c>
      <c r="BE2" s="22">
        <f t="shared" si="2"/>
        <v>7</v>
      </c>
      <c r="BF2" s="22">
        <f t="shared" si="2"/>
        <v>8</v>
      </c>
      <c r="BG2" s="22">
        <f t="shared" si="2"/>
        <v>9</v>
      </c>
      <c r="BH2" s="22">
        <f t="shared" si="2"/>
        <v>10</v>
      </c>
      <c r="BI2" s="22">
        <f t="shared" si="2"/>
        <v>11</v>
      </c>
      <c r="BJ2" s="22">
        <f t="shared" si="2"/>
        <v>12</v>
      </c>
      <c r="BK2" s="22">
        <f t="shared" si="2"/>
        <v>13</v>
      </c>
      <c r="BL2" s="22">
        <f t="shared" si="2"/>
        <v>14</v>
      </c>
      <c r="BM2" s="22">
        <f t="shared" si="2"/>
        <v>15</v>
      </c>
      <c r="BN2" s="22">
        <f t="shared" si="2"/>
        <v>16</v>
      </c>
      <c r="BO2" s="22">
        <f t="shared" si="2"/>
        <v>17</v>
      </c>
      <c r="BP2" s="22">
        <f t="shared" si="2"/>
        <v>18</v>
      </c>
      <c r="BQ2" s="22">
        <f t="shared" si="2"/>
        <v>19</v>
      </c>
      <c r="BR2" s="22">
        <f t="shared" si="2"/>
        <v>20</v>
      </c>
      <c r="BS2" s="22">
        <f t="shared" si="2"/>
        <v>21</v>
      </c>
      <c r="BT2" s="22">
        <f t="shared" si="2"/>
        <v>22</v>
      </c>
      <c r="BU2" s="22">
        <f t="shared" si="2"/>
        <v>23</v>
      </c>
      <c r="BV2" s="22">
        <f t="shared" si="2"/>
        <v>24</v>
      </c>
      <c r="BW2" s="22">
        <f t="shared" si="2"/>
        <v>25</v>
      </c>
      <c r="BX2" s="22">
        <f t="shared" si="2"/>
        <v>26</v>
      </c>
      <c r="BY2" s="22">
        <f t="shared" si="2"/>
        <v>27</v>
      </c>
      <c r="BZ2" s="22">
        <f t="shared" si="2"/>
        <v>28</v>
      </c>
      <c r="CA2" s="22">
        <f t="shared" si="2"/>
        <v>29</v>
      </c>
      <c r="CB2" s="22">
        <f t="shared" si="2"/>
        <v>30</v>
      </c>
    </row>
    <row r="3" spans="1:96" ht="38.25" customHeight="1">
      <c r="R3">
        <f>INDEX(tblTerritories!$AN$3:$AN$32,iScores!R4)</f>
        <v>2</v>
      </c>
      <c r="S3" s="367">
        <f>INDEX(tblTerritories!$AN$3:$AN$32,iScores!S4)</f>
        <v>1</v>
      </c>
      <c r="T3" s="367">
        <f>INDEX(tblTerritories!$AN$3:$AN$32,iScores!T4)</f>
        <v>1</v>
      </c>
      <c r="U3" s="367">
        <f>INDEX(tblTerritories!$AN$3:$AN$32,iScores!U4)</f>
        <v>2</v>
      </c>
      <c r="V3" s="367">
        <f>INDEX(tblTerritories!$AN$3:$AN$32,iScores!V4)</f>
        <v>1</v>
      </c>
      <c r="W3" s="367">
        <f>INDEX(tblTerritories!$AN$3:$AN$32,iScores!W4)</f>
        <v>2</v>
      </c>
      <c r="X3" s="367">
        <f>INDEX(tblTerritories!$AN$3:$AN$32,iScores!X4)</f>
        <v>3</v>
      </c>
      <c r="Y3" s="367">
        <f>INDEX(tblTerritories!$AN$3:$AN$32,iScores!Y4)</f>
        <v>2</v>
      </c>
      <c r="Z3" s="367">
        <f>INDEX(tblTerritories!$AN$3:$AN$32,iScores!Z4)</f>
        <v>5</v>
      </c>
      <c r="AA3" s="367">
        <f>INDEX(tblTerritories!$AN$3:$AN$32,iScores!AA4)</f>
        <v>4</v>
      </c>
      <c r="AB3" s="367">
        <f>INDEX(tblTerritories!$AN$3:$AN$32,iScores!AB4)</f>
        <v>2</v>
      </c>
      <c r="AC3" s="367">
        <f>INDEX(tblTerritories!$AN$3:$AN$32,iScores!AC4)</f>
        <v>1</v>
      </c>
      <c r="AD3" s="367">
        <f>INDEX(tblTerritories!$AN$3:$AN$32,iScores!AD4)</f>
        <v>1</v>
      </c>
      <c r="AE3" s="367">
        <f>INDEX(tblTerritories!$AN$3:$AN$32,iScores!AE4)</f>
        <v>1</v>
      </c>
      <c r="AF3" s="367">
        <f>INDEX(tblTerritories!$AN$3:$AN$32,iScores!AF4)</f>
        <v>2</v>
      </c>
      <c r="AG3" s="367">
        <f>INDEX(tblTerritories!$AN$3:$AN$32,iScores!AG4)</f>
        <v>2</v>
      </c>
      <c r="AH3" s="367">
        <f>INDEX(tblTerritories!$AN$3:$AN$32,iScores!AH4)</f>
        <v>1</v>
      </c>
      <c r="AI3" s="367">
        <f>INDEX(tblTerritories!$AN$3:$AN$32,iScores!AI4)</f>
        <v>3</v>
      </c>
      <c r="AJ3" s="367">
        <f>INDEX(tblTerritories!$AN$3:$AN$32,iScores!AJ4)</f>
        <v>1</v>
      </c>
      <c r="AK3" s="367">
        <f>INDEX(tblTerritories!$AN$3:$AN$32,iScores!AK4)</f>
        <v>5</v>
      </c>
      <c r="AL3" s="367">
        <f>INDEX(tblTerritories!$AN$3:$AN$32,iScores!AL4)</f>
        <v>2</v>
      </c>
      <c r="AM3" s="367">
        <f>INDEX(tblTerritories!$AN$3:$AN$32,iScores!AM4)</f>
        <v>2</v>
      </c>
      <c r="AN3" s="367">
        <f>INDEX(tblTerritories!$AN$3:$AN$32,iScores!AN4)</f>
        <v>3</v>
      </c>
      <c r="AO3" s="367">
        <f>INDEX(tblTerritories!$AN$3:$AN$32,iScores!AO4)</f>
        <v>1</v>
      </c>
      <c r="AP3" s="367">
        <f>INDEX(tblTerritories!$AN$3:$AN$32,iScores!AP4)</f>
        <v>1</v>
      </c>
      <c r="AQ3" s="367">
        <f>INDEX(tblTerritories!$AN$3:$AN$32,iScores!AQ4)</f>
        <v>1</v>
      </c>
      <c r="AR3" s="367">
        <f>INDEX(tblTerritories!$AN$3:$AN$32,iScores!AR4)</f>
        <v>1</v>
      </c>
      <c r="AS3" s="367">
        <f>INDEX(tblTerritories!$AN$3:$AN$32,iScores!AS4)</f>
        <v>5</v>
      </c>
      <c r="AT3" s="367">
        <f>INDEX(tblTerritories!$AN$3:$AN$32,iScores!AT4)</f>
        <v>5</v>
      </c>
      <c r="AU3" s="367">
        <f>INDEX(tblTerritories!$AN$3:$AN$32,iScores!AU4)</f>
        <v>2</v>
      </c>
      <c r="CF3">
        <f>1+CE3</f>
        <v>1</v>
      </c>
      <c r="CG3">
        <v>2</v>
      </c>
      <c r="CH3" s="367">
        <f t="shared" ref="CH3" si="3">1+CG3</f>
        <v>3</v>
      </c>
      <c r="CI3" s="367">
        <v>4</v>
      </c>
      <c r="CJ3" s="367">
        <v>5</v>
      </c>
      <c r="CK3" s="367">
        <v>7</v>
      </c>
      <c r="CL3" s="367">
        <v>8</v>
      </c>
      <c r="CM3" s="367">
        <v>9</v>
      </c>
      <c r="CN3" s="367">
        <v>11</v>
      </c>
      <c r="CO3" s="367">
        <f>CN3+1</f>
        <v>12</v>
      </c>
      <c r="CP3" s="367">
        <f t="shared" ref="CP3:CQ3" si="4">1+CO3</f>
        <v>13</v>
      </c>
      <c r="CQ3" s="367">
        <f t="shared" si="4"/>
        <v>14</v>
      </c>
    </row>
    <row r="4" spans="1:96" s="617" customFormat="1" ht="34.5" customHeight="1">
      <c r="Q4" s="679"/>
      <c r="R4" s="617">
        <f>iData!K4</f>
        <v>1</v>
      </c>
      <c r="S4" s="617">
        <f>iData!L4</f>
        <v>2</v>
      </c>
      <c r="T4" s="617">
        <f>iData!M4</f>
        <v>3</v>
      </c>
      <c r="U4" s="617">
        <f>iData!N4</f>
        <v>4</v>
      </c>
      <c r="V4" s="617">
        <f>iData!O4</f>
        <v>5</v>
      </c>
      <c r="W4" s="617">
        <f>iData!P4</f>
        <v>6</v>
      </c>
      <c r="X4" s="617">
        <f>iData!Q4</f>
        <v>7</v>
      </c>
      <c r="Y4" s="617">
        <f>iData!R4</f>
        <v>8</v>
      </c>
      <c r="Z4" s="617">
        <f>iData!S4</f>
        <v>9</v>
      </c>
      <c r="AA4" s="617">
        <f>iData!T4</f>
        <v>10</v>
      </c>
      <c r="AB4" s="617">
        <f>iData!U4</f>
        <v>11</v>
      </c>
      <c r="AC4" s="617">
        <f>iData!V4</f>
        <v>12</v>
      </c>
      <c r="AD4" s="617">
        <f>iData!W4</f>
        <v>13</v>
      </c>
      <c r="AE4" s="617">
        <f>iData!X4</f>
        <v>14</v>
      </c>
      <c r="AF4" s="617">
        <f>iData!Y4</f>
        <v>15</v>
      </c>
      <c r="AG4" s="617">
        <f>iData!Z4</f>
        <v>16</v>
      </c>
      <c r="AH4" s="617">
        <f>iData!AA4</f>
        <v>17</v>
      </c>
      <c r="AI4" s="617">
        <f>iData!AB4</f>
        <v>18</v>
      </c>
      <c r="AJ4" s="617">
        <f>iData!AC4</f>
        <v>19</v>
      </c>
      <c r="AK4" s="617">
        <f>iData!AD4</f>
        <v>20</v>
      </c>
      <c r="AL4" s="617">
        <f>iData!AE4</f>
        <v>21</v>
      </c>
      <c r="AM4" s="617">
        <f>iData!AF4</f>
        <v>22</v>
      </c>
      <c r="AN4" s="617">
        <f>iData!AG4</f>
        <v>23</v>
      </c>
      <c r="AO4" s="617">
        <f>iData!AH4</f>
        <v>24</v>
      </c>
      <c r="AP4" s="617">
        <f>iData!AI4</f>
        <v>25</v>
      </c>
      <c r="AQ4" s="617">
        <f>iData!AJ4</f>
        <v>26</v>
      </c>
      <c r="AR4" s="617">
        <f>iData!AK4</f>
        <v>27</v>
      </c>
      <c r="AS4" s="617">
        <f>iData!AL4</f>
        <v>28</v>
      </c>
      <c r="AT4" s="617">
        <f>iData!AM4</f>
        <v>29</v>
      </c>
      <c r="AU4" s="617">
        <f>iData!AN4</f>
        <v>30</v>
      </c>
      <c r="AW4" s="680"/>
      <c r="AY4" s="869"/>
      <c r="AZ4" s="869"/>
      <c r="BA4" s="869"/>
      <c r="BB4" s="869"/>
      <c r="BC4" s="869"/>
      <c r="BD4" s="869"/>
      <c r="BE4" s="869"/>
      <c r="BF4" s="869"/>
      <c r="BG4" s="869"/>
      <c r="BH4" s="869"/>
      <c r="BI4" s="869"/>
      <c r="BJ4" s="869"/>
      <c r="BK4" s="869"/>
      <c r="BL4" s="869"/>
      <c r="BM4" s="869"/>
      <c r="BN4" s="869"/>
      <c r="BO4" s="869"/>
      <c r="BP4" s="869"/>
      <c r="BQ4" s="869"/>
      <c r="BR4" s="869"/>
      <c r="BS4" s="869"/>
      <c r="BT4" s="869"/>
      <c r="BU4" s="869"/>
      <c r="BV4" s="869"/>
      <c r="BW4" s="869"/>
      <c r="BX4" s="869"/>
      <c r="BY4" s="869"/>
      <c r="BZ4" s="869"/>
      <c r="CA4" s="869"/>
      <c r="CB4" s="869"/>
      <c r="CD4" s="681" t="str">
        <f>AW86</f>
        <v>All</v>
      </c>
      <c r="CE4" s="617">
        <f>uxb_works!C67</f>
        <v>0</v>
      </c>
      <c r="CF4" s="617" t="str">
        <f t="shared" ref="CF4:CQ4" si="5">INDEX($AW$89:$AW$102,CF3)</f>
        <v>APAC</v>
      </c>
      <c r="CG4" s="617" t="str">
        <f t="shared" si="5"/>
        <v>EUROPE</v>
      </c>
      <c r="CH4" s="617" t="str">
        <f t="shared" si="5"/>
        <v>LATAM</v>
      </c>
      <c r="CI4" s="617" t="str">
        <f t="shared" si="5"/>
        <v>MEA</v>
      </c>
      <c r="CJ4" s="617" t="str">
        <f t="shared" si="5"/>
        <v>NA</v>
      </c>
      <c r="CK4" s="617" t="str">
        <f t="shared" si="5"/>
        <v>Low &amp; lower middle income</v>
      </c>
      <c r="CL4" s="617" t="str">
        <f t="shared" si="5"/>
        <v>Upper middle income</v>
      </c>
      <c r="CM4" s="617" t="str">
        <f t="shared" si="5"/>
        <v>High income</v>
      </c>
      <c r="CN4" s="617" t="str">
        <f t="shared" si="5"/>
        <v>Population &lt; 5m</v>
      </c>
      <c r="CO4" s="617" t="str">
        <f t="shared" si="5"/>
        <v>Population 5-10m</v>
      </c>
      <c r="CP4" s="617" t="str">
        <f t="shared" si="5"/>
        <v>Population 10-15m</v>
      </c>
      <c r="CQ4" s="617" t="str">
        <f t="shared" si="5"/>
        <v>Population 15m +</v>
      </c>
    </row>
    <row r="5" spans="1:96" ht="38.25" customHeight="1" thickBot="1">
      <c r="A5" s="68"/>
      <c r="B5" s="57" t="str">
        <f>tblIndicators!A1</f>
        <v>line</v>
      </c>
      <c r="C5" s="57" t="str">
        <f>tblIndicators!B1</f>
        <v>IS_BG</v>
      </c>
      <c r="D5" s="55" t="str">
        <f>tblIndicators!E1</f>
        <v>INDI_CODE</v>
      </c>
      <c r="E5" s="55" t="str">
        <f>tblIndicators!F1</f>
        <v>PARENT_CODE</v>
      </c>
      <c r="F5" s="57" t="str">
        <f>tblIndicators!G1</f>
        <v>DEPTH</v>
      </c>
      <c r="G5" s="57" t="str">
        <f>tblIndicators!AF1</f>
        <v>HIGH_IS</v>
      </c>
      <c r="H5" s="57" t="str">
        <f>tblIndicators!AG1</f>
        <v>NORM_ID (1=sumproduct, 2=min max set by data values, 3=min max set by user here)</v>
      </c>
      <c r="I5" s="55" t="str">
        <f>tblIndicators!AH1</f>
        <v>Set min if NORM_ID =3</v>
      </c>
      <c r="J5" s="55" t="str">
        <f>tblIndicators!AI1</f>
        <v>Set max if NORM_ID =3</v>
      </c>
      <c r="K5" s="98" t="s">
        <v>25</v>
      </c>
      <c r="L5" s="55" t="s">
        <v>26</v>
      </c>
      <c r="M5" s="55" t="s">
        <v>27</v>
      </c>
      <c r="N5" s="95" t="s">
        <v>61</v>
      </c>
      <c r="O5" s="95" t="s">
        <v>382</v>
      </c>
      <c r="P5" s="95"/>
      <c r="Q5" s="96"/>
      <c r="R5" s="97" t="str">
        <f>iData!K5</f>
        <v>Amsterdam</v>
      </c>
      <c r="S5" s="97" t="str">
        <f>iData!L5</f>
        <v>Auckland</v>
      </c>
      <c r="T5" s="97" t="str">
        <f>iData!M5</f>
        <v>Bangkok</v>
      </c>
      <c r="U5" s="97" t="str">
        <f>iData!N5</f>
        <v>Barcelona</v>
      </c>
      <c r="V5" s="97" t="str">
        <f>iData!O5</f>
        <v>Beijing</v>
      </c>
      <c r="W5" s="97" t="str">
        <f>iData!P5</f>
        <v>Berlin</v>
      </c>
      <c r="X5" s="97" t="str">
        <f>iData!Q5</f>
        <v>Buenos Aires</v>
      </c>
      <c r="Y5" s="97" t="str">
        <f>iData!R5</f>
        <v>Copenhagen</v>
      </c>
      <c r="Z5" s="97" t="str">
        <f>iData!S5</f>
        <v>Dallas</v>
      </c>
      <c r="AA5" s="97" t="str">
        <f>iData!T5</f>
        <v>Dubai</v>
      </c>
      <c r="AB5" s="97" t="str">
        <f>iData!U5</f>
        <v>Frankfurt</v>
      </c>
      <c r="AC5" s="97" t="str">
        <f>iData!V5</f>
        <v>Hong Kong</v>
      </c>
      <c r="AD5" s="97" t="str">
        <f>iData!W5</f>
        <v>Jakarta</v>
      </c>
      <c r="AE5" s="97" t="str">
        <f>iData!X5</f>
        <v>Kuala Lumpur</v>
      </c>
      <c r="AF5" s="97" t="str">
        <f>iData!Y5</f>
        <v>London</v>
      </c>
      <c r="AG5" s="97" t="str">
        <f>iData!Z5</f>
        <v>Madrid</v>
      </c>
      <c r="AH5" s="97" t="str">
        <f>iData!AA5</f>
        <v>Manila</v>
      </c>
      <c r="AI5" s="97" t="str">
        <f>iData!AB5</f>
        <v>Mexico City</v>
      </c>
      <c r="AJ5" s="97" t="str">
        <f>iData!AC5</f>
        <v>New Delhi</v>
      </c>
      <c r="AK5" s="97" t="str">
        <f>iData!AD5</f>
        <v>New York</v>
      </c>
      <c r="AL5" s="97" t="str">
        <f>iData!AE5</f>
        <v>Paris</v>
      </c>
      <c r="AM5" s="97" t="str">
        <f>iData!AF5</f>
        <v>Rome</v>
      </c>
      <c r="AN5" s="97" t="str">
        <f>iData!AG5</f>
        <v>Sao Paulo</v>
      </c>
      <c r="AO5" s="97" t="str">
        <f>iData!AH5</f>
        <v>Seoul</v>
      </c>
      <c r="AP5" s="97" t="str">
        <f>iData!AI5</f>
        <v>Singapore</v>
      </c>
      <c r="AQ5" s="97" t="str">
        <f>iData!AJ5</f>
        <v>Sydney</v>
      </c>
      <c r="AR5" s="97" t="str">
        <f>iData!AK5</f>
        <v>Tokyo</v>
      </c>
      <c r="AS5" s="97" t="str">
        <f>iData!AL5</f>
        <v>Toronto</v>
      </c>
      <c r="AT5" s="97" t="str">
        <f>iData!AM5</f>
        <v>Washington DC</v>
      </c>
      <c r="AU5" s="97" t="str">
        <f>iData!AN5</f>
        <v>Zurich</v>
      </c>
      <c r="AV5" t="s">
        <v>366</v>
      </c>
      <c r="AW5" s="17" t="s">
        <v>270</v>
      </c>
      <c r="AY5" s="870" t="str">
        <f t="shared" ref="AY5:CB5" si="6">R5</f>
        <v>Amsterdam</v>
      </c>
      <c r="AZ5" s="870" t="str">
        <f t="shared" si="6"/>
        <v>Auckland</v>
      </c>
      <c r="BA5" s="870" t="str">
        <f t="shared" si="6"/>
        <v>Bangkok</v>
      </c>
      <c r="BB5" s="870" t="str">
        <f t="shared" si="6"/>
        <v>Barcelona</v>
      </c>
      <c r="BC5" s="870" t="str">
        <f t="shared" si="6"/>
        <v>Beijing</v>
      </c>
      <c r="BD5" s="870" t="str">
        <f t="shared" si="6"/>
        <v>Berlin</v>
      </c>
      <c r="BE5" s="870" t="str">
        <f t="shared" si="6"/>
        <v>Buenos Aires</v>
      </c>
      <c r="BF5" s="870" t="str">
        <f t="shared" si="6"/>
        <v>Copenhagen</v>
      </c>
      <c r="BG5" s="870" t="str">
        <f t="shared" si="6"/>
        <v>Dallas</v>
      </c>
      <c r="BH5" s="870" t="str">
        <f t="shared" si="6"/>
        <v>Dubai</v>
      </c>
      <c r="BI5" s="870" t="str">
        <f t="shared" si="6"/>
        <v>Frankfurt</v>
      </c>
      <c r="BJ5" s="870" t="str">
        <f t="shared" si="6"/>
        <v>Hong Kong</v>
      </c>
      <c r="BK5" s="870" t="str">
        <f t="shared" si="6"/>
        <v>Jakarta</v>
      </c>
      <c r="BL5" s="870" t="str">
        <f t="shared" si="6"/>
        <v>Kuala Lumpur</v>
      </c>
      <c r="BM5" s="870" t="str">
        <f t="shared" si="6"/>
        <v>London</v>
      </c>
      <c r="BN5" s="870" t="str">
        <f t="shared" si="6"/>
        <v>Madrid</v>
      </c>
      <c r="BO5" s="870" t="str">
        <f t="shared" si="6"/>
        <v>Manila</v>
      </c>
      <c r="BP5" s="870" t="str">
        <f t="shared" si="6"/>
        <v>Mexico City</v>
      </c>
      <c r="BQ5" s="870" t="str">
        <f t="shared" si="6"/>
        <v>New Delhi</v>
      </c>
      <c r="BR5" s="870" t="str">
        <f t="shared" si="6"/>
        <v>New York</v>
      </c>
      <c r="BS5" s="870" t="str">
        <f t="shared" si="6"/>
        <v>Paris</v>
      </c>
      <c r="BT5" s="870" t="str">
        <f t="shared" si="6"/>
        <v>Rome</v>
      </c>
      <c r="BU5" s="870" t="str">
        <f t="shared" si="6"/>
        <v>Sao Paulo</v>
      </c>
      <c r="BV5" s="870" t="str">
        <f t="shared" si="6"/>
        <v>Seoul</v>
      </c>
      <c r="BW5" s="870" t="str">
        <f t="shared" si="6"/>
        <v>Singapore</v>
      </c>
      <c r="BX5" s="870" t="str">
        <f t="shared" si="6"/>
        <v>Sydney</v>
      </c>
      <c r="BY5" s="870" t="str">
        <f t="shared" si="6"/>
        <v>Tokyo</v>
      </c>
      <c r="BZ5" s="870" t="str">
        <f t="shared" si="6"/>
        <v>Toronto</v>
      </c>
      <c r="CA5" s="870" t="str">
        <f t="shared" si="6"/>
        <v>Washington DC</v>
      </c>
      <c r="CB5" s="870" t="str">
        <f t="shared" si="6"/>
        <v>Zurich</v>
      </c>
      <c r="CD5">
        <v>1</v>
      </c>
      <c r="CE5">
        <v>2</v>
      </c>
      <c r="CF5">
        <v>4</v>
      </c>
      <c r="CG5" s="367">
        <v>5</v>
      </c>
      <c r="CH5" s="367">
        <v>6</v>
      </c>
      <c r="CI5" s="367">
        <v>7</v>
      </c>
      <c r="CJ5" s="367">
        <v>8</v>
      </c>
      <c r="CK5" s="367">
        <v>10</v>
      </c>
      <c r="CL5" s="367">
        <v>11</v>
      </c>
      <c r="CM5" s="367">
        <v>12</v>
      </c>
      <c r="CN5" s="367">
        <v>14</v>
      </c>
      <c r="CO5" s="367">
        <v>15</v>
      </c>
      <c r="CP5" s="367">
        <v>16</v>
      </c>
      <c r="CQ5" s="367">
        <v>17</v>
      </c>
      <c r="CR5" s="367"/>
    </row>
    <row r="6" spans="1:96" s="124" customFormat="1" ht="27.75" customHeight="1" thickBot="1">
      <c r="A6" s="118"/>
      <c r="B6" s="119">
        <f>tblIndicators!A2</f>
        <v>1</v>
      </c>
      <c r="C6" s="119">
        <f>tblIndicators!B2</f>
        <v>0</v>
      </c>
      <c r="D6" s="119" t="str">
        <f>tblIndicators!E2</f>
        <v>OVERALL</v>
      </c>
      <c r="E6" s="119" t="str">
        <f>tblIndicators!F2</f>
        <v>OVERALL SCORE</v>
      </c>
      <c r="F6" s="119">
        <f>tblIndicators!G2</f>
        <v>0</v>
      </c>
      <c r="G6" s="119">
        <f>tblIndicators!AF2</f>
        <v>0</v>
      </c>
      <c r="H6" s="119">
        <f>tblIndicators!AG2</f>
        <v>1</v>
      </c>
      <c r="I6" s="120">
        <f>tblIndicators!AH2</f>
        <v>0</v>
      </c>
      <c r="J6" s="119">
        <f>tblIndicators!AI2</f>
        <v>0</v>
      </c>
      <c r="K6" s="119">
        <f t="array" ref="K6">MIN(IF(ISNUMBER(iData!K6:AN6),iData!K6:AN6))</f>
        <v>0</v>
      </c>
      <c r="L6" s="121">
        <f t="array" ref="L6">MAX(IF(ISNUMBER(iData!K6:AN6),iData!K6:AN6))</f>
        <v>0</v>
      </c>
      <c r="M6" s="51" t="str">
        <f t="shared" ref="M6:M44" si="7">CHOOSE(H6,"-",L6-K6,J6-I6,J6-I6,J6-I6)</f>
        <v>-</v>
      </c>
      <c r="N6" s="122" t="str">
        <f>REPT(" ",F6)&amp;tblIndicators!AM2</f>
        <v>OVERALL SCORE</v>
      </c>
      <c r="O6" s="381">
        <f>tblIndicators!AR2</f>
        <v>0</v>
      </c>
      <c r="P6" s="381"/>
      <c r="Q6" s="323"/>
      <c r="R6" s="123" cm="1">
        <f t="array" ref="R6">CHOOSE($H6,SUMPRODUCT($O7:$O$75*R7:R$75*($E7:$E$75=$D6)),IF(ISNUMBER(iData!K6),100*ABS($G6-(iData!K6-$K6)/$M6),0),IF(ISNUMBER(iData!K6),100*ABS($G6-(iData!K6-$I6)/$M6),0),IF(iData!K6&gt;tblIndicators!$AI2,100,IF(ISNUMBER(iData!K6),100*ABS($G6-(iData!K6-$I6)/$M6),0)),IF(iData!K6&lt;0,100,IF(ISNUMBER(iData!K6),100*ABS($G6-(iData!K6-$I6)/$M6),0)))</f>
        <v>74.583287166461844</v>
      </c>
      <c r="S6" s="123" cm="1">
        <f t="array" ref="S6">CHOOSE($H6,SUMPRODUCT($O7:$O$75*S7:S$75*($E7:$E$75=$D6)),IF(ISNUMBER(iData!L6),100*ABS($G6-(iData!L6-$K6)/$M6),0),IF(ISNUMBER(iData!L6),100*ABS($G6-(iData!L6-$I6)/$M6),0),IF(iData!L6&gt;tblIndicators!$AI2,100,IF(ISNUMBER(iData!L6),100*ABS($G6-(iData!L6-$I6)/$M6),0)),IF(iData!L6&lt;0,100,IF(ISNUMBER(iData!L6),100*ABS($G6-(iData!L6-$I6)/$M6),0)))</f>
        <v>60.147809634441764</v>
      </c>
      <c r="T6" s="123" cm="1">
        <f t="array" ref="T6">CHOOSE($H6,SUMPRODUCT($O7:$O$75*T7:T$75*($E7:$E$75=$D6)),IF(ISNUMBER(iData!M6),100*ABS($G6-(iData!M6-$K6)/$M6),0),IF(ISNUMBER(iData!M6),100*ABS($G6-(iData!M6-$I6)/$M6),0),IF(iData!M6&gt;tblIndicators!$AI2,100,IF(ISNUMBER(iData!M6),100*ABS($G6-(iData!M6-$I6)/$M6),0)),IF(iData!M6&lt;0,100,IF(ISNUMBER(iData!M6),100*ABS($G6-(iData!M6-$I6)/$M6),0)))</f>
        <v>49.102569075786718</v>
      </c>
      <c r="U6" s="123" cm="1">
        <f t="array" ref="U6">CHOOSE($H6,SUMPRODUCT($O7:$O$75*U7:U$75*($E7:$E$75=$D6)),IF(ISNUMBER(iData!N6),100*ABS($G6-(iData!N6-$K6)/$M6),0),IF(ISNUMBER(iData!N6),100*ABS($G6-(iData!N6-$I6)/$M6),0),IF(iData!N6&gt;tblIndicators!$AI2,100,IF(ISNUMBER(iData!N6),100*ABS($G6-(iData!N6-$I6)/$M6),0)),IF(iData!N6&lt;0,100,IF(ISNUMBER(iData!N6),100*ABS($G6-(iData!N6-$I6)/$M6),0)))</f>
        <v>69.706553884153294</v>
      </c>
      <c r="V6" s="123" cm="1">
        <f t="array" ref="V6">CHOOSE($H6,SUMPRODUCT($O7:$O$75*V7:V$75*($E7:$E$75=$D6)),IF(ISNUMBER(iData!O6),100*ABS($G6-(iData!O6-$K6)/$M6),0),IF(ISNUMBER(iData!O6),100*ABS($G6-(iData!O6-$I6)/$M6),0),IF(iData!O6&gt;tblIndicators!$AI2,100,IF(ISNUMBER(iData!O6),100*ABS($G6-(iData!O6-$I6)/$M6),0)),IF(iData!O6&lt;0,100,IF(ISNUMBER(iData!O6),100*ABS($G6-(iData!O6-$I6)/$M6),0)))</f>
        <v>73.727969171692521</v>
      </c>
      <c r="W6" s="123" cm="1">
        <f t="array" ref="W6">CHOOSE($H6,SUMPRODUCT($O7:$O$75*W7:W$75*($E7:$E$75=$D6)),IF(ISNUMBER(iData!P6),100*ABS($G6-(iData!P6-$K6)/$M6),0),IF(ISNUMBER(iData!P6),100*ABS($G6-(iData!P6-$I6)/$M6),0),IF(iData!P6&gt;tblIndicators!$AI2,100,IF(ISNUMBER(iData!P6),100*ABS($G6-(iData!P6-$I6)/$M6),0)),IF(iData!P6&lt;0,100,IF(ISNUMBER(iData!P6),100*ABS($G6-(iData!P6-$I6)/$M6),0)))</f>
        <v>68.22078876974841</v>
      </c>
      <c r="X6" s="123" cm="1">
        <f t="array" ref="X6">CHOOSE($H6,SUMPRODUCT($O7:$O$75*X7:X$75*($E7:$E$75=$D6)),IF(ISNUMBER(iData!Q6),100*ABS($G6-(iData!Q6-$K6)/$M6),0),IF(ISNUMBER(iData!Q6),100*ABS($G6-(iData!Q6-$I6)/$M6),0),IF(iData!Q6&gt;tblIndicators!$AI2,100,IF(ISNUMBER(iData!Q6),100*ABS($G6-(iData!Q6-$I6)/$M6),0)),IF(iData!Q6&lt;0,100,IF(ISNUMBER(iData!Q6),100*ABS($G6-(iData!Q6-$I6)/$M6),0)))</f>
        <v>45.103634446227275</v>
      </c>
      <c r="Y6" s="123" cm="1">
        <f t="array" ref="Y6">CHOOSE($H6,SUMPRODUCT($O7:$O$75*Y7:Y$75*($E7:$E$75=$D6)),IF(ISNUMBER(iData!R6),100*ABS($G6-(iData!R6-$K6)/$M6),0),IF(ISNUMBER(iData!R6),100*ABS($G6-(iData!R6-$I6)/$M6),0),IF(iData!R6&gt;tblIndicators!$AI2,100,IF(ISNUMBER(iData!R6),100*ABS($G6-(iData!R6-$I6)/$M6),0)),IF(iData!R6&lt;0,100,IF(ISNUMBER(iData!R6),100*ABS($G6-(iData!R6-$I6)/$M6),0)))</f>
        <v>81.547426494067906</v>
      </c>
      <c r="Z6" s="123" cm="1">
        <f t="array" ref="Z6">CHOOSE($H6,SUMPRODUCT($O7:$O$75*Z7:Z$75*($E7:$E$75=$D6)),IF(ISNUMBER(iData!S6),100*ABS($G6-(iData!S6-$K6)/$M6),0),IF(ISNUMBER(iData!S6),100*ABS($G6-(iData!S6-$I6)/$M6),0),IF(iData!S6&gt;tblIndicators!$AI2,100,IF(ISNUMBER(iData!S6),100*ABS($G6-(iData!S6-$I6)/$M6),0)),IF(iData!S6&lt;0,100,IF(ISNUMBER(iData!S6),100*ABS($G6-(iData!S6-$I6)/$M6),0)))</f>
        <v>68.713062841679573</v>
      </c>
      <c r="AA6" s="123" cm="1">
        <f t="array" ref="AA6">CHOOSE($H6,SUMPRODUCT($O7:$O$75*AA7:AA$75*($E7:$E$75=$D6)),IF(ISNUMBER(iData!T6),100*ABS($G6-(iData!T6-$K6)/$M6),0),IF(ISNUMBER(iData!T6),100*ABS($G6-(iData!T6-$I6)/$M6),0),IF(iData!T6&gt;tblIndicators!$AI2,100,IF(ISNUMBER(iData!T6),100*ABS($G6-(iData!T6-$I6)/$M6),0)),IF(iData!T6&lt;0,100,IF(ISNUMBER(iData!T6),100*ABS($G6-(iData!T6-$I6)/$M6),0)))</f>
        <v>63.795234775318761</v>
      </c>
      <c r="AB6" s="123" cm="1">
        <f t="array" ref="AB6">CHOOSE($H6,SUMPRODUCT($O7:$O$75*AB7:AB$75*($E7:$E$75=$D6)),IF(ISNUMBER(iData!U6),100*ABS($G6-(iData!U6-$K6)/$M6),0),IF(ISNUMBER(iData!U6),100*ABS($G6-(iData!U6-$I6)/$M6),0),IF(iData!U6&gt;tblIndicators!$AI2,100,IF(ISNUMBER(iData!U6),100*ABS($G6-(iData!U6-$I6)/$M6),0)),IF(iData!U6&lt;0,100,IF(ISNUMBER(iData!U6),100*ABS($G6-(iData!U6-$I6)/$M6),0)))</f>
        <v>69.14198603990836</v>
      </c>
      <c r="AC6" s="123" cm="1">
        <f t="array" ref="AC6">CHOOSE($H6,SUMPRODUCT($O7:$O$75*AC7:AC$75*($E7:$E$75=$D6)),IF(ISNUMBER(iData!V6),100*ABS($G6-(iData!V6-$K6)/$M6),0),IF(ISNUMBER(iData!V6),100*ABS($G6-(iData!V6-$I6)/$M6),0),IF(iData!V6&gt;tblIndicators!$AI2,100,IF(ISNUMBER(iData!V6),100*ABS($G6-(iData!V6-$I6)/$M6),0)),IF(iData!V6&lt;0,100,IF(ISNUMBER(iData!V6),100*ABS($G6-(iData!V6-$I6)/$M6),0)))</f>
        <v>68.030895207137078</v>
      </c>
      <c r="AD6" s="123" cm="1">
        <f t="array" ref="AD6">CHOOSE($H6,SUMPRODUCT($O7:$O$75*AD7:AD$75*($E7:$E$75=$D6)),IF(ISNUMBER(iData!W6),100*ABS($G6-(iData!W6-$K6)/$M6),0),IF(ISNUMBER(iData!W6),100*ABS($G6-(iData!W6-$I6)/$M6),0),IF(iData!W6&gt;tblIndicators!$AI2,100,IF(ISNUMBER(iData!W6),100*ABS($G6-(iData!W6-$I6)/$M6),0)),IF(iData!W6&lt;0,100,IF(ISNUMBER(iData!W6),100*ABS($G6-(iData!W6-$I6)/$M6),0)))</f>
        <v>43.530468698441773</v>
      </c>
      <c r="AE6" s="123" cm="1">
        <f t="array" ref="AE6">CHOOSE($H6,SUMPRODUCT($O7:$O$75*AE7:AE$75*($E7:$E$75=$D6)),IF(ISNUMBER(iData!X6),100*ABS($G6-(iData!X6-$K6)/$M6),0),IF(ISNUMBER(iData!X6),100*ABS($G6-(iData!X6-$I6)/$M6),0),IF(iData!X6&gt;tblIndicators!$AI2,100,IF(ISNUMBER(iData!X6),100*ABS($G6-(iData!X6-$I6)/$M6),0)),IF(iData!X6&lt;0,100,IF(ISNUMBER(iData!X6),100*ABS($G6-(iData!X6-$I6)/$M6),0)))</f>
        <v>58.212310037668402</v>
      </c>
      <c r="AF6" s="123" cm="1">
        <f t="array" ref="AF6">CHOOSE($H6,SUMPRODUCT($O7:$O$75*AF7:AF$75*($E7:$E$75=$D6)),IF(ISNUMBER(iData!Y6),100*ABS($G6-(iData!Y6-$K6)/$M6),0),IF(ISNUMBER(iData!Y6),100*ABS($G6-(iData!Y6-$I6)/$M6),0),IF(iData!Y6&gt;tblIndicators!$AI2,100,IF(ISNUMBER(iData!Y6),100*ABS($G6-(iData!Y6-$I6)/$M6),0)),IF(iData!Y6&lt;0,100,IF(ISNUMBER(iData!Y6),100*ABS($G6-(iData!Y6-$I6)/$M6),0)))</f>
        <v>73.586228875620478</v>
      </c>
      <c r="AG6" s="123" cm="1">
        <f t="array" ref="AG6">CHOOSE($H6,SUMPRODUCT($O7:$O$75*AG7:AG$75*($E7:$E$75=$D6)),IF(ISNUMBER(iData!Z6),100*ABS($G6-(iData!Z6-$K6)/$M6),0),IF(ISNUMBER(iData!Z6),100*ABS($G6-(iData!Z6-$I6)/$M6),0),IF(iData!Z6&gt;tblIndicators!$AI2,100,IF(ISNUMBER(iData!Z6),100*ABS($G6-(iData!Z6-$I6)/$M6),0)),IF(iData!Z6&lt;0,100,IF(ISNUMBER(iData!Z6),100*ABS($G6-(iData!Z6-$I6)/$M6),0)))</f>
        <v>63.163824500320146</v>
      </c>
      <c r="AH6" s="123" cm="1">
        <f t="array" ref="AH6">CHOOSE($H6,SUMPRODUCT($O7:$O$75*AH7:AH$75*($E7:$E$75=$D6)),IF(ISNUMBER(iData!AA6),100*ABS($G6-(iData!AA6-$K6)/$M6),0),IF(ISNUMBER(iData!AA6),100*ABS($G6-(iData!AA6-$I6)/$M6),0),IF(iData!AA6&gt;tblIndicators!$AI2,100,IF(ISNUMBER(iData!AA6),100*ABS($G6-(iData!AA6-$I6)/$M6),0)),IF(iData!AA6&lt;0,100,IF(ISNUMBER(iData!AA6),100*ABS($G6-(iData!AA6-$I6)/$M6),0)))</f>
        <v>39.072784033501108</v>
      </c>
      <c r="AI6" s="123" cm="1">
        <f t="array" ref="AI6">CHOOSE($H6,SUMPRODUCT($O7:$O$75*AI7:AI$75*($E7:$E$75=$D6)),IF(ISNUMBER(iData!AB6),100*ABS($G6-(iData!AB6-$K6)/$M6),0),IF(ISNUMBER(iData!AB6),100*ABS($G6-(iData!AB6-$I6)/$M6),0),IF(iData!AB6&gt;tblIndicators!$AI2,100,IF(ISNUMBER(iData!AB6),100*ABS($G6-(iData!AB6-$I6)/$M6),0)),IF(iData!AB6&lt;0,100,IF(ISNUMBER(iData!AB6),100*ABS($G6-(iData!AB6-$I6)/$M6),0)))</f>
        <v>42.577712487040742</v>
      </c>
      <c r="AJ6" s="123" cm="1">
        <f t="array" ref="AJ6">CHOOSE($H6,SUMPRODUCT($O7:$O$75*AJ7:AJ$75*($E7:$E$75=$D6)),IF(ISNUMBER(iData!AC6),100*ABS($G6-(iData!AC6-$K6)/$M6),0),IF(ISNUMBER(iData!AC6),100*ABS($G6-(iData!AC6-$I6)/$M6),0),IF(iData!AC6&gt;tblIndicators!$AI2,100,IF(ISNUMBER(iData!AC6),100*ABS($G6-(iData!AC6-$I6)/$M6),0)),IF(iData!AC6&lt;0,100,IF(ISNUMBER(iData!AC6),100*ABS($G6-(iData!AC6-$I6)/$M6),0)))</f>
        <v>40.32434331337312</v>
      </c>
      <c r="AK6" s="123" cm="1">
        <f t="array" ref="AK6">CHOOSE($H6,SUMPRODUCT($O7:$O$75*AK7:AK$75*($E7:$E$75=$D6)),IF(ISNUMBER(iData!AD6),100*ABS($G6-(iData!AD6-$K6)/$M6),0),IF(ISNUMBER(iData!AD6),100*ABS($G6-(iData!AD6-$I6)/$M6),0),IF(iData!AD6&gt;tblIndicators!$AI2,100,IF(ISNUMBER(iData!AD6),100*ABS($G6-(iData!AD6-$I6)/$M6),0)),IF(iData!AD6&lt;0,100,IF(ISNUMBER(iData!AD6),100*ABS($G6-(iData!AD6-$I6)/$M6),0)))</f>
        <v>73.250616905531075</v>
      </c>
      <c r="AL6" s="123" cm="1">
        <f t="array" ref="AL6">CHOOSE($H6,SUMPRODUCT($O7:$O$75*AL7:AL$75*($E7:$E$75=$D6)),IF(ISNUMBER(iData!AE6),100*ABS($G6-(iData!AE6-$K6)/$M6),0),IF(ISNUMBER(iData!AE6),100*ABS($G6-(iData!AE6-$I6)/$M6),0),IF(iData!AE6&gt;tblIndicators!$AI2,100,IF(ISNUMBER(iData!AE6),100*ABS($G6-(iData!AE6-$I6)/$M6),0)),IF(iData!AE6&lt;0,100,IF(ISNUMBER(iData!AE6),100*ABS($G6-(iData!AE6-$I6)/$M6),0)))</f>
        <v>70.225663363512581</v>
      </c>
      <c r="AM6" s="123" cm="1">
        <f t="array" ref="AM6">CHOOSE($H6,SUMPRODUCT($O7:$O$75*AM7:AM$75*($E7:$E$75=$D6)),IF(ISNUMBER(iData!AF6),100*ABS($G6-(iData!AF6-$K6)/$M6),0),IF(ISNUMBER(iData!AF6),100*ABS($G6-(iData!AF6-$I6)/$M6),0),IF(iData!AF6&gt;tblIndicators!$AI2,100,IF(ISNUMBER(iData!AF6),100*ABS($G6-(iData!AF6-$I6)/$M6),0)),IF(iData!AF6&lt;0,100,IF(ISNUMBER(iData!AF6),100*ABS($G6-(iData!AF6-$I6)/$M6),0)))</f>
        <v>61.239952672766336</v>
      </c>
      <c r="AN6" s="123" cm="1">
        <f t="array" ref="AN6">CHOOSE($H6,SUMPRODUCT($O7:$O$75*AN7:AN$75*($E7:$E$75=$D6)),IF(ISNUMBER(iData!AG6),100*ABS($G6-(iData!AG6-$K6)/$M6),0),IF(ISNUMBER(iData!AG6),100*ABS($G6-(iData!AG6-$I6)/$M6),0),IF(iData!AG6&gt;tblIndicators!$AI2,100,IF(ISNUMBER(iData!AG6),100*ABS($G6-(iData!AG6-$I6)/$M6),0)),IF(iData!AG6&lt;0,100,IF(ISNUMBER(iData!AG6),100*ABS($G6-(iData!AG6-$I6)/$M6),0)))</f>
        <v>50.70485666983933</v>
      </c>
      <c r="AO6" s="123" cm="1">
        <f t="array" ref="AO6">CHOOSE($H6,SUMPRODUCT($O7:$O$75*AO7:AO$75*($E7:$E$75=$D6)),IF(ISNUMBER(iData!AH6),100*ABS($G6-(iData!AH6-$K6)/$M6),0),IF(ISNUMBER(iData!AH6),100*ABS($G6-(iData!AH6-$I6)/$M6),0),IF(iData!AH6&gt;tblIndicators!$AI2,100,IF(ISNUMBER(iData!AH6),100*ABS($G6-(iData!AH6-$I6)/$M6),0)),IF(iData!AH6&lt;0,100,IF(ISNUMBER(iData!AH6),100*ABS($G6-(iData!AH6-$I6)/$M6),0)))</f>
        <v>73.609432135417961</v>
      </c>
      <c r="AP6" s="123" cm="1">
        <f t="array" ref="AP6">CHOOSE($H6,SUMPRODUCT($O7:$O$75*AP7:AP$75*($E7:$E$75=$D6)),IF(ISNUMBER(iData!AI6),100*ABS($G6-(iData!AI6-$K6)/$M6),0),IF(ISNUMBER(iData!AI6),100*ABS($G6-(iData!AI6-$I6)/$M6),0),IF(iData!AI6&gt;tblIndicators!$AI2,100,IF(ISNUMBER(iData!AI6),100*ABS($G6-(iData!AI6-$I6)/$M6),0)),IF(iData!AI6&lt;0,100,IF(ISNUMBER(iData!AI6),100*ABS($G6-(iData!AI6-$I6)/$M6),0)))</f>
        <v>71.404618150063314</v>
      </c>
      <c r="AQ6" s="123" cm="1">
        <f t="array" ref="AQ6">CHOOSE($H6,SUMPRODUCT($O7:$O$75*AQ7:AQ$75*($E7:$E$75=$D6)),IF(ISNUMBER(iData!AJ6),100*ABS($G6-(iData!AJ6-$K6)/$M6),0),IF(ISNUMBER(iData!AJ6),100*ABS($G6-(iData!AJ6-$I6)/$M6),0),IF(iData!AJ6&gt;tblIndicators!$AI2,100,IF(ISNUMBER(iData!AJ6),100*ABS($G6-(iData!AJ6-$I6)/$M6),0)),IF(iData!AJ6&lt;0,100,IF(ISNUMBER(iData!AJ6),100*ABS($G6-(iData!AJ6-$I6)/$M6),0)))</f>
        <v>72.609533106441845</v>
      </c>
      <c r="AR6" s="123" cm="1">
        <f t="array" ref="AR6">CHOOSE($H6,SUMPRODUCT($O7:$O$75*AR7:AR$75*($E7:$E$75=$D6)),IF(ISNUMBER(iData!AK6),100*ABS($G6-(iData!AK6-$K6)/$M6),0),IF(ISNUMBER(iData!AK6),100*ABS($G6-(iData!AK6-$I6)/$M6),0),IF(iData!AK6&gt;tblIndicators!$AI2,100,IF(ISNUMBER(iData!AK6),100*ABS($G6-(iData!AK6-$I6)/$M6),0)),IF(iData!AK6&lt;0,100,IF(ISNUMBER(iData!AK6),100*ABS($G6-(iData!AK6-$I6)/$M6),0)))</f>
        <v>62.996289462412307</v>
      </c>
      <c r="AS6" s="123" cm="1">
        <f t="array" ref="AS6">CHOOSE($H6,SUMPRODUCT($O7:$O$75*AS7:AS$75*($E7:$E$75=$D6)),IF(ISNUMBER(iData!AL6),100*ABS($G6-(iData!AL6-$K6)/$M6),0),IF(ISNUMBER(iData!AL6),100*ABS($G6-(iData!AL6-$I6)/$M6),0),IF(iData!AL6&gt;tblIndicators!$AI2,100,IF(ISNUMBER(iData!AL6),100*ABS($G6-(iData!AL6-$I6)/$M6),0)),IF(iData!AL6&lt;0,100,IF(ISNUMBER(iData!AL6),100*ABS($G6-(iData!AL6-$I6)/$M6),0)))</f>
        <v>70.131701722214018</v>
      </c>
      <c r="AT6" s="123" cm="1">
        <f t="array" ref="AT6">CHOOSE($H6,SUMPRODUCT($O7:$O$75*AT7:AT$75*($E7:$E$75=$D6)),IF(ISNUMBER(iData!AM6),100*ABS($G6-(iData!AM6-$K6)/$M6),0),IF(ISNUMBER(iData!AM6),100*ABS($G6-(iData!AM6-$I6)/$M6),0),IF(iData!AM6&gt;tblIndicators!$AI2,100,IF(ISNUMBER(iData!AM6),100*ABS($G6-(iData!AM6-$I6)/$M6),0)),IF(iData!AM6&lt;0,100,IF(ISNUMBER(iData!AM6),100*ABS($G6-(iData!AM6-$I6)/$M6),0)))</f>
        <v>71.212155473432119</v>
      </c>
      <c r="AU6" s="123" cm="1">
        <f t="array" ref="AU6">CHOOSE($H6,SUMPRODUCT($O7:$O$75*AU7:AU$75*($E7:$E$75=$D6)),IF(ISNUMBER(iData!AN6),100*ABS($G6-(iData!AN6-$K6)/$M6),0),IF(ISNUMBER(iData!AN6),100*ABS($G6-(iData!AN6-$I6)/$M6),0),IF(iData!AN6&gt;tblIndicators!$AI2,100,IF(ISNUMBER(iData!AN6),100*ABS($G6-(iData!AN6-$I6)/$M6),0)),IF(iData!AN6&lt;0,100,IF(ISNUMBER(iData!AN6),100*ABS($G6-(iData!AN6-$I6)/$M6),0)))</f>
        <v>70.077105589822978</v>
      </c>
      <c r="AV6"/>
      <c r="AW6" s="368"/>
      <c r="AX6" s="14"/>
      <c r="AY6" s="871">
        <f t="shared" ref="AY6:AY7" si="8">ROUND(R6,$AY$2)</f>
        <v>74.599999999999994</v>
      </c>
      <c r="AZ6" s="871">
        <f t="shared" ref="AZ6:AZ7" si="9">ROUND(S6,$AY$2)</f>
        <v>60.1</v>
      </c>
      <c r="BA6" s="871">
        <f t="shared" ref="BA6:BA7" si="10">ROUND(T6,$AY$2)</f>
        <v>49.1</v>
      </c>
      <c r="BB6" s="871">
        <f t="shared" ref="BB6:BB7" si="11">ROUND(U6,$AY$2)</f>
        <v>69.7</v>
      </c>
      <c r="BC6" s="871">
        <f t="shared" ref="BC6:BC7" si="12">ROUND(V6,$AY$2)</f>
        <v>73.7</v>
      </c>
      <c r="BD6" s="871">
        <f t="shared" ref="BD6:BD7" si="13">ROUND(W6,$AY$2)</f>
        <v>68.2</v>
      </c>
      <c r="BE6" s="871">
        <f t="shared" ref="BE6:BE7" si="14">ROUND(X6,$AY$2)</f>
        <v>45.1</v>
      </c>
      <c r="BF6" s="871">
        <f t="shared" ref="BF6:BF7" si="15">ROUND(Y6,$AY$2)</f>
        <v>81.5</v>
      </c>
      <c r="BG6" s="871">
        <f t="shared" ref="BG6:BG7" si="16">ROUND(Z6,$AY$2)</f>
        <v>68.7</v>
      </c>
      <c r="BH6" s="871">
        <f t="shared" ref="BH6:BH7" si="17">ROUND(AA6,$AY$2)</f>
        <v>63.8</v>
      </c>
      <c r="BI6" s="871">
        <f t="shared" ref="BI6:BI7" si="18">ROUND(AB6,$AY$2)</f>
        <v>69.099999999999994</v>
      </c>
      <c r="BJ6" s="871">
        <f t="shared" ref="BJ6:BJ7" si="19">ROUND(AC6,$AY$2)</f>
        <v>68</v>
      </c>
      <c r="BK6" s="871">
        <f t="shared" ref="BK6:BK7" si="20">ROUND(AD6,$AY$2)</f>
        <v>43.5</v>
      </c>
      <c r="BL6" s="871">
        <f t="shared" ref="BL6:BL7" si="21">ROUND(AE6,$AY$2)</f>
        <v>58.2</v>
      </c>
      <c r="BM6" s="871">
        <f t="shared" ref="BM6:BM7" si="22">ROUND(AF6,$AY$2)</f>
        <v>73.599999999999994</v>
      </c>
      <c r="BN6" s="871">
        <f t="shared" ref="BN6:BN7" si="23">ROUND(AG6,$AY$2)</f>
        <v>63.2</v>
      </c>
      <c r="BO6" s="871">
        <f t="shared" ref="BO6:BO7" si="24">ROUND(AH6,$AY$2)</f>
        <v>39.1</v>
      </c>
      <c r="BP6" s="871">
        <f t="shared" ref="BP6:BP7" si="25">ROUND(AI6,$AY$2)</f>
        <v>42.6</v>
      </c>
      <c r="BQ6" s="871">
        <f t="shared" ref="BQ6:BQ7" si="26">ROUND(AJ6,$AY$2)</f>
        <v>40.299999999999997</v>
      </c>
      <c r="BR6" s="871">
        <f t="shared" ref="BR6:BR7" si="27">ROUND(AK6,$AY$2)</f>
        <v>73.3</v>
      </c>
      <c r="BS6" s="871">
        <f t="shared" ref="BS6:BS7" si="28">ROUND(AL6,$AY$2)</f>
        <v>70.2</v>
      </c>
      <c r="BT6" s="871">
        <f t="shared" ref="BT6:BT7" si="29">ROUND(AM6,$AY$2)</f>
        <v>61.2</v>
      </c>
      <c r="BU6" s="871">
        <f t="shared" ref="BU6:BU7" si="30">ROUND(AN6,$AY$2)</f>
        <v>50.7</v>
      </c>
      <c r="BV6" s="871">
        <f t="shared" ref="BV6:BV7" si="31">ROUND(AO6,$AY$2)</f>
        <v>73.599999999999994</v>
      </c>
      <c r="BW6" s="871">
        <f t="shared" ref="BW6:BW7" si="32">ROUND(AP6,$AY$2)</f>
        <v>71.400000000000006</v>
      </c>
      <c r="BX6" s="871">
        <f t="shared" ref="BX6:BX7" si="33">ROUND(AQ6,$AY$2)</f>
        <v>72.599999999999994</v>
      </c>
      <c r="BY6" s="871">
        <f t="shared" ref="BY6:BY7" si="34">ROUND(AR6,$AY$2)</f>
        <v>63</v>
      </c>
      <c r="BZ6" s="871">
        <f t="shared" ref="BZ6:BZ7" si="35">ROUND(AS6,$AY$2)</f>
        <v>70.099999999999994</v>
      </c>
      <c r="CA6" s="871">
        <f t="shared" ref="CA6:CA7" si="36">ROUND(AT6,$AY$2)</f>
        <v>71.2</v>
      </c>
      <c r="CB6" s="871">
        <f t="shared" ref="CB6:CB7" si="37">ROUND(AU6,$AY$2)</f>
        <v>70.099999999999994</v>
      </c>
      <c r="CD6" s="304">
        <f ca="1">IFERROR(ROUND(SUMIF(OFFSET(tblGroups,CD$5-1,0,1,$CE$1),1,OFFSET(aScoresRounded,$B6-1,0,1,$CE$1))/SUM(OFFSET(tblGroups,CD$5-1,0,1,$CE$1)),$CF$1),"n/a")</f>
        <v>63.3</v>
      </c>
      <c r="CE6" s="304">
        <f ca="1">IFERROR(ROUND(SUMIF(OFFSET(tblGroups,CE$5-1,0,1,$CE$1),1,OFFSET(aScoresRounded,$B6-1,0,1,$CE$1))/SUM(OFFSET(tblGroups,CE$5-1,0,1,$CE$1)),$CF$1),"n/a")</f>
        <v>63.3</v>
      </c>
      <c r="CF6" s="304">
        <f t="shared" ref="CD6:CM24" ca="1" si="38">IFERROR(ROUND(SUMIF(OFFSET(tblGroups,CF$5-1,0,1,$CE$1),1,OFFSET(aScoresRounded,$B6-1,0,1,$CE$1))/SUM(OFFSET(tblGroups,CF$5-1,0,1,$CE$1)),$CF$1),"n/a")</f>
        <v>59.4</v>
      </c>
      <c r="CG6" s="302">
        <f t="shared" ca="1" si="38"/>
        <v>70.099999999999994</v>
      </c>
      <c r="CH6" s="302">
        <f t="shared" ca="1" si="38"/>
        <v>46.1</v>
      </c>
      <c r="CI6" s="302">
        <f t="shared" ca="1" si="38"/>
        <v>63.8</v>
      </c>
      <c r="CJ6" s="302">
        <f t="shared" ca="1" si="38"/>
        <v>70.8</v>
      </c>
      <c r="CK6" s="302">
        <f t="shared" ca="1" si="38"/>
        <v>41</v>
      </c>
      <c r="CL6" s="302">
        <f t="shared" ca="1" si="38"/>
        <v>53.2</v>
      </c>
      <c r="CM6" s="302">
        <f t="shared" ca="1" si="38"/>
        <v>69.400000000000006</v>
      </c>
      <c r="CN6" s="302">
        <f t="shared" ref="CN6:CQ20" ca="1" si="39">IFERROR(ROUND(SUMIF(OFFSET(tblGroups,CN$5-1,0,1,$CE$1),1,OFFSET(aScoresRounded,$B6-1,0,1,$CE$1))/SUM(OFFSET(tblGroups,CN$5-1,0,1,$CE$1)),$CF$1),"n/a")</f>
        <v>69.099999999999994</v>
      </c>
      <c r="CO6" s="302">
        <f t="shared" ca="1" si="39"/>
        <v>67.599999999999994</v>
      </c>
      <c r="CP6" s="302">
        <f t="shared" ca="1" si="39"/>
        <v>58</v>
      </c>
      <c r="CQ6" s="302">
        <f t="shared" ca="1" si="39"/>
        <v>56.2</v>
      </c>
    </row>
    <row r="7" spans="1:96" s="124" customFormat="1" ht="27.75" customHeight="1" thickBot="1">
      <c r="A7" s="118"/>
      <c r="B7" s="119">
        <f>tblIndicators!A3</f>
        <v>2</v>
      </c>
      <c r="C7" s="119">
        <f>tblIndicators!B3</f>
        <v>0</v>
      </c>
      <c r="D7" s="119" t="str">
        <f>tblIndicators!E3</f>
        <v>CNTY</v>
      </c>
      <c r="E7" s="119" t="str">
        <f>tblIndicators!F3</f>
        <v>OVERALL</v>
      </c>
      <c r="F7" s="119">
        <f>tblIndicators!G3</f>
        <v>1</v>
      </c>
      <c r="G7" s="119">
        <f>tblIndicators!AF3</f>
        <v>0</v>
      </c>
      <c r="H7" s="119">
        <f>tblIndicators!AG3</f>
        <v>1</v>
      </c>
      <c r="I7" s="120">
        <f>tblIndicators!AH3</f>
        <v>0</v>
      </c>
      <c r="J7" s="119">
        <f>tblIndicators!AI3</f>
        <v>0</v>
      </c>
      <c r="K7" s="119">
        <f t="array" ref="K7">MIN(IF(ISNUMBER(iData!K7:AN7),iData!K7:AN7))</f>
        <v>0</v>
      </c>
      <c r="L7" s="121">
        <f t="array" ref="L7">MAX(IF(ISNUMBER(iData!K7:AN7),iData!K7:AN7))</f>
        <v>0</v>
      </c>
      <c r="M7" s="51" t="str">
        <f t="shared" si="7"/>
        <v>-</v>
      </c>
      <c r="N7" s="122" t="str">
        <f>REPT(" ",F7)&amp;tblIndicators!AM3</f>
        <v xml:space="preserve"> 1) CONNECTIVITY</v>
      </c>
      <c r="O7" s="381">
        <f>tblIndicators!AR3</f>
        <v>0.3</v>
      </c>
      <c r="P7" s="381"/>
      <c r="Q7" s="323"/>
      <c r="R7" s="123" cm="1">
        <f t="array" ref="R7">CHOOSE($H7,SUMPRODUCT($O8:$O$75*R8:R$75*($E8:$E$75=$D7)),IF(ISNUMBER(iData!K7),100*ABS($G7-(iData!K7-$K7)/$M7),0),IF(ISNUMBER(iData!K7),100*ABS($G7-(iData!K7-$I7)/$M7),0),IF(iData!K7&gt;tblIndicators!$AI3,100,IF(ISNUMBER(iData!K7),100*ABS($G7-(iData!K7-$I7)/$M7),0)),IF(iData!K7&lt;0,100,IF(ISNUMBER(iData!K7),100*ABS($G7-(iData!K7-$I7)/$M7),0)))</f>
        <v>77.022556365124075</v>
      </c>
      <c r="S7" s="123" cm="1">
        <f t="array" ref="S7">CHOOSE($H7,SUMPRODUCT($O8:$O$75*S8:S$75*($E8:$E$75=$D7)),IF(ISNUMBER(iData!L7),100*ABS($G7-(iData!L7-$K7)/$M7),0),IF(ISNUMBER(iData!L7),100*ABS($G7-(iData!L7-$I7)/$M7),0),IF(iData!L7&gt;tblIndicators!$AI3,100,IF(ISNUMBER(iData!L7),100*ABS($G7-(iData!L7-$I7)/$M7),0)),IF(iData!L7&lt;0,100,IF(ISNUMBER(iData!L7),100*ABS($G7-(iData!L7-$I7)/$M7),0)))</f>
        <v>59.739401055107479</v>
      </c>
      <c r="T7" s="123" cm="1">
        <f t="array" ref="T7">CHOOSE($H7,SUMPRODUCT($O8:$O$75*T8:T$75*($E8:$E$75=$D7)),IF(ISNUMBER(iData!M7),100*ABS($G7-(iData!M7-$K7)/$M7),0),IF(ISNUMBER(iData!M7),100*ABS($G7-(iData!M7-$I7)/$M7),0),IF(iData!M7&gt;tblIndicators!$AI3,100,IF(ISNUMBER(iData!M7),100*ABS($G7-(iData!M7-$I7)/$M7),0)),IF(iData!M7&lt;0,100,IF(ISNUMBER(iData!M7),100*ABS($G7-(iData!M7-$I7)/$M7),0)))</f>
        <v>55.317894173854441</v>
      </c>
      <c r="U7" s="123" cm="1">
        <f t="array" ref="U7">CHOOSE($H7,SUMPRODUCT($O8:$O$75*U8:U$75*($E8:$E$75=$D7)),IF(ISNUMBER(iData!N7),100*ABS($G7-(iData!N7-$K7)/$M7),0),IF(ISNUMBER(iData!N7),100*ABS($G7-(iData!N7-$I7)/$M7),0),IF(iData!N7&gt;tblIndicators!$AI3,100,IF(ISNUMBER(iData!N7),100*ABS($G7-(iData!N7-$I7)/$M7),0)),IF(iData!N7&lt;0,100,IF(ISNUMBER(iData!N7),100*ABS($G7-(iData!N7-$I7)/$M7),0)))</f>
        <v>61.606683002157112</v>
      </c>
      <c r="V7" s="123" cm="1">
        <f t="array" ref="V7">CHOOSE($H7,SUMPRODUCT($O8:$O$75*V8:V$75*($E8:$E$75=$D7)),IF(ISNUMBER(iData!O7),100*ABS($G7-(iData!O7-$K7)/$M7),0),IF(ISNUMBER(iData!O7),100*ABS($G7-(iData!O7-$I7)/$M7),0),IF(iData!O7&gt;tblIndicators!$AI3,100,IF(ISNUMBER(iData!O7),100*ABS($G7-(iData!O7-$I7)/$M7),0)),IF(iData!O7&lt;0,100,IF(ISNUMBER(iData!O7),100*ABS($G7-(iData!O7-$I7)/$M7),0)))</f>
        <v>80.703213948874506</v>
      </c>
      <c r="W7" s="123" cm="1">
        <f t="array" ref="W7">CHOOSE($H7,SUMPRODUCT($O8:$O$75*W8:W$75*($E8:$E$75=$D7)),IF(ISNUMBER(iData!P7),100*ABS($G7-(iData!P7-$K7)/$M7),0),IF(ISNUMBER(iData!P7),100*ABS($G7-(iData!P7-$I7)/$M7),0),IF(iData!P7&gt;tblIndicators!$AI3,100,IF(ISNUMBER(iData!P7),100*ABS($G7-(iData!P7-$I7)/$M7),0)),IF(iData!P7&lt;0,100,IF(ISNUMBER(iData!P7),100*ABS($G7-(iData!P7-$I7)/$M7),0)))</f>
        <v>65.903211405152831</v>
      </c>
      <c r="X7" s="123" cm="1">
        <f t="array" ref="X7">CHOOSE($H7,SUMPRODUCT($O8:$O$75*X8:X$75*($E8:$E$75=$D7)),IF(ISNUMBER(iData!Q7),100*ABS($G7-(iData!Q7-$K7)/$M7),0),IF(ISNUMBER(iData!Q7),100*ABS($G7-(iData!Q7-$I7)/$M7),0),IF(iData!Q7&gt;tblIndicators!$AI3,100,IF(ISNUMBER(iData!Q7),100*ABS($G7-(iData!Q7-$I7)/$M7),0)),IF(iData!Q7&lt;0,100,IF(ISNUMBER(iData!Q7),100*ABS($G7-(iData!Q7-$I7)/$M7),0)))</f>
        <v>40.779910335476991</v>
      </c>
      <c r="Y7" s="123" cm="1">
        <f t="array" ref="Y7">CHOOSE($H7,SUMPRODUCT($O8:$O$75*Y8:Y$75*($E8:$E$75=$D7)),IF(ISNUMBER(iData!R7),100*ABS($G7-(iData!R7-$K7)/$M7),0),IF(ISNUMBER(iData!R7),100*ABS($G7-(iData!R7-$I7)/$M7),0),IF(iData!R7&gt;tblIndicators!$AI3,100,IF(ISNUMBER(iData!R7),100*ABS($G7-(iData!R7-$I7)/$M7),0)),IF(iData!R7&lt;0,100,IF(ISNUMBER(iData!R7),100*ABS($G7-(iData!R7-$I7)/$M7),0)))</f>
        <v>85.423927707959947</v>
      </c>
      <c r="Z7" s="123" cm="1">
        <f t="array" ref="Z7">CHOOSE($H7,SUMPRODUCT($O8:$O$75*Z8:Z$75*($E8:$E$75=$D7)),IF(ISNUMBER(iData!S7),100*ABS($G7-(iData!S7-$K7)/$M7),0),IF(ISNUMBER(iData!S7),100*ABS($G7-(iData!S7-$I7)/$M7),0),IF(iData!S7&gt;tblIndicators!$AI3,100,IF(ISNUMBER(iData!S7),100*ABS($G7-(iData!S7-$I7)/$M7),0)),IF(iData!S7&lt;0,100,IF(ISNUMBER(iData!S7),100*ABS($G7-(iData!S7-$I7)/$M7),0)))</f>
        <v>74.246732559300042</v>
      </c>
      <c r="AA7" s="123" cm="1">
        <f t="array" ref="AA7">CHOOSE($H7,SUMPRODUCT($O8:$O$75*AA8:AA$75*($E8:$E$75=$D7)),IF(ISNUMBER(iData!T7),100*ABS($G7-(iData!T7-$K7)/$M7),0),IF(ISNUMBER(iData!T7),100*ABS($G7-(iData!T7-$I7)/$M7),0),IF(iData!T7&gt;tblIndicators!$AI3,100,IF(ISNUMBER(iData!T7),100*ABS($G7-(iData!T7-$I7)/$M7),0)),IF(iData!T7&lt;0,100,IF(ISNUMBER(iData!T7),100*ABS($G7-(iData!T7-$I7)/$M7),0)))</f>
        <v>63.52002850672492</v>
      </c>
      <c r="AB7" s="123" cm="1">
        <f t="array" ref="AB7">CHOOSE($H7,SUMPRODUCT($O8:$O$75*AB8:AB$75*($E8:$E$75=$D7)),IF(ISNUMBER(iData!U7),100*ABS($G7-(iData!U7-$K7)/$M7),0),IF(ISNUMBER(iData!U7),100*ABS($G7-(iData!U7-$I7)/$M7),0),IF(iData!U7&gt;tblIndicators!$AI3,100,IF(ISNUMBER(iData!U7),100*ABS($G7-(iData!U7-$I7)/$M7),0)),IF(iData!U7&lt;0,100,IF(ISNUMBER(iData!U7),100*ABS($G7-(iData!U7-$I7)/$M7),0)))</f>
        <v>71.178451906246281</v>
      </c>
      <c r="AC7" s="123" cm="1">
        <f t="array" ref="AC7">CHOOSE($H7,SUMPRODUCT($O8:$O$75*AC8:AC$75*($E8:$E$75=$D7)),IF(ISNUMBER(iData!V7),100*ABS($G7-(iData!V7-$K7)/$M7),0),IF(ISNUMBER(iData!V7),100*ABS($G7-(iData!V7-$I7)/$M7),0),IF(iData!V7&gt;tblIndicators!$AI3,100,IF(ISNUMBER(iData!V7),100*ABS($G7-(iData!V7-$I7)/$M7),0)),IF(iData!V7&lt;0,100,IF(ISNUMBER(iData!V7),100*ABS($G7-(iData!V7-$I7)/$M7),0)))</f>
        <v>76.564241928144156</v>
      </c>
      <c r="AD7" s="123" cm="1">
        <f t="array" ref="AD7">CHOOSE($H7,SUMPRODUCT($O8:$O$75*AD8:AD$75*($E8:$E$75=$D7)),IF(ISNUMBER(iData!W7),100*ABS($G7-(iData!W7-$K7)/$M7),0),IF(ISNUMBER(iData!W7),100*ABS($G7-(iData!W7-$I7)/$M7),0),IF(iData!W7&gt;tblIndicators!$AI3,100,IF(ISNUMBER(iData!W7),100*ABS($G7-(iData!W7-$I7)/$M7),0)),IF(iData!W7&lt;0,100,IF(ISNUMBER(iData!W7),100*ABS($G7-(iData!W7-$I7)/$M7),0)))</f>
        <v>48.112271160149554</v>
      </c>
      <c r="AE7" s="123" cm="1">
        <f t="array" ref="AE7">CHOOSE($H7,SUMPRODUCT($O8:$O$75*AE8:AE$75*($E8:$E$75=$D7)),IF(ISNUMBER(iData!X7),100*ABS($G7-(iData!X7-$K7)/$M7),0),IF(ISNUMBER(iData!X7),100*ABS($G7-(iData!X7-$I7)/$M7),0),IF(iData!X7&gt;tblIndicators!$AI3,100,IF(ISNUMBER(iData!X7),100*ABS($G7-(iData!X7-$I7)/$M7),0)),IF(iData!X7&lt;0,100,IF(ISNUMBER(iData!X7),100*ABS($G7-(iData!X7-$I7)/$M7),0)))</f>
        <v>58.875707090141944</v>
      </c>
      <c r="AF7" s="123" cm="1">
        <f t="array" ref="AF7">CHOOSE($H7,SUMPRODUCT($O8:$O$75*AF8:AF$75*($E8:$E$75=$D7)),IF(ISNUMBER(iData!Y7),100*ABS($G7-(iData!Y7-$K7)/$M7),0),IF(ISNUMBER(iData!Y7),100*ABS($G7-(iData!Y7-$I7)/$M7),0),IF(iData!Y7&gt;tblIndicators!$AI3,100,IF(ISNUMBER(iData!Y7),100*ABS($G7-(iData!Y7-$I7)/$M7),0)),IF(iData!Y7&lt;0,100,IF(ISNUMBER(iData!Y7),100*ABS($G7-(iData!Y7-$I7)/$M7),0)))</f>
        <v>71.253537107946485</v>
      </c>
      <c r="AG7" s="123" cm="1">
        <f t="array" ref="AG7">CHOOSE($H7,SUMPRODUCT($O8:$O$75*AG8:AG$75*($E8:$E$75=$D7)),IF(ISNUMBER(iData!Z7),100*ABS($G7-(iData!Z7-$K7)/$M7),0),IF(ISNUMBER(iData!Z7),100*ABS($G7-(iData!Z7-$I7)/$M7),0),IF(iData!Z7&gt;tblIndicators!$AI3,100,IF(ISNUMBER(iData!Z7),100*ABS($G7-(iData!Z7-$I7)/$M7),0)),IF(iData!Z7&lt;0,100,IF(ISNUMBER(iData!Z7),100*ABS($G7-(iData!Z7-$I7)/$M7),0)))</f>
        <v>64.629351594658999</v>
      </c>
      <c r="AH7" s="123" cm="1">
        <f t="array" ref="AH7">CHOOSE($H7,SUMPRODUCT($O8:$O$75*AH8:AH$75*($E8:$E$75=$D7)),IF(ISNUMBER(iData!AA7),100*ABS($G7-(iData!AA7-$K7)/$M7),0),IF(ISNUMBER(iData!AA7),100*ABS($G7-(iData!AA7-$I7)/$M7),0),IF(iData!AA7&gt;tblIndicators!$AI3,100,IF(ISNUMBER(iData!AA7),100*ABS($G7-(iData!AA7-$I7)/$M7),0)),IF(iData!AA7&lt;0,100,IF(ISNUMBER(iData!AA7),100*ABS($G7-(iData!AA7-$I7)/$M7),0)))</f>
        <v>43.802281430276452</v>
      </c>
      <c r="AI7" s="123" cm="1">
        <f t="array" ref="AI7">CHOOSE($H7,SUMPRODUCT($O8:$O$75*AI8:AI$75*($E8:$E$75=$D7)),IF(ISNUMBER(iData!AB7),100*ABS($G7-(iData!AB7-$K7)/$M7),0),IF(ISNUMBER(iData!AB7),100*ABS($G7-(iData!AB7-$I7)/$M7),0),IF(iData!AB7&gt;tblIndicators!$AI3,100,IF(ISNUMBER(iData!AB7),100*ABS($G7-(iData!AB7-$I7)/$M7),0)),IF(iData!AB7&lt;0,100,IF(ISNUMBER(iData!AB7),100*ABS($G7-(iData!AB7-$I7)/$M7),0)))</f>
        <v>53.046309233868541</v>
      </c>
      <c r="AJ7" s="123" cm="1">
        <f t="array" ref="AJ7">CHOOSE($H7,SUMPRODUCT($O8:$O$75*AJ8:AJ$75*($E8:$E$75=$D7)),IF(ISNUMBER(iData!AC7),100*ABS($G7-(iData!AC7-$K7)/$M7),0),IF(ISNUMBER(iData!AC7),100*ABS($G7-(iData!AC7-$I7)/$M7),0),IF(iData!AC7&gt;tblIndicators!$AI3,100,IF(ISNUMBER(iData!AC7),100*ABS($G7-(iData!AC7-$I7)/$M7),0)),IF(iData!AC7&lt;0,100,IF(ISNUMBER(iData!AC7),100*ABS($G7-(iData!AC7-$I7)/$M7),0)))</f>
        <v>28.425188916179117</v>
      </c>
      <c r="AK7" s="123" cm="1">
        <f t="array" ref="AK7">CHOOSE($H7,SUMPRODUCT($O8:$O$75*AK8:AK$75*($E8:$E$75=$D7)),IF(ISNUMBER(iData!AD7),100*ABS($G7-(iData!AD7-$K7)/$M7),0),IF(ISNUMBER(iData!AD7),100*ABS($G7-(iData!AD7-$I7)/$M7),0),IF(iData!AD7&gt;tblIndicators!$AI3,100,IF(ISNUMBER(iData!AD7),100*ABS($G7-(iData!AD7-$I7)/$M7),0)),IF(iData!AD7&lt;0,100,IF(ISNUMBER(iData!AD7),100*ABS($G7-(iData!AD7-$I7)/$M7),0)))</f>
        <v>76.211925691222234</v>
      </c>
      <c r="AL7" s="123" cm="1">
        <f t="array" ref="AL7">CHOOSE($H7,SUMPRODUCT($O8:$O$75*AL8:AL$75*($E8:$E$75=$D7)),IF(ISNUMBER(iData!AE7),100*ABS($G7-(iData!AE7-$K7)/$M7),0),IF(ISNUMBER(iData!AE7),100*ABS($G7-(iData!AE7-$I7)/$M7),0),IF(iData!AE7&gt;tblIndicators!$AI3,100,IF(ISNUMBER(iData!AE7),100*ABS($G7-(iData!AE7-$I7)/$M7),0)),IF(iData!AE7&lt;0,100,IF(ISNUMBER(iData!AE7),100*ABS($G7-(iData!AE7-$I7)/$M7),0)))</f>
        <v>71.861661925467246</v>
      </c>
      <c r="AM7" s="123" cm="1">
        <f t="array" ref="AM7">CHOOSE($H7,SUMPRODUCT($O8:$O$75*AM8:AM$75*($E8:$E$75=$D7)),IF(ISNUMBER(iData!AF7),100*ABS($G7-(iData!AF7-$K7)/$M7),0),IF(ISNUMBER(iData!AF7),100*ABS($G7-(iData!AF7-$I7)/$M7),0),IF(iData!AF7&gt;tblIndicators!$AI3,100,IF(ISNUMBER(iData!AF7),100*ABS($G7-(iData!AF7-$I7)/$M7),0)),IF(iData!AF7&lt;0,100,IF(ISNUMBER(iData!AF7),100*ABS($G7-(iData!AF7-$I7)/$M7),0)))</f>
        <v>64.907193397770683</v>
      </c>
      <c r="AN7" s="123" cm="1">
        <f t="array" ref="AN7">CHOOSE($H7,SUMPRODUCT($O8:$O$75*AN8:AN$75*($E8:$E$75=$D7)),IF(ISNUMBER(iData!AG7),100*ABS($G7-(iData!AG7-$K7)/$M7),0),IF(ISNUMBER(iData!AG7),100*ABS($G7-(iData!AG7-$I7)/$M7),0),IF(iData!AG7&gt;tblIndicators!$AI3,100,IF(ISNUMBER(iData!AG7),100*ABS($G7-(iData!AG7-$I7)/$M7),0)),IF(iData!AG7&lt;0,100,IF(ISNUMBER(iData!AG7),100*ABS($G7-(iData!AG7-$I7)/$M7),0)))</f>
        <v>56.487530699764136</v>
      </c>
      <c r="AO7" s="123" cm="1">
        <f t="array" ref="AO7">CHOOSE($H7,SUMPRODUCT($O8:$O$75*AO8:AO$75*($E8:$E$75=$D7)),IF(ISNUMBER(iData!AH7),100*ABS($G7-(iData!AH7-$K7)/$M7),0),IF(ISNUMBER(iData!AH7),100*ABS($G7-(iData!AH7-$I7)/$M7),0),IF(iData!AH7&gt;tblIndicators!$AI3,100,IF(ISNUMBER(iData!AH7),100*ABS($G7-(iData!AH7-$I7)/$M7),0)),IF(iData!AH7&lt;0,100,IF(ISNUMBER(iData!AH7),100*ABS($G7-(iData!AH7-$I7)/$M7),0)))</f>
        <v>75.290305255737664</v>
      </c>
      <c r="AP7" s="123" cm="1">
        <f t="array" ref="AP7">CHOOSE($H7,SUMPRODUCT($O8:$O$75*AP8:AP$75*($E8:$E$75=$D7)),IF(ISNUMBER(iData!AI7),100*ABS($G7-(iData!AI7-$K7)/$M7),0),IF(ISNUMBER(iData!AI7),100*ABS($G7-(iData!AI7-$I7)/$M7),0),IF(iData!AI7&gt;tblIndicators!$AI3,100,IF(ISNUMBER(iData!AI7),100*ABS($G7-(iData!AI7-$I7)/$M7),0)),IF(iData!AI7&lt;0,100,IF(ISNUMBER(iData!AI7),100*ABS($G7-(iData!AI7-$I7)/$M7),0)))</f>
        <v>83.067976244788284</v>
      </c>
      <c r="AQ7" s="123" cm="1">
        <f t="array" ref="AQ7">CHOOSE($H7,SUMPRODUCT($O8:$O$75*AQ8:AQ$75*($E8:$E$75=$D7)),IF(ISNUMBER(iData!AJ7),100*ABS($G7-(iData!AJ7-$K7)/$M7),0),IF(ISNUMBER(iData!AJ7),100*ABS($G7-(iData!AJ7-$I7)/$M7),0),IF(iData!AJ7&gt;tblIndicators!$AI3,100,IF(ISNUMBER(iData!AJ7),100*ABS($G7-(iData!AJ7-$I7)/$M7),0)),IF(iData!AJ7&lt;0,100,IF(ISNUMBER(iData!AJ7),100*ABS($G7-(iData!AJ7-$I7)/$M7),0)))</f>
        <v>78.02214392259954</v>
      </c>
      <c r="AR7" s="123" cm="1">
        <f t="array" ref="AR7">CHOOSE($H7,SUMPRODUCT($O8:$O$75*AR8:AR$75*($E8:$E$75=$D7)),IF(ISNUMBER(iData!AK7),100*ABS($G7-(iData!AK7-$K7)/$M7),0),IF(ISNUMBER(iData!AK7),100*ABS($G7-(iData!AK7-$I7)/$M7),0),IF(iData!AK7&gt;tblIndicators!$AI3,100,IF(ISNUMBER(iData!AK7),100*ABS($G7-(iData!AK7-$I7)/$M7),0)),IF(iData!AK7&lt;0,100,IF(ISNUMBER(iData!AK7),100*ABS($G7-(iData!AK7-$I7)/$M7),0)))</f>
        <v>71.254209405003934</v>
      </c>
      <c r="AS7" s="123" cm="1">
        <f t="array" ref="AS7">CHOOSE($H7,SUMPRODUCT($O8:$O$75*AS8:AS$75*($E8:$E$75=$D7)),IF(ISNUMBER(iData!AL7),100*ABS($G7-(iData!AL7-$K7)/$M7),0),IF(ISNUMBER(iData!AL7),100*ABS($G7-(iData!AL7-$I7)/$M7),0),IF(iData!AL7&gt;tblIndicators!$AI3,100,IF(ISNUMBER(iData!AL7),100*ABS($G7-(iData!AL7-$I7)/$M7),0)),IF(iData!AL7&lt;0,100,IF(ISNUMBER(iData!AL7),100*ABS($G7-(iData!AL7-$I7)/$M7),0)))</f>
        <v>62.768154483614246</v>
      </c>
      <c r="AT7" s="123" cm="1">
        <f t="array" ref="AT7">CHOOSE($H7,SUMPRODUCT($O8:$O$75*AT8:AT$75*($E8:$E$75=$D7)),IF(ISNUMBER(iData!AM7),100*ABS($G7-(iData!AM7-$K7)/$M7),0),IF(ISNUMBER(iData!AM7),100*ABS($G7-(iData!AM7-$I7)/$M7),0),IF(iData!AM7&gt;tblIndicators!$AI3,100,IF(ISNUMBER(iData!AM7),100*ABS($G7-(iData!AM7-$I7)/$M7),0)),IF(iData!AM7&lt;0,100,IF(ISNUMBER(iData!AM7),100*ABS($G7-(iData!AM7-$I7)/$M7),0)))</f>
        <v>75.600560097626115</v>
      </c>
      <c r="AU7" s="123" cm="1">
        <f t="array" ref="AU7">CHOOSE($H7,SUMPRODUCT($O8:$O$75*AU8:AU$75*($E8:$E$75=$D7)),IF(ISNUMBER(iData!AN7),100*ABS($G7-(iData!AN7-$K7)/$M7),0),IF(ISNUMBER(iData!AN7),100*ABS($G7-(iData!AN7-$I7)/$M7),0),IF(iData!AN7&gt;tblIndicators!$AI3,100,IF(ISNUMBER(iData!AN7),100*ABS($G7-(iData!AN7-$I7)/$M7),0)),IF(iData!AN7&lt;0,100,IF(ISNUMBER(iData!AN7),100*ABS($G7-(iData!AN7-$I7)/$M7),0)))</f>
        <v>81.006482936179736</v>
      </c>
      <c r="AV7" s="367"/>
      <c r="AW7" s="368"/>
      <c r="AX7" s="14"/>
      <c r="AY7" s="871">
        <f t="shared" si="8"/>
        <v>77</v>
      </c>
      <c r="AZ7" s="871">
        <f t="shared" si="9"/>
        <v>59.7</v>
      </c>
      <c r="BA7" s="871">
        <f t="shared" si="10"/>
        <v>55.3</v>
      </c>
      <c r="BB7" s="871">
        <f t="shared" si="11"/>
        <v>61.6</v>
      </c>
      <c r="BC7" s="871">
        <f t="shared" si="12"/>
        <v>80.7</v>
      </c>
      <c r="BD7" s="871">
        <f t="shared" si="13"/>
        <v>65.900000000000006</v>
      </c>
      <c r="BE7" s="871">
        <f t="shared" si="14"/>
        <v>40.799999999999997</v>
      </c>
      <c r="BF7" s="871">
        <f t="shared" si="15"/>
        <v>85.4</v>
      </c>
      <c r="BG7" s="871">
        <f t="shared" si="16"/>
        <v>74.2</v>
      </c>
      <c r="BH7" s="871">
        <f t="shared" si="17"/>
        <v>63.5</v>
      </c>
      <c r="BI7" s="871">
        <f t="shared" si="18"/>
        <v>71.2</v>
      </c>
      <c r="BJ7" s="871">
        <f t="shared" si="19"/>
        <v>76.599999999999994</v>
      </c>
      <c r="BK7" s="871">
        <f t="shared" si="20"/>
        <v>48.1</v>
      </c>
      <c r="BL7" s="871">
        <f t="shared" si="21"/>
        <v>58.9</v>
      </c>
      <c r="BM7" s="871">
        <f t="shared" si="22"/>
        <v>71.3</v>
      </c>
      <c r="BN7" s="871">
        <f t="shared" si="23"/>
        <v>64.599999999999994</v>
      </c>
      <c r="BO7" s="871">
        <f t="shared" si="24"/>
        <v>43.8</v>
      </c>
      <c r="BP7" s="871">
        <f t="shared" si="25"/>
        <v>53</v>
      </c>
      <c r="BQ7" s="871">
        <f t="shared" si="26"/>
        <v>28.4</v>
      </c>
      <c r="BR7" s="871">
        <f t="shared" si="27"/>
        <v>76.2</v>
      </c>
      <c r="BS7" s="871">
        <f t="shared" si="28"/>
        <v>71.900000000000006</v>
      </c>
      <c r="BT7" s="871">
        <f t="shared" si="29"/>
        <v>64.900000000000006</v>
      </c>
      <c r="BU7" s="871">
        <f t="shared" si="30"/>
        <v>56.5</v>
      </c>
      <c r="BV7" s="871">
        <f t="shared" si="31"/>
        <v>75.3</v>
      </c>
      <c r="BW7" s="871">
        <f t="shared" si="32"/>
        <v>83.1</v>
      </c>
      <c r="BX7" s="871">
        <f t="shared" si="33"/>
        <v>78</v>
      </c>
      <c r="BY7" s="871">
        <f t="shared" si="34"/>
        <v>71.3</v>
      </c>
      <c r="BZ7" s="871">
        <f t="shared" si="35"/>
        <v>62.8</v>
      </c>
      <c r="CA7" s="871">
        <f t="shared" si="36"/>
        <v>75.599999999999994</v>
      </c>
      <c r="CB7" s="871">
        <f t="shared" si="37"/>
        <v>81</v>
      </c>
      <c r="CD7" s="304">
        <f t="shared" ca="1" si="38"/>
        <v>65.900000000000006</v>
      </c>
      <c r="CE7" s="304">
        <f t="shared" ca="1" si="38"/>
        <v>65.900000000000006</v>
      </c>
      <c r="CF7" s="304">
        <f t="shared" ca="1" si="38"/>
        <v>63.3</v>
      </c>
      <c r="CG7" s="302">
        <f ca="1">IFERROR(ROUND(SUMIF(OFFSET(tblGroups,CG$5-1,0,1,$CE$1),1,OFFSET(aScoresRounded,$B7-1,0,1,$CE$1))/SUM(OFFSET(tblGroups,CG$5-1,0,1,$CE$1)),$CF$1),"n/a")</f>
        <v>71.5</v>
      </c>
      <c r="CH7" s="302">
        <f t="shared" ca="1" si="38"/>
        <v>50.1</v>
      </c>
      <c r="CI7" s="302">
        <f t="shared" ca="1" si="38"/>
        <v>63.5</v>
      </c>
      <c r="CJ7" s="302">
        <f t="shared" ca="1" si="38"/>
        <v>72.2</v>
      </c>
      <c r="CK7" s="302">
        <f t="shared" ca="1" si="38"/>
        <v>40.1</v>
      </c>
      <c r="CL7" s="302">
        <f t="shared" ca="1" si="38"/>
        <v>57.5</v>
      </c>
      <c r="CM7" s="302">
        <f t="shared" ca="1" si="38"/>
        <v>72</v>
      </c>
      <c r="CN7" s="302">
        <f t="shared" ca="1" si="39"/>
        <v>72.599999999999994</v>
      </c>
      <c r="CO7" s="302">
        <f t="shared" ca="1" si="39"/>
        <v>69.3</v>
      </c>
      <c r="CP7" s="302">
        <f t="shared" ca="1" si="39"/>
        <v>60.6</v>
      </c>
      <c r="CQ7" s="302">
        <f t="shared" ca="1" si="39"/>
        <v>58.9</v>
      </c>
    </row>
    <row r="8" spans="1:96" s="124" customFormat="1" ht="27.75" customHeight="1" thickBot="1">
      <c r="A8" s="118"/>
      <c r="B8" s="119">
        <f>tblIndicators!A4</f>
        <v>3</v>
      </c>
      <c r="C8" s="119">
        <f>tblIndicators!B4</f>
        <v>0</v>
      </c>
      <c r="D8" s="119" t="str">
        <f>tblIndicators!E4</f>
        <v>CNTY1_1</v>
      </c>
      <c r="E8" s="119" t="str">
        <f>tblIndicators!F4</f>
        <v>CNTY</v>
      </c>
      <c r="F8" s="119">
        <f>tblIndicators!G4</f>
        <v>2</v>
      </c>
      <c r="G8" s="119">
        <f>tblIndicators!AF4</f>
        <v>0</v>
      </c>
      <c r="H8" s="119">
        <f>tblIndicators!AG4</f>
        <v>1</v>
      </c>
      <c r="I8" s="120">
        <f>tblIndicators!AH4</f>
        <v>0</v>
      </c>
      <c r="J8" s="119">
        <f>tblIndicators!AI4</f>
        <v>0</v>
      </c>
      <c r="K8" s="119">
        <f t="array" ref="K8">MIN(IF(ISNUMBER(iData!K8:AN8),iData!K8:AN8))</f>
        <v>0</v>
      </c>
      <c r="L8" s="121">
        <f t="array" ref="L8">MAX(IF(ISNUMBER(iData!K8:AN8),iData!K8:AN8))</f>
        <v>0</v>
      </c>
      <c r="M8" s="51" t="str">
        <f t="shared" si="7"/>
        <v>-</v>
      </c>
      <c r="N8" s="122" t="str">
        <f>REPT(" ",F8)&amp;tblIndicators!AM4</f>
        <v xml:space="preserve">  1.1) Digital infrastructure</v>
      </c>
      <c r="O8" s="381">
        <f>tblIndicators!AR4</f>
        <v>0.44444444444444442</v>
      </c>
      <c r="P8" s="381"/>
      <c r="Q8" s="323"/>
      <c r="R8" s="123" cm="1">
        <f t="array" ref="R8">CHOOSE($H8,SUMPRODUCT($O9:$O$75*R9:R$75*($E9:$E$75=$D8)),IF(ISNUMBER(iData!K8),100*ABS($G8-(iData!K8-$K8)/$M8),0),IF(ISNUMBER(iData!K8),100*ABS($G8-(iData!K8-$I8)/$M8),0),IF(iData!K8&gt;tblIndicators!$AI4,100,IF(ISNUMBER(iData!K8),100*ABS($G8-(iData!K8-$I8)/$M8),0)),IF(iData!K8&lt;0,100,IF(ISNUMBER(iData!K8),100*ABS($G8-(iData!K8-$I8)/$M8),0)))</f>
        <v>84.044580598979834</v>
      </c>
      <c r="S8" s="123" cm="1">
        <f t="array" ref="S8">CHOOSE($H8,SUMPRODUCT($O9:$O$75*S9:S$75*($E9:$E$75=$D8)),IF(ISNUMBER(iData!L8),100*ABS($G8-(iData!L8-$K8)/$M8),0),IF(ISNUMBER(iData!L8),100*ABS($G8-(iData!L8-$I8)/$M8),0),IF(iData!L8&gt;tblIndicators!$AI4,100,IF(ISNUMBER(iData!L8),100*ABS($G8-(iData!L8-$I8)/$M8),0)),IF(iData!L8&lt;0,100,IF(ISNUMBER(iData!L8),100*ABS($G8-(iData!L8-$I8)/$M8),0)))</f>
        <v>77.25179078253818</v>
      </c>
      <c r="T8" s="123" cm="1">
        <f t="array" ref="T8">CHOOSE($H8,SUMPRODUCT($O9:$O$75*T9:T$75*($E9:$E$75=$D8)),IF(ISNUMBER(iData!M8),100*ABS($G8-(iData!M8-$K8)/$M8),0),IF(ISNUMBER(iData!M8),100*ABS($G8-(iData!M8-$I8)/$M8),0),IF(iData!M8&gt;tblIndicators!$AI4,100,IF(ISNUMBER(iData!M8),100*ABS($G8-(iData!M8-$I8)/$M8),0)),IF(iData!M8&lt;0,100,IF(ISNUMBER(iData!M8),100*ABS($G8-(iData!M8-$I8)/$M8),0)))</f>
        <v>58.994028222032</v>
      </c>
      <c r="U8" s="123" cm="1">
        <f t="array" ref="U8">CHOOSE($H8,SUMPRODUCT($O9:$O$75*U9:U$75*($E9:$E$75=$D8)),IF(ISNUMBER(iData!N8),100*ABS($G8-(iData!N8-$K8)/$M8),0),IF(ISNUMBER(iData!N8),100*ABS($G8-(iData!N8-$I8)/$M8),0),IF(iData!N8&gt;tblIndicators!$AI4,100,IF(ISNUMBER(iData!N8),100*ABS($G8-(iData!N8-$I8)/$M8),0)),IF(iData!N8&lt;0,100,IF(ISNUMBER(iData!N8),100*ABS($G8-(iData!N8-$I8)/$M8),0)))</f>
        <v>74.658287155921968</v>
      </c>
      <c r="V8" s="123" cm="1">
        <f t="array" ref="V8">CHOOSE($H8,SUMPRODUCT($O9:$O$75*V9:V$75*($E9:$E$75=$D8)),IF(ISNUMBER(iData!O8),100*ABS($G8-(iData!O8-$K8)/$M8),0),IF(ISNUMBER(iData!O8),100*ABS($G8-(iData!O8-$I8)/$M8),0),IF(iData!O8&gt;tblIndicators!$AI4,100,IF(ISNUMBER(iData!O8),100*ABS($G8-(iData!O8-$I8)/$M8),0)),IF(iData!O8&lt;0,100,IF(ISNUMBER(iData!O8),100*ABS($G8-(iData!O8-$I8)/$M8),0)))</f>
        <v>73.253372577875894</v>
      </c>
      <c r="W8" s="123" cm="1">
        <f t="array" ref="W8">CHOOSE($H8,SUMPRODUCT($O9:$O$75*W9:W$75*($E9:$E$75=$D8)),IF(ISNUMBER(iData!P8),100*ABS($G8-(iData!P8-$K8)/$M8),0),IF(ISNUMBER(iData!P8),100*ABS($G8-(iData!P8-$I8)/$M8),0),IF(iData!P8&gt;tblIndicators!$AI4,100,IF(ISNUMBER(iData!P8),100*ABS($G8-(iData!P8-$I8)/$M8),0)),IF(iData!P8&lt;0,100,IF(ISNUMBER(iData!P8),100*ABS($G8-(iData!P8-$I8)/$M8),0)))</f>
        <v>76.606858784720657</v>
      </c>
      <c r="X8" s="123" cm="1">
        <f t="array" ref="X8">CHOOSE($H8,SUMPRODUCT($O9:$O$75*X9:X$75*($E9:$E$75=$D8)),IF(ISNUMBER(iData!Q8),100*ABS($G8-(iData!Q8-$K8)/$M8),0),IF(ISNUMBER(iData!Q8),100*ABS($G8-(iData!Q8-$I8)/$M8),0),IF(iData!Q8&gt;tblIndicators!$AI4,100,IF(ISNUMBER(iData!Q8),100*ABS($G8-(iData!Q8-$I8)/$M8),0)),IF(iData!Q8&lt;0,100,IF(ISNUMBER(iData!Q8),100*ABS($G8-(iData!Q8-$I8)/$M8),0)))</f>
        <v>63.947490401605819</v>
      </c>
      <c r="Y8" s="123" cm="1">
        <f t="array" ref="Y8">CHOOSE($H8,SUMPRODUCT($O9:$O$75*Y9:Y$75*($E9:$E$75=$D8)),IF(ISNUMBER(iData!R8),100*ABS($G8-(iData!R8-$K8)/$M8),0),IF(ISNUMBER(iData!R8),100*ABS($G8-(iData!R8-$I8)/$M8),0),IF(iData!R8&gt;tblIndicators!$AI4,100,IF(ISNUMBER(iData!R8),100*ABS($G8-(iData!R8-$I8)/$M8),0)),IF(iData!R8&lt;0,100,IF(ISNUMBER(iData!R8),100*ABS($G8-(iData!R8-$I8)/$M8),0)))</f>
        <v>86.353351053445664</v>
      </c>
      <c r="Z8" s="123" cm="1">
        <f t="array" ref="Z8">CHOOSE($H8,SUMPRODUCT($O9:$O$75*Z9:Z$75*($E9:$E$75=$D8)),IF(ISNUMBER(iData!S8),100*ABS($G8-(iData!S8-$K8)/$M8),0),IF(ISNUMBER(iData!S8),100*ABS($G8-(iData!S8-$I8)/$M8),0),IF(iData!S8&gt;tblIndicators!$AI4,100,IF(ISNUMBER(iData!S8),100*ABS($G8-(iData!S8-$I8)/$M8),0)),IF(iData!S8&lt;0,100,IF(ISNUMBER(iData!S8),100*ABS($G8-(iData!S8-$I8)/$M8),0)))</f>
        <v>84.767521136489904</v>
      </c>
      <c r="AA8" s="123" cm="1">
        <f t="array" ref="AA8">CHOOSE($H8,SUMPRODUCT($O9:$O$75*AA9:AA$75*($E9:$E$75=$D8)),IF(ISNUMBER(iData!T8),100*ABS($G8-(iData!T8-$K8)/$M8),0),IF(ISNUMBER(iData!T8),100*ABS($G8-(iData!T8-$I8)/$M8),0),IF(iData!T8&gt;tblIndicators!$AI4,100,IF(ISNUMBER(iData!T8),100*ABS($G8-(iData!T8-$I8)/$M8),0)),IF(iData!T8&lt;0,100,IF(ISNUMBER(iData!T8),100*ABS($G8-(iData!T8-$I8)/$M8),0)))</f>
        <v>93.083149374540099</v>
      </c>
      <c r="AB8" s="123" cm="1">
        <f t="array" ref="AB8">CHOOSE($H8,SUMPRODUCT($O9:$O$75*AB9:AB$75*($E9:$E$75=$D8)),IF(ISNUMBER(iData!U8),100*ABS($G8-(iData!U8-$K8)/$M8),0),IF(ISNUMBER(iData!U8),100*ABS($G8-(iData!U8-$I8)/$M8),0),IF(iData!U8&gt;tblIndicators!$AI4,100,IF(ISNUMBER(iData!U8),100*ABS($G8-(iData!U8-$I8)/$M8),0)),IF(iData!U8&lt;0,100,IF(ISNUMBER(iData!U8),100*ABS($G8-(iData!U8-$I8)/$M8),0)))</f>
        <v>76.606858784720657</v>
      </c>
      <c r="AC8" s="123" cm="1">
        <f t="array" ref="AC8">CHOOSE($H8,SUMPRODUCT($O9:$O$75*AC9:AC$75*($E9:$E$75=$D8)),IF(ISNUMBER(iData!V8),100*ABS($G8-(iData!V8-$K8)/$M8),0),IF(ISNUMBER(iData!V8),100*ABS($G8-(iData!V8-$I8)/$M8),0),IF(iData!V8&gt;tblIndicators!$AI4,100,IF(ISNUMBER(iData!V8),100*ABS($G8-(iData!V8-$I8)/$M8),0)),IF(iData!V8&lt;0,100,IF(ISNUMBER(iData!V8),100*ABS($G8-(iData!V8-$I8)/$M8),0)))</f>
        <v>84.363222257261981</v>
      </c>
      <c r="AD8" s="123" cm="1">
        <f t="array" ref="AD8">CHOOSE($H8,SUMPRODUCT($O9:$O$75*AD9:AD$75*($E9:$E$75=$D8)),IF(ISNUMBER(iData!W8),100*ABS($G8-(iData!W8-$K8)/$M8),0),IF(ISNUMBER(iData!W8),100*ABS($G8-(iData!W8-$I8)/$M8),0),IF(iData!W8&gt;tblIndicators!$AI4,100,IF(ISNUMBER(iData!W8),100*ABS($G8-(iData!W8-$I8)/$M8),0)),IF(iData!W8&lt;0,100,IF(ISNUMBER(iData!W8),100*ABS($G8-(iData!W8-$I8)/$M8),0)))</f>
        <v>56.974085587141403</v>
      </c>
      <c r="AE8" s="123" cm="1">
        <f t="array" ref="AE8">CHOOSE($H8,SUMPRODUCT($O9:$O$75*AE9:AE$75*($E9:$E$75=$D8)),IF(ISNUMBER(iData!X8),100*ABS($G8-(iData!X8-$K8)/$M8),0),IF(ISNUMBER(iData!X8),100*ABS($G8-(iData!X8-$I8)/$M8),0),IF(iData!X8&gt;tblIndicators!$AI4,100,IF(ISNUMBER(iData!X8),100*ABS($G8-(iData!X8-$I8)/$M8),0)),IF(iData!X8&lt;0,100,IF(ISNUMBER(iData!X8),100*ABS($G8-(iData!X8-$I8)/$M8),0)))</f>
        <v>67.217882296406415</v>
      </c>
      <c r="AF8" s="123" cm="1">
        <f t="array" ref="AF8">CHOOSE($H8,SUMPRODUCT($O9:$O$75*AF9:AF$75*($E9:$E$75=$D8)),IF(ISNUMBER(iData!Y8),100*ABS($G8-(iData!Y8-$K8)/$M8),0),IF(ISNUMBER(iData!Y8),100*ABS($G8-(iData!Y8-$I8)/$M8),0),IF(iData!Y8&gt;tblIndicators!$AI4,100,IF(ISNUMBER(iData!Y8),100*ABS($G8-(iData!Y8-$I8)/$M8),0)),IF(iData!Y8&lt;0,100,IF(ISNUMBER(iData!Y8),100*ABS($G8-(iData!Y8-$I8)/$M8),0)))</f>
        <v>79.350232513903279</v>
      </c>
      <c r="AG8" s="123" cm="1">
        <f t="array" ref="AG8">CHOOSE($H8,SUMPRODUCT($O9:$O$75*AG9:AG$75*($E9:$E$75=$D8)),IF(ISNUMBER(iData!Z8),100*ABS($G8-(iData!Z8-$K8)/$M8),0),IF(ISNUMBER(iData!Z8),100*ABS($G8-(iData!Z8-$I8)/$M8),0),IF(iData!Z8&gt;tblIndicators!$AI4,100,IF(ISNUMBER(iData!Z8),100*ABS($G8-(iData!Z8-$I8)/$M8),0)),IF(iData!Z8&lt;0,100,IF(ISNUMBER(iData!Z8),100*ABS($G8-(iData!Z8-$I8)/$M8),0)))</f>
        <v>74.658287155921968</v>
      </c>
      <c r="AH8" s="123" cm="1">
        <f t="array" ref="AH8">CHOOSE($H8,SUMPRODUCT($O9:$O$75*AH9:AH$75*($E9:$E$75=$D8)),IF(ISNUMBER(iData!AA8),100*ABS($G8-(iData!AA8-$K8)/$M8),0),IF(ISNUMBER(iData!AA8),100*ABS($G8-(iData!AA8-$I8)/$M8),0),IF(iData!AA8&gt;tblIndicators!$AI4,100,IF(ISNUMBER(iData!AA8),100*ABS($G8-(iData!AA8-$I8)/$M8),0)),IF(iData!AA8&lt;0,100,IF(ISNUMBER(iData!AA8),100*ABS($G8-(iData!AA8-$I8)/$M8),0)))</f>
        <v>53.356860036141015</v>
      </c>
      <c r="AI8" s="123" cm="1">
        <f t="array" ref="AI8">CHOOSE($H8,SUMPRODUCT($O9:$O$75*AI9:AI$75*($E9:$E$75=$D8)),IF(ISNUMBER(iData!AB8),100*ABS($G8-(iData!AB8-$K8)/$M8),0),IF(ISNUMBER(iData!AB8),100*ABS($G8-(iData!AB8-$I8)/$M8),0),IF(iData!AB8&gt;tblIndicators!$AI4,100,IF(ISNUMBER(iData!AB8),100*ABS($G8-(iData!AB8-$I8)/$M8),0)),IF(iData!AB8&lt;0,100,IF(ISNUMBER(iData!AB8),100*ABS($G8-(iData!AB8-$I8)/$M8),0)))</f>
        <v>60.659258258122968</v>
      </c>
      <c r="AJ8" s="123" cm="1">
        <f t="array" ref="AJ8">CHOOSE($H8,SUMPRODUCT($O9:$O$75*AJ9:AJ$75*($E9:$E$75=$D8)),IF(ISNUMBER(iData!AC8),100*ABS($G8-(iData!AC8-$K8)/$M8),0),IF(ISNUMBER(iData!AC8),100*ABS($G8-(iData!AC8-$I8)/$M8),0),IF(iData!AC8&gt;tblIndicators!$AI4,100,IF(ISNUMBER(iData!AC8),100*ABS($G8-(iData!AC8-$I8)/$M8),0)),IF(iData!AC8&lt;0,100,IF(ISNUMBER(iData!AC8),100*ABS($G8-(iData!AC8-$I8)/$M8),0)))</f>
        <v>34.444444444444443</v>
      </c>
      <c r="AK8" s="123" cm="1">
        <f t="array" ref="AK8">CHOOSE($H8,SUMPRODUCT($O9:$O$75*AK9:AK$75*($E9:$E$75=$D8)),IF(ISNUMBER(iData!AD8),100*ABS($G8-(iData!AD8-$K8)/$M8),0),IF(ISNUMBER(iData!AD8),100*ABS($G8-(iData!AD8-$I8)/$M8),0),IF(iData!AD8&gt;tblIndicators!$AI4,100,IF(ISNUMBER(iData!AD8),100*ABS($G8-(iData!AD8-$I8)/$M8),0)),IF(iData!AD8&lt;0,100,IF(ISNUMBER(iData!AD8),100*ABS($G8-(iData!AD8-$I8)/$M8),0)))</f>
        <v>84.767521136489904</v>
      </c>
      <c r="AL8" s="123" cm="1">
        <f t="array" ref="AL8">CHOOSE($H8,SUMPRODUCT($O9:$O$75*AL9:AL$75*($E9:$E$75=$D8)),IF(ISNUMBER(iData!AE8),100*ABS($G8-(iData!AE8-$K8)/$M8),0),IF(ISNUMBER(iData!AE8),100*ABS($G8-(iData!AE8-$I8)/$M8),0),IF(iData!AE8&gt;tblIndicators!$AI4,100,IF(ISNUMBER(iData!AE8),100*ABS($G8-(iData!AE8-$I8)/$M8),0)),IF(iData!AE8&lt;0,100,IF(ISNUMBER(iData!AE8),100*ABS($G8-(iData!AE8-$I8)/$M8),0)))</f>
        <v>80.386999244142103</v>
      </c>
      <c r="AM8" s="123" cm="1">
        <f t="array" ref="AM8">CHOOSE($H8,SUMPRODUCT($O9:$O$75*AM9:AM$75*($E9:$E$75=$D8)),IF(ISNUMBER(iData!AF8),100*ABS($G8-(iData!AF8-$K8)/$M8),0),IF(ISNUMBER(iData!AF8),100*ABS($G8-(iData!AF8-$I8)/$M8),0),IF(iData!AF8&gt;tblIndicators!$AI4,100,IF(ISNUMBER(iData!AF8),100*ABS($G8-(iData!AF8-$I8)/$M8),0)),IF(iData!AF8&lt;0,100,IF(ISNUMBER(iData!AF8),100*ABS($G8-(iData!AF8-$I8)/$M8),0)))</f>
        <v>70.357736030394491</v>
      </c>
      <c r="AN8" s="123" cm="1">
        <f t="array" ref="AN8">CHOOSE($H8,SUMPRODUCT($O9:$O$75*AN9:AN$75*($E9:$E$75=$D8)),IF(ISNUMBER(iData!AG8),100*ABS($G8-(iData!AG8-$K8)/$M8),0),IF(ISNUMBER(iData!AG8),100*ABS($G8-(iData!AG8-$I8)/$M8),0),IF(iData!AG8&gt;tblIndicators!$AI4,100,IF(ISNUMBER(iData!AG8),100*ABS($G8-(iData!AG8-$I8)/$M8),0)),IF(iData!AG8&lt;0,100,IF(ISNUMBER(iData!AG8),100*ABS($G8-(iData!AG8-$I8)/$M8),0)))</f>
        <v>63.783524300080586</v>
      </c>
      <c r="AO8" s="123" cm="1">
        <f t="array" ref="AO8">CHOOSE($H8,SUMPRODUCT($O9:$O$75*AO9:AO$75*($E9:$E$75=$D8)),IF(ISNUMBER(iData!AH8),100*ABS($G8-(iData!AH8-$K8)/$M8),0),IF(ISNUMBER(iData!AH8),100*ABS($G8-(iData!AH8-$I8)/$M8),0),IF(iData!AH8&gt;tblIndicators!$AI4,100,IF(ISNUMBER(iData!AH8),100*ABS($G8-(iData!AH8-$I8)/$M8),0)),IF(iData!AH8&lt;0,100,IF(ISNUMBER(iData!AH8),100*ABS($G8-(iData!AH8-$I8)/$M8),0)))</f>
        <v>82.050096859936033</v>
      </c>
      <c r="AP8" s="123" cm="1">
        <f t="array" ref="AP8">CHOOSE($H8,SUMPRODUCT($O9:$O$75*AP9:AP$75*($E9:$E$75=$D8)),IF(ISNUMBER(iData!AI8),100*ABS($G8-(iData!AI8-$K8)/$M8),0),IF(ISNUMBER(iData!AI8),100*ABS($G8-(iData!AI8-$I8)/$M8),0),IF(iData!AI8&gt;tblIndicators!$AI4,100,IF(ISNUMBER(iData!AI8),100*ABS($G8-(iData!AI8-$I8)/$M8),0)),IF(iData!AI8&lt;0,100,IF(ISNUMBER(iData!AI8),100*ABS($G8-(iData!AI8-$I8)/$M8),0)))</f>
        <v>78.712668879177869</v>
      </c>
      <c r="AQ8" s="123" cm="1">
        <f t="array" ref="AQ8">CHOOSE($H8,SUMPRODUCT($O9:$O$75*AQ9:AQ$75*($E9:$E$75=$D8)),IF(ISNUMBER(iData!AJ8),100*ABS($G8-(iData!AJ8-$K8)/$M8),0),IF(ISNUMBER(iData!AJ8),100*ABS($G8-(iData!AJ8-$I8)/$M8),0),IF(iData!AJ8&gt;tblIndicators!$AI4,100,IF(ISNUMBER(iData!AJ8),100*ABS($G8-(iData!AJ8-$I8)/$M8),0)),IF(iData!AJ8&lt;0,100,IF(ISNUMBER(iData!AJ8),100*ABS($G8-(iData!AJ8-$I8)/$M8),0)))</f>
        <v>80.218988552006522</v>
      </c>
      <c r="AR8" s="123" cm="1">
        <f t="array" ref="AR8">CHOOSE($H8,SUMPRODUCT($O9:$O$75*AR9:AR$75*($E9:$E$75=$D8)),IF(ISNUMBER(iData!AK8),100*ABS($G8-(iData!AK8-$K8)/$M8),0),IF(ISNUMBER(iData!AK8),100*ABS($G8-(iData!AK8-$I8)/$M8),0),IF(iData!AK8&gt;tblIndicators!$AI4,100,IF(ISNUMBER(iData!AK8),100*ABS($G8-(iData!AK8-$I8)/$M8),0)),IF(iData!AK8&lt;0,100,IF(ISNUMBER(iData!AK8),100*ABS($G8-(iData!AK8-$I8)/$M8),0)))</f>
        <v>93.917095903850864</v>
      </c>
      <c r="AS8" s="123" cm="1">
        <f t="array" ref="AS8">CHOOSE($H8,SUMPRODUCT($O9:$O$75*AS9:AS$75*($E9:$E$75=$D8)),IF(ISNUMBER(iData!AL8),100*ABS($G8-(iData!AL8-$K8)/$M8),0),IF(ISNUMBER(iData!AL8),100*ABS($G8-(iData!AL8-$I8)/$M8),0),IF(iData!AL8&gt;tblIndicators!$AI4,100,IF(ISNUMBER(iData!AL8),100*ABS($G8-(iData!AL8-$I8)/$M8),0)),IF(iData!AL8&lt;0,100,IF(ISNUMBER(iData!AL8),100*ABS($G8-(iData!AL8-$I8)/$M8),0)))</f>
        <v>74.328092384856802</v>
      </c>
      <c r="AT8" s="123" cm="1">
        <f t="array" ref="AT8">CHOOSE($H8,SUMPRODUCT($O9:$O$75*AT9:AT$75*($E9:$E$75=$D8)),IF(ISNUMBER(iData!AM8),100*ABS($G8-(iData!AM8-$K8)/$M8),0),IF(ISNUMBER(iData!AM8),100*ABS($G8-(iData!AM8-$I8)/$M8),0),IF(iData!AM8&gt;tblIndicators!$AI4,100,IF(ISNUMBER(iData!AM8),100*ABS($G8-(iData!AM8-$I8)/$M8),0)),IF(iData!AM8&lt;0,100,IF(ISNUMBER(iData!AM8),100*ABS($G8-(iData!AM8-$I8)/$M8),0)))</f>
        <v>84.767521136489904</v>
      </c>
      <c r="AU8" s="123" cm="1">
        <f t="array" ref="AU8">CHOOSE($H8,SUMPRODUCT($O9:$O$75*AU9:AU$75*($E9:$E$75=$D8)),IF(ISNUMBER(iData!AN8),100*ABS($G8-(iData!AN8-$K8)/$M8),0),IF(ISNUMBER(iData!AN8),100*ABS($G8-(iData!AN8-$I8)/$M8),0),IF(iData!AN8&gt;tblIndicators!$AI4,100,IF(ISNUMBER(iData!AN8),100*ABS($G8-(iData!AN8-$I8)/$M8),0)),IF(iData!AN8&lt;0,100,IF(ISNUMBER(iData!AN8),100*ABS($G8-(iData!AN8-$I8)/$M8),0)))</f>
        <v>81.369914853358566</v>
      </c>
      <c r="AV8" s="367"/>
      <c r="AW8" s="368"/>
      <c r="AX8" s="14"/>
      <c r="AY8" s="871">
        <f t="shared" ref="AY8:AY74" si="40">ROUND(R8,$AY$2)</f>
        <v>84</v>
      </c>
      <c r="AZ8" s="871">
        <f t="shared" ref="AZ8:AZ74" si="41">ROUND(S8,$AY$2)</f>
        <v>77.3</v>
      </c>
      <c r="BA8" s="871">
        <f t="shared" ref="BA8:BA74" si="42">ROUND(T8,$AY$2)</f>
        <v>59</v>
      </c>
      <c r="BB8" s="871">
        <f t="shared" ref="BB8:BB74" si="43">ROUND(U8,$AY$2)</f>
        <v>74.7</v>
      </c>
      <c r="BC8" s="871">
        <f t="shared" ref="BC8:BC74" si="44">ROUND(V8,$AY$2)</f>
        <v>73.3</v>
      </c>
      <c r="BD8" s="871">
        <f t="shared" ref="BD8:BD74" si="45">ROUND(W8,$AY$2)</f>
        <v>76.599999999999994</v>
      </c>
      <c r="BE8" s="871">
        <f t="shared" ref="BE8:BE74" si="46">ROUND(X8,$AY$2)</f>
        <v>63.9</v>
      </c>
      <c r="BF8" s="871">
        <f t="shared" ref="BF8:BF74" si="47">ROUND(Y8,$AY$2)</f>
        <v>86.4</v>
      </c>
      <c r="BG8" s="871">
        <f t="shared" ref="BG8:BG74" si="48">ROUND(Z8,$AY$2)</f>
        <v>84.8</v>
      </c>
      <c r="BH8" s="871">
        <f t="shared" ref="BH8:BH74" si="49">ROUND(AA8,$AY$2)</f>
        <v>93.1</v>
      </c>
      <c r="BI8" s="871">
        <f t="shared" ref="BI8:BI74" si="50">ROUND(AB8,$AY$2)</f>
        <v>76.599999999999994</v>
      </c>
      <c r="BJ8" s="871">
        <f t="shared" ref="BJ8:BJ74" si="51">ROUND(AC8,$AY$2)</f>
        <v>84.4</v>
      </c>
      <c r="BK8" s="871">
        <f t="shared" ref="BK8:BK74" si="52">ROUND(AD8,$AY$2)</f>
        <v>57</v>
      </c>
      <c r="BL8" s="871">
        <f t="shared" ref="BL8:BL74" si="53">ROUND(AE8,$AY$2)</f>
        <v>67.2</v>
      </c>
      <c r="BM8" s="871">
        <f t="shared" ref="BM8:BM74" si="54">ROUND(AF8,$AY$2)</f>
        <v>79.400000000000006</v>
      </c>
      <c r="BN8" s="871">
        <f t="shared" ref="BN8:BN74" si="55">ROUND(AG8,$AY$2)</f>
        <v>74.7</v>
      </c>
      <c r="BO8" s="871">
        <f t="shared" ref="BO8:BO74" si="56">ROUND(AH8,$AY$2)</f>
        <v>53.4</v>
      </c>
      <c r="BP8" s="871">
        <f t="shared" ref="BP8:BP74" si="57">ROUND(AI8,$AY$2)</f>
        <v>60.7</v>
      </c>
      <c r="BQ8" s="871">
        <f t="shared" ref="BQ8:BQ74" si="58">ROUND(AJ8,$AY$2)</f>
        <v>34.4</v>
      </c>
      <c r="BR8" s="871">
        <f t="shared" ref="BR8:BR74" si="59">ROUND(AK8,$AY$2)</f>
        <v>84.8</v>
      </c>
      <c r="BS8" s="871">
        <f t="shared" ref="BS8:BS74" si="60">ROUND(AL8,$AY$2)</f>
        <v>80.400000000000006</v>
      </c>
      <c r="BT8" s="871">
        <f t="shared" ref="BT8:BT74" si="61">ROUND(AM8,$AY$2)</f>
        <v>70.400000000000006</v>
      </c>
      <c r="BU8" s="871">
        <f t="shared" ref="BU8:BU74" si="62">ROUND(AN8,$AY$2)</f>
        <v>63.8</v>
      </c>
      <c r="BV8" s="871">
        <f t="shared" ref="BV8:BV74" si="63">ROUND(AO8,$AY$2)</f>
        <v>82.1</v>
      </c>
      <c r="BW8" s="871">
        <f t="shared" ref="BW8:BW74" si="64">ROUND(AP8,$AY$2)</f>
        <v>78.7</v>
      </c>
      <c r="BX8" s="871">
        <f t="shared" ref="BX8:BX74" si="65">ROUND(AQ8,$AY$2)</f>
        <v>80.2</v>
      </c>
      <c r="BY8" s="871">
        <f t="shared" ref="BY8:BY74" si="66">ROUND(AR8,$AY$2)</f>
        <v>93.9</v>
      </c>
      <c r="BZ8" s="871">
        <f t="shared" ref="BZ8:BZ74" si="67">ROUND(AS8,$AY$2)</f>
        <v>74.3</v>
      </c>
      <c r="CA8" s="871">
        <f t="shared" ref="CA8:CA74" si="68">ROUND(AT8,$AY$2)</f>
        <v>84.8</v>
      </c>
      <c r="CB8" s="871">
        <f t="shared" ref="CB8:CB74" si="69">ROUND(AU8,$AY$2)</f>
        <v>81.400000000000006</v>
      </c>
      <c r="CD8" s="304">
        <f t="shared" ca="1" si="38"/>
        <v>74.5</v>
      </c>
      <c r="CE8" s="304">
        <f t="shared" ca="1" si="38"/>
        <v>74.5</v>
      </c>
      <c r="CF8" s="304">
        <f t="shared" ca="1" si="38"/>
        <v>70.099999999999994</v>
      </c>
      <c r="CG8" s="302">
        <f t="shared" ca="1" si="38"/>
        <v>78.5</v>
      </c>
      <c r="CH8" s="302">
        <f t="shared" ca="1" si="38"/>
        <v>62.8</v>
      </c>
      <c r="CI8" s="302">
        <f t="shared" ca="1" si="38"/>
        <v>93.1</v>
      </c>
      <c r="CJ8" s="302">
        <f t="shared" ca="1" si="38"/>
        <v>82.2</v>
      </c>
      <c r="CK8" s="302">
        <f t="shared" ca="1" si="38"/>
        <v>48.3</v>
      </c>
      <c r="CL8" s="302">
        <f t="shared" ca="1" si="38"/>
        <v>64.7</v>
      </c>
      <c r="CM8" s="302">
        <f t="shared" ca="1" si="38"/>
        <v>81.099999999999994</v>
      </c>
      <c r="CN8" s="302">
        <f t="shared" ca="1" si="39"/>
        <v>81.2</v>
      </c>
      <c r="CO8" s="302">
        <f t="shared" ca="1" si="39"/>
        <v>77.8</v>
      </c>
      <c r="CP8" s="302">
        <f t="shared" ca="1" si="39"/>
        <v>68.099999999999994</v>
      </c>
      <c r="CQ8" s="302">
        <f t="shared" ca="1" si="39"/>
        <v>68.2</v>
      </c>
    </row>
    <row r="9" spans="1:96" s="124" customFormat="1" ht="27.75" customHeight="1" thickBot="1">
      <c r="A9" s="118"/>
      <c r="B9" s="119">
        <f>tblIndicators!A5</f>
        <v>4</v>
      </c>
      <c r="C9" s="119">
        <f>tblIndicators!B5</f>
        <v>0</v>
      </c>
      <c r="D9" s="119" t="str">
        <f>tblIndicators!E5</f>
        <v>CNTY1_1_1</v>
      </c>
      <c r="E9" s="119" t="str">
        <f>tblIndicators!F5</f>
        <v>CNTY1_1</v>
      </c>
      <c r="F9" s="119">
        <f>tblIndicators!G5</f>
        <v>3</v>
      </c>
      <c r="G9" s="119">
        <f>tblIndicators!AF5</f>
        <v>0</v>
      </c>
      <c r="H9" s="119">
        <f>tblIndicators!AG5</f>
        <v>4</v>
      </c>
      <c r="I9" s="120">
        <f>tblIndicators!AH5</f>
        <v>53</v>
      </c>
      <c r="J9" s="119">
        <f>tblIndicators!AI5</f>
        <v>200</v>
      </c>
      <c r="K9" s="119">
        <f t="array" ref="K9">MIN(IF(ISNUMBER(iData!K9:AN9),iData!K9:AN9))</f>
        <v>53</v>
      </c>
      <c r="L9" s="121">
        <f t="array" ref="L9">MAX(IF(ISNUMBER(iData!K9:AN9),iData!K9:AN9))</f>
        <v>209.9</v>
      </c>
      <c r="M9" s="51">
        <f t="shared" si="7"/>
        <v>147</v>
      </c>
      <c r="N9" s="122" t="str">
        <f>REPT(" ",F9)&amp;tblIndicators!AM5</f>
        <v xml:space="preserve">   1.1.1) Mobile broadband subscriptions</v>
      </c>
      <c r="O9" s="381">
        <f>tblIndicators!AR5</f>
        <v>0.28888888888888886</v>
      </c>
      <c r="P9" s="381"/>
      <c r="Q9" s="323"/>
      <c r="R9" s="123" cm="1">
        <f t="array" ref="R9">CHOOSE($H9,SUMPRODUCT($O10:$O$75*R10:R$75*($E10:$E$75=$D9)),IF(ISNUMBER(iData!K9),100*ABS($G9-(iData!K9-$K9)/$M9),0),IF(ISNUMBER(iData!K9),100*ABS($G9-(iData!K9-$I9)/$M9),0),IF(iData!K9&gt;tblIndicators!$AI5,100,IF(ISNUMBER(iData!K9),100*ABS($G9-(iData!K9-$I9)/$M9),0)),IF(iData!K9&lt;0,100,IF(ISNUMBER(iData!K9),100*ABS($G9-(iData!K9-$I9)/$M9),0)))</f>
        <v>49.863945578231288</v>
      </c>
      <c r="S9" s="123" cm="1">
        <f t="array" ref="S9">CHOOSE($H9,SUMPRODUCT($O10:$O$75*S10:S$75*($E10:$E$75=$D9)),IF(ISNUMBER(iData!L9),100*ABS($G9-(iData!L9-$K9)/$M9),0),IF(ISNUMBER(iData!L9),100*ABS($G9-(iData!L9-$I9)/$M9),0),IF(iData!L9&gt;tblIndicators!$AI5,100,IF(ISNUMBER(iData!L9),100*ABS($G9-(iData!L9-$I9)/$M9),0)),IF(iData!L9&lt;0,100,IF(ISNUMBER(iData!L9),100*ABS($G9-(iData!L9-$I9)/$M9),0)))</f>
        <v>41.972789115646258</v>
      </c>
      <c r="T9" s="123" cm="1">
        <f t="array" ref="T9">CHOOSE($H9,SUMPRODUCT($O10:$O$75*T10:T$75*($E10:$E$75=$D9)),IF(ISNUMBER(iData!M9),100*ABS($G9-(iData!M9-$K9)/$M9),0),IF(ISNUMBER(iData!M9),100*ABS($G9-(iData!M9-$I9)/$M9),0),IF(iData!M9&gt;tblIndicators!$AI5,100,IF(ISNUMBER(iData!M9),100*ABS($G9-(iData!M9-$I9)/$M9),0)),IF(iData!M9&lt;0,100,IF(ISNUMBER(iData!M9),100*ABS($G9-(iData!M9-$I9)/$M9),0)))</f>
        <v>32.585034013605444</v>
      </c>
      <c r="U9" s="123" cm="1">
        <f t="array" ref="U9">CHOOSE($H9,SUMPRODUCT($O10:$O$75*U10:U$75*($E10:$E$75=$D9)),IF(ISNUMBER(iData!N9),100*ABS($G9-(iData!N9-$K9)/$M9),0),IF(ISNUMBER(iData!N9),100*ABS($G9-(iData!N9-$I9)/$M9),0),IF(iData!N9&gt;tblIndicators!$AI5,100,IF(ISNUMBER(iData!N9),100*ABS($G9-(iData!N9-$I9)/$M9),0)),IF(iData!N9&lt;0,100,IF(ISNUMBER(iData!N9),100*ABS($G9-(iData!N9-$I9)/$M9),0)))</f>
        <v>34.353741496598637</v>
      </c>
      <c r="V9" s="123" cm="1">
        <f t="array" ref="V9">CHOOSE($H9,SUMPRODUCT($O10:$O$75*V10:V$75*($E10:$E$75=$D9)),IF(ISNUMBER(iData!O9),100*ABS($G9-(iData!O9-$K9)/$M9),0),IF(ISNUMBER(iData!O9),100*ABS($G9-(iData!O9-$I9)/$M9),0),IF(iData!O9&gt;tblIndicators!$AI5,100,IF(ISNUMBER(iData!O9),100*ABS($G9-(iData!O9-$I9)/$M9),0)),IF(iData!O9&lt;0,100,IF(ISNUMBER(iData!O9),100*ABS($G9-(iData!O9-$I9)/$M9),0)))</f>
        <v>30</v>
      </c>
      <c r="W9" s="123" cm="1">
        <f t="array" ref="W9">CHOOSE($H9,SUMPRODUCT($O10:$O$75*W10:W$75*($E10:$E$75=$D9)),IF(ISNUMBER(iData!P9),100*ABS($G9-(iData!P9-$K9)/$M9),0),IF(ISNUMBER(iData!P9),100*ABS($G9-(iData!P9-$I9)/$M9),0),IF(iData!P9&gt;tblIndicators!$AI5,100,IF(ISNUMBER(iData!P9),100*ABS($G9-(iData!P9-$I9)/$M9),0)),IF(iData!P9&lt;0,100,IF(ISNUMBER(iData!P9),100*ABS($G9-(iData!P9-$I9)/$M9),0)))</f>
        <v>25.646258503401363</v>
      </c>
      <c r="X9" s="123" cm="1">
        <f t="array" ref="X9">CHOOSE($H9,SUMPRODUCT($O10:$O$75*X10:X$75*($E10:$E$75=$D9)),IF(ISNUMBER(iData!Q9),100*ABS($G9-(iData!Q9-$K9)/$M9),0),IF(ISNUMBER(iData!Q9),100*ABS($G9-(iData!Q9-$I9)/$M9),0),IF(iData!Q9&gt;tblIndicators!$AI5,100,IF(ISNUMBER(iData!Q9),100*ABS($G9-(iData!Q9-$I9)/$M9),0)),IF(iData!Q9&lt;0,100,IF(ISNUMBER(iData!Q9),100*ABS($G9-(iData!Q9-$I9)/$M9),0)))</f>
        <v>18.84353741496599</v>
      </c>
      <c r="Y9" s="123" cm="1">
        <f t="array" ref="Y9">CHOOSE($H9,SUMPRODUCT($O10:$O$75*Y10:Y$75*($E10:$E$75=$D9)),IF(ISNUMBER(iData!R9),100*ABS($G9-(iData!R9-$K9)/$M9),0),IF(ISNUMBER(iData!R9),100*ABS($G9-(iData!R9-$I9)/$M9),0),IF(iData!R9&gt;tblIndicators!$AI5,100,IF(ISNUMBER(iData!R9),100*ABS($G9-(iData!R9-$I9)/$M9),0)),IF(iData!R9&lt;0,100,IF(ISNUMBER(iData!R9),100*ABS($G9-(iData!R9-$I9)/$M9),0)))</f>
        <v>57.006802721088448</v>
      </c>
      <c r="Z9" s="123" cm="1">
        <f t="array" ref="Z9">CHOOSE($H9,SUMPRODUCT($O10:$O$75*Z10:Z$75*($E10:$E$75=$D9)),IF(ISNUMBER(iData!S9),100*ABS($G9-(iData!S9-$K9)/$M9),0),IF(ISNUMBER(iData!S9),100*ABS($G9-(iData!S9-$I9)/$M9),0),IF(iData!S9&gt;tblIndicators!$AI5,100,IF(ISNUMBER(iData!S9),100*ABS($G9-(iData!S9-$I9)/$M9),0)),IF(iData!S9&lt;0,100,IF(ISNUMBER(iData!S9),100*ABS($G9-(iData!S9-$I9)/$M9),0)))</f>
        <v>65.102040816326522</v>
      </c>
      <c r="AA9" s="123" cm="1">
        <f t="array" ref="AA9">CHOOSE($H9,SUMPRODUCT($O10:$O$75*AA10:AA$75*($E10:$E$75=$D9)),IF(ISNUMBER(iData!T9),100*ABS($G9-(iData!T9-$K9)/$M9),0),IF(ISNUMBER(iData!T9),100*ABS($G9-(iData!T9-$I9)/$M9),0),IF(iData!T9&gt;tblIndicators!$AI5,100,IF(ISNUMBER(iData!T9),100*ABS($G9-(iData!T9-$I9)/$M9),0)),IF(iData!T9&lt;0,100,IF(ISNUMBER(iData!T9),100*ABS($G9-(iData!T9-$I9)/$M9),0)))</f>
        <v>100</v>
      </c>
      <c r="AB9" s="123" cm="1">
        <f t="array" ref="AB9">CHOOSE($H9,SUMPRODUCT($O10:$O$75*AB10:AB$75*($E10:$E$75=$D9)),IF(ISNUMBER(iData!U9),100*ABS($G9-(iData!U9-$K9)/$M9),0),IF(ISNUMBER(iData!U9),100*ABS($G9-(iData!U9-$I9)/$M9),0),IF(iData!U9&gt;tblIndicators!$AI5,100,IF(ISNUMBER(iData!U9),100*ABS($G9-(iData!U9-$I9)/$M9),0)),IF(iData!U9&lt;0,100,IF(ISNUMBER(iData!U9),100*ABS($G9-(iData!U9-$I9)/$M9),0)))</f>
        <v>25.646258503401363</v>
      </c>
      <c r="AC9" s="123" cm="1">
        <f t="array" ref="AC9">CHOOSE($H9,SUMPRODUCT($O10:$O$75*AC10:AC$75*($E10:$E$75=$D9)),IF(ISNUMBER(iData!V9),100*ABS($G9-(iData!V9-$K9)/$M9),0),IF(ISNUMBER(iData!V9),100*ABS($G9-(iData!V9-$I9)/$M9),0),IF(iData!V9&gt;tblIndicators!$AI5,100,IF(ISNUMBER(iData!V9),100*ABS($G9-(iData!V9-$I9)/$M9),0)),IF(iData!V9&lt;0,100,IF(ISNUMBER(iData!V9),100*ABS($G9-(iData!V9-$I9)/$M9),0)))</f>
        <v>60.476190476190482</v>
      </c>
      <c r="AD9" s="123" cm="1">
        <f t="array" ref="AD9">CHOOSE($H9,SUMPRODUCT($O10:$O$75*AD10:AD$75*($E10:$E$75=$D9)),IF(ISNUMBER(iData!W9),100*ABS($G9-(iData!W9-$K9)/$M9),0),IF(ISNUMBER(iData!W9),100*ABS($G9-(iData!W9-$I9)/$M9),0),IF(iData!W9&gt;tblIndicators!$AI5,100,IF(ISNUMBER(iData!W9),100*ABS($G9-(iData!W9-$I9)/$M9),0)),IF(iData!W9&lt;0,100,IF(ISNUMBER(iData!W9),100*ABS($G9-(iData!W9-$I9)/$M9),0)))</f>
        <v>24.081632653061227</v>
      </c>
      <c r="AE9" s="123" cm="1">
        <f t="array" ref="AE9">CHOOSE($H9,SUMPRODUCT($O10:$O$75*AE10:AE$75*($E10:$E$75=$D9)),IF(ISNUMBER(iData!X9),100*ABS($G9-(iData!X9-$K9)/$M9),0),IF(ISNUMBER(iData!X9),100*ABS($G9-(iData!X9-$I9)/$M9),0),IF(iData!X9&gt;tblIndicators!$AI5,100,IF(ISNUMBER(iData!X9),100*ABS($G9-(iData!X9-$I9)/$M9),0)),IF(iData!X9&lt;0,100,IF(ISNUMBER(iData!X9),100*ABS($G9-(iData!X9-$I9)/$M9),0)))</f>
        <v>48.503401360544217</v>
      </c>
      <c r="AF9" s="123" cm="1">
        <f t="array" ref="AF9">CHOOSE($H9,SUMPRODUCT($O10:$O$75*AF10:AF$75*($E10:$E$75=$D9)),IF(ISNUMBER(iData!Y9),100*ABS($G9-(iData!Y9-$K9)/$M9),0),IF(ISNUMBER(iData!Y9),100*ABS($G9-(iData!Y9-$I9)/$M9),0),IF(iData!Y9&gt;tblIndicators!$AI5,100,IF(ISNUMBER(iData!Y9),100*ABS($G9-(iData!Y9-$I9)/$M9),0)),IF(iData!Y9&lt;0,100,IF(ISNUMBER(iData!Y9),100*ABS($G9-(iData!Y9-$I9)/$M9),0)))</f>
        <v>39.387755102040821</v>
      </c>
      <c r="AG9" s="123" cm="1">
        <f t="array" ref="AG9">CHOOSE($H9,SUMPRODUCT($O10:$O$75*AG10:AG$75*($E10:$E$75=$D9)),IF(ISNUMBER(iData!Z9),100*ABS($G9-(iData!Z9-$K9)/$M9),0),IF(ISNUMBER(iData!Z9),100*ABS($G9-(iData!Z9-$I9)/$M9),0),IF(iData!Z9&gt;tblIndicators!$AI5,100,IF(ISNUMBER(iData!Z9),100*ABS($G9-(iData!Z9-$I9)/$M9),0)),IF(iData!Z9&lt;0,100,IF(ISNUMBER(iData!Z9),100*ABS($G9-(iData!Z9-$I9)/$M9),0)))</f>
        <v>34.353741496598637</v>
      </c>
      <c r="AH9" s="123" cm="1">
        <f t="array" ref="AH9">CHOOSE($H9,SUMPRODUCT($O10:$O$75*AH10:AH$75*($E10:$E$75=$D9)),IF(ISNUMBER(iData!AA9),100*ABS($G9-(iData!AA9-$K9)/$M9),0),IF(ISNUMBER(iData!AA9),100*ABS($G9-(iData!AA9-$I9)/$M9),0),IF(iData!AA9&gt;tblIndicators!$AI5,100,IF(ISNUMBER(iData!AA9),100*ABS($G9-(iData!AA9-$I9)/$M9),0)),IF(iData!AA9&lt;0,100,IF(ISNUMBER(iData!AA9),100*ABS($G9-(iData!AA9-$I9)/$M9),0)))</f>
        <v>8.8435374149659864</v>
      </c>
      <c r="AI9" s="123" cm="1">
        <f t="array" ref="AI9">CHOOSE($H9,SUMPRODUCT($O10:$O$75*AI10:AI$75*($E10:$E$75=$D9)),IF(ISNUMBER(iData!AB9),100*ABS($G9-(iData!AB9-$K9)/$M9),0),IF(ISNUMBER(iData!AB9),100*ABS($G9-(iData!AB9-$I9)/$M9),0),IF(iData!AB9&gt;tblIndicators!$AI5,100,IF(ISNUMBER(iData!AB9),100*ABS($G9-(iData!AB9-$I9)/$M9),0)),IF(iData!AB9&lt;0,100,IF(ISNUMBER(iData!AB9),100*ABS($G9-(iData!AB9-$I9)/$M9),0)))</f>
        <v>15.4421768707483</v>
      </c>
      <c r="AJ9" s="123" cm="1">
        <f t="array" ref="AJ9">CHOOSE($H9,SUMPRODUCT($O10:$O$75*AJ10:AJ$75*($E10:$E$75=$D9)),IF(ISNUMBER(iData!AC9),100*ABS($G9-(iData!AC9-$K9)/$M9),0),IF(ISNUMBER(iData!AC9),100*ABS($G9-(iData!AC9-$I9)/$M9),0),IF(iData!AC9&gt;tblIndicators!$AI5,100,IF(ISNUMBER(iData!AC9),100*ABS($G9-(iData!AC9-$I9)/$M9),0)),IF(iData!AC9&lt;0,100,IF(ISNUMBER(iData!AC9),100*ABS($G9-(iData!AC9-$I9)/$M9),0)))</f>
        <v>0</v>
      </c>
      <c r="AK9" s="123" cm="1">
        <f t="array" ref="AK9">CHOOSE($H9,SUMPRODUCT($O10:$O$75*AK10:AK$75*($E10:$E$75=$D9)),IF(ISNUMBER(iData!AD9),100*ABS($G9-(iData!AD9-$K9)/$M9),0),IF(ISNUMBER(iData!AD9),100*ABS($G9-(iData!AD9-$I9)/$M9),0),IF(iData!AD9&gt;tblIndicators!$AI5,100,IF(ISNUMBER(iData!AD9),100*ABS($G9-(iData!AD9-$I9)/$M9),0)),IF(iData!AD9&lt;0,100,IF(ISNUMBER(iData!AD9),100*ABS($G9-(iData!AD9-$I9)/$M9),0)))</f>
        <v>65.102040816326522</v>
      </c>
      <c r="AL9" s="123" cm="1">
        <f t="array" ref="AL9">CHOOSE($H9,SUMPRODUCT($O10:$O$75*AL10:AL$75*($E10:$E$75=$D9)),IF(ISNUMBER(iData!AE9),100*ABS($G9-(iData!AE9-$K9)/$M9),0),IF(ISNUMBER(iData!AE9),100*ABS($G9-(iData!AE9-$I9)/$M9),0),IF(iData!AE9&gt;tblIndicators!$AI5,100,IF(ISNUMBER(iData!AE9),100*ABS($G9-(iData!AE9-$I9)/$M9),0)),IF(iData!AE9&lt;0,100,IF(ISNUMBER(iData!AE9),100*ABS($G9-(iData!AE9-$I9)/$M9),0)))</f>
        <v>32.10884353741497</v>
      </c>
      <c r="AM9" s="123" cm="1">
        <f t="array" ref="AM9">CHOOSE($H9,SUMPRODUCT($O10:$O$75*AM10:AM$75*($E10:$E$75=$D9)),IF(ISNUMBER(iData!AF9),100*ABS($G9-(iData!AF9-$K9)/$M9),0),IF(ISNUMBER(iData!AF9),100*ABS($G9-(iData!AF9-$I9)/$M9),0),IF(iData!AF9&gt;tblIndicators!$AI5,100,IF(ISNUMBER(iData!AF9),100*ABS($G9-(iData!AF9-$I9)/$M9),0)),IF(iData!AF9&lt;0,100,IF(ISNUMBER(iData!AF9),100*ABS($G9-(iData!AF9-$I9)/$M9),0)))</f>
        <v>26.938775510204078</v>
      </c>
      <c r="AN9" s="123" cm="1">
        <f t="array" ref="AN9">CHOOSE($H9,SUMPRODUCT($O10:$O$75*AN10:AN$75*($E10:$E$75=$D9)),IF(ISNUMBER(iData!AG9),100*ABS($G9-(iData!AG9-$K9)/$M9),0),IF(ISNUMBER(iData!AG9),100*ABS($G9-(iData!AG9-$I9)/$M9),0),IF(iData!AG9&gt;tblIndicators!$AI5,100,IF(ISNUMBER(iData!AG9),100*ABS($G9-(iData!AG9-$I9)/$M9),0)),IF(iData!AG9&lt;0,100,IF(ISNUMBER(iData!AG9),100*ABS($G9-(iData!AG9-$I9)/$M9),0)))</f>
        <v>25.23809523809523</v>
      </c>
      <c r="AO9" s="123" cm="1">
        <f t="array" ref="AO9">CHOOSE($H9,SUMPRODUCT($O10:$O$75*AO10:AO$75*($E10:$E$75=$D9)),IF(ISNUMBER(iData!AH9),100*ABS($G9-(iData!AH9-$K9)/$M9),0),IF(ISNUMBER(iData!AH9),100*ABS($G9-(iData!AH9-$I9)/$M9),0),IF(iData!AH9&gt;tblIndicators!$AI5,100,IF(ISNUMBER(iData!AH9),100*ABS($G9-(iData!AH9-$I9)/$M9),0)),IF(iData!AH9&lt;0,100,IF(ISNUMBER(iData!AH9),100*ABS($G9-(iData!AH9-$I9)/$M9),0)))</f>
        <v>43.469387755102048</v>
      </c>
      <c r="AP9" s="123" cm="1">
        <f t="array" ref="AP9">CHOOSE($H9,SUMPRODUCT($O10:$O$75*AP10:AP$75*($E10:$E$75=$D9)),IF(ISNUMBER(iData!AI9),100*ABS($G9-(iData!AI9-$K9)/$M9),0),IF(ISNUMBER(iData!AI9),100*ABS($G9-(iData!AI9-$I9)/$M9),0),IF(iData!AI9&gt;tblIndicators!$AI5,100,IF(ISNUMBER(iData!AI9),100*ABS($G9-(iData!AI9-$I9)/$M9),0)),IF(iData!AI9&lt;0,100,IF(ISNUMBER(iData!AI9),100*ABS($G9-(iData!AI9-$I9)/$M9),0)))</f>
        <v>61.97278911564625</v>
      </c>
      <c r="AQ9" s="123" cm="1">
        <f t="array" ref="AQ9">CHOOSE($H9,SUMPRODUCT($O10:$O$75*AQ10:AQ$75*($E10:$E$75=$D9)),IF(ISNUMBER(iData!AJ9),100*ABS($G9-(iData!AJ9-$K9)/$M9),0),IF(ISNUMBER(iData!AJ9),100*ABS($G9-(iData!AJ9-$I9)/$M9),0),IF(iData!AJ9&gt;tblIndicators!$AI5,100,IF(ISNUMBER(iData!AJ9),100*ABS($G9-(iData!AJ9-$I9)/$M9),0)),IF(iData!AJ9&lt;0,100,IF(ISNUMBER(iData!AJ9),100*ABS($G9-(iData!AJ9-$I9)/$M9),0)))</f>
        <v>51.564625850340143</v>
      </c>
      <c r="AR9" s="123" cm="1">
        <f t="array" ref="AR9">CHOOSE($H9,SUMPRODUCT($O10:$O$75*AR10:AR$75*($E10:$E$75=$D9)),IF(ISNUMBER(iData!AK9),100*ABS($G9-(iData!AK9-$K9)/$M9),0),IF(ISNUMBER(iData!AK9),100*ABS($G9-(iData!AK9-$I9)/$M9),0),IF(iData!AK9&gt;tblIndicators!$AI5,100,IF(ISNUMBER(iData!AK9),100*ABS($G9-(iData!AK9-$I9)/$M9),0)),IF(iData!AK9&lt;0,100,IF(ISNUMBER(iData!AK9),100*ABS($G9-(iData!AK9-$I9)/$M9),0)))</f>
        <v>100</v>
      </c>
      <c r="AS9" s="123" cm="1">
        <f t="array" ref="AS9">CHOOSE($H9,SUMPRODUCT($O10:$O$75*AS10:AS$75*($E10:$E$75=$D9)),IF(ISNUMBER(iData!AL9),100*ABS($G9-(iData!AL9-$K9)/$M9),0),IF(ISNUMBER(iData!AL9),100*ABS($G9-(iData!AL9-$I9)/$M9),0),IF(iData!AL9&gt;tblIndicators!$AI5,100,IF(ISNUMBER(iData!AL9),100*ABS($G9-(iData!AL9-$I9)/$M9),0)),IF(iData!AL9&lt;0,100,IF(ISNUMBER(iData!AL9),100*ABS($G9-(iData!AL9-$I9)/$M9),0)))</f>
        <v>19.795918367346935</v>
      </c>
      <c r="AT9" s="123" cm="1">
        <f t="array" ref="AT9">CHOOSE($H9,SUMPRODUCT($O10:$O$75*AT10:AT$75*($E10:$E$75=$D9)),IF(ISNUMBER(iData!AM9),100*ABS($G9-(iData!AM9-$K9)/$M9),0),IF(ISNUMBER(iData!AM9),100*ABS($G9-(iData!AM9-$I9)/$M9),0),IF(iData!AM9&gt;tblIndicators!$AI5,100,IF(ISNUMBER(iData!AM9),100*ABS($G9-(iData!AM9-$I9)/$M9),0)),IF(iData!AM9&lt;0,100,IF(ISNUMBER(iData!AM9),100*ABS($G9-(iData!AM9-$I9)/$M9),0)))</f>
        <v>65.102040816326522</v>
      </c>
      <c r="AU9" s="123" cm="1">
        <f t="array" ref="AU9">CHOOSE($H9,SUMPRODUCT($O10:$O$75*AU10:AU$75*($E10:$E$75=$D9)),IF(ISNUMBER(iData!AN9),100*ABS($G9-(iData!AN9-$K9)/$M9),0),IF(ISNUMBER(iData!AN9),100*ABS($G9-(iData!AN9-$I9)/$M9),0),IF(iData!AN9&gt;tblIndicators!$AI5,100,IF(ISNUMBER(iData!AN9),100*ABS($G9-(iData!AN9-$I9)/$M9),0)),IF(iData!AN9&lt;0,100,IF(ISNUMBER(iData!AN9),100*ABS($G9-(iData!AN9-$I9)/$M9),0)))</f>
        <v>36.190476190476197</v>
      </c>
      <c r="AV9" s="367"/>
      <c r="AW9" s="368"/>
      <c r="AX9" s="14"/>
      <c r="AY9" s="871">
        <f t="shared" si="40"/>
        <v>49.9</v>
      </c>
      <c r="AZ9" s="871">
        <f t="shared" si="41"/>
        <v>42</v>
      </c>
      <c r="BA9" s="871">
        <f t="shared" si="42"/>
        <v>32.6</v>
      </c>
      <c r="BB9" s="871">
        <f t="shared" si="43"/>
        <v>34.4</v>
      </c>
      <c r="BC9" s="871">
        <f t="shared" si="44"/>
        <v>30</v>
      </c>
      <c r="BD9" s="871">
        <f t="shared" si="45"/>
        <v>25.6</v>
      </c>
      <c r="BE9" s="871">
        <f t="shared" si="46"/>
        <v>18.8</v>
      </c>
      <c r="BF9" s="871">
        <f t="shared" si="47"/>
        <v>57</v>
      </c>
      <c r="BG9" s="871">
        <f t="shared" si="48"/>
        <v>65.099999999999994</v>
      </c>
      <c r="BH9" s="871">
        <f t="shared" si="49"/>
        <v>100</v>
      </c>
      <c r="BI9" s="871">
        <f t="shared" si="50"/>
        <v>25.6</v>
      </c>
      <c r="BJ9" s="871">
        <f t="shared" si="51"/>
        <v>60.5</v>
      </c>
      <c r="BK9" s="871">
        <f t="shared" si="52"/>
        <v>24.1</v>
      </c>
      <c r="BL9" s="871">
        <f t="shared" si="53"/>
        <v>48.5</v>
      </c>
      <c r="BM9" s="871">
        <f t="shared" si="54"/>
        <v>39.4</v>
      </c>
      <c r="BN9" s="871">
        <f t="shared" si="55"/>
        <v>34.4</v>
      </c>
      <c r="BO9" s="871">
        <f t="shared" si="56"/>
        <v>8.8000000000000007</v>
      </c>
      <c r="BP9" s="871">
        <f t="shared" si="57"/>
        <v>15.4</v>
      </c>
      <c r="BQ9" s="871">
        <f t="shared" si="58"/>
        <v>0</v>
      </c>
      <c r="BR9" s="871">
        <f t="shared" si="59"/>
        <v>65.099999999999994</v>
      </c>
      <c r="BS9" s="871">
        <f t="shared" si="60"/>
        <v>32.1</v>
      </c>
      <c r="BT9" s="871">
        <f t="shared" si="61"/>
        <v>26.9</v>
      </c>
      <c r="BU9" s="871">
        <f t="shared" si="62"/>
        <v>25.2</v>
      </c>
      <c r="BV9" s="871">
        <f t="shared" si="63"/>
        <v>43.5</v>
      </c>
      <c r="BW9" s="871">
        <f t="shared" si="64"/>
        <v>62</v>
      </c>
      <c r="BX9" s="871">
        <f t="shared" si="65"/>
        <v>51.6</v>
      </c>
      <c r="BY9" s="871">
        <f t="shared" si="66"/>
        <v>100</v>
      </c>
      <c r="BZ9" s="871">
        <f t="shared" si="67"/>
        <v>19.8</v>
      </c>
      <c r="CA9" s="871">
        <f t="shared" si="68"/>
        <v>65.099999999999994</v>
      </c>
      <c r="CB9" s="871">
        <f t="shared" si="69"/>
        <v>36.200000000000003</v>
      </c>
      <c r="CD9" s="304">
        <f t="shared" ca="1" si="38"/>
        <v>41.3</v>
      </c>
      <c r="CE9" s="304">
        <f t="shared" ca="1" si="38"/>
        <v>41.3</v>
      </c>
      <c r="CF9" s="304">
        <f t="shared" ca="1" si="38"/>
        <v>42</v>
      </c>
      <c r="CG9" s="302">
        <f t="shared" ca="1" si="38"/>
        <v>36.200000000000003</v>
      </c>
      <c r="CH9" s="302">
        <f t="shared" ca="1" si="38"/>
        <v>19.8</v>
      </c>
      <c r="CI9" s="302">
        <f t="shared" ca="1" si="38"/>
        <v>100</v>
      </c>
      <c r="CJ9" s="302">
        <f t="shared" ca="1" si="38"/>
        <v>53.8</v>
      </c>
      <c r="CK9" s="302">
        <f t="shared" ca="1" si="38"/>
        <v>11</v>
      </c>
      <c r="CL9" s="302">
        <f t="shared" ca="1" si="38"/>
        <v>28.4</v>
      </c>
      <c r="CM9" s="302">
        <f t="shared" ca="1" si="38"/>
        <v>49.3</v>
      </c>
      <c r="CN9" s="302">
        <f t="shared" ca="1" si="39"/>
        <v>48.7</v>
      </c>
      <c r="CO9" s="302">
        <f t="shared" ca="1" si="39"/>
        <v>46.2</v>
      </c>
      <c r="CP9" s="302">
        <f t="shared" ca="1" si="39"/>
        <v>28.2</v>
      </c>
      <c r="CQ9" s="302">
        <f t="shared" ca="1" si="39"/>
        <v>35.799999999999997</v>
      </c>
    </row>
    <row r="10" spans="1:96" s="124" customFormat="1" ht="27.75" customHeight="1" thickBot="1">
      <c r="A10" s="118"/>
      <c r="B10" s="119">
        <f>tblIndicators!A6</f>
        <v>5</v>
      </c>
      <c r="C10" s="119">
        <f>tblIndicators!B6</f>
        <v>0</v>
      </c>
      <c r="D10" s="119" t="str">
        <f>tblIndicators!E6</f>
        <v>CNTY1_1_2</v>
      </c>
      <c r="E10" s="119" t="str">
        <f>tblIndicators!F6</f>
        <v>CNTY1_1</v>
      </c>
      <c r="F10" s="119">
        <f>tblIndicators!G6</f>
        <v>3</v>
      </c>
      <c r="G10" s="119">
        <f>tblIndicators!AF6</f>
        <v>0</v>
      </c>
      <c r="H10" s="119">
        <f>tblIndicators!AG6</f>
        <v>2</v>
      </c>
      <c r="I10" s="120">
        <f>tblIndicators!AH6</f>
        <v>0</v>
      </c>
      <c r="J10" s="119">
        <f>tblIndicators!AI6</f>
        <v>0</v>
      </c>
      <c r="K10" s="119">
        <f t="array" ref="K10">MIN(IF(ISNUMBER(iData!K10:AN10),iData!K10:AN10))</f>
        <v>1.6</v>
      </c>
      <c r="L10" s="121">
        <f t="array" ref="L10">MAX(IF(ISNUMBER(iData!K10:AN10),iData!K10:AN10))</f>
        <v>46.9</v>
      </c>
      <c r="M10" s="51">
        <f t="shared" si="7"/>
        <v>45.3</v>
      </c>
      <c r="N10" s="122" t="str">
        <f>REPT(" ",F10)&amp;tblIndicators!AM6</f>
        <v xml:space="preserve">   1.1.2) Fixed broadband susbcriptions</v>
      </c>
      <c r="O10" s="381">
        <f>tblIndicators!AR6</f>
        <v>0.22222222222222224</v>
      </c>
      <c r="P10" s="381"/>
      <c r="Q10" s="323"/>
      <c r="R10" s="123" cm="1">
        <f t="array" ref="R10">CHOOSE($H10,SUMPRODUCT($O11:$O$75*R11:R$75*($E11:$E$75=$D10)),IF(ISNUMBER(iData!K10),100*ABS($G10-(iData!K10-$K10)/$M10),0),IF(ISNUMBER(iData!K10),100*ABS($G10-(iData!K10-$I10)/$M10),0),IF(iData!K10&gt;tblIndicators!$AI6,100,IF(ISNUMBER(iData!K10),100*ABS($G10-(iData!K10-$I10)/$M10),0)),IF(iData!K10&lt;0,100,IF(ISNUMBER(iData!K10),100*ABS($G10-(iData!K10-$I10)/$M10),0)))</f>
        <v>93.377483443708613</v>
      </c>
      <c r="S10" s="123" cm="1">
        <f t="array" ref="S10">CHOOSE($H10,SUMPRODUCT($O11:$O$75*S11:S$75*($E11:$E$75=$D10)),IF(ISNUMBER(iData!L10),100*ABS($G10-(iData!L10-$K10)/$M10),0),IF(ISNUMBER(iData!L10),100*ABS($G10-(iData!L10-$I10)/$M10),0),IF(iData!L10&gt;tblIndicators!$AI6,100,IF(ISNUMBER(iData!L10),100*ABS($G10-(iData!L10-$I10)/$M10),0)),IF(iData!L10&lt;0,100,IF(ISNUMBER(iData!L10),100*ABS($G10-(iData!L10-$I10)/$M10),0)))</f>
        <v>73.06843267108168</v>
      </c>
      <c r="T10" s="123" cm="1">
        <f t="array" ref="T10">CHOOSE($H10,SUMPRODUCT($O11:$O$75*T11:T$75*($E11:$E$75=$D10)),IF(ISNUMBER(iData!M10),100*ABS($G10-(iData!M10-$K10)/$M10),0),IF(ISNUMBER(iData!M10),100*ABS($G10-(iData!M10-$I10)/$M10),0),IF(iData!M10&gt;tblIndicators!$AI6,100,IF(ISNUMBER(iData!M10),100*ABS($G10-(iData!M10-$I10)/$M10),0)),IF(iData!M10&lt;0,100,IF(ISNUMBER(iData!M10),100*ABS($G10-(iData!M10-$I10)/$M10),0)))</f>
        <v>33.112582781456965</v>
      </c>
      <c r="U10" s="123" cm="1">
        <f t="array" ref="U10">CHOOSE($H10,SUMPRODUCT($O11:$O$75*U11:U$75*($E11:$E$75=$D10)),IF(ISNUMBER(iData!N10),100*ABS($G10-(iData!N10-$K10)/$M10),0),IF(ISNUMBER(iData!N10),100*ABS($G10-(iData!N10-$I10)/$M10),0),IF(iData!N10&gt;tblIndicators!$AI6,100,IF(ISNUMBER(iData!N10),100*ABS($G10-(iData!N10-$I10)/$M10),0)),IF(iData!N10&lt;0,100,IF(ISNUMBER(iData!N10),100*ABS($G10-(iData!N10-$I10)/$M10),0)))</f>
        <v>71.302428256070641</v>
      </c>
      <c r="V10" s="123" cm="1">
        <f t="array" ref="V10">CHOOSE($H10,SUMPRODUCT($O11:$O$75*V11:V$75*($E11:$E$75=$D10)),IF(ISNUMBER(iData!O10),100*ABS($G10-(iData!O10-$K10)/$M10),0),IF(ISNUMBER(iData!O10),100*ABS($G10-(iData!O10-$I10)/$M10),0),IF(iData!O10&gt;tblIndicators!$AI6,100,IF(ISNUMBER(iData!O10),100*ABS($G10-(iData!O10-$I10)/$M10),0)),IF(iData!O10&lt;0,100,IF(ISNUMBER(iData!O10),100*ABS($G10-(iData!O10-$I10)/$M10),0)))</f>
        <v>70.640176600441507</v>
      </c>
      <c r="W10" s="123" cm="1">
        <f t="array" ref="W10">CHOOSE($H10,SUMPRODUCT($O11:$O$75*W11:W$75*($E11:$E$75=$D10)),IF(ISNUMBER(iData!P10),100*ABS($G10-(iData!P10-$K10)/$M10),0),IF(ISNUMBER(iData!P10),100*ABS($G10-(iData!P10-$I10)/$M10),0),IF(iData!P10&gt;tblIndicators!$AI6,100,IF(ISNUMBER(iData!P10),100*ABS($G10-(iData!P10-$I10)/$M10),0)),IF(iData!P10&lt;0,100,IF(ISNUMBER(iData!P10),100*ABS($G10-(iData!P10-$I10)/$M10),0)))</f>
        <v>91.390728476821195</v>
      </c>
      <c r="X10" s="123" cm="1">
        <f t="array" ref="X10">CHOOSE($H10,SUMPRODUCT($O11:$O$75*X11:X$75*($E11:$E$75=$D10)),IF(ISNUMBER(iData!Q10),100*ABS($G10-(iData!Q10-$K10)/$M10),0),IF(ISNUMBER(iData!Q10),100*ABS($G10-(iData!Q10-$I10)/$M10),0),IF(iData!Q10&gt;tblIndicators!$AI6,100,IF(ISNUMBER(iData!Q10),100*ABS($G10-(iData!Q10-$I10)/$M10),0)),IF(iData!Q10&lt;0,100,IF(ISNUMBER(iData!Q10),100*ABS($G10-(iData!Q10-$I10)/$M10),0)))</f>
        <v>43.267108167770417</v>
      </c>
      <c r="Y10" s="123" cm="1">
        <f t="array" ref="Y10">CHOOSE($H10,SUMPRODUCT($O11:$O$75*Y11:Y$75*($E11:$E$75=$D10)),IF(ISNUMBER(iData!R10),100*ABS($G10-(iData!R10-$K10)/$M10),0),IF(ISNUMBER(iData!R10),100*ABS($G10-(iData!R10-$I10)/$M10),0),IF(iData!R10&gt;tblIndicators!$AI6,100,IF(ISNUMBER(iData!R10),100*ABS($G10-(iData!R10-$I10)/$M10),0)),IF(iData!R10&lt;0,100,IF(ISNUMBER(iData!R10),100*ABS($G10-(iData!R10-$I10)/$M10),0)))</f>
        <v>94.481236203090518</v>
      </c>
      <c r="Z10" s="123" cm="1">
        <f t="array" ref="Z10">CHOOSE($H10,SUMPRODUCT($O11:$O$75*Z11:Z$75*($E11:$E$75=$D10)),IF(ISNUMBER(iData!S10),100*ABS($G10-(iData!S10-$K10)/$M10),0),IF(ISNUMBER(iData!S10),100*ABS($G10-(iData!S10-$I10)/$M10),0),IF(iData!S10&gt;tblIndicators!$AI6,100,IF(ISNUMBER(iData!S10),100*ABS($G10-(iData!S10-$I10)/$M10),0)),IF(iData!S10&lt;0,100,IF(ISNUMBER(iData!S10),100*ABS($G10-(iData!S10-$I10)/$M10),0)))</f>
        <v>76.821192052980138</v>
      </c>
      <c r="AA10" s="123" cm="1">
        <f t="array" ref="AA10">CHOOSE($H10,SUMPRODUCT($O11:$O$75*AA11:AA$75*($E11:$E$75=$D10)),IF(ISNUMBER(iData!T10),100*ABS($G10-(iData!T10-$K10)/$M10),0),IF(ISNUMBER(iData!T10),100*ABS($G10-(iData!T10-$I10)/$M10),0),IF(iData!T10&gt;tblIndicators!$AI6,100,IF(ISNUMBER(iData!T10),100*ABS($G10-(iData!T10-$I10)/$M10),0)),IF(iData!T10&lt;0,100,IF(ISNUMBER(iData!T10),100*ABS($G10-(iData!T10-$I10)/$M10),0)))</f>
        <v>68.874172185430467</v>
      </c>
      <c r="AB10" s="123" cm="1">
        <f t="array" ref="AB10">CHOOSE($H10,SUMPRODUCT($O11:$O$75*AB11:AB$75*($E11:$E$75=$D10)),IF(ISNUMBER(iData!U10),100*ABS($G10-(iData!U10-$K10)/$M10),0),IF(ISNUMBER(iData!U10),100*ABS($G10-(iData!U10-$I10)/$M10),0),IF(iData!U10&gt;tblIndicators!$AI6,100,IF(ISNUMBER(iData!U10),100*ABS($G10-(iData!U10-$I10)/$M10),0)),IF(iData!U10&lt;0,100,IF(ISNUMBER(iData!U10),100*ABS($G10-(iData!U10-$I10)/$M10),0)))</f>
        <v>91.390728476821195</v>
      </c>
      <c r="AC10" s="123" cm="1">
        <f t="array" ref="AC10">CHOOSE($H10,SUMPRODUCT($O11:$O$75*AC11:AC$75*($E11:$E$75=$D10)),IF(ISNUMBER(iData!V10),100*ABS($G10-(iData!V10-$K10)/$M10),0),IF(ISNUMBER(iData!V10),100*ABS($G10-(iData!V10-$I10)/$M10),0),IF(iData!V10&gt;tblIndicators!$AI6,100,IF(ISNUMBER(iData!V10),100*ABS($G10-(iData!V10-$I10)/$M10),0)),IF(iData!V10&lt;0,100,IF(ISNUMBER(iData!V10),100*ABS($G10-(iData!V10-$I10)/$M10),0)))</f>
        <v>81.015452538631337</v>
      </c>
      <c r="AD10" s="123" cm="1">
        <f t="array" ref="AD10">CHOOSE($H10,SUMPRODUCT($O11:$O$75*AD11:AD$75*($E11:$E$75=$D10)),IF(ISNUMBER(iData!W10),100*ABS($G10-(iData!W10-$K10)/$M10),0),IF(ISNUMBER(iData!W10),100*ABS($G10-(iData!W10-$I10)/$M10),0),IF(iData!W10&gt;tblIndicators!$AI6,100,IF(ISNUMBER(iData!W10),100*ABS($G10-(iData!W10-$I10)/$M10),0)),IF(iData!W10&lt;0,100,IF(ISNUMBER(iData!W10),100*ABS($G10-(iData!W10-$I10)/$M10),0)))</f>
        <v>5.0772626931567331</v>
      </c>
      <c r="AE10" s="123" cm="1">
        <f t="array" ref="AE10">CHOOSE($H10,SUMPRODUCT($O11:$O$75*AE11:AE$75*($E11:$E$75=$D10)),IF(ISNUMBER(iData!X10),100*ABS($G10-(iData!X10-$K10)/$M10),0),IF(ISNUMBER(iData!X10),100*ABS($G10-(iData!X10-$I10)/$M10),0),IF(iData!X10&gt;tblIndicators!$AI6,100,IF(ISNUMBER(iData!X10),100*ABS($G10-(iData!X10-$I10)/$M10),0)),IF(iData!X10&lt;0,100,IF(ISNUMBER(iData!X10),100*ABS($G10-(iData!X10-$I10)/$M10),0)))</f>
        <v>19.426048565121416</v>
      </c>
      <c r="AF10" s="123" cm="1">
        <f t="array" ref="AF10">CHOOSE($H10,SUMPRODUCT($O11:$O$75*AF11:AF$75*($E11:$E$75=$D10)),IF(ISNUMBER(iData!Y10),100*ABS($G10-(iData!Y10-$K10)/$M10),0),IF(ISNUMBER(iData!Y10),100*ABS($G10-(iData!Y10-$I10)/$M10),0),IF(iData!Y10&gt;tblIndicators!$AI6,100,IF(ISNUMBER(iData!Y10),100*ABS($G10-(iData!Y10-$I10)/$M10),0)),IF(iData!Y10&lt;0,100,IF(ISNUMBER(iData!Y10),100*ABS($G10-(iData!Y10-$I10)/$M10),0)))</f>
        <v>85.871964679911699</v>
      </c>
      <c r="AG10" s="123" cm="1">
        <f t="array" ref="AG10">CHOOSE($H10,SUMPRODUCT($O11:$O$75*AG11:AG$75*($E11:$E$75=$D10)),IF(ISNUMBER(iData!Z10),100*ABS($G10-(iData!Z10-$K10)/$M10),0),IF(ISNUMBER(iData!Z10),100*ABS($G10-(iData!Z10-$I10)/$M10),0),IF(iData!Z10&gt;tblIndicators!$AI6,100,IF(ISNUMBER(iData!Z10),100*ABS($G10-(iData!Z10-$I10)/$M10),0)),IF(iData!Z10&lt;0,100,IF(ISNUMBER(iData!Z10),100*ABS($G10-(iData!Z10-$I10)/$M10),0)))</f>
        <v>71.302428256070641</v>
      </c>
      <c r="AH10" s="123" cm="1">
        <f t="array" ref="AH10">CHOOSE($H10,SUMPRODUCT($O11:$O$75*AH11:AH$75*($E11:$E$75=$D10)),IF(ISNUMBER(iData!AA10),100*ABS($G10-(iData!AA10-$K10)/$M10),0),IF(ISNUMBER(iData!AA10),100*ABS($G10-(iData!AA10-$I10)/$M10),0),IF(iData!AA10&gt;tblIndicators!$AI6,100,IF(ISNUMBER(iData!AA10),100*ABS($G10-(iData!AA10-$I10)/$M10),0)),IF(iData!AA10&lt;0,100,IF(ISNUMBER(iData!AA10),100*ABS($G10-(iData!AA10-$I10)/$M10),0)))</f>
        <v>8.6092715231788084</v>
      </c>
      <c r="AI10" s="123" cm="1">
        <f t="array" ref="AI10">CHOOSE($H10,SUMPRODUCT($O11:$O$75*AI11:AI$75*($E11:$E$75=$D10)),IF(ISNUMBER(iData!AB10),100*ABS($G10-(iData!AB10-$K10)/$M10),0),IF(ISNUMBER(iData!AB10),100*ABS($G10-(iData!AB10-$I10)/$M10),0),IF(iData!AB10&gt;tblIndicators!$AI6,100,IF(ISNUMBER(iData!AB10),100*ABS($G10-(iData!AB10-$I10)/$M10),0)),IF(iData!AB10&lt;0,100,IF(ISNUMBER(iData!AB10),100*ABS($G10-(iData!AB10-$I10)/$M10),0)))</f>
        <v>32.891832229580572</v>
      </c>
      <c r="AJ10" s="123" cm="1">
        <f t="array" ref="AJ10">CHOOSE($H10,SUMPRODUCT($O11:$O$75*AJ11:AJ$75*($E11:$E$75=$D10)),IF(ISNUMBER(iData!AC10),100*ABS($G10-(iData!AC10-$K10)/$M10),0),IF(ISNUMBER(iData!AC10),100*ABS($G10-(iData!AC10-$I10)/$M10),0),IF(iData!AC10&gt;tblIndicators!$AI6,100,IF(ISNUMBER(iData!AC10),100*ABS($G10-(iData!AC10-$I10)/$M10),0)),IF(iData!AC10&lt;0,100,IF(ISNUMBER(iData!AC10),100*ABS($G10-(iData!AC10-$I10)/$M10),0)))</f>
        <v>0</v>
      </c>
      <c r="AK10" s="123" cm="1">
        <f t="array" ref="AK10">CHOOSE($H10,SUMPRODUCT($O11:$O$75*AK11:AK$75*($E11:$E$75=$D10)),IF(ISNUMBER(iData!AD10),100*ABS($G10-(iData!AD10-$K10)/$M10),0),IF(ISNUMBER(iData!AD10),100*ABS($G10-(iData!AD10-$I10)/$M10),0),IF(iData!AD10&gt;tblIndicators!$AI6,100,IF(ISNUMBER(iData!AD10),100*ABS($G10-(iData!AD10-$I10)/$M10),0)),IF(iData!AD10&lt;0,100,IF(ISNUMBER(iData!AD10),100*ABS($G10-(iData!AD10-$I10)/$M10),0)))</f>
        <v>76.821192052980138</v>
      </c>
      <c r="AL10" s="123" cm="1">
        <f t="array" ref="AL10">CHOOSE($H10,SUMPRODUCT($O11:$O$75*AL11:AL$75*($E11:$E$75=$D10)),IF(ISNUMBER(iData!AE10),100*ABS($G10-(iData!AE10-$K10)/$M10),0),IF(ISNUMBER(iData!AE10),100*ABS($G10-(iData!AE10-$I10)/$M10),0),IF(iData!AE10&gt;tblIndicators!$AI6,100,IF(ISNUMBER(iData!AE10),100*ABS($G10-(iData!AE10-$I10)/$M10),0)),IF(iData!AE10&lt;0,100,IF(ISNUMBER(iData!AE10),100*ABS($G10-(iData!AE10-$I10)/$M10),0)))</f>
        <v>100</v>
      </c>
      <c r="AM10" s="123" cm="1">
        <f t="array" ref="AM10">CHOOSE($H10,SUMPRODUCT($O11:$O$75*AM11:AM$75*($E11:$E$75=$D10)),IF(ISNUMBER(iData!AF10),100*ABS($G10-(iData!AF10-$K10)/$M10),0),IF(ISNUMBER(iData!AF10),100*ABS($G10-(iData!AF10-$I10)/$M10),0),IF(iData!AF10&gt;tblIndicators!$AI6,100,IF(ISNUMBER(iData!AF10),100*ABS($G10-(iData!AF10-$I10)/$M10),0)),IF(iData!AF10&lt;0,100,IF(ISNUMBER(iData!AF10),100*ABS($G10-(iData!AF10-$I10)/$M10),0)))</f>
        <v>61.589403973509938</v>
      </c>
      <c r="AN10" s="123" cm="1">
        <f t="array" ref="AN10">CHOOSE($H10,SUMPRODUCT($O11:$O$75*AN11:AN$75*($E11:$E$75=$D10)),IF(ISNUMBER(iData!AG10),100*ABS($G10-(iData!AG10-$K10)/$M10),0),IF(ISNUMBER(iData!AG10),100*ABS($G10-(iData!AG10-$I10)/$M10),0),IF(iData!AG10&gt;tblIndicators!$AI6,100,IF(ISNUMBER(iData!AG10),100*ABS($G10-(iData!AG10-$I10)/$M10),0)),IF(iData!AG10&lt;0,100,IF(ISNUMBER(iData!AG10),100*ABS($G10-(iData!AG10-$I10)/$M10),0)))</f>
        <v>34.216335540838863</v>
      </c>
      <c r="AO10" s="123" cm="1">
        <f t="array" ref="AO10">CHOOSE($H10,SUMPRODUCT($O11:$O$75*AO11:AO$75*($E11:$E$75=$D10)),IF(ISNUMBER(iData!AH10),100*ABS($G10-(iData!AH10-$K10)/$M10),0),IF(ISNUMBER(iData!AH10),100*ABS($G10-(iData!AH10-$I10)/$M10),0),IF(iData!AH10&gt;tblIndicators!$AI6,100,IF(ISNUMBER(iData!AH10),100*ABS($G10-(iData!AH10-$I10)/$M10),0)),IF(iData!AH10&lt;0,100,IF(ISNUMBER(iData!AH10),100*ABS($G10-(iData!AH10-$I10)/$M10),0)))</f>
        <v>92.715231788079478</v>
      </c>
      <c r="AP10" s="123" cm="1">
        <f t="array" ref="AP10">CHOOSE($H10,SUMPRODUCT($O11:$O$75*AP11:AP$75*($E11:$E$75=$D10)),IF(ISNUMBER(iData!AI10),100*ABS($G10-(iData!AI10-$K10)/$M10),0),IF(ISNUMBER(iData!AI10),100*ABS($G10-(iData!AI10-$I10)/$M10),0),IF(iData!AI10&gt;tblIndicators!$AI6,100,IF(ISNUMBER(iData!AI10),100*ABS($G10-(iData!AI10-$I10)/$M10),0)),IF(iData!AI10&lt;0,100,IF(ISNUMBER(iData!AI10),100*ABS($G10-(iData!AI10-$I10)/$M10),0)))</f>
        <v>53.642384105960261</v>
      </c>
      <c r="AQ10" s="123" cm="1">
        <f t="array" ref="AQ10">CHOOSE($H10,SUMPRODUCT($O11:$O$75*AQ11:AQ$75*($E11:$E$75=$D10)),IF(ISNUMBER(iData!AJ10),100*ABS($G10-(iData!AJ10-$K10)/$M10),0),IF(ISNUMBER(iData!AJ10),100*ABS($G10-(iData!AJ10-$I10)/$M10),0),IF(iData!AJ10&gt;tblIndicators!$AI6,100,IF(ISNUMBER(iData!AJ10),100*ABS($G10-(iData!AJ10-$I10)/$M10),0)),IF(iData!AJ10&lt;0,100,IF(ISNUMBER(iData!AJ10),100*ABS($G10-(iData!AJ10-$I10)/$M10),0)))</f>
        <v>73.951434878587193</v>
      </c>
      <c r="AR10" s="123" cm="1">
        <f t="array" ref="AR10">CHOOSE($H10,SUMPRODUCT($O11:$O$75*AR11:AR$75*($E11:$E$75=$D10)),IF(ISNUMBER(iData!AK10),100*ABS($G10-(iData!AK10-$K10)/$M10),0),IF(ISNUMBER(iData!AK10),100*ABS($G10-(iData!AK10-$I10)/$M10),0),IF(iData!AK10&gt;tblIndicators!$AI6,100,IF(ISNUMBER(iData!AK10),100*ABS($G10-(iData!AK10-$I10)/$M10),0)),IF(iData!AK10&lt;0,100,IF(ISNUMBER(iData!AK10),100*ABS($G10-(iData!AK10-$I10)/$M10),0)))</f>
        <v>72.626931567328924</v>
      </c>
      <c r="AS10" s="123" cm="1">
        <f t="array" ref="AS10">CHOOSE($H10,SUMPRODUCT($O11:$O$75*AS11:AS$75*($E11:$E$75=$D10)),IF(ISNUMBER(iData!AL10),100*ABS($G10-(iData!AL10-$K10)/$M10),0),IF(ISNUMBER(iData!AL10),100*ABS($G10-(iData!AL10-$I10)/$M10),0),IF(iData!AL10&gt;tblIndicators!$AI6,100,IF(ISNUMBER(iData!AL10),100*ABS($G10-(iData!AL10-$I10)/$M10),0)),IF(iData!AL10&lt;0,100,IF(ISNUMBER(iData!AL10),100*ABS($G10-(iData!AL10-$I10)/$M10),0)))</f>
        <v>88.741721854304629</v>
      </c>
      <c r="AT10" s="123" cm="1">
        <f t="array" ref="AT10">CHOOSE($H10,SUMPRODUCT($O11:$O$75*AT11:AT$75*($E11:$E$75=$D10)),IF(ISNUMBER(iData!AM10),100*ABS($G10-(iData!AM10-$K10)/$M10),0),IF(ISNUMBER(iData!AM10),100*ABS($G10-(iData!AM10-$I10)/$M10),0),IF(iData!AM10&gt;tblIndicators!$AI6,100,IF(ISNUMBER(iData!AM10),100*ABS($G10-(iData!AM10-$I10)/$M10),0)),IF(iData!AM10&lt;0,100,IF(ISNUMBER(iData!AM10),100*ABS($G10-(iData!AM10-$I10)/$M10),0)))</f>
        <v>76.821192052980138</v>
      </c>
      <c r="AU10" s="123" cm="1">
        <f t="array" ref="AU10">CHOOSE($H10,SUMPRODUCT($O11:$O$75*AU11:AU$75*($E11:$E$75=$D10)),IF(ISNUMBER(iData!AN10),100*ABS($G10-(iData!AN10-$K10)/$M10),0),IF(ISNUMBER(iData!AN10),100*ABS($G10-(iData!AN10-$I10)/$M10),0),IF(iData!AN10&gt;tblIndicators!$AI6,100,IF(ISNUMBER(iData!AN10),100*ABS($G10-(iData!AN10-$I10)/$M10),0)),IF(iData!AN10&lt;0,100,IF(ISNUMBER(iData!AN10),100*ABS($G10-(iData!AN10-$I10)/$M10),0)))</f>
        <v>99.116997792494487</v>
      </c>
      <c r="AV10" s="367"/>
      <c r="AW10" s="368"/>
      <c r="AX10" s="14"/>
      <c r="AY10" s="871">
        <f t="shared" si="40"/>
        <v>93.4</v>
      </c>
      <c r="AZ10" s="871">
        <f t="shared" si="41"/>
        <v>73.099999999999994</v>
      </c>
      <c r="BA10" s="871">
        <f t="shared" si="42"/>
        <v>33.1</v>
      </c>
      <c r="BB10" s="871">
        <f t="shared" si="43"/>
        <v>71.3</v>
      </c>
      <c r="BC10" s="871">
        <f t="shared" si="44"/>
        <v>70.599999999999994</v>
      </c>
      <c r="BD10" s="871">
        <f t="shared" si="45"/>
        <v>91.4</v>
      </c>
      <c r="BE10" s="871">
        <f t="shared" si="46"/>
        <v>43.3</v>
      </c>
      <c r="BF10" s="871">
        <f t="shared" si="47"/>
        <v>94.5</v>
      </c>
      <c r="BG10" s="871">
        <f t="shared" si="48"/>
        <v>76.8</v>
      </c>
      <c r="BH10" s="871">
        <f t="shared" si="49"/>
        <v>68.900000000000006</v>
      </c>
      <c r="BI10" s="871">
        <f t="shared" si="50"/>
        <v>91.4</v>
      </c>
      <c r="BJ10" s="871">
        <f t="shared" si="51"/>
        <v>81</v>
      </c>
      <c r="BK10" s="871">
        <f t="shared" si="52"/>
        <v>5.0999999999999996</v>
      </c>
      <c r="BL10" s="871">
        <f t="shared" si="53"/>
        <v>19.399999999999999</v>
      </c>
      <c r="BM10" s="871">
        <f t="shared" si="54"/>
        <v>85.9</v>
      </c>
      <c r="BN10" s="871">
        <f t="shared" si="55"/>
        <v>71.3</v>
      </c>
      <c r="BO10" s="871">
        <f t="shared" si="56"/>
        <v>8.6</v>
      </c>
      <c r="BP10" s="871">
        <f t="shared" si="57"/>
        <v>32.9</v>
      </c>
      <c r="BQ10" s="871">
        <f t="shared" si="58"/>
        <v>0</v>
      </c>
      <c r="BR10" s="871">
        <f t="shared" si="59"/>
        <v>76.8</v>
      </c>
      <c r="BS10" s="871">
        <f t="shared" si="60"/>
        <v>100</v>
      </c>
      <c r="BT10" s="871">
        <f t="shared" si="61"/>
        <v>61.6</v>
      </c>
      <c r="BU10" s="871">
        <f t="shared" si="62"/>
        <v>34.200000000000003</v>
      </c>
      <c r="BV10" s="871">
        <f t="shared" si="63"/>
        <v>92.7</v>
      </c>
      <c r="BW10" s="871">
        <f t="shared" si="64"/>
        <v>53.6</v>
      </c>
      <c r="BX10" s="871">
        <f t="shared" si="65"/>
        <v>74</v>
      </c>
      <c r="BY10" s="871">
        <f t="shared" si="66"/>
        <v>72.599999999999994</v>
      </c>
      <c r="BZ10" s="871">
        <f t="shared" si="67"/>
        <v>88.7</v>
      </c>
      <c r="CA10" s="871">
        <f t="shared" si="68"/>
        <v>76.8</v>
      </c>
      <c r="CB10" s="871">
        <f t="shared" si="69"/>
        <v>99.1</v>
      </c>
      <c r="CD10" s="304">
        <f t="shared" ca="1" si="38"/>
        <v>64.7</v>
      </c>
      <c r="CE10" s="304">
        <f t="shared" ca="1" si="38"/>
        <v>64.7</v>
      </c>
      <c r="CF10" s="304">
        <f t="shared" ca="1" si="38"/>
        <v>48.7</v>
      </c>
      <c r="CG10" s="302">
        <f t="shared" ca="1" si="38"/>
        <v>86</v>
      </c>
      <c r="CH10" s="302">
        <f t="shared" ca="1" si="38"/>
        <v>36.799999999999997</v>
      </c>
      <c r="CI10" s="302">
        <f t="shared" ca="1" si="38"/>
        <v>68.900000000000006</v>
      </c>
      <c r="CJ10" s="302">
        <f t="shared" ca="1" si="38"/>
        <v>79.8</v>
      </c>
      <c r="CK10" s="302">
        <f t="shared" ca="1" si="38"/>
        <v>4.5999999999999996</v>
      </c>
      <c r="CL10" s="302">
        <f t="shared" ca="1" si="38"/>
        <v>38.9</v>
      </c>
      <c r="CM10" s="302">
        <f t="shared" ca="1" si="38"/>
        <v>80.7</v>
      </c>
      <c r="CN10" s="302">
        <f t="shared" ca="1" si="39"/>
        <v>82</v>
      </c>
      <c r="CO10" s="302">
        <f t="shared" ca="1" si="39"/>
        <v>70</v>
      </c>
      <c r="CP10" s="302">
        <f t="shared" ca="1" si="39"/>
        <v>56.9</v>
      </c>
      <c r="CQ10" s="302">
        <f t="shared" ca="1" si="39"/>
        <v>47.6</v>
      </c>
    </row>
    <row r="11" spans="1:96" s="124" customFormat="1" ht="27.75" customHeight="1" thickBot="1">
      <c r="A11" s="118"/>
      <c r="B11" s="119">
        <f>tblIndicators!A7</f>
        <v>6</v>
      </c>
      <c r="C11" s="119">
        <f>tblIndicators!B7</f>
        <v>0</v>
      </c>
      <c r="D11" s="119" t="str">
        <f>tblIndicators!E7</f>
        <v>CNTY1_1_3</v>
      </c>
      <c r="E11" s="119" t="str">
        <f>tblIndicators!F7</f>
        <v>CNTY1_1</v>
      </c>
      <c r="F11" s="119">
        <f>tblIndicators!G7</f>
        <v>3</v>
      </c>
      <c r="G11" s="119">
        <f>tblIndicators!AF7</f>
        <v>0</v>
      </c>
      <c r="H11" s="119">
        <f>tblIndicators!AG7</f>
        <v>3</v>
      </c>
      <c r="I11" s="120">
        <f>tblIndicators!AH7</f>
        <v>0</v>
      </c>
      <c r="J11" s="119">
        <f>tblIndicators!AI7</f>
        <v>3</v>
      </c>
      <c r="K11" s="119">
        <f t="array" ref="K11">MIN(IF(ISNUMBER(iData!K11:AN11),iData!K11:AN11))</f>
        <v>2</v>
      </c>
      <c r="L11" s="121">
        <f t="array" ref="L11">MAX(IF(ISNUMBER(iData!K11:AN11),iData!K11:AN11))</f>
        <v>3</v>
      </c>
      <c r="M11" s="51">
        <f t="shared" si="7"/>
        <v>3</v>
      </c>
      <c r="N11" s="122" t="str">
        <f>REPT(" ",F11)&amp;tblIndicators!AM7</f>
        <v xml:space="preserve">   1.1.3) 5G readiness</v>
      </c>
      <c r="O11" s="381">
        <f>tblIndicators!AR7</f>
        <v>0.2</v>
      </c>
      <c r="P11" s="381"/>
      <c r="Q11" s="323"/>
      <c r="R11" s="123" cm="1">
        <f t="array" ref="R11">CHOOSE($H11,SUMPRODUCT($O12:$O$75*R12:R$75*($E12:$E$75=$D11)),IF(ISNUMBER(iData!K11),100*ABS($G11-(iData!K11-$K11)/$M11),0),IF(ISNUMBER(iData!K11),100*ABS($G11-(iData!K11-$I11)/$M11),0),IF(iData!K11&gt;tblIndicators!$AI7,100,IF(ISNUMBER(iData!K11),100*ABS($G11-(iData!K11-$I11)/$M11),0)),IF(iData!K11&lt;0,100,IF(ISNUMBER(iData!K11),100*ABS($G11-(iData!K11-$I11)/$M11),0)))</f>
        <v>100</v>
      </c>
      <c r="S11" s="123" cm="1">
        <f t="array" ref="S11">CHOOSE($H11,SUMPRODUCT($O12:$O$75*S12:S$75*($E12:$E$75=$D11)),IF(ISNUMBER(iData!L11),100*ABS($G11-(iData!L11-$K11)/$M11),0),IF(ISNUMBER(iData!L11),100*ABS($G11-(iData!L11-$I11)/$M11),0),IF(iData!L11&gt;tblIndicators!$AI7,100,IF(ISNUMBER(iData!L11),100*ABS($G11-(iData!L11-$I11)/$M11),0)),IF(iData!L11&lt;0,100,IF(ISNUMBER(iData!L11),100*ABS($G11-(iData!L11-$I11)/$M11),0)))</f>
        <v>100</v>
      </c>
      <c r="T11" s="123" cm="1">
        <f t="array" ref="T11">CHOOSE($H11,SUMPRODUCT($O12:$O$75*T12:T$75*($E12:$E$75=$D11)),IF(ISNUMBER(iData!M11),100*ABS($G11-(iData!M11-$K11)/$M11),0),IF(ISNUMBER(iData!M11),100*ABS($G11-(iData!M11-$I11)/$M11),0),IF(iData!M11&gt;tblIndicators!$AI7,100,IF(ISNUMBER(iData!M11),100*ABS($G11-(iData!M11-$I11)/$M11),0)),IF(iData!M11&lt;0,100,IF(ISNUMBER(iData!M11),100*ABS($G11-(iData!M11-$I11)/$M11),0)))</f>
        <v>66.666666666666657</v>
      </c>
      <c r="U11" s="123" cm="1">
        <f t="array" ref="U11">CHOOSE($H11,SUMPRODUCT($O12:$O$75*U12:U$75*($E12:$E$75=$D11)),IF(ISNUMBER(iData!N11),100*ABS($G11-(iData!N11-$K11)/$M11),0),IF(ISNUMBER(iData!N11),100*ABS($G11-(iData!N11-$I11)/$M11),0),IF(iData!N11&gt;tblIndicators!$AI7,100,IF(ISNUMBER(iData!N11),100*ABS($G11-(iData!N11-$I11)/$M11),0)),IF(iData!N11&lt;0,100,IF(ISNUMBER(iData!N11),100*ABS($G11-(iData!N11-$I11)/$M11),0)))</f>
        <v>100</v>
      </c>
      <c r="V11" s="123" cm="1">
        <f t="array" ref="V11">CHOOSE($H11,SUMPRODUCT($O12:$O$75*V12:V$75*($E12:$E$75=$D11)),IF(ISNUMBER(iData!O11),100*ABS($G11-(iData!O11-$K11)/$M11),0),IF(ISNUMBER(iData!O11),100*ABS($G11-(iData!O11-$I11)/$M11),0),IF(iData!O11&gt;tblIndicators!$AI7,100,IF(ISNUMBER(iData!O11),100*ABS($G11-(iData!O11-$I11)/$M11),0)),IF(iData!O11&lt;0,100,IF(ISNUMBER(iData!O11),100*ABS($G11-(iData!O11-$I11)/$M11),0)))</f>
        <v>100</v>
      </c>
      <c r="W11" s="123" cm="1">
        <f t="array" ref="W11">CHOOSE($H11,SUMPRODUCT($O12:$O$75*W12:W$75*($E12:$E$75=$D11)),IF(ISNUMBER(iData!P11),100*ABS($G11-(iData!P11-$K11)/$M11),0),IF(ISNUMBER(iData!P11),100*ABS($G11-(iData!P11-$I11)/$M11),0),IF(iData!P11&gt;tblIndicators!$AI7,100,IF(ISNUMBER(iData!P11),100*ABS($G11-(iData!P11-$I11)/$M11),0)),IF(iData!P11&lt;0,100,IF(ISNUMBER(iData!P11),100*ABS($G11-(iData!P11-$I11)/$M11),0)))</f>
        <v>100</v>
      </c>
      <c r="X11" s="123" cm="1">
        <f t="array" ref="X11">CHOOSE($H11,SUMPRODUCT($O12:$O$75*X12:X$75*($E12:$E$75=$D11)),IF(ISNUMBER(iData!Q11),100*ABS($G11-(iData!Q11-$K11)/$M11),0),IF(ISNUMBER(iData!Q11),100*ABS($G11-(iData!Q11-$I11)/$M11),0),IF(iData!Q11&gt;tblIndicators!$AI7,100,IF(ISNUMBER(iData!Q11),100*ABS($G11-(iData!Q11-$I11)/$M11),0)),IF(iData!Q11&lt;0,100,IF(ISNUMBER(iData!Q11),100*ABS($G11-(iData!Q11-$I11)/$M11),0)))</f>
        <v>100</v>
      </c>
      <c r="Y11" s="123" cm="1">
        <f t="array" ref="Y11">CHOOSE($H11,SUMPRODUCT($O12:$O$75*Y12:Y$75*($E12:$E$75=$D11)),IF(ISNUMBER(iData!R11),100*ABS($G11-(iData!R11-$K11)/$M11),0),IF(ISNUMBER(iData!R11),100*ABS($G11-(iData!R11-$I11)/$M11),0),IF(iData!R11&gt;tblIndicators!$AI7,100,IF(ISNUMBER(iData!R11),100*ABS($G11-(iData!R11-$I11)/$M11),0)),IF(iData!R11&lt;0,100,IF(ISNUMBER(iData!R11),100*ABS($G11-(iData!R11-$I11)/$M11),0)))</f>
        <v>100</v>
      </c>
      <c r="Z11" s="123" cm="1">
        <f t="array" ref="Z11">CHOOSE($H11,SUMPRODUCT($O12:$O$75*Z12:Z$75*($E12:$E$75=$D11)),IF(ISNUMBER(iData!S11),100*ABS($G11-(iData!S11-$K11)/$M11),0),IF(ISNUMBER(iData!S11),100*ABS($G11-(iData!S11-$I11)/$M11),0),IF(iData!S11&gt;tblIndicators!$AI7,100,IF(ISNUMBER(iData!S11),100*ABS($G11-(iData!S11-$I11)/$M11),0)),IF(iData!S11&lt;0,100,IF(ISNUMBER(iData!S11),100*ABS($G11-(iData!S11-$I11)/$M11),0)))</f>
        <v>100</v>
      </c>
      <c r="AA11" s="123" cm="1">
        <f t="array" ref="AA11">CHOOSE($H11,SUMPRODUCT($O12:$O$75*AA12:AA$75*($E12:$E$75=$D11)),IF(ISNUMBER(iData!T11),100*ABS($G11-(iData!T11-$K11)/$M11),0),IF(ISNUMBER(iData!T11),100*ABS($G11-(iData!T11-$I11)/$M11),0),IF(iData!T11&gt;tblIndicators!$AI7,100,IF(ISNUMBER(iData!T11),100*ABS($G11-(iData!T11-$I11)/$M11),0)),IF(iData!T11&lt;0,100,IF(ISNUMBER(iData!T11),100*ABS($G11-(iData!T11-$I11)/$M11),0)))</f>
        <v>100</v>
      </c>
      <c r="AB11" s="123" cm="1">
        <f t="array" ref="AB11">CHOOSE($H11,SUMPRODUCT($O12:$O$75*AB12:AB$75*($E12:$E$75=$D11)),IF(ISNUMBER(iData!U11),100*ABS($G11-(iData!U11-$K11)/$M11),0),IF(ISNUMBER(iData!U11),100*ABS($G11-(iData!U11-$I11)/$M11),0),IF(iData!U11&gt;tblIndicators!$AI7,100,IF(ISNUMBER(iData!U11),100*ABS($G11-(iData!U11-$I11)/$M11),0)),IF(iData!U11&lt;0,100,IF(ISNUMBER(iData!U11),100*ABS($G11-(iData!U11-$I11)/$M11),0)))</f>
        <v>100</v>
      </c>
      <c r="AC11" s="123" cm="1">
        <f t="array" ref="AC11">CHOOSE($H11,SUMPRODUCT($O12:$O$75*AC12:AC$75*($E12:$E$75=$D11)),IF(ISNUMBER(iData!V11),100*ABS($G11-(iData!V11-$K11)/$M11),0),IF(ISNUMBER(iData!V11),100*ABS($G11-(iData!V11-$I11)/$M11),0),IF(iData!V11&gt;tblIndicators!$AI7,100,IF(ISNUMBER(iData!V11),100*ABS($G11-(iData!V11-$I11)/$M11),0)),IF(iData!V11&lt;0,100,IF(ISNUMBER(iData!V11),100*ABS($G11-(iData!V11-$I11)/$M11),0)))</f>
        <v>100</v>
      </c>
      <c r="AD11" s="123" cm="1">
        <f t="array" ref="AD11">CHOOSE($H11,SUMPRODUCT($O12:$O$75*AD12:AD$75*($E12:$E$75=$D11)),IF(ISNUMBER(iData!W11),100*ABS($G11-(iData!W11-$K11)/$M11),0),IF(ISNUMBER(iData!W11),100*ABS($G11-(iData!W11-$I11)/$M11),0),IF(iData!W11&gt;tblIndicators!$AI7,100,IF(ISNUMBER(iData!W11),100*ABS($G11-(iData!W11-$I11)/$M11),0)),IF(iData!W11&lt;0,100,IF(ISNUMBER(iData!W11),100*ABS($G11-(iData!W11-$I11)/$M11),0)))</f>
        <v>100</v>
      </c>
      <c r="AE11" s="123" cm="1">
        <f t="array" ref="AE11">CHOOSE($H11,SUMPRODUCT($O12:$O$75*AE12:AE$75*($E12:$E$75=$D11)),IF(ISNUMBER(iData!X11),100*ABS($G11-(iData!X11-$K11)/$M11),0),IF(ISNUMBER(iData!X11),100*ABS($G11-(iData!X11-$I11)/$M11),0),IF(iData!X11&gt;tblIndicators!$AI7,100,IF(ISNUMBER(iData!X11),100*ABS($G11-(iData!X11-$I11)/$M11),0)),IF(iData!X11&lt;0,100,IF(ISNUMBER(iData!X11),100*ABS($G11-(iData!X11-$I11)/$M11),0)))</f>
        <v>100</v>
      </c>
      <c r="AF11" s="123" cm="1">
        <f t="array" ref="AF11">CHOOSE($H11,SUMPRODUCT($O12:$O$75*AF12:AF$75*($E12:$E$75=$D11)),IF(ISNUMBER(iData!Y11),100*ABS($G11-(iData!Y11-$K11)/$M11),0),IF(ISNUMBER(iData!Y11),100*ABS($G11-(iData!Y11-$I11)/$M11),0),IF(iData!Y11&gt;tblIndicators!$AI7,100,IF(ISNUMBER(iData!Y11),100*ABS($G11-(iData!Y11-$I11)/$M11),0)),IF(iData!Y11&lt;0,100,IF(ISNUMBER(iData!Y11),100*ABS($G11-(iData!Y11-$I11)/$M11),0)))</f>
        <v>100</v>
      </c>
      <c r="AG11" s="123" cm="1">
        <f t="array" ref="AG11">CHOOSE($H11,SUMPRODUCT($O12:$O$75*AG12:AG$75*($E12:$E$75=$D11)),IF(ISNUMBER(iData!Z11),100*ABS($G11-(iData!Z11-$K11)/$M11),0),IF(ISNUMBER(iData!Z11),100*ABS($G11-(iData!Z11-$I11)/$M11),0),IF(iData!Z11&gt;tblIndicators!$AI7,100,IF(ISNUMBER(iData!Z11),100*ABS($G11-(iData!Z11-$I11)/$M11),0)),IF(iData!Z11&lt;0,100,IF(ISNUMBER(iData!Z11),100*ABS($G11-(iData!Z11-$I11)/$M11),0)))</f>
        <v>100</v>
      </c>
      <c r="AH11" s="123" cm="1">
        <f t="array" ref="AH11">CHOOSE($H11,SUMPRODUCT($O12:$O$75*AH12:AH$75*($E12:$E$75=$D11)),IF(ISNUMBER(iData!AA11),100*ABS($G11-(iData!AA11-$K11)/$M11),0),IF(ISNUMBER(iData!AA11),100*ABS($G11-(iData!AA11-$I11)/$M11),0),IF(iData!AA11&gt;tblIndicators!$AI7,100,IF(ISNUMBER(iData!AA11),100*ABS($G11-(iData!AA11-$I11)/$M11),0)),IF(iData!AA11&lt;0,100,IF(ISNUMBER(iData!AA11),100*ABS($G11-(iData!AA11-$I11)/$M11),0)))</f>
        <v>100</v>
      </c>
      <c r="AI11" s="123" cm="1">
        <f t="array" ref="AI11">CHOOSE($H11,SUMPRODUCT($O12:$O$75*AI12:AI$75*($E12:$E$75=$D11)),IF(ISNUMBER(iData!AB11),100*ABS($G11-(iData!AB11-$K11)/$M11),0),IF(ISNUMBER(iData!AB11),100*ABS($G11-(iData!AB11-$I11)/$M11),0),IF(iData!AB11&gt;tblIndicators!$AI7,100,IF(ISNUMBER(iData!AB11),100*ABS($G11-(iData!AB11-$I11)/$M11),0)),IF(iData!AB11&lt;0,100,IF(ISNUMBER(iData!AB11),100*ABS($G11-(iData!AB11-$I11)/$M11),0)))</f>
        <v>100</v>
      </c>
      <c r="AJ11" s="123" cm="1">
        <f t="array" ref="AJ11">CHOOSE($H11,SUMPRODUCT($O12:$O$75*AJ12:AJ$75*($E12:$E$75=$D11)),IF(ISNUMBER(iData!AC11),100*ABS($G11-(iData!AC11-$K11)/$M11),0),IF(ISNUMBER(iData!AC11),100*ABS($G11-(iData!AC11-$I11)/$M11),0),IF(iData!AC11&gt;tblIndicators!$AI7,100,IF(ISNUMBER(iData!AC11),100*ABS($G11-(iData!AC11-$I11)/$M11),0)),IF(iData!AC11&lt;0,100,IF(ISNUMBER(iData!AC11),100*ABS($G11-(iData!AC11-$I11)/$M11),0)))</f>
        <v>100</v>
      </c>
      <c r="AK11" s="123" cm="1">
        <f t="array" ref="AK11">CHOOSE($H11,SUMPRODUCT($O12:$O$75*AK12:AK$75*($E12:$E$75=$D11)),IF(ISNUMBER(iData!AD11),100*ABS($G11-(iData!AD11-$K11)/$M11),0),IF(ISNUMBER(iData!AD11),100*ABS($G11-(iData!AD11-$I11)/$M11),0),IF(iData!AD11&gt;tblIndicators!$AI7,100,IF(ISNUMBER(iData!AD11),100*ABS($G11-(iData!AD11-$I11)/$M11),0)),IF(iData!AD11&lt;0,100,IF(ISNUMBER(iData!AD11),100*ABS($G11-(iData!AD11-$I11)/$M11),0)))</f>
        <v>100</v>
      </c>
      <c r="AL11" s="123" cm="1">
        <f t="array" ref="AL11">CHOOSE($H11,SUMPRODUCT($O12:$O$75*AL12:AL$75*($E12:$E$75=$D11)),IF(ISNUMBER(iData!AE11),100*ABS($G11-(iData!AE11-$K11)/$M11),0),IF(ISNUMBER(iData!AE11),100*ABS($G11-(iData!AE11-$I11)/$M11),0),IF(iData!AE11&gt;tblIndicators!$AI7,100,IF(ISNUMBER(iData!AE11),100*ABS($G11-(iData!AE11-$I11)/$M11),0)),IF(iData!AE11&lt;0,100,IF(ISNUMBER(iData!AE11),100*ABS($G11-(iData!AE11-$I11)/$M11),0)))</f>
        <v>100</v>
      </c>
      <c r="AM11" s="123" cm="1">
        <f t="array" ref="AM11">CHOOSE($H11,SUMPRODUCT($O12:$O$75*AM12:AM$75*($E12:$E$75=$D11)),IF(ISNUMBER(iData!AF11),100*ABS($G11-(iData!AF11-$K11)/$M11),0),IF(ISNUMBER(iData!AF11),100*ABS($G11-(iData!AF11-$I11)/$M11),0),IF(iData!AF11&gt;tblIndicators!$AI7,100,IF(ISNUMBER(iData!AF11),100*ABS($G11-(iData!AF11-$I11)/$M11),0)),IF(iData!AF11&lt;0,100,IF(ISNUMBER(iData!AF11),100*ABS($G11-(iData!AF11-$I11)/$M11),0)))</f>
        <v>100</v>
      </c>
      <c r="AN11" s="123" cm="1">
        <f t="array" ref="AN11">CHOOSE($H11,SUMPRODUCT($O12:$O$75*AN12:AN$75*($E12:$E$75=$D11)),IF(ISNUMBER(iData!AG11),100*ABS($G11-(iData!AG11-$K11)/$M11),0),IF(ISNUMBER(iData!AG11),100*ABS($G11-(iData!AG11-$I11)/$M11),0),IF(iData!AG11&gt;tblIndicators!$AI7,100,IF(ISNUMBER(iData!AG11),100*ABS($G11-(iData!AG11-$I11)/$M11),0)),IF(iData!AG11&lt;0,100,IF(ISNUMBER(iData!AG11),100*ABS($G11-(iData!AG11-$I11)/$M11),0)))</f>
        <v>100</v>
      </c>
      <c r="AO11" s="123" cm="1">
        <f t="array" ref="AO11">CHOOSE($H11,SUMPRODUCT($O12:$O$75*AO12:AO$75*($E12:$E$75=$D11)),IF(ISNUMBER(iData!AH11),100*ABS($G11-(iData!AH11-$K11)/$M11),0),IF(ISNUMBER(iData!AH11),100*ABS($G11-(iData!AH11-$I11)/$M11),0),IF(iData!AH11&gt;tblIndicators!$AI7,100,IF(ISNUMBER(iData!AH11),100*ABS($G11-(iData!AH11-$I11)/$M11),0)),IF(iData!AH11&lt;0,100,IF(ISNUMBER(iData!AH11),100*ABS($G11-(iData!AH11-$I11)/$M11),0)))</f>
        <v>100</v>
      </c>
      <c r="AP11" s="123" cm="1">
        <f t="array" ref="AP11">CHOOSE($H11,SUMPRODUCT($O12:$O$75*AP12:AP$75*($E12:$E$75=$D11)),IF(ISNUMBER(iData!AI11),100*ABS($G11-(iData!AI11-$K11)/$M11),0),IF(ISNUMBER(iData!AI11),100*ABS($G11-(iData!AI11-$I11)/$M11),0),IF(iData!AI11&gt;tblIndicators!$AI7,100,IF(ISNUMBER(iData!AI11),100*ABS($G11-(iData!AI11-$I11)/$M11),0)),IF(iData!AI11&lt;0,100,IF(ISNUMBER(iData!AI11),100*ABS($G11-(iData!AI11-$I11)/$M11),0)))</f>
        <v>100</v>
      </c>
      <c r="AQ11" s="123" cm="1">
        <f t="array" ref="AQ11">CHOOSE($H11,SUMPRODUCT($O12:$O$75*AQ12:AQ$75*($E12:$E$75=$D11)),IF(ISNUMBER(iData!AJ11),100*ABS($G11-(iData!AJ11-$K11)/$M11),0),IF(ISNUMBER(iData!AJ11),100*ABS($G11-(iData!AJ11-$I11)/$M11),0),IF(iData!AJ11&gt;tblIndicators!$AI7,100,IF(ISNUMBER(iData!AJ11),100*ABS($G11-(iData!AJ11-$I11)/$M11),0)),IF(iData!AJ11&lt;0,100,IF(ISNUMBER(iData!AJ11),100*ABS($G11-(iData!AJ11-$I11)/$M11),0)))</f>
        <v>100</v>
      </c>
      <c r="AR11" s="123" cm="1">
        <f t="array" ref="AR11">CHOOSE($H11,SUMPRODUCT($O12:$O$75*AR12:AR$75*($E12:$E$75=$D11)),IF(ISNUMBER(iData!AK11),100*ABS($G11-(iData!AK11-$K11)/$M11),0),IF(ISNUMBER(iData!AK11),100*ABS($G11-(iData!AK11-$I11)/$M11),0),IF(iData!AK11&gt;tblIndicators!$AI7,100,IF(ISNUMBER(iData!AK11),100*ABS($G11-(iData!AK11-$I11)/$M11),0)),IF(iData!AK11&lt;0,100,IF(ISNUMBER(iData!AK11),100*ABS($G11-(iData!AK11-$I11)/$M11),0)))</f>
        <v>100</v>
      </c>
      <c r="AS11" s="123" cm="1">
        <f t="array" ref="AS11">CHOOSE($H11,SUMPRODUCT($O12:$O$75*AS12:AS$75*($E12:$E$75=$D11)),IF(ISNUMBER(iData!AL11),100*ABS($G11-(iData!AL11-$K11)/$M11),0),IF(ISNUMBER(iData!AL11),100*ABS($G11-(iData!AL11-$I11)/$M11),0),IF(iData!AL11&gt;tblIndicators!$AI7,100,IF(ISNUMBER(iData!AL11),100*ABS($G11-(iData!AL11-$I11)/$M11),0)),IF(iData!AL11&lt;0,100,IF(ISNUMBER(iData!AL11),100*ABS($G11-(iData!AL11-$I11)/$M11),0)))</f>
        <v>100</v>
      </c>
      <c r="AT11" s="123" cm="1">
        <f t="array" ref="AT11">CHOOSE($H11,SUMPRODUCT($O12:$O$75*AT12:AT$75*($E12:$E$75=$D11)),IF(ISNUMBER(iData!AM11),100*ABS($G11-(iData!AM11-$K11)/$M11),0),IF(ISNUMBER(iData!AM11),100*ABS($G11-(iData!AM11-$I11)/$M11),0),IF(iData!AM11&gt;tblIndicators!$AI7,100,IF(ISNUMBER(iData!AM11),100*ABS($G11-(iData!AM11-$I11)/$M11),0)),IF(iData!AM11&lt;0,100,IF(ISNUMBER(iData!AM11),100*ABS($G11-(iData!AM11-$I11)/$M11),0)))</f>
        <v>100</v>
      </c>
      <c r="AU11" s="123" cm="1">
        <f t="array" ref="AU11">CHOOSE($H11,SUMPRODUCT($O12:$O$75*AU12:AU$75*($E12:$E$75=$D11)),IF(ISNUMBER(iData!AN11),100*ABS($G11-(iData!AN11-$K11)/$M11),0),IF(ISNUMBER(iData!AN11),100*ABS($G11-(iData!AN11-$I11)/$M11),0),IF(iData!AN11&gt;tblIndicators!$AI7,100,IF(ISNUMBER(iData!AN11),100*ABS($G11-(iData!AN11-$I11)/$M11),0)),IF(iData!AN11&lt;0,100,IF(ISNUMBER(iData!AN11),100*ABS($G11-(iData!AN11-$I11)/$M11),0)))</f>
        <v>100</v>
      </c>
      <c r="AV11" s="367"/>
      <c r="AW11" s="368"/>
      <c r="AX11" s="14"/>
      <c r="AY11" s="871">
        <f t="shared" si="40"/>
        <v>100</v>
      </c>
      <c r="AZ11" s="871">
        <f t="shared" si="41"/>
        <v>100</v>
      </c>
      <c r="BA11" s="871">
        <f t="shared" si="42"/>
        <v>66.7</v>
      </c>
      <c r="BB11" s="871">
        <f t="shared" si="43"/>
        <v>100</v>
      </c>
      <c r="BC11" s="871">
        <f t="shared" si="44"/>
        <v>100</v>
      </c>
      <c r="BD11" s="871">
        <f t="shared" si="45"/>
        <v>100</v>
      </c>
      <c r="BE11" s="871">
        <f t="shared" si="46"/>
        <v>100</v>
      </c>
      <c r="BF11" s="871">
        <f t="shared" si="47"/>
        <v>100</v>
      </c>
      <c r="BG11" s="871">
        <f t="shared" si="48"/>
        <v>100</v>
      </c>
      <c r="BH11" s="871">
        <f t="shared" si="49"/>
        <v>100</v>
      </c>
      <c r="BI11" s="871">
        <f t="shared" si="50"/>
        <v>100</v>
      </c>
      <c r="BJ11" s="871">
        <f t="shared" si="51"/>
        <v>100</v>
      </c>
      <c r="BK11" s="871">
        <f t="shared" si="52"/>
        <v>100</v>
      </c>
      <c r="BL11" s="871">
        <f t="shared" si="53"/>
        <v>100</v>
      </c>
      <c r="BM11" s="871">
        <f t="shared" si="54"/>
        <v>100</v>
      </c>
      <c r="BN11" s="871">
        <f t="shared" si="55"/>
        <v>100</v>
      </c>
      <c r="BO11" s="871">
        <f t="shared" si="56"/>
        <v>100</v>
      </c>
      <c r="BP11" s="871">
        <f t="shared" si="57"/>
        <v>100</v>
      </c>
      <c r="BQ11" s="871">
        <f t="shared" si="58"/>
        <v>100</v>
      </c>
      <c r="BR11" s="871">
        <f t="shared" si="59"/>
        <v>100</v>
      </c>
      <c r="BS11" s="871">
        <f t="shared" si="60"/>
        <v>100</v>
      </c>
      <c r="BT11" s="871">
        <f t="shared" si="61"/>
        <v>100</v>
      </c>
      <c r="BU11" s="871">
        <f t="shared" si="62"/>
        <v>100</v>
      </c>
      <c r="BV11" s="871">
        <f t="shared" si="63"/>
        <v>100</v>
      </c>
      <c r="BW11" s="871">
        <f t="shared" si="64"/>
        <v>100</v>
      </c>
      <c r="BX11" s="871">
        <f t="shared" si="65"/>
        <v>100</v>
      </c>
      <c r="BY11" s="871">
        <f t="shared" si="66"/>
        <v>100</v>
      </c>
      <c r="BZ11" s="871">
        <f t="shared" si="67"/>
        <v>100</v>
      </c>
      <c r="CA11" s="871">
        <f t="shared" si="68"/>
        <v>100</v>
      </c>
      <c r="CB11" s="871">
        <f t="shared" si="69"/>
        <v>100</v>
      </c>
      <c r="CD11" s="304">
        <f t="shared" ca="1" si="38"/>
        <v>98.9</v>
      </c>
      <c r="CE11" s="304">
        <f t="shared" ca="1" si="38"/>
        <v>98.9</v>
      </c>
      <c r="CF11" s="304">
        <f t="shared" ca="1" si="38"/>
        <v>97.2</v>
      </c>
      <c r="CG11" s="302">
        <f t="shared" ca="1" si="38"/>
        <v>100</v>
      </c>
      <c r="CH11" s="302">
        <f t="shared" ca="1" si="38"/>
        <v>100</v>
      </c>
      <c r="CI11" s="302">
        <f t="shared" ca="1" si="38"/>
        <v>100</v>
      </c>
      <c r="CJ11" s="302">
        <f t="shared" ca="1" si="38"/>
        <v>100</v>
      </c>
      <c r="CK11" s="302">
        <f t="shared" ca="1" si="38"/>
        <v>100</v>
      </c>
      <c r="CL11" s="302">
        <f t="shared" ca="1" si="38"/>
        <v>94.5</v>
      </c>
      <c r="CM11" s="302">
        <f t="shared" ca="1" si="38"/>
        <v>100</v>
      </c>
      <c r="CN11" s="302">
        <f t="shared" ca="1" si="39"/>
        <v>100</v>
      </c>
      <c r="CO11" s="302">
        <f t="shared" ca="1" si="39"/>
        <v>100</v>
      </c>
      <c r="CP11" s="302">
        <f t="shared" ca="1" si="39"/>
        <v>91.7</v>
      </c>
      <c r="CQ11" s="302">
        <f t="shared" ca="1" si="39"/>
        <v>100</v>
      </c>
    </row>
    <row r="12" spans="1:96" s="124" customFormat="1" ht="27.75" customHeight="1" thickBot="1">
      <c r="A12" s="118"/>
      <c r="B12" s="119">
        <f>tblIndicators!A8</f>
        <v>7</v>
      </c>
      <c r="C12" s="119">
        <f>tblIndicators!B8</f>
        <v>0</v>
      </c>
      <c r="D12" s="119" t="str">
        <f>tblIndicators!E8</f>
        <v>CNTY1_1_4</v>
      </c>
      <c r="E12" s="119" t="str">
        <f>tblIndicators!F8</f>
        <v>CNTY1_1</v>
      </c>
      <c r="F12" s="119">
        <f>tblIndicators!G8</f>
        <v>3</v>
      </c>
      <c r="G12" s="119">
        <f>tblIndicators!AF8</f>
        <v>0</v>
      </c>
      <c r="H12" s="119">
        <f>tblIndicators!AG8</f>
        <v>3</v>
      </c>
      <c r="I12" s="120">
        <f>tblIndicators!AH8</f>
        <v>0</v>
      </c>
      <c r="J12" s="119">
        <f>tblIndicators!AI8</f>
        <v>2</v>
      </c>
      <c r="K12" s="119">
        <f t="array" ref="K12">MIN(IF(ISNUMBER(iData!K12:AN12),iData!K12:AN12))</f>
        <v>1</v>
      </c>
      <c r="L12" s="121">
        <f t="array" ref="L12">MAX(IF(ISNUMBER(iData!K12:AN12),iData!K12:AN12))</f>
        <v>2</v>
      </c>
      <c r="M12" s="51">
        <f t="shared" si="7"/>
        <v>2</v>
      </c>
      <c r="N12" s="122" t="str">
        <f>REPT(" ",F12)&amp;tblIndicators!AM8</f>
        <v xml:space="preserve">   1.1.4) 5G deployment</v>
      </c>
      <c r="O12" s="381">
        <f>tblIndicators!AR8</f>
        <v>0.28888888888888886</v>
      </c>
      <c r="P12" s="381"/>
      <c r="Q12" s="323"/>
      <c r="R12" s="123" cm="1">
        <f t="array" ref="R12">CHOOSE($H12,SUMPRODUCT($O13:$O$75*R13:R$75*($E13:$E$75=$D12)),IF(ISNUMBER(iData!K12),100*ABS($G12-(iData!K12-$K12)/$M12),0),IF(ISNUMBER(iData!K12),100*ABS($G12-(iData!K12-$I12)/$M12),0),IF(iData!K12&gt;tblIndicators!$AI8,100,IF(ISNUMBER(iData!K12),100*ABS($G12-(iData!K12-$I12)/$M12),0)),IF(iData!K12&lt;0,100,IF(ISNUMBER(iData!K12),100*ABS($G12-(iData!K12-$I12)/$M12),0)))</f>
        <v>100</v>
      </c>
      <c r="S12" s="123" cm="1">
        <f t="array" ref="S12">CHOOSE($H12,SUMPRODUCT($O13:$O$75*S13:S$75*($E13:$E$75=$D12)),IF(ISNUMBER(iData!L12),100*ABS($G12-(iData!L12-$K12)/$M12),0),IF(ISNUMBER(iData!L12),100*ABS($G12-(iData!L12-$I12)/$M12),0),IF(iData!L12&gt;tblIndicators!$AI8,100,IF(ISNUMBER(iData!L12),100*ABS($G12-(iData!L12-$I12)/$M12),0)),IF(iData!L12&lt;0,100,IF(ISNUMBER(iData!L12),100*ABS($G12-(iData!L12-$I12)/$M12),0)))</f>
        <v>100</v>
      </c>
      <c r="T12" s="123" cm="1">
        <f t="array" ref="T12">CHOOSE($H12,SUMPRODUCT($O13:$O$75*T13:T$75*($E13:$E$75=$D12)),IF(ISNUMBER(iData!M12),100*ABS($G12-(iData!M12-$K12)/$M12),0),IF(ISNUMBER(iData!M12),100*ABS($G12-(iData!M12-$I12)/$M12),0),IF(iData!M12&gt;tblIndicators!$AI8,100,IF(ISNUMBER(iData!M12),100*ABS($G12-(iData!M12-$I12)/$M12),0)),IF(iData!M12&lt;0,100,IF(ISNUMBER(iData!M12),100*ABS($G12-(iData!M12-$I12)/$M12),0)))</f>
        <v>100</v>
      </c>
      <c r="U12" s="123" cm="1">
        <f t="array" ref="U12">CHOOSE($H12,SUMPRODUCT($O13:$O$75*U13:U$75*($E13:$E$75=$D12)),IF(ISNUMBER(iData!N12),100*ABS($G12-(iData!N12-$K12)/$M12),0),IF(ISNUMBER(iData!N12),100*ABS($G12-(iData!N12-$I12)/$M12),0),IF(iData!N12&gt;tblIndicators!$AI8,100,IF(ISNUMBER(iData!N12),100*ABS($G12-(iData!N12-$I12)/$M12),0)),IF(iData!N12&lt;0,100,IF(ISNUMBER(iData!N12),100*ABS($G12-(iData!N12-$I12)/$M12),0)))</f>
        <v>100</v>
      </c>
      <c r="V12" s="123" cm="1">
        <f t="array" ref="V12">CHOOSE($H12,SUMPRODUCT($O13:$O$75*V13:V$75*($E13:$E$75=$D12)),IF(ISNUMBER(iData!O12),100*ABS($G12-(iData!O12-$K12)/$M12),0),IF(ISNUMBER(iData!O12),100*ABS($G12-(iData!O12-$I12)/$M12),0),IF(iData!O12&gt;tblIndicators!$AI8,100,IF(ISNUMBER(iData!O12),100*ABS($G12-(iData!O12-$I12)/$M12),0)),IF(iData!O12&lt;0,100,IF(ISNUMBER(iData!O12),100*ABS($G12-(iData!O12-$I12)/$M12),0)))</f>
        <v>100</v>
      </c>
      <c r="W12" s="123" cm="1">
        <f t="array" ref="W12">CHOOSE($H12,SUMPRODUCT($O13:$O$75*W13:W$75*($E13:$E$75=$D12)),IF(ISNUMBER(iData!P12),100*ABS($G12-(iData!P12-$K12)/$M12),0),IF(ISNUMBER(iData!P12),100*ABS($G12-(iData!P12-$I12)/$M12),0),IF(iData!P12&gt;tblIndicators!$AI8,100,IF(ISNUMBER(iData!P12),100*ABS($G12-(iData!P12-$I12)/$M12),0)),IF(iData!P12&lt;0,100,IF(ISNUMBER(iData!P12),100*ABS($G12-(iData!P12-$I12)/$M12),0)))</f>
        <v>100</v>
      </c>
      <c r="X12" s="123" cm="1">
        <f t="array" ref="X12">CHOOSE($H12,SUMPRODUCT($O13:$O$75*X13:X$75*($E13:$E$75=$D12)),IF(ISNUMBER(iData!Q12),100*ABS($G12-(iData!Q12-$K12)/$M12),0),IF(ISNUMBER(iData!Q12),100*ABS($G12-(iData!Q12-$I12)/$M12),0),IF(iData!Q12&gt;tblIndicators!$AI8,100,IF(ISNUMBER(iData!Q12),100*ABS($G12-(iData!Q12-$I12)/$M12),0)),IF(iData!Q12&lt;0,100,IF(ISNUMBER(iData!Q12),100*ABS($G12-(iData!Q12-$I12)/$M12),0)))</f>
        <v>100</v>
      </c>
      <c r="Y12" s="123" cm="1">
        <f t="array" ref="Y12">CHOOSE($H12,SUMPRODUCT($O13:$O$75*Y13:Y$75*($E13:$E$75=$D12)),IF(ISNUMBER(iData!R12),100*ABS($G12-(iData!R12-$K12)/$M12),0),IF(ISNUMBER(iData!R12),100*ABS($G12-(iData!R12-$I12)/$M12),0),IF(iData!R12&gt;tblIndicators!$AI8,100,IF(ISNUMBER(iData!R12),100*ABS($G12-(iData!R12-$I12)/$M12),0)),IF(iData!R12&lt;0,100,IF(ISNUMBER(iData!R12),100*ABS($G12-(iData!R12-$I12)/$M12),0)))</f>
        <v>100</v>
      </c>
      <c r="Z12" s="123" cm="1">
        <f t="array" ref="Z12">CHOOSE($H12,SUMPRODUCT($O13:$O$75*Z13:Z$75*($E13:$E$75=$D12)),IF(ISNUMBER(iData!S12),100*ABS($G12-(iData!S12-$K12)/$M12),0),IF(ISNUMBER(iData!S12),100*ABS($G12-(iData!S12-$I12)/$M12),0),IF(iData!S12&gt;tblIndicators!$AI8,100,IF(ISNUMBER(iData!S12),100*ABS($G12-(iData!S12-$I12)/$M12),0)),IF(iData!S12&lt;0,100,IF(ISNUMBER(iData!S12),100*ABS($G12-(iData!S12-$I12)/$M12),0)))</f>
        <v>100</v>
      </c>
      <c r="AA12" s="123" cm="1">
        <f t="array" ref="AA12">CHOOSE($H12,SUMPRODUCT($O13:$O$75*AA13:AA$75*($E13:$E$75=$D12)),IF(ISNUMBER(iData!T12),100*ABS($G12-(iData!T12-$K12)/$M12),0),IF(ISNUMBER(iData!T12),100*ABS($G12-(iData!T12-$I12)/$M12),0),IF(iData!T12&gt;tblIndicators!$AI8,100,IF(ISNUMBER(iData!T12),100*ABS($G12-(iData!T12-$I12)/$M12),0)),IF(iData!T12&lt;0,100,IF(ISNUMBER(iData!T12),100*ABS($G12-(iData!T12-$I12)/$M12),0)))</f>
        <v>100</v>
      </c>
      <c r="AB12" s="123" cm="1">
        <f t="array" ref="AB12">CHOOSE($H12,SUMPRODUCT($O13:$O$75*AB13:AB$75*($E13:$E$75=$D12)),IF(ISNUMBER(iData!U12),100*ABS($G12-(iData!U12-$K12)/$M12),0),IF(ISNUMBER(iData!U12),100*ABS($G12-(iData!U12-$I12)/$M12),0),IF(iData!U12&gt;tblIndicators!$AI8,100,IF(ISNUMBER(iData!U12),100*ABS($G12-(iData!U12-$I12)/$M12),0)),IF(iData!U12&lt;0,100,IF(ISNUMBER(iData!U12),100*ABS($G12-(iData!U12-$I12)/$M12),0)))</f>
        <v>100</v>
      </c>
      <c r="AC12" s="123" cm="1">
        <f t="array" ref="AC12">CHOOSE($H12,SUMPRODUCT($O13:$O$75*AC13:AC$75*($E13:$E$75=$D12)),IF(ISNUMBER(iData!V12),100*ABS($G12-(iData!V12-$K12)/$M12),0),IF(ISNUMBER(iData!V12),100*ABS($G12-(iData!V12-$I12)/$M12),0),IF(iData!V12&gt;tblIndicators!$AI8,100,IF(ISNUMBER(iData!V12),100*ABS($G12-(iData!V12-$I12)/$M12),0)),IF(iData!V12&lt;0,100,IF(ISNUMBER(iData!V12),100*ABS($G12-(iData!V12-$I12)/$M12),0)))</f>
        <v>100</v>
      </c>
      <c r="AD12" s="123" cm="1">
        <f t="array" ref="AD12">CHOOSE($H12,SUMPRODUCT($O13:$O$75*AD13:AD$75*($E13:$E$75=$D12)),IF(ISNUMBER(iData!W12),100*ABS($G12-(iData!W12-$K12)/$M12),0),IF(ISNUMBER(iData!W12),100*ABS($G12-(iData!W12-$I12)/$M12),0),IF(iData!W12&gt;tblIndicators!$AI8,100,IF(ISNUMBER(iData!W12),100*ABS($G12-(iData!W12-$I12)/$M12),0)),IF(iData!W12&lt;0,100,IF(ISNUMBER(iData!W12),100*ABS($G12-(iData!W12-$I12)/$M12),0)))</f>
        <v>100</v>
      </c>
      <c r="AE12" s="123" cm="1">
        <f t="array" ref="AE12">CHOOSE($H12,SUMPRODUCT($O13:$O$75*AE13:AE$75*($E13:$E$75=$D12)),IF(ISNUMBER(iData!X12),100*ABS($G12-(iData!X12-$K12)/$M12),0),IF(ISNUMBER(iData!X12),100*ABS($G12-(iData!X12-$I12)/$M12),0),IF(iData!X12&gt;tblIndicators!$AI8,100,IF(ISNUMBER(iData!X12),100*ABS($G12-(iData!X12-$I12)/$M12),0)),IF(iData!X12&lt;0,100,IF(ISNUMBER(iData!X12),100*ABS($G12-(iData!X12-$I12)/$M12),0)))</f>
        <v>100</v>
      </c>
      <c r="AF12" s="123" cm="1">
        <f t="array" ref="AF12">CHOOSE($H12,SUMPRODUCT($O13:$O$75*AF13:AF$75*($E13:$E$75=$D12)),IF(ISNUMBER(iData!Y12),100*ABS($G12-(iData!Y12-$K12)/$M12),0),IF(ISNUMBER(iData!Y12),100*ABS($G12-(iData!Y12-$I12)/$M12),0),IF(iData!Y12&gt;tblIndicators!$AI8,100,IF(ISNUMBER(iData!Y12),100*ABS($G12-(iData!Y12-$I12)/$M12),0)),IF(iData!Y12&lt;0,100,IF(ISNUMBER(iData!Y12),100*ABS($G12-(iData!Y12-$I12)/$M12),0)))</f>
        <v>100</v>
      </c>
      <c r="AG12" s="123" cm="1">
        <f t="array" ref="AG12">CHOOSE($H12,SUMPRODUCT($O13:$O$75*AG13:AG$75*($E13:$E$75=$D12)),IF(ISNUMBER(iData!Z12),100*ABS($G12-(iData!Z12-$K12)/$M12),0),IF(ISNUMBER(iData!Z12),100*ABS($G12-(iData!Z12-$I12)/$M12),0),IF(iData!Z12&gt;tblIndicators!$AI8,100,IF(ISNUMBER(iData!Z12),100*ABS($G12-(iData!Z12-$I12)/$M12),0)),IF(iData!Z12&lt;0,100,IF(ISNUMBER(iData!Z12),100*ABS($G12-(iData!Z12-$I12)/$M12),0)))</f>
        <v>100</v>
      </c>
      <c r="AH12" s="123" cm="1">
        <f t="array" ref="AH12">CHOOSE($H12,SUMPRODUCT($O13:$O$75*AH13:AH$75*($E13:$E$75=$D12)),IF(ISNUMBER(iData!AA12),100*ABS($G12-(iData!AA12-$K12)/$M12),0),IF(ISNUMBER(iData!AA12),100*ABS($G12-(iData!AA12-$I12)/$M12),0),IF(iData!AA12&gt;tblIndicators!$AI8,100,IF(ISNUMBER(iData!AA12),100*ABS($G12-(iData!AA12-$I12)/$M12),0)),IF(iData!AA12&lt;0,100,IF(ISNUMBER(iData!AA12),100*ABS($G12-(iData!AA12-$I12)/$M12),0)))</f>
        <v>100</v>
      </c>
      <c r="AI12" s="123" cm="1">
        <f t="array" ref="AI12">CHOOSE($H12,SUMPRODUCT($O13:$O$75*AI13:AI$75*($E13:$E$75=$D12)),IF(ISNUMBER(iData!AB12),100*ABS($G12-(iData!AB12-$K12)/$M12),0),IF(ISNUMBER(iData!AB12),100*ABS($G12-(iData!AB12-$I12)/$M12),0),IF(iData!AB12&gt;tblIndicators!$AI8,100,IF(ISNUMBER(iData!AB12),100*ABS($G12-(iData!AB12-$I12)/$M12),0)),IF(iData!AB12&lt;0,100,IF(ISNUMBER(iData!AB12),100*ABS($G12-(iData!AB12-$I12)/$M12),0)))</f>
        <v>100</v>
      </c>
      <c r="AJ12" s="123" cm="1">
        <f t="array" ref="AJ12">CHOOSE($H12,SUMPRODUCT($O13:$O$75*AJ13:AJ$75*($E13:$E$75=$D12)),IF(ISNUMBER(iData!AC12),100*ABS($G12-(iData!AC12-$K12)/$M12),0),IF(ISNUMBER(iData!AC12),100*ABS($G12-(iData!AC12-$I12)/$M12),0),IF(iData!AC12&gt;tblIndicators!$AI8,100,IF(ISNUMBER(iData!AC12),100*ABS($G12-(iData!AC12-$I12)/$M12),0)),IF(iData!AC12&lt;0,100,IF(ISNUMBER(iData!AC12),100*ABS($G12-(iData!AC12-$I12)/$M12),0)))</f>
        <v>50</v>
      </c>
      <c r="AK12" s="123" cm="1">
        <f t="array" ref="AK12">CHOOSE($H12,SUMPRODUCT($O13:$O$75*AK13:AK$75*($E13:$E$75=$D12)),IF(ISNUMBER(iData!AD12),100*ABS($G12-(iData!AD12-$K12)/$M12),0),IF(ISNUMBER(iData!AD12),100*ABS($G12-(iData!AD12-$I12)/$M12),0),IF(iData!AD12&gt;tblIndicators!$AI8,100,IF(ISNUMBER(iData!AD12),100*ABS($G12-(iData!AD12-$I12)/$M12),0)),IF(iData!AD12&lt;0,100,IF(ISNUMBER(iData!AD12),100*ABS($G12-(iData!AD12-$I12)/$M12),0)))</f>
        <v>100</v>
      </c>
      <c r="AL12" s="123" cm="1">
        <f t="array" ref="AL12">CHOOSE($H12,SUMPRODUCT($O13:$O$75*AL13:AL$75*($E13:$E$75=$D12)),IF(ISNUMBER(iData!AE12),100*ABS($G12-(iData!AE12-$K12)/$M12),0),IF(ISNUMBER(iData!AE12),100*ABS($G12-(iData!AE12-$I12)/$M12),0),IF(iData!AE12&gt;tblIndicators!$AI8,100,IF(ISNUMBER(iData!AE12),100*ABS($G12-(iData!AE12-$I12)/$M12),0)),IF(iData!AE12&lt;0,100,IF(ISNUMBER(iData!AE12),100*ABS($G12-(iData!AE12-$I12)/$M12),0)))</f>
        <v>100</v>
      </c>
      <c r="AM12" s="123" cm="1">
        <f t="array" ref="AM12">CHOOSE($H12,SUMPRODUCT($O13:$O$75*AM13:AM$75*($E13:$E$75=$D12)),IF(ISNUMBER(iData!AF12),100*ABS($G12-(iData!AF12-$K12)/$M12),0),IF(ISNUMBER(iData!AF12),100*ABS($G12-(iData!AF12-$I12)/$M12),0),IF(iData!AF12&gt;tblIndicators!$AI8,100,IF(ISNUMBER(iData!AF12),100*ABS($G12-(iData!AF12-$I12)/$M12),0)),IF(iData!AF12&lt;0,100,IF(ISNUMBER(iData!AF12),100*ABS($G12-(iData!AF12-$I12)/$M12),0)))</f>
        <v>100</v>
      </c>
      <c r="AN12" s="123" cm="1">
        <f t="array" ref="AN12">CHOOSE($H12,SUMPRODUCT($O13:$O$75*AN13:AN$75*($E13:$E$75=$D12)),IF(ISNUMBER(iData!AG12),100*ABS($G12-(iData!AG12-$K12)/$M12),0),IF(ISNUMBER(iData!AG12),100*ABS($G12-(iData!AG12-$I12)/$M12),0),IF(iData!AG12&gt;tblIndicators!$AI8,100,IF(ISNUMBER(iData!AG12),100*ABS($G12-(iData!AG12-$I12)/$M12),0)),IF(iData!AG12&lt;0,100,IF(ISNUMBER(iData!AG12),100*ABS($G12-(iData!AG12-$I12)/$M12),0)))</f>
        <v>100</v>
      </c>
      <c r="AO12" s="123" cm="1">
        <f t="array" ref="AO12">CHOOSE($H12,SUMPRODUCT($O13:$O$75*AO13:AO$75*($E13:$E$75=$D12)),IF(ISNUMBER(iData!AH12),100*ABS($G12-(iData!AH12-$K12)/$M12),0),IF(ISNUMBER(iData!AH12),100*ABS($G12-(iData!AH12-$I12)/$M12),0),IF(iData!AH12&gt;tblIndicators!$AI8,100,IF(ISNUMBER(iData!AH12),100*ABS($G12-(iData!AH12-$I12)/$M12),0)),IF(iData!AH12&lt;0,100,IF(ISNUMBER(iData!AH12),100*ABS($G12-(iData!AH12-$I12)/$M12),0)))</f>
        <v>100</v>
      </c>
      <c r="AP12" s="123" cm="1">
        <f t="array" ref="AP12">CHOOSE($H12,SUMPRODUCT($O13:$O$75*AP13:AP$75*($E13:$E$75=$D12)),IF(ISNUMBER(iData!AI12),100*ABS($G12-(iData!AI12-$K12)/$M12),0),IF(ISNUMBER(iData!AI12),100*ABS($G12-(iData!AI12-$I12)/$M12),0),IF(iData!AI12&gt;tblIndicators!$AI8,100,IF(ISNUMBER(iData!AI12),100*ABS($G12-(iData!AI12-$I12)/$M12),0)),IF(iData!AI12&lt;0,100,IF(ISNUMBER(iData!AI12),100*ABS($G12-(iData!AI12-$I12)/$M12),0)))</f>
        <v>100</v>
      </c>
      <c r="AQ12" s="123" cm="1">
        <f t="array" ref="AQ12">CHOOSE($H12,SUMPRODUCT($O13:$O$75*AQ13:AQ$75*($E13:$E$75=$D12)),IF(ISNUMBER(iData!AJ12),100*ABS($G12-(iData!AJ12-$K12)/$M12),0),IF(ISNUMBER(iData!AJ12),100*ABS($G12-(iData!AJ12-$I12)/$M12),0),IF(iData!AJ12&gt;tblIndicators!$AI8,100,IF(ISNUMBER(iData!AJ12),100*ABS($G12-(iData!AJ12-$I12)/$M12),0)),IF(iData!AJ12&lt;0,100,IF(ISNUMBER(iData!AJ12),100*ABS($G12-(iData!AJ12-$I12)/$M12),0)))</f>
        <v>100</v>
      </c>
      <c r="AR12" s="123" cm="1">
        <f t="array" ref="AR12">CHOOSE($H12,SUMPRODUCT($O13:$O$75*AR13:AR$75*($E13:$E$75=$D12)),IF(ISNUMBER(iData!AK12),100*ABS($G12-(iData!AK12-$K12)/$M12),0),IF(ISNUMBER(iData!AK12),100*ABS($G12-(iData!AK12-$I12)/$M12),0),IF(iData!AK12&gt;tblIndicators!$AI8,100,IF(ISNUMBER(iData!AK12),100*ABS($G12-(iData!AK12-$I12)/$M12),0)),IF(iData!AK12&lt;0,100,IF(ISNUMBER(iData!AK12),100*ABS($G12-(iData!AK12-$I12)/$M12),0)))</f>
        <v>100</v>
      </c>
      <c r="AS12" s="123" cm="1">
        <f t="array" ref="AS12">CHOOSE($H12,SUMPRODUCT($O13:$O$75*AS13:AS$75*($E13:$E$75=$D12)),IF(ISNUMBER(iData!AL12),100*ABS($G12-(iData!AL12-$K12)/$M12),0),IF(ISNUMBER(iData!AL12),100*ABS($G12-(iData!AL12-$I12)/$M12),0),IF(iData!AL12&gt;tblIndicators!$AI8,100,IF(ISNUMBER(iData!AL12),100*ABS($G12-(iData!AL12-$I12)/$M12),0)),IF(iData!AL12&lt;0,100,IF(ISNUMBER(iData!AL12),100*ABS($G12-(iData!AL12-$I12)/$M12),0)))</f>
        <v>100</v>
      </c>
      <c r="AT12" s="123" cm="1">
        <f t="array" ref="AT12">CHOOSE($H12,SUMPRODUCT($O13:$O$75*AT13:AT$75*($E13:$E$75=$D12)),IF(ISNUMBER(iData!AM12),100*ABS($G12-(iData!AM12-$K12)/$M12),0),IF(ISNUMBER(iData!AM12),100*ABS($G12-(iData!AM12-$I12)/$M12),0),IF(iData!AM12&gt;tblIndicators!$AI8,100,IF(ISNUMBER(iData!AM12),100*ABS($G12-(iData!AM12-$I12)/$M12),0)),IF(iData!AM12&lt;0,100,IF(ISNUMBER(iData!AM12),100*ABS($G12-(iData!AM12-$I12)/$M12),0)))</f>
        <v>100</v>
      </c>
      <c r="AU12" s="123" cm="1">
        <f t="array" ref="AU12">CHOOSE($H12,SUMPRODUCT($O13:$O$75*AU13:AU$75*($E13:$E$75=$D12)),IF(ISNUMBER(iData!AN12),100*ABS($G12-(iData!AN12-$K12)/$M12),0),IF(ISNUMBER(iData!AN12),100*ABS($G12-(iData!AN12-$I12)/$M12),0),IF(iData!AN12&gt;tblIndicators!$AI8,100,IF(ISNUMBER(iData!AN12),100*ABS($G12-(iData!AN12-$I12)/$M12),0)),IF(iData!AN12&lt;0,100,IF(ISNUMBER(iData!AN12),100*ABS($G12-(iData!AN12-$I12)/$M12),0)))</f>
        <v>100</v>
      </c>
      <c r="AV12" s="367"/>
      <c r="AW12" s="368"/>
      <c r="AX12" s="14"/>
      <c r="AY12" s="871">
        <f t="shared" si="40"/>
        <v>100</v>
      </c>
      <c r="AZ12" s="871">
        <f t="shared" si="41"/>
        <v>100</v>
      </c>
      <c r="BA12" s="871">
        <f t="shared" si="42"/>
        <v>100</v>
      </c>
      <c r="BB12" s="871">
        <f t="shared" si="43"/>
        <v>100</v>
      </c>
      <c r="BC12" s="871">
        <f t="shared" si="44"/>
        <v>100</v>
      </c>
      <c r="BD12" s="871">
        <f t="shared" si="45"/>
        <v>100</v>
      </c>
      <c r="BE12" s="871">
        <f t="shared" si="46"/>
        <v>100</v>
      </c>
      <c r="BF12" s="871">
        <f t="shared" si="47"/>
        <v>100</v>
      </c>
      <c r="BG12" s="871">
        <f t="shared" si="48"/>
        <v>100</v>
      </c>
      <c r="BH12" s="871">
        <f t="shared" si="49"/>
        <v>100</v>
      </c>
      <c r="BI12" s="871">
        <f t="shared" si="50"/>
        <v>100</v>
      </c>
      <c r="BJ12" s="871">
        <f t="shared" si="51"/>
        <v>100</v>
      </c>
      <c r="BK12" s="871">
        <f t="shared" si="52"/>
        <v>100</v>
      </c>
      <c r="BL12" s="871">
        <f t="shared" si="53"/>
        <v>100</v>
      </c>
      <c r="BM12" s="871">
        <f t="shared" si="54"/>
        <v>100</v>
      </c>
      <c r="BN12" s="871">
        <f t="shared" si="55"/>
        <v>100</v>
      </c>
      <c r="BO12" s="871">
        <f t="shared" si="56"/>
        <v>100</v>
      </c>
      <c r="BP12" s="871">
        <f t="shared" si="57"/>
        <v>100</v>
      </c>
      <c r="BQ12" s="871">
        <f t="shared" si="58"/>
        <v>50</v>
      </c>
      <c r="BR12" s="871">
        <f t="shared" si="59"/>
        <v>100</v>
      </c>
      <c r="BS12" s="871">
        <f t="shared" si="60"/>
        <v>100</v>
      </c>
      <c r="BT12" s="871">
        <f t="shared" si="61"/>
        <v>100</v>
      </c>
      <c r="BU12" s="871">
        <f t="shared" si="62"/>
        <v>100</v>
      </c>
      <c r="BV12" s="871">
        <f t="shared" si="63"/>
        <v>100</v>
      </c>
      <c r="BW12" s="871">
        <f t="shared" si="64"/>
        <v>100</v>
      </c>
      <c r="BX12" s="871">
        <f t="shared" si="65"/>
        <v>100</v>
      </c>
      <c r="BY12" s="871">
        <f t="shared" si="66"/>
        <v>100</v>
      </c>
      <c r="BZ12" s="871">
        <f t="shared" si="67"/>
        <v>100</v>
      </c>
      <c r="CA12" s="871">
        <f t="shared" si="68"/>
        <v>100</v>
      </c>
      <c r="CB12" s="871">
        <f t="shared" si="69"/>
        <v>100</v>
      </c>
      <c r="CD12" s="304">
        <f t="shared" ca="1" si="38"/>
        <v>98.3</v>
      </c>
      <c r="CE12" s="304">
        <f t="shared" ca="1" si="38"/>
        <v>98.3</v>
      </c>
      <c r="CF12" s="304">
        <f t="shared" ca="1" si="38"/>
        <v>95.8</v>
      </c>
      <c r="CG12" s="302">
        <f t="shared" ca="1" si="38"/>
        <v>100</v>
      </c>
      <c r="CH12" s="302">
        <f t="shared" ca="1" si="38"/>
        <v>100</v>
      </c>
      <c r="CI12" s="302">
        <f t="shared" ca="1" si="38"/>
        <v>100</v>
      </c>
      <c r="CJ12" s="302">
        <f t="shared" ca="1" si="38"/>
        <v>100</v>
      </c>
      <c r="CK12" s="302">
        <f t="shared" ca="1" si="38"/>
        <v>83.3</v>
      </c>
      <c r="CL12" s="302">
        <f t="shared" ca="1" si="38"/>
        <v>100</v>
      </c>
      <c r="CM12" s="302">
        <f t="shared" ca="1" si="38"/>
        <v>100</v>
      </c>
      <c r="CN12" s="302">
        <f t="shared" ca="1" si="39"/>
        <v>100</v>
      </c>
      <c r="CO12" s="302">
        <f t="shared" ca="1" si="39"/>
        <v>100</v>
      </c>
      <c r="CP12" s="302">
        <f t="shared" ca="1" si="39"/>
        <v>100</v>
      </c>
      <c r="CQ12" s="302">
        <f t="shared" ca="1" si="39"/>
        <v>94.4</v>
      </c>
    </row>
    <row r="13" spans="1:96" s="124" customFormat="1" ht="27.75" customHeight="1" thickBot="1">
      <c r="A13" s="118"/>
      <c r="B13" s="119">
        <f>tblIndicators!A9</f>
        <v>8</v>
      </c>
      <c r="C13" s="119">
        <f>tblIndicators!B9</f>
        <v>0</v>
      </c>
      <c r="D13" s="119" t="str">
        <f>tblIndicators!E9</f>
        <v>CNTY1_2</v>
      </c>
      <c r="E13" s="119" t="str">
        <f>tblIndicators!F9</f>
        <v>CNTY</v>
      </c>
      <c r="F13" s="119">
        <f>tblIndicators!G9</f>
        <v>2</v>
      </c>
      <c r="G13" s="119">
        <f>tblIndicators!AF9</f>
        <v>0</v>
      </c>
      <c r="H13" s="119">
        <f>tblIndicators!AG9</f>
        <v>1</v>
      </c>
      <c r="I13" s="120">
        <f>tblIndicators!AH9</f>
        <v>0</v>
      </c>
      <c r="J13" s="119">
        <f>tblIndicators!AI9</f>
        <v>0</v>
      </c>
      <c r="K13" s="119">
        <f t="array" ref="K13">MIN(IF(ISNUMBER(iData!K13:AN13),iData!K13:AN13))</f>
        <v>0</v>
      </c>
      <c r="L13" s="121">
        <f t="array" ref="L13">MAX(IF(ISNUMBER(iData!K13:AN13),iData!K13:AN13))</f>
        <v>0</v>
      </c>
      <c r="M13" s="51" t="str">
        <f t="shared" si="7"/>
        <v>-</v>
      </c>
      <c r="N13" s="122" t="str">
        <f>REPT(" ",F13)&amp;tblIndicators!AM9</f>
        <v xml:space="preserve">  1.2) Quality</v>
      </c>
      <c r="O13" s="381">
        <f>tblIndicators!AR9</f>
        <v>0.22222222222222221</v>
      </c>
      <c r="P13" s="381"/>
      <c r="Q13" s="323"/>
      <c r="R13" s="123" cm="1">
        <f t="array" ref="R13">CHOOSE($H13,SUMPRODUCT($O14:$O$75*R14:R$75*($E14:$E$75=$D13)),IF(ISNUMBER(iData!K13),100*ABS($G13-(iData!K13-$K13)/$M13),0),IF(ISNUMBER(iData!K13),100*ABS($G13-(iData!K13-$I13)/$M13),0),IF(iData!K13&gt;tblIndicators!$AI9,100,IF(ISNUMBER(iData!K13),100*ABS($G13-(iData!K13-$I13)/$M13),0)),IF(iData!K13&lt;0,100,IF(ISNUMBER(iData!K13),100*ABS($G13-(iData!K13-$I13)/$M13),0)))</f>
        <v>66.680400824367112</v>
      </c>
      <c r="S13" s="123" cm="1">
        <f t="array" ref="S13">CHOOSE($H13,SUMPRODUCT($O14:$O$75*S14:S$75*($E14:$E$75=$D13)),IF(ISNUMBER(iData!L13),100*ABS($G13-(iData!L13-$K13)/$M13),0),IF(ISNUMBER(iData!L13),100*ABS($G13-(iData!L13-$I13)/$M13),0),IF(iData!L13&gt;tblIndicators!$AI9,100,IF(ISNUMBER(iData!L13),100*ABS($G13-(iData!L13-$I13)/$M13),0)),IF(iData!L13&lt;0,100,IF(ISNUMBER(iData!L13),100*ABS($G13-(iData!L13-$I13)/$M13),0)))</f>
        <v>44.050309700362817</v>
      </c>
      <c r="T13" s="123" cm="1">
        <f t="array" ref="T13">CHOOSE($H13,SUMPRODUCT($O14:$O$75*T14:T$75*($E14:$E$75=$D13)),IF(ISNUMBER(iData!M13),100*ABS($G13-(iData!M13-$K13)/$M13),0),IF(ISNUMBER(iData!M13),100*ABS($G13-(iData!M13-$I13)/$M13),0),IF(iData!M13&gt;tblIndicators!$AI9,100,IF(ISNUMBER(iData!M13),100*ABS($G13-(iData!M13-$I13)/$M13),0)),IF(iData!M13&lt;0,100,IF(ISNUMBER(iData!M13),100*ABS($G13-(iData!M13-$I13)/$M13),0)))</f>
        <v>50.894530254505383</v>
      </c>
      <c r="U13" s="123" cm="1">
        <f t="array" ref="U13">CHOOSE($H13,SUMPRODUCT($O14:$O$75*U14:U$75*($E14:$E$75=$D13)),IF(ISNUMBER(iData!N13),100*ABS($G13-(iData!N13-$K13)/$M13),0),IF(ISNUMBER(iData!N13),100*ABS($G13-(iData!N13-$I13)/$M13),0),IF(iData!N13&gt;tblIndicators!$AI9,100,IF(ISNUMBER(iData!N13),100*ABS($G13-(iData!N13-$I13)/$M13),0)),IF(iData!N13&lt;0,100,IF(ISNUMBER(iData!N13),100*ABS($G13-(iData!N13-$I13)/$M13),0)))</f>
        <v>22.649009038705465</v>
      </c>
      <c r="V13" s="123" cm="1">
        <f t="array" ref="V13">CHOOSE($H13,SUMPRODUCT($O14:$O$75*V14:V$75*($E14:$E$75=$D13)),IF(ISNUMBER(iData!O13),100*ABS($G13-(iData!O13-$K13)/$M13),0),IF(ISNUMBER(iData!O13),100*ABS($G13-(iData!O13-$I13)/$M13),0),IF(iData!O13&gt;tblIndicators!$AI9,100,IF(ISNUMBER(iData!O13),100*ABS($G13-(iData!O13-$I13)/$M13),0)),IF(iData!O13&lt;0,100,IF(ISNUMBER(iData!O13),100*ABS($G13-(iData!O13-$I13)/$M13),0)))</f>
        <v>75.029075930498749</v>
      </c>
      <c r="W13" s="123" cm="1">
        <f t="array" ref="W13">CHOOSE($H13,SUMPRODUCT($O14:$O$75*W14:W$75*($E14:$E$75=$D13)),IF(ISNUMBER(iData!P13),100*ABS($G13-(iData!P13-$K13)/$M13),0),IF(ISNUMBER(iData!P13),100*ABS($G13-(iData!P13-$I13)/$M13),0),IF(iData!P13&gt;tblIndicators!$AI9,100,IF(ISNUMBER(iData!P13),100*ABS($G13-(iData!P13-$I13)/$M13),0)),IF(iData!P13&lt;0,100,IF(ISNUMBER(iData!P13),100*ABS($G13-(iData!P13-$I13)/$M13),0)))</f>
        <v>36.441848320517195</v>
      </c>
      <c r="X13" s="123" cm="1">
        <f t="array" ref="X13">CHOOSE($H13,SUMPRODUCT($O14:$O$75*X14:X$75*($E14:$E$75=$D13)),IF(ISNUMBER(iData!Q13),100*ABS($G13-(iData!Q13-$K13)/$M13),0),IF(ISNUMBER(iData!Q13),100*ABS($G13-(iData!Q13-$I13)/$M13),0),IF(iData!Q13&gt;tblIndicators!$AI9,100,IF(ISNUMBER(iData!Q13),100*ABS($G13-(iData!Q13-$I13)/$M13),0)),IF(iData!Q13&lt;0,100,IF(ISNUMBER(iData!Q13),100*ABS($G13-(iData!Q13-$I13)/$M13),0)))</f>
        <v>17.890895513610339</v>
      </c>
      <c r="Y13" s="123" cm="1">
        <f t="array" ref="Y13">CHOOSE($H13,SUMPRODUCT($O14:$O$75*Y14:Y$75*($E14:$E$75=$D13)),IF(ISNUMBER(iData!R13),100*ABS($G13-(iData!R13-$K13)/$M13),0),IF(ISNUMBER(iData!R13),100*ABS($G13-(iData!R13-$I13)/$M13),0),IF(iData!R13&gt;tblIndicators!$AI9,100,IF(ISNUMBER(iData!R13),100*ABS($G13-(iData!R13-$I13)/$M13),0)),IF(iData!R13&lt;0,100,IF(ISNUMBER(iData!R13),100*ABS($G13-(iData!R13-$I13)/$M13),0)))</f>
        <v>70.893684396053445</v>
      </c>
      <c r="Z13" s="123" cm="1">
        <f t="array" ref="Z13">CHOOSE($H13,SUMPRODUCT($O14:$O$75*Z14:Z$75*($E14:$E$75=$D13)),IF(ISNUMBER(iData!S13),100*ABS($G13-(iData!S13-$K13)/$M13),0),IF(ISNUMBER(iData!S13),100*ABS($G13-(iData!S13-$I13)/$M13),0),IF(iData!S13&gt;tblIndicators!$AI9,100,IF(ISNUMBER(iData!S13),100*ABS($G13-(iData!S13-$I13)/$M13),0)),IF(iData!S13&lt;0,100,IF(ISNUMBER(iData!S13),100*ABS($G13-(iData!S13-$I13)/$M13),0)))</f>
        <v>29.916014514640615</v>
      </c>
      <c r="AA13" s="123" cm="1">
        <f t="array" ref="AA13">CHOOSE($H13,SUMPRODUCT($O14:$O$75*AA14:AA$75*($E14:$E$75=$D13)),IF(ISNUMBER(iData!T13),100*ABS($G13-(iData!T13-$K13)/$M13),0),IF(ISNUMBER(iData!T13),100*ABS($G13-(iData!T13-$I13)/$M13),0),IF(iData!T13&gt;tblIndicators!$AI9,100,IF(ISNUMBER(iData!T13),100*ABS($G13-(iData!T13-$I13)/$M13),0)),IF(iData!T13&lt;0,100,IF(ISNUMBER(iData!T13),100*ABS($G13-(iData!T13-$I13)/$M13),0)))</f>
        <v>99.107142857142875</v>
      </c>
      <c r="AB13" s="123" cm="1">
        <f t="array" ref="AB13">CHOOSE($H13,SUMPRODUCT($O14:$O$75*AB14:AB$75*($E14:$E$75=$D13)),IF(ISNUMBER(iData!U13),100*ABS($G13-(iData!U13-$K13)/$M13),0),IF(ISNUMBER(iData!U13),100*ABS($G13-(iData!U13-$I13)/$M13),0),IF(iData!U13&gt;tblIndicators!$AI9,100,IF(ISNUMBER(iData!U13),100*ABS($G13-(iData!U13-$I13)/$M13),0)),IF(iData!U13&lt;0,100,IF(ISNUMBER(iData!U13),100*ABS($G13-(iData!U13-$I13)/$M13),0)))</f>
        <v>36.441848320517195</v>
      </c>
      <c r="AC13" s="123" cm="1">
        <f t="array" ref="AC13">CHOOSE($H13,SUMPRODUCT($O14:$O$75*AC14:AC$75*($E14:$E$75=$D13)),IF(ISNUMBER(iData!V13),100*ABS($G13-(iData!V13-$K13)/$M13),0),IF(ISNUMBER(iData!V13),100*ABS($G13-(iData!V13-$I13)/$M13),0),IF(iData!V13&gt;tblIndicators!$AI9,100,IF(ISNUMBER(iData!V13),100*ABS($G13-(iData!V13-$I13)/$M13),0)),IF(iData!V13&lt;0,100,IF(ISNUMBER(iData!V13),100*ABS($G13-(iData!V13-$I13)/$M13),0)))</f>
        <v>58.060857246683554</v>
      </c>
      <c r="AD13" s="123" cm="1">
        <f t="array" ref="AD13">CHOOSE($H13,SUMPRODUCT($O14:$O$75*AD14:AD$75*($E14:$E$75=$D13)),IF(ISNUMBER(iData!W13),100*ABS($G13-(iData!W13-$K13)/$M13),0),IF(ISNUMBER(iData!W13),100*ABS($G13-(iData!W13-$I13)/$M13),0),IF(iData!W13&gt;tblIndicators!$AI9,100,IF(ISNUMBER(iData!W13),100*ABS($G13-(iData!W13-$I13)/$M13),0)),IF(iData!W13&lt;0,100,IF(ISNUMBER(iData!W13),100*ABS($G13-(iData!W13-$I13)/$M13),0)))</f>
        <v>33.810427601414077</v>
      </c>
      <c r="AE13" s="123" cm="1">
        <f t="array" ref="AE13">CHOOSE($H13,SUMPRODUCT($O14:$O$75*AE14:AE$75*($E14:$E$75=$D13)),IF(ISNUMBER(iData!X13),100*ABS($G13-(iData!X13-$K13)/$M13),0),IF(ISNUMBER(iData!X13),100*ABS($G13-(iData!X13-$I13)/$M13),0),IF(iData!X13&gt;tblIndicators!$AI9,100,IF(ISNUMBER(iData!X13),100*ABS($G13-(iData!X13-$I13)/$M13),0)),IF(iData!X13&lt;0,100,IF(ISNUMBER(iData!X13),100*ABS($G13-(iData!X13-$I13)/$M13),0)))</f>
        <v>32.910043044393419</v>
      </c>
      <c r="AF13" s="123" cm="1">
        <f t="array" ref="AF13">CHOOSE($H13,SUMPRODUCT($O14:$O$75*AF14:AF$75*($E14:$E$75=$D13)),IF(ISNUMBER(iData!Y13),100*ABS($G13-(iData!Y13-$K13)/$M13),0),IF(ISNUMBER(iData!Y13),100*ABS($G13-(iData!Y13-$I13)/$M13),0),IF(iData!Y13&gt;tblIndicators!$AI9,100,IF(ISNUMBER(iData!Y13),100*ABS($G13-(iData!Y13-$I13)/$M13),0)),IF(iData!Y13&lt;0,100,IF(ISNUMBER(iData!Y13),100*ABS($G13-(iData!Y13-$I13)/$M13),0)))</f>
        <v>21.032214137961333</v>
      </c>
      <c r="AG13" s="123" cm="1">
        <f t="array" ref="AG13">CHOOSE($H13,SUMPRODUCT($O14:$O$75*AG14:AG$75*($E14:$E$75=$D13)),IF(ISNUMBER(iData!Z13),100*ABS($G13-(iData!Z13-$K13)/$M13),0),IF(ISNUMBER(iData!Z13),100*ABS($G13-(iData!Z13-$I13)/$M13),0),IF(iData!Z13&gt;tblIndicators!$AI9,100,IF(ISNUMBER(iData!Z13),100*ABS($G13-(iData!Z13-$I13)/$M13),0)),IF(iData!Z13&lt;0,100,IF(ISNUMBER(iData!Z13),100*ABS($G13-(iData!Z13-$I13)/$M13),0)))</f>
        <v>22.649009038705465</v>
      </c>
      <c r="AH13" s="123" cm="1">
        <f t="array" ref="AH13">CHOOSE($H13,SUMPRODUCT($O14:$O$75*AH14:AH$75*($E14:$E$75=$D13)),IF(ISNUMBER(iData!AA13),100*ABS($G13-(iData!AA13-$K13)/$M13),0),IF(ISNUMBER(iData!AA13),100*ABS($G13-(iData!AA13-$I13)/$M13),0),IF(iData!AA13&gt;tblIndicators!$AI9,100,IF(ISNUMBER(iData!AA13),100*ABS($G13-(iData!AA13-$I13)/$M13),0)),IF(iData!AA13&lt;0,100,IF(ISNUMBER(iData!AA13),100*ABS($G13-(iData!AA13-$I13)/$M13),0)))</f>
        <v>34.723618927335316</v>
      </c>
      <c r="AI13" s="123" cm="1">
        <f t="array" ref="AI13">CHOOSE($H13,SUMPRODUCT($O14:$O$75*AI14:AI$75*($E14:$E$75=$D13)),IF(ISNUMBER(iData!AB13),100*ABS($G13-(iData!AB13-$K13)/$M13),0),IF(ISNUMBER(iData!AB13),100*ABS($G13-(iData!AB13-$I13)/$M13),0),IF(iData!AB13&gt;tblIndicators!$AI9,100,IF(ISNUMBER(iData!AB13),100*ABS($G13-(iData!AB13-$I13)/$M13),0)),IF(iData!AB13&lt;0,100,IF(ISNUMBER(iData!AB13),100*ABS($G13-(iData!AB13-$I13)/$M13),0)))</f>
        <v>22.912142261774679</v>
      </c>
      <c r="AJ13" s="123" cm="1">
        <f t="array" ref="AJ13">CHOOSE($H13,SUMPRODUCT($O14:$O$75*AJ14:AJ$75*($E14:$E$75=$D13)),IF(ISNUMBER(iData!AC13),100*ABS($G13-(iData!AC13-$K13)/$M13),0),IF(ISNUMBER(iData!AC13),100*ABS($G13-(iData!AC13-$I13)/$M13),0),IF(iData!AC13&gt;tblIndicators!$AI9,100,IF(ISNUMBER(iData!AC13),100*ABS($G13-(iData!AC13-$I13)/$M13),0)),IF(iData!AC13&lt;0,100,IF(ISNUMBER(iData!AC13),100*ABS($G13-(iData!AC13-$I13)/$M13),0)))</f>
        <v>19.318181818181817</v>
      </c>
      <c r="AK13" s="123" cm="1">
        <f t="array" ref="AK13">CHOOSE($H13,SUMPRODUCT($O14:$O$75*AK14:AK$75*($E14:$E$75=$D13)),IF(ISNUMBER(iData!AD13),100*ABS($G13-(iData!AD13-$K13)/$M13),0),IF(ISNUMBER(iData!AD13),100*ABS($G13-(iData!AD13-$I13)/$M13),0),IF(iData!AD13&gt;tblIndicators!$AI9,100,IF(ISNUMBER(iData!AD13),100*ABS($G13-(iData!AD13-$I13)/$M13),0)),IF(iData!AD13&lt;0,100,IF(ISNUMBER(iData!AD13),100*ABS($G13-(iData!AD13-$I13)/$M13),0)))</f>
        <v>29.916014514640615</v>
      </c>
      <c r="AL13" s="123" cm="1">
        <f t="array" ref="AL13">CHOOSE($H13,SUMPRODUCT($O14:$O$75*AL14:AL$75*($E14:$E$75=$D13)),IF(ISNUMBER(iData!AE13),100*ABS($G13-(iData!AE13-$K13)/$M13),0),IF(ISNUMBER(iData!AE13),100*ABS($G13-(iData!AE13-$I13)/$M13),0),IF(iData!AE13&gt;tblIndicators!$AI9,100,IF(ISNUMBER(iData!AE13),100*ABS($G13-(iData!AE13-$I13)/$M13),0)),IF(iData!AE13&lt;0,100,IF(ISNUMBER(iData!AE13),100*ABS($G13-(iData!AE13-$I13)/$M13),0)))</f>
        <v>31.077465749993287</v>
      </c>
      <c r="AM13" s="123" cm="1">
        <f t="array" ref="AM13">CHOOSE($H13,SUMPRODUCT($O14:$O$75*AM14:AM$75*($E14:$E$75=$D13)),IF(ISNUMBER(iData!AF13),100*ABS($G13-(iData!AF13-$K13)/$M13),0),IF(ISNUMBER(iData!AF13),100*ABS($G13-(iData!AF13-$I13)/$M13),0),IF(iData!AF13&gt;tblIndicators!$AI9,100,IF(ISNUMBER(iData!AF13),100*ABS($G13-(iData!AF13-$I13)/$M13),0)),IF(iData!AF13&lt;0,100,IF(ISNUMBER(iData!AF13),100*ABS($G13-(iData!AF13-$I13)/$M13),0)))</f>
        <v>19.614209133238315</v>
      </c>
      <c r="AN13" s="123" cm="1">
        <f t="array" ref="AN13">CHOOSE($H13,SUMPRODUCT($O14:$O$75*AN14:AN$75*($E14:$E$75=$D13)),IF(ISNUMBER(iData!AG13),100*ABS($G13-(iData!AG13-$K13)/$M13),0),IF(ISNUMBER(iData!AG13),100*ABS($G13-(iData!AG13-$I13)/$M13),0),IF(iData!AG13&gt;tblIndicators!$AI9,100,IF(ISNUMBER(iData!AG13),100*ABS($G13-(iData!AG13-$I13)/$M13),0)),IF(iData!AG13&lt;0,100,IF(ISNUMBER(iData!AG13),100*ABS($G13-(iData!AG13-$I13)/$M13),0)))</f>
        <v>37.106748425723104</v>
      </c>
      <c r="AO13" s="123" cm="1">
        <f t="array" ref="AO13">CHOOSE($H13,SUMPRODUCT($O14:$O$75*AO14:AO$75*($E14:$E$75=$D13)),IF(ISNUMBER(iData!AH13),100*ABS($G13-(iData!AH13-$K13)/$M13),0),IF(ISNUMBER(iData!AH13),100*ABS($G13-(iData!AH13-$I13)/$M13),0),IF(iData!AH13&gt;tblIndicators!$AI9,100,IF(ISNUMBER(iData!AH13),100*ABS($G13-(iData!AH13-$I13)/$M13),0)),IF(iData!AH13&lt;0,100,IF(ISNUMBER(iData!AH13),100*ABS($G13-(iData!AH13-$I13)/$M13),0)))</f>
        <v>74.781981345372358</v>
      </c>
      <c r="AP13" s="123" cm="1">
        <f t="array" ref="AP13">CHOOSE($H13,SUMPRODUCT($O14:$O$75*AP14:AP$75*($E14:$E$75=$D13)),IF(ISNUMBER(iData!AI13),100*ABS($G13-(iData!AI13-$K13)/$M13),0),IF(ISNUMBER(iData!AI13),100*ABS($G13-(iData!AI13-$I13)/$M13),0),IF(iData!AI13&gt;tblIndicators!$AI9,100,IF(ISNUMBER(iData!AI13),100*ABS($G13-(iData!AI13-$I13)/$M13),0)),IF(iData!AI13&lt;0,100,IF(ISNUMBER(iData!AI13),100*ABS($G13-(iData!AI13-$I13)/$M13),0)))</f>
        <v>77.56362861295915</v>
      </c>
      <c r="AQ13" s="123" cm="1">
        <f t="array" ref="AQ13">CHOOSE($H13,SUMPRODUCT($O14:$O$75*AQ14:AQ$75*($E14:$E$75=$D13)),IF(ISNUMBER(iData!AJ13),100*ABS($G13-(iData!AJ13-$K13)/$M13),0),IF(ISNUMBER(iData!AJ13),100*ABS($G13-(iData!AJ13-$I13)/$M13),0),IF(iData!AJ13&gt;tblIndicators!$AI9,100,IF(ISNUMBER(iData!AJ13),100*ABS($G13-(iData!AJ13-$I13)/$M13),0)),IF(iData!AJ13&lt;0,100,IF(ISNUMBER(iData!AJ13),100*ABS($G13-(iData!AJ13-$I13)/$M13),0)))</f>
        <v>58.323633339601642</v>
      </c>
      <c r="AR13" s="123" cm="1">
        <f t="array" ref="AR13">CHOOSE($H13,SUMPRODUCT($O14:$O$75*AR14:AR$75*($E14:$E$75=$D13)),IF(ISNUMBER(iData!AK13),100*ABS($G13-(iData!AK13-$K13)/$M13),0),IF(ISNUMBER(iData!AK13),100*ABS($G13-(iData!AK13-$I13)/$M13),0),IF(iData!AK13&gt;tblIndicators!$AI9,100,IF(ISNUMBER(iData!AK13),100*ABS($G13-(iData!AK13-$I13)/$M13),0)),IF(iData!AK13&lt;0,100,IF(ISNUMBER(iData!AK13),100*ABS($G13-(iData!AK13-$I13)/$M13),0)))</f>
        <v>25.517416243676941</v>
      </c>
      <c r="AS13" s="123" cm="1">
        <f t="array" ref="AS13">CHOOSE($H13,SUMPRODUCT($O14:$O$75*AS14:AS$75*($E14:$E$75=$D13)),IF(ISNUMBER(iData!AL13),100*ABS($G13-(iData!AL13-$K13)/$M13),0),IF(ISNUMBER(iData!AL13),100*ABS($G13-(iData!AL13-$I13)/$M13),0),IF(iData!AL13&gt;tblIndicators!$AI9,100,IF(ISNUMBER(iData!AL13),100*ABS($G13-(iData!AL13-$I13)/$M13),0)),IF(iData!AL13&lt;0,100,IF(ISNUMBER(iData!AL13),100*ABS($G13-(iData!AL13-$I13)/$M13),0)))</f>
        <v>47.983068672815421</v>
      </c>
      <c r="AT13" s="123" cm="1">
        <f t="array" ref="AT13">CHOOSE($H13,SUMPRODUCT($O14:$O$75*AT14:AT$75*($E14:$E$75=$D13)),IF(ISNUMBER(iData!AM13),100*ABS($G13-(iData!AM13-$K13)/$M13),0),IF(ISNUMBER(iData!AM13),100*ABS($G13-(iData!AM13-$I13)/$M13),0),IF(iData!AM13&gt;tblIndicators!$AI9,100,IF(ISNUMBER(iData!AM13),100*ABS($G13-(iData!AM13-$I13)/$M13),0)),IF(iData!AM13&lt;0,100,IF(ISNUMBER(iData!AM13),100*ABS($G13-(iData!AM13-$I13)/$M13),0)))</f>
        <v>29.916014514640615</v>
      </c>
      <c r="AU13" s="123" cm="1">
        <f t="array" ref="AU13">CHOOSE($H13,SUMPRODUCT($O14:$O$75*AU14:AU$75*($E14:$E$75=$D13)),IF(ISNUMBER(iData!AN13),100*ABS($G13-(iData!AN13-$K13)/$M13),0),IF(ISNUMBER(iData!AN13),100*ABS($G13-(iData!AN13-$I13)/$M13),0),IF(iData!AN13&gt;tblIndicators!$AI9,100,IF(ISNUMBER(iData!AN13),100*ABS($G13-(iData!AN13-$I13)/$M13),0)),IF(iData!AN13&lt;0,100,IF(ISNUMBER(iData!AN13),100*ABS($G13-(iData!AN13-$I13)/$M13),0)))</f>
        <v>76.479589762281122</v>
      </c>
      <c r="AV13" s="367"/>
      <c r="AW13" s="368"/>
      <c r="AX13" s="14"/>
      <c r="AY13" s="871">
        <f t="shared" si="40"/>
        <v>66.7</v>
      </c>
      <c r="AZ13" s="871">
        <f t="shared" si="41"/>
        <v>44.1</v>
      </c>
      <c r="BA13" s="871">
        <f t="shared" si="42"/>
        <v>50.9</v>
      </c>
      <c r="BB13" s="871">
        <f t="shared" si="43"/>
        <v>22.6</v>
      </c>
      <c r="BC13" s="871">
        <f t="shared" si="44"/>
        <v>75</v>
      </c>
      <c r="BD13" s="871">
        <f t="shared" si="45"/>
        <v>36.4</v>
      </c>
      <c r="BE13" s="871">
        <f t="shared" si="46"/>
        <v>17.899999999999999</v>
      </c>
      <c r="BF13" s="871">
        <f t="shared" si="47"/>
        <v>70.900000000000006</v>
      </c>
      <c r="BG13" s="871">
        <f t="shared" si="48"/>
        <v>29.9</v>
      </c>
      <c r="BH13" s="871">
        <f t="shared" si="49"/>
        <v>99.1</v>
      </c>
      <c r="BI13" s="871">
        <f t="shared" si="50"/>
        <v>36.4</v>
      </c>
      <c r="BJ13" s="871">
        <f t="shared" si="51"/>
        <v>58.1</v>
      </c>
      <c r="BK13" s="871">
        <f t="shared" si="52"/>
        <v>33.799999999999997</v>
      </c>
      <c r="BL13" s="871">
        <f t="shared" si="53"/>
        <v>32.9</v>
      </c>
      <c r="BM13" s="871">
        <f t="shared" si="54"/>
        <v>21</v>
      </c>
      <c r="BN13" s="871">
        <f t="shared" si="55"/>
        <v>22.6</v>
      </c>
      <c r="BO13" s="871">
        <f t="shared" si="56"/>
        <v>34.700000000000003</v>
      </c>
      <c r="BP13" s="871">
        <f t="shared" si="57"/>
        <v>22.9</v>
      </c>
      <c r="BQ13" s="871">
        <f t="shared" si="58"/>
        <v>19.3</v>
      </c>
      <c r="BR13" s="871">
        <f t="shared" si="59"/>
        <v>29.9</v>
      </c>
      <c r="BS13" s="871">
        <f t="shared" si="60"/>
        <v>31.1</v>
      </c>
      <c r="BT13" s="871">
        <f t="shared" si="61"/>
        <v>19.600000000000001</v>
      </c>
      <c r="BU13" s="871">
        <f t="shared" si="62"/>
        <v>37.1</v>
      </c>
      <c r="BV13" s="871">
        <f t="shared" si="63"/>
        <v>74.8</v>
      </c>
      <c r="BW13" s="871">
        <f t="shared" si="64"/>
        <v>77.599999999999994</v>
      </c>
      <c r="BX13" s="871">
        <f t="shared" si="65"/>
        <v>58.3</v>
      </c>
      <c r="BY13" s="871">
        <f t="shared" si="66"/>
        <v>25.5</v>
      </c>
      <c r="BZ13" s="871">
        <f t="shared" si="67"/>
        <v>48</v>
      </c>
      <c r="CA13" s="871">
        <f t="shared" si="68"/>
        <v>29.9</v>
      </c>
      <c r="CB13" s="871">
        <f t="shared" si="69"/>
        <v>76.5</v>
      </c>
      <c r="CD13" s="304">
        <f t="shared" ca="1" si="38"/>
        <v>43.5</v>
      </c>
      <c r="CE13" s="304">
        <f t="shared" ca="1" si="38"/>
        <v>43.5</v>
      </c>
      <c r="CF13" s="304">
        <f t="shared" ca="1" si="38"/>
        <v>48.8</v>
      </c>
      <c r="CG13" s="302">
        <f t="shared" ca="1" si="38"/>
        <v>40.4</v>
      </c>
      <c r="CH13" s="302">
        <f t="shared" ca="1" si="38"/>
        <v>26</v>
      </c>
      <c r="CI13" s="302">
        <f t="shared" ca="1" si="38"/>
        <v>99.1</v>
      </c>
      <c r="CJ13" s="302">
        <f t="shared" ca="1" si="38"/>
        <v>34.4</v>
      </c>
      <c r="CK13" s="302">
        <f t="shared" ca="1" si="38"/>
        <v>29.3</v>
      </c>
      <c r="CL13" s="302">
        <f t="shared" ca="1" si="38"/>
        <v>39.5</v>
      </c>
      <c r="CM13" s="302">
        <f t="shared" ca="1" si="38"/>
        <v>46.6</v>
      </c>
      <c r="CN13" s="302">
        <f t="shared" ca="1" si="39"/>
        <v>59</v>
      </c>
      <c r="CO13" s="302">
        <f t="shared" ca="1" si="39"/>
        <v>39.799999999999997</v>
      </c>
      <c r="CP13" s="302">
        <f t="shared" ca="1" si="39"/>
        <v>34.4</v>
      </c>
      <c r="CQ13" s="302">
        <f t="shared" ca="1" si="39"/>
        <v>37.4</v>
      </c>
    </row>
    <row r="14" spans="1:96" s="124" customFormat="1" ht="27.75" customHeight="1" thickBot="1">
      <c r="A14" s="118"/>
      <c r="B14" s="119">
        <f>tblIndicators!A10</f>
        <v>9</v>
      </c>
      <c r="C14" s="119">
        <f>tblIndicators!B10</f>
        <v>0</v>
      </c>
      <c r="D14" s="119" t="str">
        <f>tblIndicators!E10</f>
        <v>CNTY1_2_1</v>
      </c>
      <c r="E14" s="119" t="str">
        <f>tblIndicators!F10</f>
        <v>CNTY1_2</v>
      </c>
      <c r="F14" s="119">
        <f>tblIndicators!G10</f>
        <v>3</v>
      </c>
      <c r="G14" s="119">
        <f>tblIndicators!AF10</f>
        <v>0</v>
      </c>
      <c r="H14" s="119">
        <f>tblIndicators!AG10</f>
        <v>2</v>
      </c>
      <c r="I14" s="120">
        <f>tblIndicators!AH10</f>
        <v>0</v>
      </c>
      <c r="J14" s="119">
        <f>tblIndicators!AI10</f>
        <v>0</v>
      </c>
      <c r="K14" s="119">
        <f t="array" ref="K14">MIN(IF(ISNUMBER(iData!K14:AN14),iData!K14:AN14))</f>
        <v>3.36</v>
      </c>
      <c r="L14" s="121">
        <f t="array" ref="L14">MAX(IF(ISNUMBER(iData!K14:AN14),iData!K14:AN14))</f>
        <v>23.2</v>
      </c>
      <c r="M14" s="51">
        <f t="shared" si="7"/>
        <v>19.84</v>
      </c>
      <c r="N14" s="122" t="str">
        <f>REPT(" ",F14)&amp;tblIndicators!AM10</f>
        <v xml:space="preserve">   1.2.1) Internet upload speed</v>
      </c>
      <c r="O14" s="381">
        <f>tblIndicators!AR10</f>
        <v>0.28571428571428575</v>
      </c>
      <c r="P14" s="381"/>
      <c r="Q14" s="323"/>
      <c r="R14" s="123" cm="1">
        <f t="array" ref="R14">CHOOSE($H14,SUMPRODUCT($O15:$O$75*R15:R$75*($E15:$E$75=$D14)),IF(ISNUMBER(iData!K14),100*ABS($G14-(iData!K14-$K14)/$M14),0),IF(ISNUMBER(iData!K14),100*ABS($G14-(iData!K14-$I14)/$M14),0),IF(iData!K14&gt;tblIndicators!$AI10,100,IF(ISNUMBER(iData!K14),100*ABS($G14-(iData!K14-$I14)/$M14),0)),IF(iData!K14&lt;0,100,IF(ISNUMBER(iData!K14),100*ABS($G14-(iData!K14-$I14)/$M14),0)))</f>
        <v>53.881048387096783</v>
      </c>
      <c r="S14" s="123" cm="1">
        <f t="array" ref="S14">CHOOSE($H14,SUMPRODUCT($O15:$O$75*S15:S$75*($E15:$E$75=$D14)),IF(ISNUMBER(iData!L14),100*ABS($G14-(iData!L14-$K14)/$M14),0),IF(ISNUMBER(iData!L14),100*ABS($G14-(iData!L14-$I14)/$M14),0),IF(iData!L14&gt;tblIndicators!$AI10,100,IF(ISNUMBER(iData!L14),100*ABS($G14-(iData!L14-$I14)/$M14),0)),IF(iData!L14&lt;0,100,IF(ISNUMBER(iData!L14),100*ABS($G14-(iData!L14-$I14)/$M14),0)))</f>
        <v>35.080645161290327</v>
      </c>
      <c r="T14" s="123" cm="1">
        <f t="array" ref="T14">CHOOSE($H14,SUMPRODUCT($O15:$O$75*T15:T$75*($E15:$E$75=$D14)),IF(ISNUMBER(iData!M14),100*ABS($G14-(iData!M14-$K14)/$M14),0),IF(ISNUMBER(iData!M14),100*ABS($G14-(iData!M14-$I14)/$M14),0),IF(iData!M14&gt;tblIndicators!$AI10,100,IF(ISNUMBER(iData!M14),100*ABS($G14-(iData!M14-$I14)/$M14),0)),IF(iData!M14&lt;0,100,IF(ISNUMBER(iData!M14),100*ABS($G14-(iData!M14-$I14)/$M14),0)))</f>
        <v>42.89314516129032</v>
      </c>
      <c r="U14" s="123" cm="1">
        <f t="array" ref="U14">CHOOSE($H14,SUMPRODUCT($O15:$O$75*U15:U$75*($E15:$E$75=$D14)),IF(ISNUMBER(iData!N14),100*ABS($G14-(iData!N14-$K14)/$M14),0),IF(ISNUMBER(iData!N14),100*ABS($G14-(iData!N14-$I14)/$M14),0),IF(iData!N14&gt;tblIndicators!$AI10,100,IF(ISNUMBER(iData!N14),100*ABS($G14-(iData!N14-$I14)/$M14),0)),IF(iData!N14&lt;0,100,IF(ISNUMBER(iData!N14),100*ABS($G14-(iData!N14-$I14)/$M14),0)))</f>
        <v>31.85483870967742</v>
      </c>
      <c r="V14" s="123" cm="1">
        <f t="array" ref="V14">CHOOSE($H14,SUMPRODUCT($O15:$O$75*V15:V$75*($E15:$E$75=$D14)),IF(ISNUMBER(iData!O14),100*ABS($G14-(iData!O14-$K14)/$M14),0),IF(ISNUMBER(iData!O14),100*ABS($G14-(iData!O14-$I14)/$M14),0),IF(iData!O14&gt;tblIndicators!$AI10,100,IF(ISNUMBER(iData!O14),100*ABS($G14-(iData!O14-$I14)/$M14),0)),IF(iData!O14&lt;0,100,IF(ISNUMBER(iData!O14),100*ABS($G14-(iData!O14-$I14)/$M14),0)))</f>
        <v>93.245967741935488</v>
      </c>
      <c r="W14" s="123" cm="1">
        <f t="array" ref="W14">CHOOSE($H14,SUMPRODUCT($O15:$O$75*W15:W$75*($E15:$E$75=$D14)),IF(ISNUMBER(iData!P14),100*ABS($G14-(iData!P14-$K14)/$M14),0),IF(ISNUMBER(iData!P14),100*ABS($G14-(iData!P14-$I14)/$M14),0),IF(iData!P14&gt;tblIndicators!$AI10,100,IF(ISNUMBER(iData!P14),100*ABS($G14-(iData!P14-$I14)/$M14),0)),IF(iData!P14&lt;0,100,IF(ISNUMBER(iData!P14),100*ABS($G14-(iData!P14-$I14)/$M14),0)))</f>
        <v>36.491935483870968</v>
      </c>
      <c r="X14" s="123" cm="1">
        <f t="array" ref="X14">CHOOSE($H14,SUMPRODUCT($O15:$O$75*X15:X$75*($E15:$E$75=$D14)),IF(ISNUMBER(iData!Q14),100*ABS($G14-(iData!Q14-$K14)/$M14),0),IF(ISNUMBER(iData!Q14),100*ABS($G14-(iData!Q14-$I14)/$M14),0),IF(iData!Q14&gt;tblIndicators!$AI10,100,IF(ISNUMBER(iData!Q14),100*ABS($G14-(iData!Q14-$I14)/$M14),0)),IF(iData!Q14&lt;0,100,IF(ISNUMBER(iData!Q14),100*ABS($G14-(iData!Q14-$I14)/$M14),0)))</f>
        <v>19.556451612903228</v>
      </c>
      <c r="Y14" s="123" cm="1">
        <f t="array" ref="Y14">CHOOSE($H14,SUMPRODUCT($O15:$O$75*Y15:Y$75*($E15:$E$75=$D14)),IF(ISNUMBER(iData!R14),100*ABS($G14-(iData!R14-$K14)/$M14),0),IF(ISNUMBER(iData!R14),100*ABS($G14-(iData!R14-$I14)/$M14),0),IF(iData!R14&gt;tblIndicators!$AI10,100,IF(ISNUMBER(iData!R14),100*ABS($G14-(iData!R14-$I14)/$M14),0)),IF(iData!R14&lt;0,100,IF(ISNUMBER(iData!R14),100*ABS($G14-(iData!R14-$I14)/$M14),0)))</f>
        <v>66.179435483870961</v>
      </c>
      <c r="Z14" s="123" cm="1">
        <f t="array" ref="Z14">CHOOSE($H14,SUMPRODUCT($O15:$O$75*Z15:Z$75*($E15:$E$75=$D14)),IF(ISNUMBER(iData!S14),100*ABS($G14-(iData!S14-$K14)/$M14),0),IF(ISNUMBER(iData!S14),100*ABS($G14-(iData!S14-$I14)/$M14),0),IF(iData!S14&gt;tblIndicators!$AI10,100,IF(ISNUMBER(iData!S14),100*ABS($G14-(iData!S14-$I14)/$M14),0)),IF(iData!S14&lt;0,100,IF(ISNUMBER(iData!S14),100*ABS($G14-(iData!S14-$I14)/$M14),0)))</f>
        <v>27.469758064516135</v>
      </c>
      <c r="AA14" s="123" cm="1">
        <f t="array" ref="AA14">CHOOSE($H14,SUMPRODUCT($O15:$O$75*AA15:AA$75*($E15:$E$75=$D14)),IF(ISNUMBER(iData!T14),100*ABS($G14-(iData!T14-$K14)/$M14),0),IF(ISNUMBER(iData!T14),100*ABS($G14-(iData!T14-$I14)/$M14),0),IF(iData!T14&gt;tblIndicators!$AI10,100,IF(ISNUMBER(iData!T14),100*ABS($G14-(iData!T14-$I14)/$M14),0)),IF(iData!T14&lt;0,100,IF(ISNUMBER(iData!T14),100*ABS($G14-(iData!T14-$I14)/$M14),0)))</f>
        <v>100</v>
      </c>
      <c r="AB14" s="123" cm="1">
        <f t="array" ref="AB14">CHOOSE($H14,SUMPRODUCT($O15:$O$75*AB15:AB$75*($E15:$E$75=$D14)),IF(ISNUMBER(iData!U14),100*ABS($G14-(iData!U14-$K14)/$M14),0),IF(ISNUMBER(iData!U14),100*ABS($G14-(iData!U14-$I14)/$M14),0),IF(iData!U14&gt;tblIndicators!$AI10,100,IF(ISNUMBER(iData!U14),100*ABS($G14-(iData!U14-$I14)/$M14),0)),IF(iData!U14&lt;0,100,IF(ISNUMBER(iData!U14),100*ABS($G14-(iData!U14-$I14)/$M14),0)))</f>
        <v>36.491935483870968</v>
      </c>
      <c r="AC14" s="123" cm="1">
        <f t="array" ref="AC14">CHOOSE($H14,SUMPRODUCT($O15:$O$75*AC15:AC$75*($E15:$E$75=$D14)),IF(ISNUMBER(iData!V14),100*ABS($G14-(iData!V14-$K14)/$M14),0),IF(ISNUMBER(iData!V14),100*ABS($G14-(iData!V14-$I14)/$M14),0),IF(iData!V14&gt;tblIndicators!$AI10,100,IF(ISNUMBER(iData!V14),100*ABS($G14-(iData!V14-$I14)/$M14),0)),IF(iData!V14&lt;0,100,IF(ISNUMBER(iData!V14),100*ABS($G14-(iData!V14-$I14)/$M14),0)))</f>
        <v>32.409274193548384</v>
      </c>
      <c r="AD14" s="123" cm="1">
        <f t="array" ref="AD14">CHOOSE($H14,SUMPRODUCT($O15:$O$75*AD15:AD$75*($E15:$E$75=$D14)),IF(ISNUMBER(iData!W14),100*ABS($G14-(iData!W14-$K14)/$M14),0),IF(ISNUMBER(iData!W14),100*ABS($G14-(iData!W14-$I14)/$M14),0),IF(iData!W14&gt;tblIndicators!$AI10,100,IF(ISNUMBER(iData!W14),100*ABS($G14-(iData!W14-$I14)/$M14),0)),IF(iData!W14&lt;0,100,IF(ISNUMBER(iData!W14),100*ABS($G14-(iData!W14-$I14)/$M14),0)))</f>
        <v>32.711693548387103</v>
      </c>
      <c r="AE14" s="123" cm="1">
        <f t="array" ref="AE14">CHOOSE($H14,SUMPRODUCT($O15:$O$75*AE15:AE$75*($E15:$E$75=$D14)),IF(ISNUMBER(iData!X14),100*ABS($G14-(iData!X14-$K14)/$M14),0),IF(ISNUMBER(iData!X14),100*ABS($G14-(iData!X14-$I14)/$M14),0),IF(iData!X14&gt;tblIndicators!$AI10,100,IF(ISNUMBER(iData!X14),100*ABS($G14-(iData!X14-$I14)/$M14),0)),IF(iData!X14&lt;0,100,IF(ISNUMBER(iData!X14),100*ABS($G14-(iData!X14-$I14)/$M14),0)))</f>
        <v>22.83266129032258</v>
      </c>
      <c r="AF14" s="123" cm="1">
        <f t="array" ref="AF14">CHOOSE($H14,SUMPRODUCT($O15:$O$75*AF15:AF$75*($E15:$E$75=$D14)),IF(ISNUMBER(iData!Y14),100*ABS($G14-(iData!Y14-$K14)/$M14),0),IF(ISNUMBER(iData!Y14),100*ABS($G14-(iData!Y14-$I14)/$M14),0),IF(iData!Y14&gt;tblIndicators!$AI10,100,IF(ISNUMBER(iData!Y14),100*ABS($G14-(iData!Y14-$I14)/$M14),0)),IF(iData!Y14&lt;0,100,IF(ISNUMBER(iData!Y14),100*ABS($G14-(iData!Y14-$I14)/$M14),0)))</f>
        <v>23.891129032258064</v>
      </c>
      <c r="AG14" s="123" cm="1">
        <f t="array" ref="AG14">CHOOSE($H14,SUMPRODUCT($O15:$O$75*AG15:AG$75*($E15:$E$75=$D14)),IF(ISNUMBER(iData!Z14),100*ABS($G14-(iData!Z14-$K14)/$M14),0),IF(ISNUMBER(iData!Z14),100*ABS($G14-(iData!Z14-$I14)/$M14),0),IF(iData!Z14&gt;tblIndicators!$AI10,100,IF(ISNUMBER(iData!Z14),100*ABS($G14-(iData!Z14-$I14)/$M14),0)),IF(iData!Z14&lt;0,100,IF(ISNUMBER(iData!Z14),100*ABS($G14-(iData!Z14-$I14)/$M14),0)))</f>
        <v>31.85483870967742</v>
      </c>
      <c r="AH14" s="123" cm="1">
        <f t="array" ref="AH14">CHOOSE($H14,SUMPRODUCT($O15:$O$75*AH15:AH$75*($E15:$E$75=$D14)),IF(ISNUMBER(iData!AA14),100*ABS($G14-(iData!AA14-$K14)/$M14),0),IF(ISNUMBER(iData!AA14),100*ABS($G14-(iData!AA14-$I14)/$M14),0),IF(iData!AA14&gt;tblIndicators!$AI10,100,IF(ISNUMBER(iData!AA14),100*ABS($G14-(iData!AA14-$I14)/$M14),0)),IF(iData!AA14&lt;0,100,IF(ISNUMBER(iData!AA14),100*ABS($G14-(iData!AA14-$I14)/$M14),0)))</f>
        <v>10.231854838709676</v>
      </c>
      <c r="AI14" s="123" cm="1">
        <f t="array" ref="AI14">CHOOSE($H14,SUMPRODUCT($O15:$O$75*AI15:AI$75*($E15:$E$75=$D14)),IF(ISNUMBER(iData!AB14),100*ABS($G14-(iData!AB14-$K14)/$M14),0),IF(ISNUMBER(iData!AB14),100*ABS($G14-(iData!AB14-$I14)/$M14),0),IF(iData!AB14&gt;tblIndicators!$AI10,100,IF(ISNUMBER(iData!AB14),100*ABS($G14-(iData!AB14-$I14)/$M14),0)),IF(iData!AB14&lt;0,100,IF(ISNUMBER(iData!AB14),100*ABS($G14-(iData!AB14-$I14)/$M14),0)))</f>
        <v>28.175403225806448</v>
      </c>
      <c r="AJ14" s="123" cm="1">
        <f t="array" ref="AJ14">CHOOSE($H14,SUMPRODUCT($O15:$O$75*AJ15:AJ$75*($E15:$E$75=$D14)),IF(ISNUMBER(iData!AC14),100*ABS($G14-(iData!AC14-$K14)/$M14),0),IF(ISNUMBER(iData!AC14),100*ABS($G14-(iData!AC14-$I14)/$M14),0),IF(iData!AC14&gt;tblIndicators!$AI10,100,IF(ISNUMBER(iData!AC14),100*ABS($G14-(iData!AC14-$I14)/$M14),0)),IF(iData!AC14&lt;0,100,IF(ISNUMBER(iData!AC14),100*ABS($G14-(iData!AC14-$I14)/$M14),0)))</f>
        <v>0</v>
      </c>
      <c r="AK14" s="123" cm="1">
        <f t="array" ref="AK14">CHOOSE($H14,SUMPRODUCT($O15:$O$75*AK15:AK$75*($E15:$E$75=$D14)),IF(ISNUMBER(iData!AD14),100*ABS($G14-(iData!AD14-$K14)/$M14),0),IF(ISNUMBER(iData!AD14),100*ABS($G14-(iData!AD14-$I14)/$M14),0),IF(iData!AD14&gt;tblIndicators!$AI10,100,IF(ISNUMBER(iData!AD14),100*ABS($G14-(iData!AD14-$I14)/$M14),0)),IF(iData!AD14&lt;0,100,IF(ISNUMBER(iData!AD14),100*ABS($G14-(iData!AD14-$I14)/$M14),0)))</f>
        <v>27.469758064516135</v>
      </c>
      <c r="AL14" s="123" cm="1">
        <f t="array" ref="AL14">CHOOSE($H14,SUMPRODUCT($O15:$O$75*AL15:AL$75*($E15:$E$75=$D14)),IF(ISNUMBER(iData!AE14),100*ABS($G14-(iData!AE14-$K14)/$M14),0),IF(ISNUMBER(iData!AE14),100*ABS($G14-(iData!AE14-$I14)/$M14),0),IF(iData!AE14&gt;tblIndicators!$AI10,100,IF(ISNUMBER(iData!AE14),100*ABS($G14-(iData!AE14-$I14)/$M14),0)),IF(iData!AE14&lt;0,100,IF(ISNUMBER(iData!AE14),100*ABS($G14-(iData!AE14-$I14)/$M14),0)))</f>
        <v>21.673387096774196</v>
      </c>
      <c r="AM14" s="123" cm="1">
        <f t="array" ref="AM14">CHOOSE($H14,SUMPRODUCT($O15:$O$75*AM15:AM$75*($E15:$E$75=$D14)),IF(ISNUMBER(iData!AF14),100*ABS($G14-(iData!AF14-$K14)/$M14),0),IF(ISNUMBER(iData!AF14),100*ABS($G14-(iData!AF14-$I14)/$M14),0),IF(iData!AF14&gt;tblIndicators!$AI10,100,IF(ISNUMBER(iData!AF14),100*ABS($G14-(iData!AF14-$I14)/$M14),0)),IF(iData!AF14&lt;0,100,IF(ISNUMBER(iData!AF14),100*ABS($G14-(iData!AF14-$I14)/$M14),0)))</f>
        <v>30.29233870967742</v>
      </c>
      <c r="AN14" s="123" cm="1">
        <f t="array" ref="AN14">CHOOSE($H14,SUMPRODUCT($O15:$O$75*AN15:AN$75*($E15:$E$75=$D14)),IF(ISNUMBER(iData!AG14),100*ABS($G14-(iData!AG14-$K14)/$M14),0),IF(ISNUMBER(iData!AG14),100*ABS($G14-(iData!AG14-$I14)/$M14),0),IF(iData!AG14&gt;tblIndicators!$AI10,100,IF(ISNUMBER(iData!AG14),100*ABS($G14-(iData!AG14-$I14)/$M14),0)),IF(iData!AG14&lt;0,100,IF(ISNUMBER(iData!AG14),100*ABS($G14-(iData!AG14-$I14)/$M14),0)))</f>
        <v>21.673387096774196</v>
      </c>
      <c r="AO14" s="123" cm="1">
        <f t="array" ref="AO14">CHOOSE($H14,SUMPRODUCT($O15:$O$75*AO15:AO$75*($E15:$E$75=$D14)),IF(ISNUMBER(iData!AH14),100*ABS($G14-(iData!AH14-$K14)/$M14),0),IF(ISNUMBER(iData!AH14),100*ABS($G14-(iData!AH14-$I14)/$M14),0),IF(iData!AH14&gt;tblIndicators!$AI10,100,IF(ISNUMBER(iData!AH14),100*ABS($G14-(iData!AH14-$I14)/$M14),0)),IF(iData!AH14&lt;0,100,IF(ISNUMBER(iData!AH14),100*ABS($G14-(iData!AH14-$I14)/$M14),0)))</f>
        <v>58.014112903225801</v>
      </c>
      <c r="AP14" s="123" cm="1">
        <f t="array" ref="AP14">CHOOSE($H14,SUMPRODUCT($O15:$O$75*AP15:AP$75*($E15:$E$75=$D14)),IF(ISNUMBER(iData!AI14),100*ABS($G14-(iData!AI14-$K14)/$M14),0),IF(ISNUMBER(iData!AI14),100*ABS($G14-(iData!AI14-$I14)/$M14),0),IF(iData!AI14&gt;tblIndicators!$AI10,100,IF(ISNUMBER(iData!AI14),100*ABS($G14-(iData!AI14-$I14)/$M14),0)),IF(iData!AI14&lt;0,100,IF(ISNUMBER(iData!AI14),100*ABS($G14-(iData!AI14-$I14)/$M14),0)))</f>
        <v>62.651209677419352</v>
      </c>
      <c r="AQ14" s="123" cm="1">
        <f t="array" ref="AQ14">CHOOSE($H14,SUMPRODUCT($O15:$O$75*AQ15:AQ$75*($E15:$E$75=$D14)),IF(ISNUMBER(iData!AJ14),100*ABS($G14-(iData!AJ14-$K14)/$M14),0),IF(ISNUMBER(iData!AJ14),100*ABS($G14-(iData!AJ14-$I14)/$M14),0),IF(iData!AJ14&gt;tblIndicators!$AI10,100,IF(ISNUMBER(iData!AJ14),100*ABS($G14-(iData!AJ14-$I14)/$M14),0)),IF(iData!AJ14&lt;0,100,IF(ISNUMBER(iData!AJ14),100*ABS($G14-(iData!AJ14-$I14)/$M14),0)))</f>
        <v>37.651209677419359</v>
      </c>
      <c r="AR14" s="123" cm="1">
        <f t="array" ref="AR14">CHOOSE($H14,SUMPRODUCT($O15:$O$75*AR15:AR$75*($E15:$E$75=$D14)),IF(ISNUMBER(iData!AK14),100*ABS($G14-(iData!AK14-$K14)/$M14),0),IF(ISNUMBER(iData!AK14),100*ABS($G14-(iData!AK14-$I14)/$M14),0),IF(iData!AK14&gt;tblIndicators!$AI10,100,IF(ISNUMBER(iData!AK14),100*ABS($G14-(iData!AK14-$I14)/$M14),0)),IF(iData!AK14&lt;0,100,IF(ISNUMBER(iData!AK14),100*ABS($G14-(iData!AK14-$I14)/$M14),0)))</f>
        <v>26.864919354838712</v>
      </c>
      <c r="AS14" s="123" cm="1">
        <f t="array" ref="AS14">CHOOSE($H14,SUMPRODUCT($O15:$O$75*AS15:AS$75*($E15:$E$75=$D14)),IF(ISNUMBER(iData!AL14),100*ABS($G14-(iData!AL14-$K14)/$M14),0),IF(ISNUMBER(iData!AL14),100*ABS($G14-(iData!AL14-$I14)/$M14),0),IF(iData!AL14&gt;tblIndicators!$AI10,100,IF(ISNUMBER(iData!AL14),100*ABS($G14-(iData!AL14-$I14)/$M14),0)),IF(iData!AL14&lt;0,100,IF(ISNUMBER(iData!AL14),100*ABS($G14-(iData!AL14-$I14)/$M14),0)))</f>
        <v>26.108870967741932</v>
      </c>
      <c r="AT14" s="123" cm="1">
        <f t="array" ref="AT14">CHOOSE($H14,SUMPRODUCT($O15:$O$75*AT15:AT$75*($E15:$E$75=$D14)),IF(ISNUMBER(iData!AM14),100*ABS($G14-(iData!AM14-$K14)/$M14),0),IF(ISNUMBER(iData!AM14),100*ABS($G14-(iData!AM14-$I14)/$M14),0),IF(iData!AM14&gt;tblIndicators!$AI10,100,IF(ISNUMBER(iData!AM14),100*ABS($G14-(iData!AM14-$I14)/$M14),0)),IF(iData!AM14&lt;0,100,IF(ISNUMBER(iData!AM14),100*ABS($G14-(iData!AM14-$I14)/$M14),0)))</f>
        <v>27.469758064516135</v>
      </c>
      <c r="AU14" s="123" cm="1">
        <f t="array" ref="AU14">CHOOSE($H14,SUMPRODUCT($O15:$O$75*AU15:AU$75*($E15:$E$75=$D14)),IF(ISNUMBER(iData!AN14),100*ABS($G14-(iData!AN14-$K14)/$M14),0),IF(ISNUMBER(iData!AN14),100*ABS($G14-(iData!AN14-$I14)/$M14),0),IF(iData!AN14&gt;tblIndicators!$AI10,100,IF(ISNUMBER(iData!AN14),100*ABS($G14-(iData!AN14-$I14)/$M14),0)),IF(iData!AN14&lt;0,100,IF(ISNUMBER(iData!AN14),100*ABS($G14-(iData!AN14-$I14)/$M14),0)))</f>
        <v>82.862903225806463</v>
      </c>
      <c r="AV14" s="367"/>
      <c r="AW14" s="368"/>
      <c r="AX14" s="14"/>
      <c r="AY14" s="871">
        <f t="shared" si="40"/>
        <v>53.9</v>
      </c>
      <c r="AZ14" s="871">
        <f t="shared" si="41"/>
        <v>35.1</v>
      </c>
      <c r="BA14" s="871">
        <f t="shared" si="42"/>
        <v>42.9</v>
      </c>
      <c r="BB14" s="871">
        <f t="shared" si="43"/>
        <v>31.9</v>
      </c>
      <c r="BC14" s="871">
        <f t="shared" si="44"/>
        <v>93.2</v>
      </c>
      <c r="BD14" s="871">
        <f t="shared" si="45"/>
        <v>36.5</v>
      </c>
      <c r="BE14" s="871">
        <f t="shared" si="46"/>
        <v>19.600000000000001</v>
      </c>
      <c r="BF14" s="871">
        <f t="shared" si="47"/>
        <v>66.2</v>
      </c>
      <c r="BG14" s="871">
        <f t="shared" si="48"/>
        <v>27.5</v>
      </c>
      <c r="BH14" s="871">
        <f t="shared" si="49"/>
        <v>100</v>
      </c>
      <c r="BI14" s="871">
        <f t="shared" si="50"/>
        <v>36.5</v>
      </c>
      <c r="BJ14" s="871">
        <f t="shared" si="51"/>
        <v>32.4</v>
      </c>
      <c r="BK14" s="871">
        <f t="shared" si="52"/>
        <v>32.700000000000003</v>
      </c>
      <c r="BL14" s="871">
        <f t="shared" si="53"/>
        <v>22.8</v>
      </c>
      <c r="BM14" s="871">
        <f t="shared" si="54"/>
        <v>23.9</v>
      </c>
      <c r="BN14" s="871">
        <f t="shared" si="55"/>
        <v>31.9</v>
      </c>
      <c r="BO14" s="871">
        <f t="shared" si="56"/>
        <v>10.199999999999999</v>
      </c>
      <c r="BP14" s="871">
        <f t="shared" si="57"/>
        <v>28.2</v>
      </c>
      <c r="BQ14" s="871">
        <f t="shared" si="58"/>
        <v>0</v>
      </c>
      <c r="BR14" s="871">
        <f t="shared" si="59"/>
        <v>27.5</v>
      </c>
      <c r="BS14" s="871">
        <f t="shared" si="60"/>
        <v>21.7</v>
      </c>
      <c r="BT14" s="871">
        <f t="shared" si="61"/>
        <v>30.3</v>
      </c>
      <c r="BU14" s="871">
        <f t="shared" si="62"/>
        <v>21.7</v>
      </c>
      <c r="BV14" s="871">
        <f t="shared" si="63"/>
        <v>58</v>
      </c>
      <c r="BW14" s="871">
        <f t="shared" si="64"/>
        <v>62.7</v>
      </c>
      <c r="BX14" s="871">
        <f t="shared" si="65"/>
        <v>37.700000000000003</v>
      </c>
      <c r="BY14" s="871">
        <f t="shared" si="66"/>
        <v>26.9</v>
      </c>
      <c r="BZ14" s="871">
        <f t="shared" si="67"/>
        <v>26.1</v>
      </c>
      <c r="CA14" s="871">
        <f t="shared" si="68"/>
        <v>27.5</v>
      </c>
      <c r="CB14" s="871">
        <f t="shared" si="69"/>
        <v>82.9</v>
      </c>
      <c r="CD14" s="304">
        <f t="shared" ca="1" si="38"/>
        <v>38.299999999999997</v>
      </c>
      <c r="CE14" s="304">
        <f t="shared" ca="1" si="38"/>
        <v>38.299999999999997</v>
      </c>
      <c r="CF14" s="304">
        <f t="shared" ca="1" si="38"/>
        <v>37.9</v>
      </c>
      <c r="CG14" s="302">
        <f t="shared" ca="1" si="38"/>
        <v>41.6</v>
      </c>
      <c r="CH14" s="302">
        <f t="shared" ca="1" si="38"/>
        <v>23.2</v>
      </c>
      <c r="CI14" s="302">
        <f t="shared" ca="1" si="38"/>
        <v>100</v>
      </c>
      <c r="CJ14" s="302">
        <f t="shared" ca="1" si="38"/>
        <v>27.2</v>
      </c>
      <c r="CK14" s="302">
        <f t="shared" ca="1" si="38"/>
        <v>14.3</v>
      </c>
      <c r="CL14" s="302">
        <f t="shared" ca="1" si="38"/>
        <v>38.1</v>
      </c>
      <c r="CM14" s="302">
        <f t="shared" ca="1" si="38"/>
        <v>41.8</v>
      </c>
      <c r="CN14" s="302">
        <f t="shared" ca="1" si="39"/>
        <v>55.3</v>
      </c>
      <c r="CO14" s="302">
        <f t="shared" ca="1" si="39"/>
        <v>33.299999999999997</v>
      </c>
      <c r="CP14" s="302">
        <f t="shared" ca="1" si="39"/>
        <v>24.7</v>
      </c>
      <c r="CQ14" s="302">
        <f t="shared" ca="1" si="39"/>
        <v>34.200000000000003</v>
      </c>
    </row>
    <row r="15" spans="1:96" s="124" customFormat="1" ht="27.75" customHeight="1" thickBot="1">
      <c r="A15" s="118"/>
      <c r="B15" s="119">
        <f>tblIndicators!A11</f>
        <v>10</v>
      </c>
      <c r="C15" s="119">
        <f>tblIndicators!B11</f>
        <v>0</v>
      </c>
      <c r="D15" s="119" t="str">
        <f>tblIndicators!E11</f>
        <v>CNTY1_2_2</v>
      </c>
      <c r="E15" s="119" t="str">
        <f>tblIndicators!F11</f>
        <v>CNTY1_2</v>
      </c>
      <c r="F15" s="119">
        <f>tblIndicators!G11</f>
        <v>3</v>
      </c>
      <c r="G15" s="119">
        <f>tblIndicators!AF11</f>
        <v>0</v>
      </c>
      <c r="H15" s="119">
        <f>tblIndicators!AG11</f>
        <v>4</v>
      </c>
      <c r="I15" s="120">
        <f>tblIndicators!AH11</f>
        <v>13.45</v>
      </c>
      <c r="J15" s="119">
        <f>tblIndicators!AI11</f>
        <v>100</v>
      </c>
      <c r="K15" s="119">
        <f t="array" ref="K15">MIN(IF(ISNUMBER(iData!K15:AN15),iData!K15:AN15))</f>
        <v>13.45</v>
      </c>
      <c r="L15" s="121">
        <f t="array" ref="L15">MAX(IF(ISNUMBER(iData!K15:AN15),iData!K15:AN15))</f>
        <v>127.81</v>
      </c>
      <c r="M15" s="51">
        <f t="shared" si="7"/>
        <v>86.55</v>
      </c>
      <c r="N15" s="122" t="str">
        <f>REPT(" ",F15)&amp;tblIndicators!AM11</f>
        <v xml:space="preserve">   1.2.2) Internet download speed</v>
      </c>
      <c r="O15" s="381">
        <f>tblIndicators!AR11</f>
        <v>0.32142857142857145</v>
      </c>
      <c r="P15" s="381"/>
      <c r="Q15" s="323"/>
      <c r="R15" s="123" cm="1">
        <f t="array" ref="R15">CHOOSE($H15,SUMPRODUCT($O16:$O$75*R16:R$75*($E16:$E$75=$D15)),IF(ISNUMBER(iData!K15),100*ABS($G15-(iData!K15-$K15)/$M15),0),IF(ISNUMBER(iData!K15),100*ABS($G15-(iData!K15-$I15)/$M15),0),IF(iData!K15&gt;tblIndicators!$AI11,100,IF(ISNUMBER(iData!K15),100*ABS($G15-(iData!K15-$I15)/$M15),0)),IF(iData!K15&lt;0,100,IF(ISNUMBER(iData!K15),100*ABS($G15-(iData!K15-$I15)/$M15),0)))</f>
        <v>90.363951473136908</v>
      </c>
      <c r="S15" s="123" cm="1">
        <f t="array" ref="S15">CHOOSE($H15,SUMPRODUCT($O16:$O$75*S16:S$75*($E16:$E$75=$D15)),IF(ISNUMBER(iData!L15),100*ABS($G15-(iData!L15-$K15)/$M15),0),IF(ISNUMBER(iData!L15),100*ABS($G15-(iData!L15-$I15)/$M15),0),IF(iData!L15&gt;tblIndicators!$AI11,100,IF(ISNUMBER(iData!L15),100*ABS($G15-(iData!L15-$I15)/$M15),0)),IF(iData!L15&lt;0,100,IF(ISNUMBER(iData!L15),100*ABS($G15-(iData!L15-$I15)/$M15),0)))</f>
        <v>34.650491045638361</v>
      </c>
      <c r="T15" s="123" cm="1">
        <f t="array" ref="T15">CHOOSE($H15,SUMPRODUCT($O16:$O$75*T16:T$75*($E16:$E$75=$D15)),IF(ISNUMBER(iData!M15),100*ABS($G15-(iData!M15-$K15)/$M15),0),IF(ISNUMBER(iData!M15),100*ABS($G15-(iData!M15-$I15)/$M15),0),IF(iData!M15&gt;tblIndicators!$AI11,100,IF(ISNUMBER(iData!M15),100*ABS($G15-(iData!M15-$I15)/$M15),0)),IF(iData!M15&lt;0,100,IF(ISNUMBER(iData!M15),100*ABS($G15-(iData!M15-$I15)/$M15),0)))</f>
        <v>20.716348931253613</v>
      </c>
      <c r="U15" s="123" cm="1">
        <f t="array" ref="U15">CHOOSE($H15,SUMPRODUCT($O16:$O$75*U16:U$75*($E16:$E$75=$D15)),IF(ISNUMBER(iData!N15),100*ABS($G15-(iData!N15-$K15)/$M15),0),IF(ISNUMBER(iData!N15),100*ABS($G15-(iData!N15-$I15)/$M15),0),IF(iData!N15&gt;tblIndicators!$AI11,100,IF(ISNUMBER(iData!N15),100*ABS($G15-(iData!N15-$I15)/$M15),0)),IF(iData!N15&lt;0,100,IF(ISNUMBER(iData!N15),100*ABS($G15-(iData!N15-$I15)/$M15),0)))</f>
        <v>24.47140381282496</v>
      </c>
      <c r="V15" s="123" cm="1">
        <f t="array" ref="V15">CHOOSE($H15,SUMPRODUCT($O16:$O$75*V16:V$75*($E16:$E$75=$D15)),IF(ISNUMBER(iData!O15),100*ABS($G15-(iData!O15-$K15)/$M15),0),IF(ISNUMBER(iData!O15),100*ABS($G15-(iData!O15-$I15)/$M15),0),IF(iData!O15&gt;tblIndicators!$AI11,100,IF(ISNUMBER(iData!O15),100*ABS($G15-(iData!O15-$I15)/$M15),0)),IF(iData!O15&lt;0,100,IF(ISNUMBER(iData!O15),100*ABS($G15-(iData!O15-$I15)/$M15),0)))</f>
        <v>75.28596187175043</v>
      </c>
      <c r="W15" s="123" cm="1">
        <f t="array" ref="W15">CHOOSE($H15,SUMPRODUCT($O16:$O$75*W16:W$75*($E16:$E$75=$D15)),IF(ISNUMBER(iData!P15),100*ABS($G15-(iData!P15-$K15)/$M15),0),IF(ISNUMBER(iData!P15),100*ABS($G15-(iData!P15-$I15)/$M15),0),IF(iData!P15&gt;tblIndicators!$AI11,100,IF(ISNUMBER(iData!P15),100*ABS($G15-(iData!P15-$I15)/$M15),0)),IF(iData!P15&lt;0,100,IF(ISNUMBER(iData!P15),100*ABS($G15-(iData!P15-$I15)/$M15),0)))</f>
        <v>44.321201617562103</v>
      </c>
      <c r="X15" s="123" cm="1">
        <f t="array" ref="X15">CHOOSE($H15,SUMPRODUCT($O16:$O$75*X16:X$75*($E16:$E$75=$D15)),IF(ISNUMBER(iData!Q15),100*ABS($G15-(iData!Q15-$K15)/$M15),0),IF(ISNUMBER(iData!Q15),100*ABS($G15-(iData!Q15-$I15)/$M15),0),IF(iData!Q15&gt;tblIndicators!$AI11,100,IF(ISNUMBER(iData!Q15),100*ABS($G15-(iData!Q15-$I15)/$M15),0)),IF(iData!Q15&lt;0,100,IF(ISNUMBER(iData!Q15),100*ABS($G15-(iData!Q15-$I15)/$M15),0)))</f>
        <v>9.9942229924898935</v>
      </c>
      <c r="Y15" s="123" cm="1">
        <f t="array" ref="Y15">CHOOSE($H15,SUMPRODUCT($O16:$O$75*Y16:Y$75*($E16:$E$75=$D15)),IF(ISNUMBER(iData!R15),100*ABS($G15-(iData!R15-$K15)/$M15),0),IF(ISNUMBER(iData!R15),100*ABS($G15-(iData!R15-$I15)/$M15),0),IF(iData!R15&gt;tblIndicators!$AI11,100,IF(ISNUMBER(iData!R15),100*ABS($G15-(iData!R15-$I15)/$M15),0)),IF(iData!R15&lt;0,100,IF(ISNUMBER(iData!R15),100*ABS($G15-(iData!R15-$I15)/$M15),0)))</f>
        <v>72.085499711149623</v>
      </c>
      <c r="Z15" s="123" cm="1">
        <f t="array" ref="Z15">CHOOSE($H15,SUMPRODUCT($O16:$O$75*Z16:Z$75*($E16:$E$75=$D15)),IF(ISNUMBER(iData!S15),100*ABS($G15-(iData!S15-$K15)/$M15),0),IF(ISNUMBER(iData!S15),100*ABS($G15-(iData!S15-$I15)/$M15),0),IF(iData!S15&gt;tblIndicators!$AI11,100,IF(ISNUMBER(iData!S15),100*ABS($G15-(iData!S15-$I15)/$M15),0)),IF(iData!S15&lt;0,100,IF(ISNUMBER(iData!S15),100*ABS($G15-(iData!S15-$I15)/$M15),0)))</f>
        <v>45.927209705372618</v>
      </c>
      <c r="AA15" s="123" cm="1">
        <f t="array" ref="AA15">CHOOSE($H15,SUMPRODUCT($O16:$O$75*AA16:AA$75*($E16:$E$75=$D15)),IF(ISNUMBER(iData!T15),100*ABS($G15-(iData!T15-$K15)/$M15),0),IF(ISNUMBER(iData!T15),100*ABS($G15-(iData!T15-$I15)/$M15),0),IF(iData!T15&gt;tblIndicators!$AI11,100,IF(ISNUMBER(iData!T15),100*ABS($G15-(iData!T15-$I15)/$M15),0)),IF(iData!T15&lt;0,100,IF(ISNUMBER(iData!T15),100*ABS($G15-(iData!T15-$I15)/$M15),0)))</f>
        <v>100</v>
      </c>
      <c r="AB15" s="123" cm="1">
        <f t="array" ref="AB15">CHOOSE($H15,SUMPRODUCT($O16:$O$75*AB16:AB$75*($E16:$E$75=$D15)),IF(ISNUMBER(iData!U15),100*ABS($G15-(iData!U15-$K15)/$M15),0),IF(ISNUMBER(iData!U15),100*ABS($G15-(iData!U15-$I15)/$M15),0),IF(iData!U15&gt;tblIndicators!$AI11,100,IF(ISNUMBER(iData!U15),100*ABS($G15-(iData!U15-$I15)/$M15),0)),IF(iData!U15&lt;0,100,IF(ISNUMBER(iData!U15),100*ABS($G15-(iData!U15-$I15)/$M15),0)))</f>
        <v>44.321201617562103</v>
      </c>
      <c r="AC15" s="123" cm="1">
        <f t="array" ref="AC15">CHOOSE($H15,SUMPRODUCT($O16:$O$75*AC16:AC$75*($E16:$E$75=$D15)),IF(ISNUMBER(iData!V15),100*ABS($G15-(iData!V15-$K15)/$M15),0),IF(ISNUMBER(iData!V15),100*ABS($G15-(iData!V15-$I15)/$M15),0),IF(iData!V15&gt;tblIndicators!$AI11,100,IF(ISNUMBER(iData!V15),100*ABS($G15-(iData!V15-$I15)/$M15),0)),IF(iData!V15&lt;0,100,IF(ISNUMBER(iData!V15),100*ABS($G15-(iData!V15-$I15)/$M15),0)))</f>
        <v>35.158867706528021</v>
      </c>
      <c r="AD15" s="123" cm="1">
        <f t="array" ref="AD15">CHOOSE($H15,SUMPRODUCT($O16:$O$75*AD16:AD$75*($E16:$E$75=$D15)),IF(ISNUMBER(iData!W15),100*ABS($G15-(iData!W15-$K15)/$M15),0),IF(ISNUMBER(iData!W15),100*ABS($G15-(iData!W15-$I15)/$M15),0),IF(iData!W15&gt;tblIndicators!$AI11,100,IF(ISNUMBER(iData!W15),100*ABS($G15-(iData!W15-$I15)/$M15),0)),IF(iData!W15&lt;0,100,IF(ISNUMBER(iData!W15),100*ABS($G15-(iData!W15-$I15)/$M15),0)))</f>
        <v>3.1311380704794929</v>
      </c>
      <c r="AE15" s="123" cm="1">
        <f t="array" ref="AE15">CHOOSE($H15,SUMPRODUCT($O16:$O$75*AE16:AE$75*($E16:$E$75=$D15)),IF(ISNUMBER(iData!X15),100*ABS($G15-(iData!X15-$K15)/$M15),0),IF(ISNUMBER(iData!X15),100*ABS($G15-(iData!X15-$I15)/$M15),0),IF(iData!X15&gt;tblIndicators!$AI11,100,IF(ISNUMBER(iData!X15),100*ABS($G15-(iData!X15-$I15)/$M15),0)),IF(iData!X15&lt;0,100,IF(ISNUMBER(iData!X15),100*ABS($G15-(iData!X15-$I15)/$M15),0)))</f>
        <v>11.889081455805892</v>
      </c>
      <c r="AF15" s="123" cm="1">
        <f t="array" ref="AF15">CHOOSE($H15,SUMPRODUCT($O16:$O$75*AF16:AF$75*($E16:$E$75=$D15)),IF(ISNUMBER(iData!Y15),100*ABS($G15-(iData!Y15-$K15)/$M15),0),IF(ISNUMBER(iData!Y15),100*ABS($G15-(iData!Y15-$I15)/$M15),0),IF(iData!Y15&gt;tblIndicators!$AI11,100,IF(ISNUMBER(iData!Y15),100*ABS($G15-(iData!Y15-$I15)/$M15),0)),IF(iData!Y15&lt;0,100,IF(ISNUMBER(iData!Y15),100*ABS($G15-(iData!Y15-$I15)/$M15),0)))</f>
        <v>35.863662622761417</v>
      </c>
      <c r="AG15" s="123" cm="1">
        <f t="array" ref="AG15">CHOOSE($H15,SUMPRODUCT($O16:$O$75*AG16:AG$75*($E16:$E$75=$D15)),IF(ISNUMBER(iData!Z15),100*ABS($G15-(iData!Z15-$K15)/$M15),0),IF(ISNUMBER(iData!Z15),100*ABS($G15-(iData!Z15-$I15)/$M15),0),IF(iData!Z15&gt;tblIndicators!$AI11,100,IF(ISNUMBER(iData!Z15),100*ABS($G15-(iData!Z15-$I15)/$M15),0)),IF(iData!Z15&lt;0,100,IF(ISNUMBER(iData!Z15),100*ABS($G15-(iData!Z15-$I15)/$M15),0)))</f>
        <v>24.47140381282496</v>
      </c>
      <c r="AH15" s="123" cm="1">
        <f t="array" ref="AH15">CHOOSE($H15,SUMPRODUCT($O16:$O$75*AH16:AH$75*($E16:$E$75=$D15)),IF(ISNUMBER(iData!AA15),100*ABS($G15-(iData!AA15-$K15)/$M15),0),IF(ISNUMBER(iData!AA15),100*ABS($G15-(iData!AA15-$I15)/$M15),0),IF(iData!AA15&gt;tblIndicators!$AI11,100,IF(ISNUMBER(iData!AA15),100*ABS($G15-(iData!AA15-$I15)/$M15),0)),IF(iData!AA15&lt;0,100,IF(ISNUMBER(iData!AA15),100*ABS($G15-(iData!AA15-$I15)/$M15),0)))</f>
        <v>5.4997111496244964</v>
      </c>
      <c r="AI15" s="123" cm="1">
        <f t="array" ref="AI15">CHOOSE($H15,SUMPRODUCT($O16:$O$75*AI16:AI$75*($E16:$E$75=$D15)),IF(ISNUMBER(iData!AB15),100*ABS($G15-(iData!AB15-$K15)/$M15),0),IF(ISNUMBER(iData!AB15),100*ABS($G15-(iData!AB15-$I15)/$M15),0),IF(iData!AB15&gt;tblIndicators!$AI11,100,IF(ISNUMBER(iData!AB15),100*ABS($G15-(iData!AB15-$I15)/$M15),0)),IF(iData!AB15&lt;0,100,IF(ISNUMBER(iData!AB15),100*ABS($G15-(iData!AB15-$I15)/$M15),0)))</f>
        <v>10.883882149046796</v>
      </c>
      <c r="AJ15" s="123" cm="1">
        <f t="array" ref="AJ15">CHOOSE($H15,SUMPRODUCT($O16:$O$75*AJ16:AJ$75*($E16:$E$75=$D15)),IF(ISNUMBER(iData!AC15),100*ABS($G15-(iData!AC15-$K15)/$M15),0),IF(ISNUMBER(iData!AC15),100*ABS($G15-(iData!AC15-$I15)/$M15),0),IF(iData!AC15&gt;tblIndicators!$AI11,100,IF(ISNUMBER(iData!AC15),100*ABS($G15-(iData!AC15-$I15)/$M15),0)),IF(iData!AC15&lt;0,100,IF(ISNUMBER(iData!AC15),100*ABS($G15-(iData!AC15-$I15)/$M15),0)))</f>
        <v>0</v>
      </c>
      <c r="AK15" s="123" cm="1">
        <f t="array" ref="AK15">CHOOSE($H15,SUMPRODUCT($O16:$O$75*AK16:AK$75*($E16:$E$75=$D15)),IF(ISNUMBER(iData!AD15),100*ABS($G15-(iData!AD15-$K15)/$M15),0),IF(ISNUMBER(iData!AD15),100*ABS($G15-(iData!AD15-$I15)/$M15),0),IF(iData!AD15&gt;tblIndicators!$AI11,100,IF(ISNUMBER(iData!AD15),100*ABS($G15-(iData!AD15-$I15)/$M15),0)),IF(iData!AD15&lt;0,100,IF(ISNUMBER(iData!AD15),100*ABS($G15-(iData!AD15-$I15)/$M15),0)))</f>
        <v>45.927209705372618</v>
      </c>
      <c r="AL15" s="123" cm="1">
        <f t="array" ref="AL15">CHOOSE($H15,SUMPRODUCT($O16:$O$75*AL16:AL$75*($E16:$E$75=$D15)),IF(ISNUMBER(iData!AE15),100*ABS($G15-(iData!AE15-$K15)/$M15),0),IF(ISNUMBER(iData!AE15),100*ABS($G15-(iData!AE15-$I15)/$M15),0),IF(iData!AE15&gt;tblIndicators!$AI11,100,IF(ISNUMBER(iData!AE15),100*ABS($G15-(iData!AE15-$I15)/$M15),0)),IF(iData!AE15&lt;0,100,IF(ISNUMBER(iData!AE15),100*ABS($G15-(iData!AE15-$I15)/$M15),0)))</f>
        <v>45.349508954361646</v>
      </c>
      <c r="AM15" s="123" cm="1">
        <f t="array" ref="AM15">CHOOSE($H15,SUMPRODUCT($O16:$O$75*AM16:AM$75*($E16:$E$75=$D15)),IF(ISNUMBER(iData!AF15),100*ABS($G15-(iData!AF15-$K15)/$M15),0),IF(ISNUMBER(iData!AF15),100*ABS($G15-(iData!AF15-$I15)/$M15),0),IF(iData!AF15&gt;tblIndicators!$AI11,100,IF(ISNUMBER(iData!AF15),100*ABS($G15-(iData!AF15-$I15)/$M15),0)),IF(iData!AF15&lt;0,100,IF(ISNUMBER(iData!AF15),100*ABS($G15-(iData!AF15-$I15)/$M15),0)))</f>
        <v>25.257076834199886</v>
      </c>
      <c r="AN15" s="123" cm="1">
        <f t="array" ref="AN15">CHOOSE($H15,SUMPRODUCT($O16:$O$75*AN16:AN$75*($E16:$E$75=$D15)),IF(ISNUMBER(iData!AG15),100*ABS($G15-(iData!AG15-$K15)/$M15),0),IF(ISNUMBER(iData!AG15),100*ABS($G15-(iData!AG15-$I15)/$M15),0),IF(iData!AG15&gt;tblIndicators!$AI11,100,IF(ISNUMBER(iData!AG15),100*ABS($G15-(iData!AG15-$I15)/$M15),0)),IF(iData!AG15&lt;0,100,IF(ISNUMBER(iData!AG15),100*ABS($G15-(iData!AG15-$I15)/$M15),0)))</f>
        <v>10.57192374350087</v>
      </c>
      <c r="AO15" s="123" cm="1">
        <f t="array" ref="AO15">CHOOSE($H15,SUMPRODUCT($O16:$O$75*AO16:AO$75*($E16:$E$75=$D15)),IF(ISNUMBER(iData!AH15),100*ABS($G15-(iData!AH15-$K15)/$M15),0),IF(ISNUMBER(iData!AH15),100*ABS($G15-(iData!AH15-$I15)/$M15),0),IF(iData!AH15&gt;tblIndicators!$AI11,100,IF(ISNUMBER(iData!AH15),100*ABS($G15-(iData!AH15-$I15)/$M15),0)),IF(iData!AH15&lt;0,100,IF(ISNUMBER(iData!AH15),100*ABS($G15-(iData!AH15-$I15)/$M15),0)))</f>
        <v>98.763720392836518</v>
      </c>
      <c r="AP15" s="123" cm="1">
        <f t="array" ref="AP15">CHOOSE($H15,SUMPRODUCT($O16:$O$75*AP16:AP$75*($E16:$E$75=$D15)),IF(ISNUMBER(iData!AI15),100*ABS($G15-(iData!AI15-$K15)/$M15),0),IF(ISNUMBER(iData!AI15),100*ABS($G15-(iData!AI15-$I15)/$M15),0),IF(iData!AI15&gt;tblIndicators!$AI11,100,IF(ISNUMBER(iData!AI15),100*ABS($G15-(iData!AI15-$I15)/$M15),0)),IF(iData!AI15&lt;0,100,IF(ISNUMBER(iData!AI15),100*ABS($G15-(iData!AI15-$I15)/$M15),0)))</f>
        <v>63.396880415944537</v>
      </c>
      <c r="AQ15" s="123" cm="1">
        <f t="array" ref="AQ15">CHOOSE($H15,SUMPRODUCT($O16:$O$75*AQ16:AQ$75*($E16:$E$75=$D15)),IF(ISNUMBER(iData!AJ15),100*ABS($G15-(iData!AJ15-$K15)/$M15),0),IF(ISNUMBER(iData!AJ15),100*ABS($G15-(iData!AJ15-$I15)/$M15),0),IF(iData!AJ15&gt;tblIndicators!$AI11,100,IF(ISNUMBER(iData!AJ15),100*ABS($G15-(iData!AJ15-$I15)/$M15),0)),IF(iData!AJ15&lt;0,100,IF(ISNUMBER(iData!AJ15),100*ABS($G15-(iData!AJ15-$I15)/$M15),0)))</f>
        <v>76.01386481802426</v>
      </c>
      <c r="AR15" s="123" cm="1">
        <f t="array" ref="AR15">CHOOSE($H15,SUMPRODUCT($O16:$O$75*AR16:AR$75*($E16:$E$75=$D15)),IF(ISNUMBER(iData!AK15),100*ABS($G15-(iData!AK15-$K15)/$M15),0),IF(ISNUMBER(iData!AK15),100*ABS($G15-(iData!AK15-$I15)/$M15),0),IF(iData!AK15&gt;tblIndicators!$AI11,100,IF(ISNUMBER(iData!AK15),100*ABS($G15-(iData!AK15-$I15)/$M15),0)),IF(iData!AK15&lt;0,100,IF(ISNUMBER(iData!AK15),100*ABS($G15-(iData!AK15-$I15)/$M15),0)))</f>
        <v>31.265164644714037</v>
      </c>
      <c r="AS15" s="123" cm="1">
        <f t="array" ref="AS15">CHOOSE($H15,SUMPRODUCT($O16:$O$75*AS16:AS$75*($E16:$E$75=$D15)),IF(ISNUMBER(iData!AL15),100*ABS($G15-(iData!AL15-$K15)/$M15),0),IF(ISNUMBER(iData!AL15),100*ABS($G15-(iData!AL15-$I15)/$M15),0),IF(iData!AL15&gt;tblIndicators!$AI11,100,IF(ISNUMBER(iData!AL15),100*ABS($G15-(iData!AL15-$I15)/$M15),0)),IF(iData!AL15&lt;0,100,IF(ISNUMBER(iData!AL15),100*ABS($G15-(iData!AL15-$I15)/$M15),0)))</f>
        <v>65.719237435008665</v>
      </c>
      <c r="AT15" s="123" cm="1">
        <f t="array" ref="AT15">CHOOSE($H15,SUMPRODUCT($O16:$O$75*AT16:AT$75*($E16:$E$75=$D15)),IF(ISNUMBER(iData!AM15),100*ABS($G15-(iData!AM15-$K15)/$M15),0),IF(ISNUMBER(iData!AM15),100*ABS($G15-(iData!AM15-$I15)/$M15),0),IF(iData!AM15&gt;tblIndicators!$AI11,100,IF(ISNUMBER(iData!AM15),100*ABS($G15-(iData!AM15-$I15)/$M15),0)),IF(iData!AM15&lt;0,100,IF(ISNUMBER(iData!AM15),100*ABS($G15-(iData!AM15-$I15)/$M15),0)))</f>
        <v>45.927209705372618</v>
      </c>
      <c r="AU15" s="123" cm="1">
        <f t="array" ref="AU15">CHOOSE($H15,SUMPRODUCT($O16:$O$75*AU16:AU$75*($E16:$E$75=$D15)),IF(ISNUMBER(iData!AN15),100*ABS($G15-(iData!AN15-$K15)/$M15),0),IF(ISNUMBER(iData!AN15),100*ABS($G15-(iData!AN15-$I15)/$M15),0),IF(iData!AN15&gt;tblIndicators!$AI11,100,IF(ISNUMBER(iData!AN15),100*ABS($G15-(iData!AN15-$I15)/$M15),0)),IF(iData!AN15&lt;0,100,IF(ISNUMBER(iData!AN15),100*ABS($G15-(iData!AN15-$I15)/$M15),0)))</f>
        <v>77.411900635470829</v>
      </c>
      <c r="AV15" s="367"/>
      <c r="AW15" s="368"/>
      <c r="AX15" s="14"/>
      <c r="AY15" s="871">
        <f t="shared" si="40"/>
        <v>90.4</v>
      </c>
      <c r="AZ15" s="871">
        <f t="shared" si="41"/>
        <v>34.700000000000003</v>
      </c>
      <c r="BA15" s="871">
        <f t="shared" si="42"/>
        <v>20.7</v>
      </c>
      <c r="BB15" s="871">
        <f t="shared" si="43"/>
        <v>24.5</v>
      </c>
      <c r="BC15" s="871">
        <f t="shared" si="44"/>
        <v>75.3</v>
      </c>
      <c r="BD15" s="871">
        <f t="shared" si="45"/>
        <v>44.3</v>
      </c>
      <c r="BE15" s="871">
        <f t="shared" si="46"/>
        <v>10</v>
      </c>
      <c r="BF15" s="871">
        <f t="shared" si="47"/>
        <v>72.099999999999994</v>
      </c>
      <c r="BG15" s="871">
        <f t="shared" si="48"/>
        <v>45.9</v>
      </c>
      <c r="BH15" s="871">
        <f t="shared" si="49"/>
        <v>100</v>
      </c>
      <c r="BI15" s="871">
        <f t="shared" si="50"/>
        <v>44.3</v>
      </c>
      <c r="BJ15" s="871">
        <f t="shared" si="51"/>
        <v>35.200000000000003</v>
      </c>
      <c r="BK15" s="871">
        <f t="shared" si="52"/>
        <v>3.1</v>
      </c>
      <c r="BL15" s="871">
        <f t="shared" si="53"/>
        <v>11.9</v>
      </c>
      <c r="BM15" s="871">
        <f t="shared" si="54"/>
        <v>35.9</v>
      </c>
      <c r="BN15" s="871">
        <f t="shared" si="55"/>
        <v>24.5</v>
      </c>
      <c r="BO15" s="871">
        <f t="shared" si="56"/>
        <v>5.5</v>
      </c>
      <c r="BP15" s="871">
        <f t="shared" si="57"/>
        <v>10.9</v>
      </c>
      <c r="BQ15" s="871">
        <f t="shared" si="58"/>
        <v>0</v>
      </c>
      <c r="BR15" s="871">
        <f t="shared" si="59"/>
        <v>45.9</v>
      </c>
      <c r="BS15" s="871">
        <f t="shared" si="60"/>
        <v>45.3</v>
      </c>
      <c r="BT15" s="871">
        <f t="shared" si="61"/>
        <v>25.3</v>
      </c>
      <c r="BU15" s="871">
        <f t="shared" si="62"/>
        <v>10.6</v>
      </c>
      <c r="BV15" s="871">
        <f t="shared" si="63"/>
        <v>98.8</v>
      </c>
      <c r="BW15" s="871">
        <f t="shared" si="64"/>
        <v>63.4</v>
      </c>
      <c r="BX15" s="871">
        <f t="shared" si="65"/>
        <v>76</v>
      </c>
      <c r="BY15" s="871">
        <f t="shared" si="66"/>
        <v>31.3</v>
      </c>
      <c r="BZ15" s="871">
        <f t="shared" si="67"/>
        <v>65.7</v>
      </c>
      <c r="CA15" s="871">
        <f t="shared" si="68"/>
        <v>45.9</v>
      </c>
      <c r="CB15" s="871">
        <f t="shared" si="69"/>
        <v>77.400000000000006</v>
      </c>
      <c r="CD15" s="304">
        <f t="shared" ca="1" si="38"/>
        <v>42.5</v>
      </c>
      <c r="CE15" s="304">
        <f t="shared" ca="1" si="38"/>
        <v>42.5</v>
      </c>
      <c r="CF15" s="304">
        <f t="shared" ca="1" si="38"/>
        <v>38</v>
      </c>
      <c r="CG15" s="302">
        <f t="shared" ca="1" si="38"/>
        <v>48.4</v>
      </c>
      <c r="CH15" s="302">
        <f t="shared" ca="1" si="38"/>
        <v>10.5</v>
      </c>
      <c r="CI15" s="302">
        <f t="shared" ca="1" si="38"/>
        <v>100</v>
      </c>
      <c r="CJ15" s="302">
        <f t="shared" ca="1" si="38"/>
        <v>50.9</v>
      </c>
      <c r="CK15" s="302">
        <f t="shared" ca="1" si="38"/>
        <v>2.9</v>
      </c>
      <c r="CL15" s="302">
        <f t="shared" ca="1" si="38"/>
        <v>23.2</v>
      </c>
      <c r="CM15" s="302">
        <f t="shared" ca="1" si="38"/>
        <v>53.7</v>
      </c>
      <c r="CN15" s="302">
        <f t="shared" ca="1" si="39"/>
        <v>65</v>
      </c>
      <c r="CO15" s="302">
        <f t="shared" ca="1" si="39"/>
        <v>40.1</v>
      </c>
      <c r="CP15" s="302">
        <f t="shared" ca="1" si="39"/>
        <v>26.9</v>
      </c>
      <c r="CQ15" s="302">
        <f t="shared" ca="1" si="39"/>
        <v>31.8</v>
      </c>
    </row>
    <row r="16" spans="1:96" s="124" customFormat="1" ht="27.75" customHeight="1" thickBot="1">
      <c r="A16" s="118"/>
      <c r="B16" s="119">
        <f>tblIndicators!A12</f>
        <v>11</v>
      </c>
      <c r="C16" s="119">
        <f>tblIndicators!B12</f>
        <v>0</v>
      </c>
      <c r="D16" s="119" t="str">
        <f>tblIndicators!E12</f>
        <v>CNTY1_2_3</v>
      </c>
      <c r="E16" s="119" t="str">
        <f>tblIndicators!F12</f>
        <v>CNTY1_2</v>
      </c>
      <c r="F16" s="119">
        <f>tblIndicators!G12</f>
        <v>3</v>
      </c>
      <c r="G16" s="119">
        <f>tblIndicators!AF12</f>
        <v>1</v>
      </c>
      <c r="H16" s="119">
        <f>tblIndicators!AG12</f>
        <v>2</v>
      </c>
      <c r="I16" s="120">
        <f>tblIndicators!AH12</f>
        <v>0</v>
      </c>
      <c r="J16" s="119">
        <f>tblIndicators!AI12</f>
        <v>0</v>
      </c>
      <c r="K16" s="119">
        <f t="array" ref="K16">MIN(IF(ISNUMBER(iData!K16:AN16),iData!K16:AN16))</f>
        <v>18</v>
      </c>
      <c r="L16" s="121">
        <f t="array" ref="L16">MAX(IF(ISNUMBER(iData!K16:AN16),iData!K16:AN16))</f>
        <v>38</v>
      </c>
      <c r="M16" s="51">
        <f t="shared" si="7"/>
        <v>20</v>
      </c>
      <c r="N16" s="122" t="str">
        <f>REPT(" ",F16)&amp;tblIndicators!AM12</f>
        <v xml:space="preserve">   1.2.3) Mobile broadband latency</v>
      </c>
      <c r="O16" s="381">
        <f>tblIndicators!AR12</f>
        <v>0.1785714285714286</v>
      </c>
      <c r="P16" s="381"/>
      <c r="Q16" s="323"/>
      <c r="R16" s="123" cm="1">
        <f t="array" ref="R16">CHOOSE($H16,SUMPRODUCT($O17:$O$75*R17:R$75*($E17:$E$75=$D16)),IF(ISNUMBER(iData!K16),100*ABS($G16-(iData!K16-$K16)/$M16),0),IF(ISNUMBER(iData!K16),100*ABS($G16-(iData!K16-$I16)/$M16),0),IF(iData!K16&gt;tblIndicators!$AI12,100,IF(ISNUMBER(iData!K16),100*ABS($G16-(iData!K16-$I16)/$M16),0)),IF(iData!K16&lt;0,100,IF(ISNUMBER(iData!K16),100*ABS($G16-(iData!K16-$I16)/$M16),0)))</f>
        <v>70</v>
      </c>
      <c r="S16" s="123" cm="1">
        <f t="array" ref="S16">CHOOSE($H16,SUMPRODUCT($O17:$O$75*S17:S$75*($E17:$E$75=$D16)),IF(ISNUMBER(iData!L16),100*ABS($G16-(iData!L16-$K16)/$M16),0),IF(ISNUMBER(iData!L16),100*ABS($G16-(iData!L16-$I16)/$M16),0),IF(iData!L16&gt;tblIndicators!$AI12,100,IF(ISNUMBER(iData!L16),100*ABS($G16-(iData!L16-$I16)/$M16),0)),IF(iData!L16&lt;0,100,IF(ISNUMBER(iData!L16),100*ABS($G16-(iData!L16-$I16)/$M16),0)))</f>
        <v>30.000000000000004</v>
      </c>
      <c r="T16" s="123" cm="1">
        <f t="array" ref="T16">CHOOSE($H16,SUMPRODUCT($O17:$O$75*T17:T$75*($E17:$E$75=$D16)),IF(ISNUMBER(iData!M16),100*ABS($G16-(iData!M16-$K16)/$M16),0),IF(ISNUMBER(iData!M16),100*ABS($G16-(iData!M16-$I16)/$M16),0),IF(iData!M16&gt;tblIndicators!$AI12,100,IF(ISNUMBER(iData!M16),100*ABS($G16-(iData!M16-$I16)/$M16),0)),IF(iData!M16&lt;0,100,IF(ISNUMBER(iData!M16),100*ABS($G16-(iData!M16-$I16)/$M16),0)))</f>
        <v>70</v>
      </c>
      <c r="U16" s="123" cm="1">
        <f t="array" ref="U16">CHOOSE($H16,SUMPRODUCT($O17:$O$75*U17:U$75*($E17:$E$75=$D16)),IF(ISNUMBER(iData!N16),100*ABS($G16-(iData!N16-$K16)/$M16),0),IF(ISNUMBER(iData!N16),100*ABS($G16-(iData!N16-$I16)/$M16),0),IF(iData!N16&gt;tblIndicators!$AI12,100,IF(ISNUMBER(iData!N16),100*ABS($G16-(iData!N16-$I16)/$M16),0)),IF(iData!N16&lt;0,100,IF(ISNUMBER(iData!N16),100*ABS($G16-(iData!N16-$I16)/$M16),0)))</f>
        <v>9.9999999999999982</v>
      </c>
      <c r="V16" s="123" cm="1">
        <f t="array" ref="V16">CHOOSE($H16,SUMPRODUCT($O17:$O$75*V17:V$75*($E17:$E$75=$D16)),IF(ISNUMBER(iData!O16),100*ABS($G16-(iData!O16-$K16)/$M16),0),IF(ISNUMBER(iData!O16),100*ABS($G16-(iData!O16-$I16)/$M16),0),IF(iData!O16&gt;tblIndicators!$AI12,100,IF(ISNUMBER(iData!O16),100*ABS($G16-(iData!O16-$I16)/$M16),0)),IF(iData!O16&lt;0,100,IF(ISNUMBER(iData!O16),100*ABS($G16-(iData!O16-$I16)/$M16),0)))</f>
        <v>70</v>
      </c>
      <c r="W16" s="123" cm="1">
        <f t="array" ref="W16">CHOOSE($H16,SUMPRODUCT($O17:$O$75*W17:W$75*($E17:$E$75=$D16)),IF(ISNUMBER(iData!P16),100*ABS($G16-(iData!P16-$K16)/$M16),0),IF(ISNUMBER(iData!P16),100*ABS($G16-(iData!P16-$I16)/$M16),0),IF(iData!P16&gt;tblIndicators!$AI12,100,IF(ISNUMBER(iData!P16),100*ABS($G16-(iData!P16-$I16)/$M16),0)),IF(iData!P16&lt;0,100,IF(ISNUMBER(iData!P16),100*ABS($G16-(iData!P16-$I16)/$M16),0)))</f>
        <v>55.000000000000007</v>
      </c>
      <c r="X16" s="123" cm="1">
        <f t="array" ref="X16">CHOOSE($H16,SUMPRODUCT($O17:$O$75*X17:X$75*($E17:$E$75=$D16)),IF(ISNUMBER(iData!Q16),100*ABS($G16-(iData!Q16-$K16)/$M16),0),IF(ISNUMBER(iData!Q16),100*ABS($G16-(iData!Q16-$I16)/$M16),0),IF(iData!Q16&gt;tblIndicators!$AI12,100,IF(ISNUMBER(iData!Q16),100*ABS($G16-(iData!Q16-$I16)/$M16),0)),IF(iData!Q16&lt;0,100,IF(ISNUMBER(iData!Q16),100*ABS($G16-(iData!Q16-$I16)/$M16),0)))</f>
        <v>40</v>
      </c>
      <c r="Y16" s="123" cm="1">
        <f t="array" ref="Y16">CHOOSE($H16,SUMPRODUCT($O17:$O$75*Y17:Y$75*($E17:$E$75=$D16)),IF(ISNUMBER(iData!R16),100*ABS($G16-(iData!R16-$K16)/$M16),0),IF(ISNUMBER(iData!R16),100*ABS($G16-(iData!R16-$I16)/$M16),0),IF(iData!R16&gt;tblIndicators!$AI12,100,IF(ISNUMBER(iData!R16),100*ABS($G16-(iData!R16-$I16)/$M16),0)),IF(iData!R16&lt;0,100,IF(ISNUMBER(iData!R16),100*ABS($G16-(iData!R16-$I16)/$M16),0)))</f>
        <v>85</v>
      </c>
      <c r="Z16" s="123" cm="1">
        <f t="array" ref="Z16">CHOOSE($H16,SUMPRODUCT($O17:$O$75*Z17:Z$75*($E17:$E$75=$D16)),IF(ISNUMBER(iData!S16),100*ABS($G16-(iData!S16-$K16)/$M16),0),IF(ISNUMBER(iData!S16),100*ABS($G16-(iData!S16-$I16)/$M16),0),IF(iData!S16&gt;tblIndicators!$AI12,100,IF(ISNUMBER(iData!S16),100*ABS($G16-(iData!S16-$I16)/$M16),0)),IF(iData!S16&lt;0,100,IF(ISNUMBER(iData!S16),100*ABS($G16-(iData!S16-$I16)/$M16),0)))</f>
        <v>30.000000000000004</v>
      </c>
      <c r="AA16" s="123" cm="1">
        <f t="array" ref="AA16">CHOOSE($H16,SUMPRODUCT($O17:$O$75*AA17:AA$75*($E17:$E$75=$D16)),IF(ISNUMBER(iData!T16),100*ABS($G16-(iData!T16-$K16)/$M16),0),IF(ISNUMBER(iData!T16),100*ABS($G16-(iData!T16-$I16)/$M16),0),IF(iData!T16&gt;tblIndicators!$AI12,100,IF(ISNUMBER(iData!T16),100*ABS($G16-(iData!T16-$I16)/$M16),0)),IF(iData!T16&lt;0,100,IF(ISNUMBER(iData!T16),100*ABS($G16-(iData!T16-$I16)/$M16),0)))</f>
        <v>95</v>
      </c>
      <c r="AB16" s="123" cm="1">
        <f t="array" ref="AB16">CHOOSE($H16,SUMPRODUCT($O17:$O$75*AB17:AB$75*($E17:$E$75=$D16)),IF(ISNUMBER(iData!U16),100*ABS($G16-(iData!U16-$K16)/$M16),0),IF(ISNUMBER(iData!U16),100*ABS($G16-(iData!U16-$I16)/$M16),0),IF(iData!U16&gt;tblIndicators!$AI12,100,IF(ISNUMBER(iData!U16),100*ABS($G16-(iData!U16-$I16)/$M16),0)),IF(iData!U16&lt;0,100,IF(ISNUMBER(iData!U16),100*ABS($G16-(iData!U16-$I16)/$M16),0)))</f>
        <v>55.000000000000007</v>
      </c>
      <c r="AC16" s="123" cm="1">
        <f t="array" ref="AC16">CHOOSE($H16,SUMPRODUCT($O17:$O$75*AC17:AC$75*($E17:$E$75=$D16)),IF(ISNUMBER(iData!V16),100*ABS($G16-(iData!V16-$K16)/$M16),0),IF(ISNUMBER(iData!V16),100*ABS($G16-(iData!V16-$I16)/$M16),0),IF(iData!V16&gt;tblIndicators!$AI12,100,IF(ISNUMBER(iData!V16),100*ABS($G16-(iData!V16-$I16)/$M16),0)),IF(iData!V16&lt;0,100,IF(ISNUMBER(iData!V16),100*ABS($G16-(iData!V16-$I16)/$M16),0)))</f>
        <v>90</v>
      </c>
      <c r="AD16" s="123" cm="1">
        <f t="array" ref="AD16">CHOOSE($H16,SUMPRODUCT($O17:$O$75*AD17:AD$75*($E17:$E$75=$D16)),IF(ISNUMBER(iData!W16),100*ABS($G16-(iData!W16-$K16)/$M16),0),IF(ISNUMBER(iData!W16),100*ABS($G16-(iData!W16-$I16)/$M16),0),IF(iData!W16&gt;tblIndicators!$AI12,100,IF(ISNUMBER(iData!W16),100*ABS($G16-(iData!W16-$I16)/$M16),0)),IF(iData!W16&lt;0,100,IF(ISNUMBER(iData!W16),100*ABS($G16-(iData!W16-$I16)/$M16),0)))</f>
        <v>55.000000000000007</v>
      </c>
      <c r="AE16" s="123" cm="1">
        <f t="array" ref="AE16">CHOOSE($H16,SUMPRODUCT($O17:$O$75*AE17:AE$75*($E17:$E$75=$D16)),IF(ISNUMBER(iData!X16),100*ABS($G16-(iData!X16-$K16)/$M16),0),IF(ISNUMBER(iData!X16),100*ABS($G16-(iData!X16-$I16)/$M16),0),IF(iData!X16&gt;tblIndicators!$AI12,100,IF(ISNUMBER(iData!X16),100*ABS($G16-(iData!X16-$I16)/$M16),0)),IF(iData!X16&lt;0,100,IF(ISNUMBER(iData!X16),100*ABS($G16-(iData!X16-$I16)/$M16),0)))</f>
        <v>50</v>
      </c>
      <c r="AF16" s="123" cm="1">
        <f t="array" ref="AF16">CHOOSE($H16,SUMPRODUCT($O17:$O$75*AF17:AF$75*($E17:$E$75=$D16)),IF(ISNUMBER(iData!Y16),100*ABS($G16-(iData!Y16-$K16)/$M16),0),IF(ISNUMBER(iData!Y16),100*ABS($G16-(iData!Y16-$I16)/$M16),0),IF(iData!Y16&gt;tblIndicators!$AI12,100,IF(ISNUMBER(iData!Y16),100*ABS($G16-(iData!Y16-$I16)/$M16),0)),IF(iData!Y16&lt;0,100,IF(ISNUMBER(iData!Y16),100*ABS($G16-(iData!Y16-$I16)/$M16),0)))</f>
        <v>15.000000000000002</v>
      </c>
      <c r="AG16" s="123" cm="1">
        <f t="array" ref="AG16">CHOOSE($H16,SUMPRODUCT($O17:$O$75*AG17:AG$75*($E17:$E$75=$D16)),IF(ISNUMBER(iData!Z16),100*ABS($G16-(iData!Z16-$K16)/$M16),0),IF(ISNUMBER(iData!Z16),100*ABS($G16-(iData!Z16-$I16)/$M16),0),IF(iData!Z16&gt;tblIndicators!$AI12,100,IF(ISNUMBER(iData!Z16),100*ABS($G16-(iData!Z16-$I16)/$M16),0)),IF(iData!Z16&lt;0,100,IF(ISNUMBER(iData!Z16),100*ABS($G16-(iData!Z16-$I16)/$M16),0)))</f>
        <v>9.9999999999999982</v>
      </c>
      <c r="AH16" s="123" cm="1">
        <f t="array" ref="AH16">CHOOSE($H16,SUMPRODUCT($O17:$O$75*AH17:AH$75*($E17:$E$75=$D16)),IF(ISNUMBER(iData!AA16),100*ABS($G16-(iData!AA16-$K16)/$M16),0),IF(ISNUMBER(iData!AA16),100*ABS($G16-(iData!AA16-$I16)/$M16),0),IF(iData!AA16&gt;tblIndicators!$AI12,100,IF(ISNUMBER(iData!AA16),100*ABS($G16-(iData!AA16-$I16)/$M16),0)),IF(iData!AA16&lt;0,100,IF(ISNUMBER(iData!AA16),100*ABS($G16-(iData!AA16-$I16)/$M16),0)))</f>
        <v>70</v>
      </c>
      <c r="AI16" s="123" cm="1">
        <f t="array" ref="AI16">CHOOSE($H16,SUMPRODUCT($O17:$O$75*AI17:AI$75*($E17:$E$75=$D16)),IF(ISNUMBER(iData!AB16),100*ABS($G16-(iData!AB16-$K16)/$M16),0),IF(ISNUMBER(iData!AB16),100*ABS($G16-(iData!AB16-$I16)/$M16),0),IF(iData!AB16&gt;tblIndicators!$AI12,100,IF(ISNUMBER(iData!AB16),100*ABS($G16-(iData!AB16-$I16)/$M16),0)),IF(iData!AB16&lt;0,100,IF(ISNUMBER(iData!AB16),100*ABS($G16-(iData!AB16-$I16)/$M16),0)))</f>
        <v>19.999999999999996</v>
      </c>
      <c r="AJ16" s="123" cm="1">
        <f t="array" ref="AJ16">CHOOSE($H16,SUMPRODUCT($O17:$O$75*AJ17:AJ$75*($E17:$E$75=$D16)),IF(ISNUMBER(iData!AC16),100*ABS($G16-(iData!AC16-$K16)/$M16),0),IF(ISNUMBER(iData!AC16),100*ABS($G16-(iData!AC16-$I16)/$M16),0),IF(iData!AC16&gt;tblIndicators!$AI12,100,IF(ISNUMBER(iData!AC16),100*ABS($G16-(iData!AC16-$I16)/$M16),0)),IF(iData!AC16&lt;0,100,IF(ISNUMBER(iData!AC16),100*ABS($G16-(iData!AC16-$I16)/$M16),0)))</f>
        <v>9.9999999999999982</v>
      </c>
      <c r="AK16" s="123" cm="1">
        <f t="array" ref="AK16">CHOOSE($H16,SUMPRODUCT($O17:$O$75*AK17:AK$75*($E17:$E$75=$D16)),IF(ISNUMBER(iData!AD16),100*ABS($G16-(iData!AD16-$K16)/$M16),0),IF(ISNUMBER(iData!AD16),100*ABS($G16-(iData!AD16-$I16)/$M16),0),IF(iData!AD16&gt;tblIndicators!$AI12,100,IF(ISNUMBER(iData!AD16),100*ABS($G16-(iData!AD16-$I16)/$M16),0)),IF(iData!AD16&lt;0,100,IF(ISNUMBER(iData!AD16),100*ABS($G16-(iData!AD16-$I16)/$M16),0)))</f>
        <v>30.000000000000004</v>
      </c>
      <c r="AL16" s="123" cm="1">
        <f t="array" ref="AL16">CHOOSE($H16,SUMPRODUCT($O17:$O$75*AL17:AL$75*($E17:$E$75=$D16)),IF(ISNUMBER(iData!AE16),100*ABS($G16-(iData!AE16-$K16)/$M16),0),IF(ISNUMBER(iData!AE16),100*ABS($G16-(iData!AE16-$I16)/$M16),0),IF(iData!AE16&gt;tblIndicators!$AI12,100,IF(ISNUMBER(iData!AE16),100*ABS($G16-(iData!AE16-$I16)/$M16),0)),IF(iData!AE16&lt;0,100,IF(ISNUMBER(iData!AE16),100*ABS($G16-(iData!AE16-$I16)/$M16),0)))</f>
        <v>25</v>
      </c>
      <c r="AM16" s="123" cm="1">
        <f t="array" ref="AM16">CHOOSE($H16,SUMPRODUCT($O17:$O$75*AM17:AM$75*($E17:$E$75=$D16)),IF(ISNUMBER(iData!AF16),100*ABS($G16-(iData!AF16-$K16)/$M16),0),IF(ISNUMBER(iData!AF16),100*ABS($G16-(iData!AF16-$I16)/$M16),0),IF(iData!AF16&gt;tblIndicators!$AI12,100,IF(ISNUMBER(iData!AF16),100*ABS($G16-(iData!AF16-$I16)/$M16),0)),IF(iData!AF16&lt;0,100,IF(ISNUMBER(iData!AF16),100*ABS($G16-(iData!AF16-$I16)/$M16),0)))</f>
        <v>5.0000000000000044</v>
      </c>
      <c r="AN16" s="123" cm="1">
        <f t="array" ref="AN16">CHOOSE($H16,SUMPRODUCT($O17:$O$75*AN17:AN$75*($E17:$E$75=$D16)),IF(ISNUMBER(iData!AG16),100*ABS($G16-(iData!AG16-$K16)/$M16),0),IF(ISNUMBER(iData!AG16),100*ABS($G16-(iData!AG16-$I16)/$M16),0),IF(iData!AG16&gt;tblIndicators!$AI12,100,IF(ISNUMBER(iData!AG16),100*ABS($G16-(iData!AG16-$I16)/$M16),0)),IF(iData!AG16&lt;0,100,IF(ISNUMBER(iData!AG16),100*ABS($G16-(iData!AG16-$I16)/$M16),0)))</f>
        <v>44.999999999999993</v>
      </c>
      <c r="AO16" s="123" cm="1">
        <f t="array" ref="AO16">CHOOSE($H16,SUMPRODUCT($O17:$O$75*AO17:AO$75*($E17:$E$75=$D16)),IF(ISNUMBER(iData!AH16),100*ABS($G16-(iData!AH16-$K16)/$M16),0),IF(ISNUMBER(iData!AH16),100*ABS($G16-(iData!AH16-$I16)/$M16),0),IF(iData!AH16&gt;tblIndicators!$AI12,100,IF(ISNUMBER(iData!AH16),100*ABS($G16-(iData!AH16-$I16)/$M16),0)),IF(iData!AH16&lt;0,100,IF(ISNUMBER(iData!AH16),100*ABS($G16-(iData!AH16-$I16)/$M16),0)))</f>
        <v>50</v>
      </c>
      <c r="AP16" s="123" cm="1">
        <f t="array" ref="AP16">CHOOSE($H16,SUMPRODUCT($O17:$O$75*AP17:AP$75*($E17:$E$75=$D16)),IF(ISNUMBER(iData!AI16),100*ABS($G16-(iData!AI16-$K16)/$M16),0),IF(ISNUMBER(iData!AI16),100*ABS($G16-(iData!AI16-$I16)/$M16),0),IF(iData!AI16&gt;tblIndicators!$AI12,100,IF(ISNUMBER(iData!AI16),100*ABS($G16-(iData!AI16-$I16)/$M16),0)),IF(iData!AI16&lt;0,100,IF(ISNUMBER(iData!AI16),100*ABS($G16-(iData!AI16-$I16)/$M16),0)))</f>
        <v>100</v>
      </c>
      <c r="AQ16" s="123" cm="1">
        <f t="array" ref="AQ16">CHOOSE($H16,SUMPRODUCT($O17:$O$75*AQ17:AQ$75*($E17:$E$75=$D16)),IF(ISNUMBER(iData!AJ16),100*ABS($G16-(iData!AJ16-$K16)/$M16),0),IF(ISNUMBER(iData!AJ16),100*ABS($G16-(iData!AJ16-$I16)/$M16),0),IF(iData!AJ16&gt;tblIndicators!$AI12,100,IF(ISNUMBER(iData!AJ16),100*ABS($G16-(iData!AJ16-$I16)/$M16),0)),IF(iData!AJ16&lt;0,100,IF(ISNUMBER(iData!AJ16),100*ABS($G16-(iData!AJ16-$I16)/$M16),0)))</f>
        <v>75</v>
      </c>
      <c r="AR16" s="123" cm="1">
        <f t="array" ref="AR16">CHOOSE($H16,SUMPRODUCT($O17:$O$75*AR17:AR$75*($E17:$E$75=$D16)),IF(ISNUMBER(iData!AK16),100*ABS($G16-(iData!AK16-$K16)/$M16),0),IF(ISNUMBER(iData!AK16),100*ABS($G16-(iData!AK16-$I16)/$M16),0),IF(iData!AK16&gt;tblIndicators!$AI12,100,IF(ISNUMBER(iData!AK16),100*ABS($G16-(iData!AK16-$I16)/$M16),0)),IF(iData!AK16&lt;0,100,IF(ISNUMBER(iData!AK16),100*ABS($G16-(iData!AK16-$I16)/$M16),0)))</f>
        <v>0</v>
      </c>
      <c r="AS16" s="123" cm="1">
        <f t="array" ref="AS16">CHOOSE($H16,SUMPRODUCT($O17:$O$75*AS17:AS$75*($E17:$E$75=$D16)),IF(ISNUMBER(iData!AL16),100*ABS($G16-(iData!AL16-$K16)/$M16),0),IF(ISNUMBER(iData!AL16),100*ABS($G16-(iData!AL16-$I16)/$M16),0),IF(iData!AL16&gt;tblIndicators!$AI12,100,IF(ISNUMBER(iData!AL16),100*ABS($G16-(iData!AL16-$I16)/$M16),0)),IF(iData!AL16&lt;0,100,IF(ISNUMBER(iData!AL16),100*ABS($G16-(iData!AL16-$I16)/$M16),0)))</f>
        <v>65</v>
      </c>
      <c r="AT16" s="123" cm="1">
        <f t="array" ref="AT16">CHOOSE($H16,SUMPRODUCT($O17:$O$75*AT17:AT$75*($E17:$E$75=$D16)),IF(ISNUMBER(iData!AM16),100*ABS($G16-(iData!AM16-$K16)/$M16),0),IF(ISNUMBER(iData!AM16),100*ABS($G16-(iData!AM16-$I16)/$M16),0),IF(iData!AM16&gt;tblIndicators!$AI12,100,IF(ISNUMBER(iData!AM16),100*ABS($G16-(iData!AM16-$I16)/$M16),0)),IF(iData!AM16&lt;0,100,IF(ISNUMBER(iData!AM16),100*ABS($G16-(iData!AM16-$I16)/$M16),0)))</f>
        <v>30.000000000000004</v>
      </c>
      <c r="AU16" s="123" cm="1">
        <f t="array" ref="AU16">CHOOSE($H16,SUMPRODUCT($O17:$O$75*AU17:AU$75*($E17:$E$75=$D16)),IF(ISNUMBER(iData!AN16),100*ABS($G16-(iData!AN16-$K16)/$M16),0),IF(ISNUMBER(iData!AN16),100*ABS($G16-(iData!AN16-$I16)/$M16),0),IF(iData!AN16&gt;tblIndicators!$AI12,100,IF(ISNUMBER(iData!AN16),100*ABS($G16-(iData!AN16-$I16)/$M16),0)),IF(iData!AN16&lt;0,100,IF(ISNUMBER(iData!AN16),100*ABS($G16-(iData!AN16-$I16)/$M16),0)))</f>
        <v>80</v>
      </c>
      <c r="AV16" s="367"/>
      <c r="AW16" s="368"/>
      <c r="AX16" s="14"/>
      <c r="AY16" s="871">
        <f t="shared" si="40"/>
        <v>70</v>
      </c>
      <c r="AZ16" s="871">
        <f t="shared" si="41"/>
        <v>30</v>
      </c>
      <c r="BA16" s="871">
        <f t="shared" si="42"/>
        <v>70</v>
      </c>
      <c r="BB16" s="871">
        <f t="shared" si="43"/>
        <v>10</v>
      </c>
      <c r="BC16" s="871">
        <f t="shared" si="44"/>
        <v>70</v>
      </c>
      <c r="BD16" s="871">
        <f t="shared" si="45"/>
        <v>55</v>
      </c>
      <c r="BE16" s="871">
        <f t="shared" si="46"/>
        <v>40</v>
      </c>
      <c r="BF16" s="871">
        <f t="shared" si="47"/>
        <v>85</v>
      </c>
      <c r="BG16" s="871">
        <f t="shared" si="48"/>
        <v>30</v>
      </c>
      <c r="BH16" s="871">
        <f t="shared" si="49"/>
        <v>95</v>
      </c>
      <c r="BI16" s="871">
        <f t="shared" si="50"/>
        <v>55</v>
      </c>
      <c r="BJ16" s="871">
        <f t="shared" si="51"/>
        <v>90</v>
      </c>
      <c r="BK16" s="871">
        <f t="shared" si="52"/>
        <v>55</v>
      </c>
      <c r="BL16" s="871">
        <f t="shared" si="53"/>
        <v>50</v>
      </c>
      <c r="BM16" s="871">
        <f t="shared" si="54"/>
        <v>15</v>
      </c>
      <c r="BN16" s="871">
        <f t="shared" si="55"/>
        <v>10</v>
      </c>
      <c r="BO16" s="871">
        <f t="shared" si="56"/>
        <v>70</v>
      </c>
      <c r="BP16" s="871">
        <f t="shared" si="57"/>
        <v>20</v>
      </c>
      <c r="BQ16" s="871">
        <f t="shared" si="58"/>
        <v>10</v>
      </c>
      <c r="BR16" s="871">
        <f t="shared" si="59"/>
        <v>30</v>
      </c>
      <c r="BS16" s="871">
        <f t="shared" si="60"/>
        <v>25</v>
      </c>
      <c r="BT16" s="871">
        <f t="shared" si="61"/>
        <v>5</v>
      </c>
      <c r="BU16" s="871">
        <f t="shared" si="62"/>
        <v>45</v>
      </c>
      <c r="BV16" s="871">
        <f t="shared" si="63"/>
        <v>50</v>
      </c>
      <c r="BW16" s="871">
        <f t="shared" si="64"/>
        <v>100</v>
      </c>
      <c r="BX16" s="871">
        <f t="shared" si="65"/>
        <v>75</v>
      </c>
      <c r="BY16" s="871">
        <f t="shared" si="66"/>
        <v>0</v>
      </c>
      <c r="BZ16" s="871">
        <f t="shared" si="67"/>
        <v>65</v>
      </c>
      <c r="CA16" s="871">
        <f t="shared" si="68"/>
        <v>30</v>
      </c>
      <c r="CB16" s="871">
        <f t="shared" si="69"/>
        <v>80</v>
      </c>
      <c r="CD16" s="304">
        <f t="shared" ca="1" si="38"/>
        <v>47.8</v>
      </c>
      <c r="CE16" s="304">
        <f t="shared" ca="1" si="38"/>
        <v>47.8</v>
      </c>
      <c r="CF16" s="304">
        <f t="shared" ca="1" si="38"/>
        <v>55.8</v>
      </c>
      <c r="CG16" s="302">
        <f t="shared" ca="1" si="38"/>
        <v>41</v>
      </c>
      <c r="CH16" s="302">
        <f t="shared" ca="1" si="38"/>
        <v>35</v>
      </c>
      <c r="CI16" s="302">
        <f t="shared" ca="1" si="38"/>
        <v>95</v>
      </c>
      <c r="CJ16" s="302">
        <f t="shared" ca="1" si="38"/>
        <v>38.799999999999997</v>
      </c>
      <c r="CK16" s="302">
        <f t="shared" ca="1" si="38"/>
        <v>45</v>
      </c>
      <c r="CL16" s="302">
        <f t="shared" ca="1" si="38"/>
        <v>49.2</v>
      </c>
      <c r="CM16" s="302">
        <f t="shared" ca="1" si="38"/>
        <v>47.9</v>
      </c>
      <c r="CN16" s="302">
        <f t="shared" ca="1" si="39"/>
        <v>61.9</v>
      </c>
      <c r="CO16" s="302">
        <f t="shared" ca="1" si="39"/>
        <v>48.9</v>
      </c>
      <c r="CP16" s="302">
        <f t="shared" ca="1" si="39"/>
        <v>45</v>
      </c>
      <c r="CQ16" s="302">
        <f t="shared" ca="1" si="39"/>
        <v>35.6</v>
      </c>
    </row>
    <row r="17" spans="1:95" s="124" customFormat="1" ht="27.75" customHeight="1" thickBot="1">
      <c r="A17" s="118"/>
      <c r="B17" s="119">
        <f>tblIndicators!A13</f>
        <v>12</v>
      </c>
      <c r="C17" s="119">
        <f>tblIndicators!B13</f>
        <v>0</v>
      </c>
      <c r="D17" s="119" t="str">
        <f>tblIndicators!E13</f>
        <v>CNTY1_2_4</v>
      </c>
      <c r="E17" s="119" t="str">
        <f>tblIndicators!F13</f>
        <v>CNTY1_2</v>
      </c>
      <c r="F17" s="119">
        <f>tblIndicators!G13</f>
        <v>3</v>
      </c>
      <c r="G17" s="119">
        <f>tblIndicators!AF13</f>
        <v>1</v>
      </c>
      <c r="H17" s="119">
        <f>tblIndicators!AG13</f>
        <v>2</v>
      </c>
      <c r="I17" s="120">
        <f>tblIndicators!AH13</f>
        <v>0</v>
      </c>
      <c r="J17" s="119">
        <f>tblIndicators!AI13</f>
        <v>0</v>
      </c>
      <c r="K17" s="119">
        <f t="array" ref="K17">MIN(IF(ISNUMBER(iData!K17:AN17),iData!K17:AN17))</f>
        <v>4</v>
      </c>
      <c r="L17" s="121">
        <f t="array" ref="L17">MAX(IF(ISNUMBER(iData!K17:AN17),iData!K17:AN17))</f>
        <v>15</v>
      </c>
      <c r="M17" s="51">
        <f t="shared" si="7"/>
        <v>11</v>
      </c>
      <c r="N17" s="122" t="str">
        <f>REPT(" ",F17)&amp;tblIndicators!AM13</f>
        <v xml:space="preserve">   1.2.4) Fixed broadband latency</v>
      </c>
      <c r="O17" s="381">
        <f>tblIndicators!AR13</f>
        <v>0.2142857142857143</v>
      </c>
      <c r="P17" s="381"/>
      <c r="Q17" s="323"/>
      <c r="R17" s="123" cm="1">
        <f t="array" ref="R17">CHOOSE($H17,SUMPRODUCT($O18:$O$75*R18:R$75*($E18:$E$75=$D17)),IF(ISNUMBER(iData!K17),100*ABS($G17-(iData!K17-$K17)/$M17),0),IF(ISNUMBER(iData!K17),100*ABS($G17-(iData!K17-$I17)/$M17),0),IF(iData!K17&gt;tblIndicators!$AI13,100,IF(ISNUMBER(iData!K17),100*ABS($G17-(iData!K17-$I17)/$M17),0)),IF(iData!K17&lt;0,100,IF(ISNUMBER(iData!K17),100*ABS($G17-(iData!K17-$I17)/$M17),0)))</f>
        <v>45.45454545454546</v>
      </c>
      <c r="S17" s="123" cm="1">
        <f t="array" ref="S17">CHOOSE($H17,SUMPRODUCT($O18:$O$75*S18:S$75*($E18:$E$75=$D17)),IF(ISNUMBER(iData!L17),100*ABS($G17-(iData!L17-$K17)/$M17),0),IF(ISNUMBER(iData!L17),100*ABS($G17-(iData!L17-$I17)/$M17),0),IF(iData!L17&gt;tblIndicators!$AI13,100,IF(ISNUMBER(iData!L17),100*ABS($G17-(iData!L17-$I17)/$M17),0)),IF(iData!L17&lt;0,100,IF(ISNUMBER(iData!L17),100*ABS($G17-(iData!L17-$I17)/$M17),0)))</f>
        <v>81.818181818181813</v>
      </c>
      <c r="T17" s="123" cm="1">
        <f t="array" ref="T17">CHOOSE($H17,SUMPRODUCT($O18:$O$75*T18:T$75*($E18:$E$75=$D17)),IF(ISNUMBER(iData!M17),100*ABS($G17-(iData!M17-$K17)/$M17),0),IF(ISNUMBER(iData!M17),100*ABS($G17-(iData!M17-$I17)/$M17),0),IF(iData!M17&gt;tblIndicators!$AI13,100,IF(ISNUMBER(iData!M17),100*ABS($G17-(iData!M17-$I17)/$M17),0)),IF(iData!M17&lt;0,100,IF(ISNUMBER(iData!M17),100*ABS($G17-(iData!M17-$I17)/$M17),0)))</f>
        <v>90.909090909090907</v>
      </c>
      <c r="U17" s="123" cm="1">
        <f t="array" ref="U17">CHOOSE($H17,SUMPRODUCT($O18:$O$75*U18:U$75*($E18:$E$75=$D17)),IF(ISNUMBER(iData!N17),100*ABS($G17-(iData!N17-$K17)/$M17),0),IF(ISNUMBER(iData!N17),100*ABS($G17-(iData!N17-$I17)/$M17),0),IF(iData!N17&gt;tblIndicators!$AI13,100,IF(ISNUMBER(iData!N17),100*ABS($G17-(iData!N17-$I17)/$M17),0)),IF(iData!N17&lt;0,100,IF(ISNUMBER(iData!N17),100*ABS($G17-(iData!N17-$I17)/$M17),0)))</f>
        <v>18.181818181818176</v>
      </c>
      <c r="V17" s="123" cm="1">
        <f t="array" ref="V17">CHOOSE($H17,SUMPRODUCT($O18:$O$75*V18:V$75*($E18:$E$75=$D17)),IF(ISNUMBER(iData!O17),100*ABS($G17-(iData!O17-$K17)/$M17),0),IF(ISNUMBER(iData!O17),100*ABS($G17-(iData!O17-$I17)/$M17),0),IF(iData!O17&gt;tblIndicators!$AI13,100,IF(ISNUMBER(iData!O17),100*ABS($G17-(iData!O17-$I17)/$M17),0)),IF(iData!O17&lt;0,100,IF(ISNUMBER(iData!O17),100*ABS($G17-(iData!O17-$I17)/$M17),0)))</f>
        <v>54.54545454545454</v>
      </c>
      <c r="W17" s="123" cm="1">
        <f t="array" ref="W17">CHOOSE($H17,SUMPRODUCT($O18:$O$75*W18:W$75*($E18:$E$75=$D17)),IF(ISNUMBER(iData!P17),100*ABS($G17-(iData!P17-$K17)/$M17),0),IF(ISNUMBER(iData!P17),100*ABS($G17-(iData!P17-$I17)/$M17),0),IF(iData!P17&gt;tblIndicators!$AI13,100,IF(ISNUMBER(iData!P17),100*ABS($G17-(iData!P17-$I17)/$M17),0)),IF(iData!P17&lt;0,100,IF(ISNUMBER(iData!P17),100*ABS($G17-(iData!P17-$I17)/$M17),0)))</f>
        <v>9.0909090909090935</v>
      </c>
      <c r="X17" s="123" cm="1">
        <f t="array" ref="X17">CHOOSE($H17,SUMPRODUCT($O18:$O$75*X18:X$75*($E18:$E$75=$D17)),IF(ISNUMBER(iData!Q17),100*ABS($G17-(iData!Q17-$K17)/$M17),0),IF(ISNUMBER(iData!Q17),100*ABS($G17-(iData!Q17-$I17)/$M17),0),IF(iData!Q17&gt;tblIndicators!$AI13,100,IF(ISNUMBER(iData!Q17),100*ABS($G17-(iData!Q17-$I17)/$M17),0)),IF(iData!Q17&lt;0,100,IF(ISNUMBER(iData!Q17),100*ABS($G17-(iData!Q17-$I17)/$M17),0)))</f>
        <v>9.0909090909090935</v>
      </c>
      <c r="Y17" s="123" cm="1">
        <f t="array" ref="Y17">CHOOSE($H17,SUMPRODUCT($O18:$O$75*Y18:Y$75*($E18:$E$75=$D17)),IF(ISNUMBER(iData!R17),100*ABS($G17-(iData!R17-$K17)/$M17),0),IF(ISNUMBER(iData!R17),100*ABS($G17-(iData!R17-$I17)/$M17),0),IF(iData!R17&gt;tblIndicators!$AI13,100,IF(ISNUMBER(iData!R17),100*ABS($G17-(iData!R17-$I17)/$M17),0)),IF(iData!R17&lt;0,100,IF(ISNUMBER(iData!R17),100*ABS($G17-(iData!R17-$I17)/$M17),0)))</f>
        <v>63.636363636363633</v>
      </c>
      <c r="Z17" s="123" cm="1">
        <f t="array" ref="Z17">CHOOSE($H17,SUMPRODUCT($O18:$O$75*Z18:Z$75*($E18:$E$75=$D17)),IF(ISNUMBER(iData!S17),100*ABS($G17-(iData!S17-$K17)/$M17),0),IF(ISNUMBER(iData!S17),100*ABS($G17-(iData!S17-$I17)/$M17),0),IF(iData!S17&gt;tblIndicators!$AI13,100,IF(ISNUMBER(iData!S17),100*ABS($G17-(iData!S17-$I17)/$M17),0)),IF(iData!S17&lt;0,100,IF(ISNUMBER(iData!S17),100*ABS($G17-(iData!S17-$I17)/$M17),0)))</f>
        <v>9.0909090909090935</v>
      </c>
      <c r="AA17" s="123" cm="1">
        <f t="array" ref="AA17">CHOOSE($H17,SUMPRODUCT($O18:$O$75*AA18:AA$75*($E18:$E$75=$D17)),IF(ISNUMBER(iData!T17),100*ABS($G17-(iData!T17-$K17)/$M17),0),IF(ISNUMBER(iData!T17),100*ABS($G17-(iData!T17-$I17)/$M17),0),IF(iData!T17&gt;tblIndicators!$AI13,100,IF(ISNUMBER(iData!T17),100*ABS($G17-(iData!T17-$I17)/$M17),0)),IF(iData!T17&lt;0,100,IF(ISNUMBER(iData!T17),100*ABS($G17-(iData!T17-$I17)/$M17),0)))</f>
        <v>100</v>
      </c>
      <c r="AB17" s="123" cm="1">
        <f t="array" ref="AB17">CHOOSE($H17,SUMPRODUCT($O18:$O$75*AB18:AB$75*($E18:$E$75=$D17)),IF(ISNUMBER(iData!U17),100*ABS($G17-(iData!U17-$K17)/$M17),0),IF(ISNUMBER(iData!U17),100*ABS($G17-(iData!U17-$I17)/$M17),0),IF(iData!U17&gt;tblIndicators!$AI13,100,IF(ISNUMBER(iData!U17),100*ABS($G17-(iData!U17-$I17)/$M17),0)),IF(iData!U17&lt;0,100,IF(ISNUMBER(iData!U17),100*ABS($G17-(iData!U17-$I17)/$M17),0)))</f>
        <v>9.0909090909090935</v>
      </c>
      <c r="AC17" s="123" cm="1">
        <f t="array" ref="AC17">CHOOSE($H17,SUMPRODUCT($O18:$O$75*AC18:AC$75*($E18:$E$75=$D17)),IF(ISNUMBER(iData!V17),100*ABS($G17-(iData!V17-$K17)/$M17),0),IF(ISNUMBER(iData!V17),100*ABS($G17-(iData!V17-$I17)/$M17),0),IF(iData!V17&gt;tblIndicators!$AI13,100,IF(ISNUMBER(iData!V17),100*ABS($G17-(iData!V17-$I17)/$M17),0)),IF(iData!V17&lt;0,100,IF(ISNUMBER(iData!V17),100*ABS($G17-(iData!V17-$I17)/$M17),0)))</f>
        <v>100</v>
      </c>
      <c r="AD17" s="123" cm="1">
        <f t="array" ref="AD17">CHOOSE($H17,SUMPRODUCT($O18:$O$75*AD18:AD$75*($E18:$E$75=$D17)),IF(ISNUMBER(iData!W17),100*ABS($G17-(iData!W17-$K17)/$M17),0),IF(ISNUMBER(iData!W17),100*ABS($G17-(iData!W17-$I17)/$M17),0),IF(iData!W17&gt;tblIndicators!$AI13,100,IF(ISNUMBER(iData!W17),100*ABS($G17-(iData!W17-$I17)/$M17),0)),IF(iData!W17&lt;0,100,IF(ISNUMBER(iData!W17),100*ABS($G17-(iData!W17-$I17)/$M17),0)))</f>
        <v>63.636363636363633</v>
      </c>
      <c r="AE17" s="123" cm="1">
        <f t="array" ref="AE17">CHOOSE($H17,SUMPRODUCT($O18:$O$75*AE18:AE$75*($E18:$E$75=$D17)),IF(ISNUMBER(iData!X17),100*ABS($G17-(iData!X17-$K17)/$M17),0),IF(ISNUMBER(iData!X17),100*ABS($G17-(iData!X17-$I17)/$M17),0),IF(iData!X17&gt;tblIndicators!$AI13,100,IF(ISNUMBER(iData!X17),100*ABS($G17-(iData!X17-$I17)/$M17),0)),IF(iData!X17&lt;0,100,IF(ISNUMBER(iData!X17),100*ABS($G17-(iData!X17-$I17)/$M17),0)))</f>
        <v>63.636363636363633</v>
      </c>
      <c r="AF17" s="123" cm="1">
        <f t="array" ref="AF17">CHOOSE($H17,SUMPRODUCT($O18:$O$75*AF18:AF$75*($E18:$E$75=$D17)),IF(ISNUMBER(iData!Y17),100*ABS($G17-(iData!Y17-$K17)/$M17),0),IF(ISNUMBER(iData!Y17),100*ABS($G17-(iData!Y17-$I17)/$M17),0),IF(iData!Y17&gt;tblIndicators!$AI13,100,IF(ISNUMBER(iData!Y17),100*ABS($G17-(iData!Y17-$I17)/$M17),0)),IF(iData!Y17&lt;0,100,IF(ISNUMBER(iData!Y17),100*ABS($G17-(iData!Y17-$I17)/$M17),0)))</f>
        <v>0</v>
      </c>
      <c r="AG17" s="123" cm="1">
        <f t="array" ref="AG17">CHOOSE($H17,SUMPRODUCT($O18:$O$75*AG18:AG$75*($E18:$E$75=$D17)),IF(ISNUMBER(iData!Z17),100*ABS($G17-(iData!Z17-$K17)/$M17),0),IF(ISNUMBER(iData!Z17),100*ABS($G17-(iData!Z17-$I17)/$M17),0),IF(iData!Z17&gt;tblIndicators!$AI13,100,IF(ISNUMBER(iData!Z17),100*ABS($G17-(iData!Z17-$I17)/$M17),0)),IF(iData!Z17&lt;0,100,IF(ISNUMBER(iData!Z17),100*ABS($G17-(iData!Z17-$I17)/$M17),0)))</f>
        <v>18.181818181818176</v>
      </c>
      <c r="AH17" s="123" cm="1">
        <f t="array" ref="AH17">CHOOSE($H17,SUMPRODUCT($O18:$O$75*AH18:AH$75*($E18:$E$75=$D17)),IF(ISNUMBER(iData!AA17),100*ABS($G17-(iData!AA17-$K17)/$M17),0),IF(ISNUMBER(iData!AA17),100*ABS($G17-(iData!AA17-$I17)/$M17),0),IF(iData!AA17&gt;tblIndicators!$AI13,100,IF(ISNUMBER(iData!AA17),100*ABS($G17-(iData!AA17-$I17)/$M17),0)),IF(iData!AA17&lt;0,100,IF(ISNUMBER(iData!AA17),100*ABS($G17-(iData!AA17-$I17)/$M17),0)))</f>
        <v>81.818181818181813</v>
      </c>
      <c r="AI17" s="123" cm="1">
        <f t="array" ref="AI17">CHOOSE($H17,SUMPRODUCT($O18:$O$75*AI18:AI$75*($E18:$E$75=$D17)),IF(ISNUMBER(iData!AB17),100*ABS($G17-(iData!AB17-$K17)/$M17),0),IF(ISNUMBER(iData!AB17),100*ABS($G17-(iData!AB17-$I17)/$M17),0),IF(iData!AB17&gt;tblIndicators!$AI13,100,IF(ISNUMBER(iData!AB17),100*ABS($G17-(iData!AB17-$I17)/$M17),0)),IF(iData!AB17&lt;0,100,IF(ISNUMBER(iData!AB17),100*ABS($G17-(iData!AB17-$I17)/$M17),0)))</f>
        <v>36.363636363636367</v>
      </c>
      <c r="AJ17" s="123" cm="1">
        <f t="array" ref="AJ17">CHOOSE($H17,SUMPRODUCT($O18:$O$75*AJ18:AJ$75*($E18:$E$75=$D17)),IF(ISNUMBER(iData!AC17),100*ABS($G17-(iData!AC17-$K17)/$M17),0),IF(ISNUMBER(iData!AC17),100*ABS($G17-(iData!AC17-$I17)/$M17),0),IF(iData!AC17&gt;tblIndicators!$AI13,100,IF(ISNUMBER(iData!AC17),100*ABS($G17-(iData!AC17-$I17)/$M17),0)),IF(iData!AC17&lt;0,100,IF(ISNUMBER(iData!AC17),100*ABS($G17-(iData!AC17-$I17)/$M17),0)))</f>
        <v>81.818181818181813</v>
      </c>
      <c r="AK17" s="123" cm="1">
        <f t="array" ref="AK17">CHOOSE($H17,SUMPRODUCT($O18:$O$75*AK18:AK$75*($E18:$E$75=$D17)),IF(ISNUMBER(iData!AD17),100*ABS($G17-(iData!AD17-$K17)/$M17),0),IF(ISNUMBER(iData!AD17),100*ABS($G17-(iData!AD17-$I17)/$M17),0),IF(iData!AD17&gt;tblIndicators!$AI13,100,IF(ISNUMBER(iData!AD17),100*ABS($G17-(iData!AD17-$I17)/$M17),0)),IF(iData!AD17&lt;0,100,IF(ISNUMBER(iData!AD17),100*ABS($G17-(iData!AD17-$I17)/$M17),0)))</f>
        <v>9.0909090909090935</v>
      </c>
      <c r="AL17" s="123" cm="1">
        <f t="array" ref="AL17">CHOOSE($H17,SUMPRODUCT($O18:$O$75*AL18:AL$75*($E18:$E$75=$D17)),IF(ISNUMBER(iData!AE17),100*ABS($G17-(iData!AE17-$K17)/$M17),0),IF(ISNUMBER(iData!AE17),100*ABS($G17-(iData!AE17-$I17)/$M17),0),IF(iData!AE17&gt;tblIndicators!$AI13,100,IF(ISNUMBER(iData!AE17),100*ABS($G17-(iData!AE17-$I17)/$M17),0)),IF(iData!AE17&lt;0,100,IF(ISNUMBER(iData!AE17),100*ABS($G17-(iData!AE17-$I17)/$M17),0)))</f>
        <v>27.27272727272727</v>
      </c>
      <c r="AM17" s="123" cm="1">
        <f t="array" ref="AM17">CHOOSE($H17,SUMPRODUCT($O18:$O$75*AM18:AM$75*($E18:$E$75=$D17)),IF(ISNUMBER(iData!AF17),100*ABS($G17-(iData!AF17-$K17)/$M17),0),IF(ISNUMBER(iData!AF17),100*ABS($G17-(iData!AF17-$I17)/$M17),0),IF(iData!AF17&gt;tblIndicators!$AI13,100,IF(ISNUMBER(iData!AF17),100*ABS($G17-(iData!AF17-$I17)/$M17),0)),IF(iData!AF17&lt;0,100,IF(ISNUMBER(iData!AF17),100*ABS($G17-(iData!AF17-$I17)/$M17),0)))</f>
        <v>9.0909090909090935</v>
      </c>
      <c r="AN17" s="123" cm="1">
        <f t="array" ref="AN17">CHOOSE($H17,SUMPRODUCT($O18:$O$75*AN18:AN$75*($E18:$E$75=$D17)),IF(ISNUMBER(iData!AG17),100*ABS($G17-(iData!AG17-$K17)/$M17),0),IF(ISNUMBER(iData!AG17),100*ABS($G17-(iData!AG17-$I17)/$M17),0),IF(iData!AG17&gt;tblIndicators!$AI13,100,IF(ISNUMBER(iData!AG17),100*ABS($G17-(iData!AG17-$I17)/$M17),0)),IF(iData!AG17&lt;0,100,IF(ISNUMBER(iData!AG17),100*ABS($G17-(iData!AG17-$I17)/$M17),0)))</f>
        <v>90.909090909090907</v>
      </c>
      <c r="AO17" s="123" cm="1">
        <f t="array" ref="AO17">CHOOSE($H17,SUMPRODUCT($O18:$O$75*AO18:AO$75*($E18:$E$75=$D17)),IF(ISNUMBER(iData!AH17),100*ABS($G17-(iData!AH17-$K17)/$M17),0),IF(ISNUMBER(iData!AH17),100*ABS($G17-(iData!AH17-$I17)/$M17),0),IF(iData!AH17&gt;tblIndicators!$AI13,100,IF(ISNUMBER(iData!AH17),100*ABS($G17-(iData!AH17-$I17)/$M17),0)),IF(iData!AH17&lt;0,100,IF(ISNUMBER(iData!AH17),100*ABS($G17-(iData!AH17-$I17)/$M17),0)))</f>
        <v>81.818181818181813</v>
      </c>
      <c r="AP17" s="123" cm="1">
        <f t="array" ref="AP17">CHOOSE($H17,SUMPRODUCT($O18:$O$75*AP18:AP$75*($E18:$E$75=$D17)),IF(ISNUMBER(iData!AI17),100*ABS($G17-(iData!AI17-$K17)/$M17),0),IF(ISNUMBER(iData!AI17),100*ABS($G17-(iData!AI17-$I17)/$M17),0),IF(iData!AI17&gt;tblIndicators!$AI13,100,IF(ISNUMBER(iData!AI17),100*ABS($G17-(iData!AI17-$I17)/$M17),0)),IF(iData!AI17&lt;0,100,IF(ISNUMBER(iData!AI17),100*ABS($G17-(iData!AI17-$I17)/$M17),0)))</f>
        <v>100</v>
      </c>
      <c r="AQ17" s="123" cm="1">
        <f t="array" ref="AQ17">CHOOSE($H17,SUMPRODUCT($O18:$O$75*AQ18:AQ$75*($E18:$E$75=$D17)),IF(ISNUMBER(iData!AJ17),100*ABS($G17-(iData!AJ17-$K17)/$M17),0),IF(ISNUMBER(iData!AJ17),100*ABS($G17-(iData!AJ17-$I17)/$M17),0),IF(iData!AJ17&gt;tblIndicators!$AI13,100,IF(ISNUMBER(iData!AJ17),100*ABS($G17-(iData!AJ17-$I17)/$M17),0)),IF(iData!AJ17&lt;0,100,IF(ISNUMBER(iData!AJ17),100*ABS($G17-(iData!AJ17-$I17)/$M17),0)))</f>
        <v>45.45454545454546</v>
      </c>
      <c r="AR17" s="123" cm="1">
        <f t="array" ref="AR17">CHOOSE($H17,SUMPRODUCT($O18:$O$75*AR18:AR$75*($E18:$E$75=$D17)),IF(ISNUMBER(iData!AK17),100*ABS($G17-(iData!AK17-$K17)/$M17),0),IF(ISNUMBER(iData!AK17),100*ABS($G17-(iData!AK17-$I17)/$M17),0),IF(iData!AK17&gt;tblIndicators!$AI13,100,IF(ISNUMBER(iData!AK17),100*ABS($G17-(iData!AK17-$I17)/$M17),0)),IF(iData!AK17&lt;0,100,IF(ISNUMBER(iData!AK17),100*ABS($G17-(iData!AK17-$I17)/$M17),0)))</f>
        <v>36.363636363636367</v>
      </c>
      <c r="AS17" s="123" cm="1">
        <f t="array" ref="AS17">CHOOSE($H17,SUMPRODUCT($O18:$O$75*AS18:AS$75*($E18:$E$75=$D17)),IF(ISNUMBER(iData!AL17),100*ABS($G17-(iData!AL17-$K17)/$M17),0),IF(ISNUMBER(iData!AL17),100*ABS($G17-(iData!AL17-$I17)/$M17),0),IF(iData!AL17&gt;tblIndicators!$AI13,100,IF(ISNUMBER(iData!AL17),100*ABS($G17-(iData!AL17-$I17)/$M17),0)),IF(iData!AL17&lt;0,100,IF(ISNUMBER(iData!AL17),100*ABS($G17-(iData!AL17-$I17)/$M17),0)))</f>
        <v>36.363636363636367</v>
      </c>
      <c r="AT17" s="123" cm="1">
        <f t="array" ref="AT17">CHOOSE($H17,SUMPRODUCT($O18:$O$75*AT18:AT$75*($E18:$E$75=$D17)),IF(ISNUMBER(iData!AM17),100*ABS($G17-(iData!AM17-$K17)/$M17),0),IF(ISNUMBER(iData!AM17),100*ABS($G17-(iData!AM17-$I17)/$M17),0),IF(iData!AM17&gt;tblIndicators!$AI13,100,IF(ISNUMBER(iData!AM17),100*ABS($G17-(iData!AM17-$I17)/$M17),0)),IF(iData!AM17&lt;0,100,IF(ISNUMBER(iData!AM17),100*ABS($G17-(iData!AM17-$I17)/$M17),0)))</f>
        <v>9.0909090909090935</v>
      </c>
      <c r="AU17" s="123" cm="1">
        <f t="array" ref="AU17">CHOOSE($H17,SUMPRODUCT($O18:$O$75*AU18:AU$75*($E18:$E$75=$D17)),IF(ISNUMBER(iData!AN17),100*ABS($G17-(iData!AN17-$K17)/$M17),0),IF(ISNUMBER(iData!AN17),100*ABS($G17-(iData!AN17-$I17)/$M17),0),IF(iData!AN17&gt;tblIndicators!$AI13,100,IF(ISNUMBER(iData!AN17),100*ABS($G17-(iData!AN17-$I17)/$M17),0)),IF(iData!AN17&lt;0,100,IF(ISNUMBER(iData!AN17),100*ABS($G17-(iData!AN17-$I17)/$M17),0)))</f>
        <v>63.636363636363633</v>
      </c>
      <c r="AV17" s="367"/>
      <c r="AW17" s="368"/>
      <c r="AX17" s="14"/>
      <c r="AY17" s="871">
        <f t="shared" ref="AY17" si="70">ROUND(R17,$AY$2)</f>
        <v>45.5</v>
      </c>
      <c r="AZ17" s="871">
        <f t="shared" ref="AZ17" si="71">ROUND(S17,$AY$2)</f>
        <v>81.8</v>
      </c>
      <c r="BA17" s="871">
        <f t="shared" ref="BA17" si="72">ROUND(T17,$AY$2)</f>
        <v>90.9</v>
      </c>
      <c r="BB17" s="871">
        <f t="shared" ref="BB17" si="73">ROUND(U17,$AY$2)</f>
        <v>18.2</v>
      </c>
      <c r="BC17" s="871">
        <f t="shared" ref="BC17" si="74">ROUND(V17,$AY$2)</f>
        <v>54.5</v>
      </c>
      <c r="BD17" s="871">
        <f t="shared" ref="BD17" si="75">ROUND(W17,$AY$2)</f>
        <v>9.1</v>
      </c>
      <c r="BE17" s="871">
        <f t="shared" ref="BE17" si="76">ROUND(X17,$AY$2)</f>
        <v>9.1</v>
      </c>
      <c r="BF17" s="871">
        <f t="shared" ref="BF17" si="77">ROUND(Y17,$AY$2)</f>
        <v>63.6</v>
      </c>
      <c r="BG17" s="871">
        <f t="shared" ref="BG17" si="78">ROUND(Z17,$AY$2)</f>
        <v>9.1</v>
      </c>
      <c r="BH17" s="871">
        <f t="shared" ref="BH17" si="79">ROUND(AA17,$AY$2)</f>
        <v>100</v>
      </c>
      <c r="BI17" s="871">
        <f t="shared" ref="BI17" si="80">ROUND(AB17,$AY$2)</f>
        <v>9.1</v>
      </c>
      <c r="BJ17" s="871">
        <f t="shared" ref="BJ17" si="81">ROUND(AC17,$AY$2)</f>
        <v>100</v>
      </c>
      <c r="BK17" s="871">
        <f t="shared" ref="BK17" si="82">ROUND(AD17,$AY$2)</f>
        <v>63.6</v>
      </c>
      <c r="BL17" s="871">
        <f t="shared" ref="BL17" si="83">ROUND(AE17,$AY$2)</f>
        <v>63.6</v>
      </c>
      <c r="BM17" s="871">
        <f t="shared" ref="BM17" si="84">ROUND(AF17,$AY$2)</f>
        <v>0</v>
      </c>
      <c r="BN17" s="871">
        <f t="shared" ref="BN17" si="85">ROUND(AG17,$AY$2)</f>
        <v>18.2</v>
      </c>
      <c r="BO17" s="871">
        <f t="shared" ref="BO17" si="86">ROUND(AH17,$AY$2)</f>
        <v>81.8</v>
      </c>
      <c r="BP17" s="871">
        <f t="shared" ref="BP17" si="87">ROUND(AI17,$AY$2)</f>
        <v>36.4</v>
      </c>
      <c r="BQ17" s="871">
        <f t="shared" ref="BQ17" si="88">ROUND(AJ17,$AY$2)</f>
        <v>81.8</v>
      </c>
      <c r="BR17" s="871">
        <f t="shared" ref="BR17" si="89">ROUND(AK17,$AY$2)</f>
        <v>9.1</v>
      </c>
      <c r="BS17" s="871">
        <f t="shared" ref="BS17" si="90">ROUND(AL17,$AY$2)</f>
        <v>27.3</v>
      </c>
      <c r="BT17" s="871">
        <f t="shared" ref="BT17" si="91">ROUND(AM17,$AY$2)</f>
        <v>9.1</v>
      </c>
      <c r="BU17" s="871">
        <f t="shared" ref="BU17" si="92">ROUND(AN17,$AY$2)</f>
        <v>90.9</v>
      </c>
      <c r="BV17" s="871">
        <f t="shared" ref="BV17" si="93">ROUND(AO17,$AY$2)</f>
        <v>81.8</v>
      </c>
      <c r="BW17" s="871">
        <f t="shared" ref="BW17" si="94">ROUND(AP17,$AY$2)</f>
        <v>100</v>
      </c>
      <c r="BX17" s="871">
        <f t="shared" ref="BX17" si="95">ROUND(AQ17,$AY$2)</f>
        <v>45.5</v>
      </c>
      <c r="BY17" s="871">
        <f t="shared" ref="BY17" si="96">ROUND(AR17,$AY$2)</f>
        <v>36.4</v>
      </c>
      <c r="BZ17" s="871">
        <f t="shared" ref="BZ17" si="97">ROUND(AS17,$AY$2)</f>
        <v>36.4</v>
      </c>
      <c r="CA17" s="871">
        <f t="shared" ref="CA17" si="98">ROUND(AT17,$AY$2)</f>
        <v>9.1</v>
      </c>
      <c r="CB17" s="871">
        <f t="shared" ref="CB17" si="99">ROUND(AU17,$AY$2)</f>
        <v>63.6</v>
      </c>
      <c r="CD17" s="304">
        <f t="shared" ca="1" si="38"/>
        <v>48.2</v>
      </c>
      <c r="CE17" s="304">
        <f t="shared" ca="1" si="38"/>
        <v>48.2</v>
      </c>
      <c r="CF17" s="304">
        <f t="shared" ca="1" si="38"/>
        <v>73.5</v>
      </c>
      <c r="CG17" s="302">
        <f t="shared" ca="1" si="38"/>
        <v>26.4</v>
      </c>
      <c r="CH17" s="302">
        <f t="shared" ca="1" si="38"/>
        <v>45.5</v>
      </c>
      <c r="CI17" s="302">
        <f t="shared" ca="1" si="38"/>
        <v>100</v>
      </c>
      <c r="CJ17" s="302">
        <f t="shared" ca="1" si="38"/>
        <v>15.9</v>
      </c>
      <c r="CK17" s="302">
        <f t="shared" ca="1" si="38"/>
        <v>75.7</v>
      </c>
      <c r="CL17" s="302">
        <f t="shared" ca="1" si="38"/>
        <v>57.6</v>
      </c>
      <c r="CM17" s="302">
        <f t="shared" ca="1" si="38"/>
        <v>41.6</v>
      </c>
      <c r="CN17" s="302">
        <f t="shared" ca="1" si="39"/>
        <v>52.3</v>
      </c>
      <c r="CO17" s="302">
        <f t="shared" ca="1" si="39"/>
        <v>40.4</v>
      </c>
      <c r="CP17" s="302">
        <f t="shared" ca="1" si="39"/>
        <v>50</v>
      </c>
      <c r="CQ17" s="302">
        <f t="shared" ca="1" si="39"/>
        <v>51.5</v>
      </c>
    </row>
    <row r="18" spans="1:95" s="124" customFormat="1" ht="27.75" customHeight="1" thickBot="1">
      <c r="A18" s="118"/>
      <c r="B18" s="119">
        <f>tblIndicators!A14</f>
        <v>13</v>
      </c>
      <c r="C18" s="119">
        <f>tblIndicators!B14</f>
        <v>0</v>
      </c>
      <c r="D18" s="119" t="str">
        <f>tblIndicators!E14</f>
        <v>CNTY1_3</v>
      </c>
      <c r="E18" s="119" t="str">
        <f>tblIndicators!F14</f>
        <v>CNTY</v>
      </c>
      <c r="F18" s="119">
        <f>tblIndicators!G14</f>
        <v>2</v>
      </c>
      <c r="G18" s="119">
        <f>tblIndicators!AF14</f>
        <v>0</v>
      </c>
      <c r="H18" s="119">
        <f>tblIndicators!AG14</f>
        <v>1</v>
      </c>
      <c r="I18" s="120">
        <f>tblIndicators!AH14</f>
        <v>0</v>
      </c>
      <c r="J18" s="119">
        <f>tblIndicators!AI14</f>
        <v>0</v>
      </c>
      <c r="K18" s="119">
        <f t="array" ref="K18">MIN(IF(ISNUMBER(iData!K18:AN18),iData!K18:AN18))</f>
        <v>0</v>
      </c>
      <c r="L18" s="121">
        <f t="array" ref="L18">MAX(IF(ISNUMBER(iData!K18:AN18),iData!K18:AN18))</f>
        <v>0</v>
      </c>
      <c r="M18" s="51" t="str">
        <f t="shared" si="7"/>
        <v>-</v>
      </c>
      <c r="N18" s="122" t="str">
        <f>REPT(" ",F18)&amp;tblIndicators!AM14</f>
        <v xml:space="preserve">  1.3) Affordability</v>
      </c>
      <c r="O18" s="381">
        <f>tblIndicators!AR14</f>
        <v>0.33333333333333331</v>
      </c>
      <c r="P18" s="381"/>
      <c r="Q18" s="323"/>
      <c r="R18" s="123" cm="1">
        <f t="array" ref="R18">CHOOSE($H18,SUMPRODUCT($O19:$O$75*R19:R$75*($E19:$E$75=$D18)),IF(ISNUMBER(iData!K18),100*ABS($G18-(iData!K18-$K18)/$M18),0),IF(ISNUMBER(iData!K18),100*ABS($G18-(iData!K18-$I18)/$M18),0),IF(iData!K18&gt;tblIndicators!$AI14,100,IF(ISNUMBER(iData!K18),100*ABS($G18-(iData!K18-$I18)/$M18),0)),IF(iData!K18&lt;0,100,IF(ISNUMBER(iData!K18),100*ABS($G18-(iData!K18-$I18)/$M18),0)))</f>
        <v>74.55462774715437</v>
      </c>
      <c r="S18" s="123" cm="1">
        <f t="array" ref="S18">CHOOSE($H18,SUMPRODUCT($O19:$O$75*S19:S$75*($E19:$E$75=$D18)),IF(ISNUMBER(iData!L18),100*ABS($G18-(iData!L18-$K18)/$M18),0),IF(ISNUMBER(iData!L18),100*ABS($G18-(iData!L18-$I18)/$M18),0),IF(iData!L18&gt;tblIndicators!$AI14,100,IF(ISNUMBER(iData!L18),100*ABS($G18-(iData!L18-$I18)/$M18),0)),IF(iData!L18&lt;0,100,IF(ISNUMBER(iData!L18),100*ABS($G18-(iData!L18-$I18)/$M18),0)))</f>
        <v>46.848942321696327</v>
      </c>
      <c r="T18" s="123" cm="1">
        <f t="array" ref="T18">CHOOSE($H18,SUMPRODUCT($O19:$O$75*T19:T$75*($E19:$E$75=$D18)),IF(ISNUMBER(iData!M18),100*ABS($G18-(iData!M18-$K18)/$M18),0),IF(ISNUMBER(iData!M18),100*ABS($G18-(iData!M18-$I18)/$M18),0),IF(iData!M18&gt;tblIndicators!$AI14,100,IF(ISNUMBER(iData!M18),100*ABS($G18-(iData!M18-$I18)/$M18),0)),IF(iData!M18&lt;0,100,IF(ISNUMBER(iData!M18),100*ABS($G18-(iData!M18-$I18)/$M18),0)))</f>
        <v>53.365291389183753</v>
      </c>
      <c r="U18" s="123" cm="1">
        <f t="array" ref="U18">CHOOSE($H18,SUMPRODUCT($O19:$O$75*U19:U$75*($E19:$E$75=$D18)),IF(ISNUMBER(iData!N18),100*ABS($G18-(iData!N18-$K18)/$M18),0),IF(ISNUMBER(iData!N18),100*ABS($G18-(iData!N18-$I18)/$M18),0),IF(iData!N18&gt;tblIndicators!$AI14,100,IF(ISNUMBER(iData!N18),100*ABS($G18-(iData!N18-$I18)/$M18),0)),IF(iData!N18&lt;0,100,IF(ISNUMBER(iData!N18),100*ABS($G18-(iData!N18-$I18)/$M18),0)))</f>
        <v>70.176326772771745</v>
      </c>
      <c r="V18" s="123" cm="1">
        <f t="array" ref="V18">CHOOSE($H18,SUMPRODUCT($O19:$O$75*V19:V$75*($E19:$E$75=$D18)),IF(ISNUMBER(iData!O18),100*ABS($G18-(iData!O18-$K18)/$M18),0),IF(ISNUMBER(iData!O18),100*ABS($G18-(iData!O18-$I18)/$M18),0),IF(iData!O18&gt;tblIndicators!$AI14,100,IF(ISNUMBER(iData!O18),100*ABS($G18-(iData!O18-$I18)/$M18),0)),IF(iData!O18&lt;0,100,IF(ISNUMBER(iData!O18),100*ABS($G18-(iData!O18-$I18)/$M18),0)))</f>
        <v>94.419094455789832</v>
      </c>
      <c r="W18" s="123" cm="1">
        <f t="array" ref="W18">CHOOSE($H18,SUMPRODUCT($O19:$O$75*W19:W$75*($E19:$E$75=$D18)),IF(ISNUMBER(iData!P18),100*ABS($G18-(iData!P18-$K18)/$M18),0),IF(ISNUMBER(iData!P18),100*ABS($G18-(iData!P18-$I18)/$M18),0),IF(iData!P18&gt;tblIndicators!$AI14,100,IF(ISNUMBER(iData!P18),100*ABS($G18-(iData!P18-$I18)/$M18),0)),IF(iData!P18&lt;0,100,IF(ISNUMBER(iData!P18),100*ABS($G18-(iData!P18-$I18)/$M18),0)))</f>
        <v>71.272590288819487</v>
      </c>
      <c r="X18" s="123" cm="1">
        <f t="array" ref="X18">CHOOSE($H18,SUMPRODUCT($O19:$O$75*X19:X$75*($E19:$E$75=$D18)),IF(ISNUMBER(iData!Q18),100*ABS($G18-(iData!Q18-$K18)/$M18),0),IF(ISNUMBER(iData!Q18),100*ABS($G18-(iData!Q18-$I18)/$M18),0),IF(iData!Q18&gt;tblIndicators!$AI14,100,IF(ISNUMBER(iData!Q18),100*ABS($G18-(iData!Q18-$I18)/$M18),0)),IF(iData!Q18&lt;0,100,IF(ISNUMBER(iData!Q18),100*ABS($G18-(iData!Q18-$I18)/$M18),0)))</f>
        <v>25.149146795216339</v>
      </c>
      <c r="Y18" s="123" cm="1">
        <f t="array" ref="Y18">CHOOSE($H18,SUMPRODUCT($O19:$O$75*Y19:Y$75*($E19:$E$75=$D18)),IF(ISNUMBER(iData!R18),100*ABS($G18-(iData!R18-$K18)/$M18),0),IF(ISNUMBER(iData!R18),100*ABS($G18-(iData!R18-$I18)/$M18),0),IF(iData!R18&gt;tblIndicators!$AI14,100,IF(ISNUMBER(iData!R18),100*ABS($G18-(iData!R18-$I18)/$M18),0)),IF(iData!R18&lt;0,100,IF(ISNUMBER(iData!R18),100*ABS($G18-(iData!R18-$I18)/$M18),0)))</f>
        <v>93.87152545524998</v>
      </c>
      <c r="Z18" s="123" cm="1">
        <f t="array" ref="Z18">CHOOSE($H18,SUMPRODUCT($O19:$O$75*Z19:Z$75*($E19:$E$75=$D18)),IF(ISNUMBER(iData!S18),100*ABS($G18-(iData!S18-$K18)/$M18),0),IF(ISNUMBER(iData!S18),100*ABS($G18-(iData!S18-$I18)/$M18),0),IF(iData!S18&gt;tblIndicators!$AI14,100,IF(ISNUMBER(iData!S18),100*ABS($G18-(iData!S18-$I18)/$M18),0)),IF(iData!S18&lt;0,100,IF(ISNUMBER(iData!S18),100*ABS($G18-(iData!S18-$I18)/$M18),0)))</f>
        <v>89.772826486153207</v>
      </c>
      <c r="AA18" s="123" cm="1">
        <f t="array" ref="AA18">CHOOSE($H18,SUMPRODUCT($O19:$O$75*AA19:AA$75*($E19:$E$75=$D18)),IF(ISNUMBER(iData!T18),100*ABS($G18-(iData!T18-$K18)/$M18),0),IF(ISNUMBER(iData!T18),100*ABS($G18-(iData!T18-$I18)/$M18),0),IF(iData!T18&gt;tblIndicators!$AI14,100,IF(ISNUMBER(iData!T18),100*ABS($G18-(iData!T18-$I18)/$M18),0)),IF(iData!T18&lt;0,100,IF(ISNUMBER(iData!T18),100*ABS($G18-(iData!T18-$I18)/$M18),0)))</f>
        <v>0.37779111602607762</v>
      </c>
      <c r="AB18" s="123" cm="1">
        <f t="array" ref="AB18">CHOOSE($H18,SUMPRODUCT($O19:$O$75*AB19:AB$75*($E19:$E$75=$D18)),IF(ISNUMBER(iData!U18),100*ABS($G18-(iData!U18-$K18)/$M18),0),IF(ISNUMBER(iData!U18),100*ABS($G18-(iData!U18-$I18)/$M18),0),IF(iData!U18&gt;tblIndicators!$AI14,100,IF(ISNUMBER(iData!U18),100*ABS($G18-(iData!U18-$I18)/$M18),0)),IF(iData!U18&lt;0,100,IF(ISNUMBER(iData!U18),100*ABS($G18-(iData!U18-$I18)/$M18),0)))</f>
        <v>87.09831179209985</v>
      </c>
      <c r="AC18" s="123" cm="1">
        <f t="array" ref="AC18">CHOOSE($H18,SUMPRODUCT($O19:$O$75*AC19:AC$75*($E19:$E$75=$D18)),IF(ISNUMBER(iData!V18),100*ABS($G18-(iData!V18-$K18)/$M18),0),IF(ISNUMBER(iData!V18),100*ABS($G18-(iData!V18-$I18)/$M18),0),IF(iData!V18&gt;tblIndicators!$AI14,100,IF(ISNUMBER(iData!V18),100*ABS($G18-(iData!V18-$I18)/$M18),0)),IF(iData!V18&lt;0,100,IF(ISNUMBER(iData!V18),100*ABS($G18-(iData!V18-$I18)/$M18),0)))</f>
        <v>78.501191276960782</v>
      </c>
      <c r="AD18" s="123" cm="1">
        <f t="array" ref="AD18">CHOOSE($H18,SUMPRODUCT($O19:$O$75*AD19:AD$75*($E19:$E$75=$D18)),IF(ISNUMBER(iData!W18),100*ABS($G18-(iData!W18-$K18)/$M18),0),IF(ISNUMBER(iData!W18),100*ABS($G18-(iData!W18-$I18)/$M18),0),IF(iData!W18&gt;tblIndicators!$AI14,100,IF(ISNUMBER(iData!W18),100*ABS($G18-(iData!W18-$I18)/$M18),0)),IF(iData!W18&lt;0,100,IF(ISNUMBER(iData!W18),100*ABS($G18-(iData!W18-$I18)/$M18),0)))</f>
        <v>45.831080963317426</v>
      </c>
      <c r="AE18" s="123" cm="1">
        <f t="array" ref="AE18">CHOOSE($H18,SUMPRODUCT($O19:$O$75*AE19:AE$75*($E19:$E$75=$D18)),IF(ISNUMBER(iData!X18),100*ABS($G18-(iData!X18-$K18)/$M18),0),IF(ISNUMBER(iData!X18),100*ABS($G18-(iData!X18-$I18)/$M18),0),IF(iData!X18&gt;tblIndicators!$AI14,100,IF(ISNUMBER(iData!X18),100*ABS($G18-(iData!X18-$I18)/$M18),0)),IF(iData!X18&lt;0,100,IF(ISNUMBER(iData!X18),100*ABS($G18-(iData!X18-$I18)/$M18),0)))</f>
        <v>65.063249512288323</v>
      </c>
      <c r="AF18" s="123" cm="1">
        <f t="array" ref="AF18">CHOOSE($H18,SUMPRODUCT($O19:$O$75*AF19:AF$75*($E19:$E$75=$D18)),IF(ISNUMBER(iData!Y18),100*ABS($G18-(iData!Y18-$K18)/$M18),0),IF(ISNUMBER(iData!Y18),100*ABS($G18-(iData!Y18-$I18)/$M18),0),IF(iData!Y18&gt;tblIndicators!$AI14,100,IF(ISNUMBER(iData!Y18),100*ABS($G18-(iData!Y18-$I18)/$M18),0)),IF(iData!Y18&lt;0,100,IF(ISNUMBER(iData!Y18),100*ABS($G18-(iData!Y18-$I18)/$M18),0)))</f>
        <v>93.938825213327533</v>
      </c>
      <c r="AG18" s="123" cm="1">
        <f t="array" ref="AG18">CHOOSE($H18,SUMPRODUCT($O19:$O$75*AG19:AG$75*($E19:$E$75=$D18)),IF(ISNUMBER(iData!Z18),100*ABS($G18-(iData!Z18-$K18)/$M18),0),IF(ISNUMBER(iData!Z18),100*ABS($G18-(iData!Z18-$I18)/$M18),0),IF(iData!Z18&gt;tblIndicators!$AI14,100,IF(ISNUMBER(iData!Z18),100*ABS($G18-(iData!Z18-$I18)/$M18),0)),IF(iData!Z18&lt;0,100,IF(ISNUMBER(iData!Z18),100*ABS($G18-(iData!Z18-$I18)/$M18),0)))</f>
        <v>79.244332550277377</v>
      </c>
      <c r="AH18" s="123" cm="1">
        <f t="array" ref="AH18">CHOOSE($H18,SUMPRODUCT($O19:$O$75*AH19:AH$75*($E19:$E$75=$D18)),IF(ISNUMBER(iData!AA18),100*ABS($G18-(iData!AA18-$K18)/$M18),0),IF(ISNUMBER(iData!AA18),100*ABS($G18-(iData!AA18-$I18)/$M18),0),IF(iData!AA18&gt;tblIndicators!$AI14,100,IF(ISNUMBER(iData!AA18),100*ABS($G18-(iData!AA18-$I18)/$M18),0)),IF(iData!AA18&lt;0,100,IF(ISNUMBER(iData!AA18),100*ABS($G18-(iData!AA18-$I18)/$M18),0)))</f>
        <v>37.115284957751129</v>
      </c>
      <c r="AI18" s="123" cm="1">
        <f t="array" ref="AI18">CHOOSE($H18,SUMPRODUCT($O19:$O$75*AI19:AI$75*($E19:$E$75=$D18)),IF(ISNUMBER(iData!AB18),100*ABS($G18-(iData!AB18-$K18)/$M18),0),IF(ISNUMBER(iData!AB18),100*ABS($G18-(iData!AB18-$I18)/$M18),0),IF(iData!AB18&gt;tblIndicators!$AI14,100,IF(ISNUMBER(iData!AB18),100*ABS($G18-(iData!AB18-$I18)/$M18),0)),IF(iData!AB18&lt;0,100,IF(ISNUMBER(iData!AB18),100*ABS($G18-(iData!AB18-$I18)/$M18),0)))</f>
        <v>62.985155182925226</v>
      </c>
      <c r="AJ18" s="123" cm="1">
        <f t="array" ref="AJ18">CHOOSE($H18,SUMPRODUCT($O19:$O$75*AJ19:AJ$75*($E19:$E$75=$D18)),IF(ISNUMBER(iData!AC18),100*ABS($G18-(iData!AC18-$K18)/$M18),0),IF(ISNUMBER(iData!AC18),100*ABS($G18-(iData!AC18-$I18)/$M18),0),IF(iData!AC18&gt;tblIndicators!$AI14,100,IF(ISNUMBER(iData!AC18),100*ABS($G18-(iData!AC18-$I18)/$M18),0)),IF(iData!AC18&lt;0,100,IF(ISNUMBER(iData!AC18),100*ABS($G18-(iData!AC18-$I18)/$M18),0)))</f>
        <v>26.470852943823559</v>
      </c>
      <c r="AK18" s="123" cm="1">
        <f t="array" ref="AK18">CHOOSE($H18,SUMPRODUCT($O19:$O$75*AK19:AK$75*($E19:$E$75=$D18)),IF(ISNUMBER(iData!AD18),100*ABS($G18-(iData!AD18-$K18)/$M18),0),IF(ISNUMBER(iData!AD18),100*ABS($G18-(iData!AD18-$I18)/$M18),0),IF(iData!AD18&gt;tblIndicators!$AI14,100,IF(ISNUMBER(iData!AD18),100*ABS($G18-(iData!AD18-$I18)/$M18),0)),IF(iData!AD18&lt;0,100,IF(ISNUMBER(iData!AD18),100*ABS($G18-(iData!AD18-$I18)/$M18),0)))</f>
        <v>95.668405881919782</v>
      </c>
      <c r="AL18" s="123" cm="1">
        <f t="array" ref="AL18">CHOOSE($H18,SUMPRODUCT($O19:$O$75*AL19:AL$75*($E19:$E$75=$D18)),IF(ISNUMBER(iData!AE18),100*ABS($G18-(iData!AE18-$K18)/$M18),0),IF(ISNUMBER(iData!AE18),100*ABS($G18-(iData!AE18-$I18)/$M18),0),IF(iData!AE18&gt;tblIndicators!$AI14,100,IF(ISNUMBER(iData!AE18),100*ABS($G18-(iData!AE18-$I18)/$M18),0)),IF(iData!AE18&lt;0,100,IF(ISNUMBER(iData!AE18),100*ABS($G18-(iData!AE18-$I18)/$M18),0)))</f>
        <v>87.684009617550117</v>
      </c>
      <c r="AM18" s="123" cm="1">
        <f t="array" ref="AM18">CHOOSE($H18,SUMPRODUCT($O19:$O$75*AM19:AM$75*($E19:$E$75=$D18)),IF(ISNUMBER(iData!AF18),100*ABS($G18-(iData!AF18-$K18)/$M18),0),IF(ISNUMBER(iData!AF18),100*ABS($G18-(iData!AF18-$I18)/$M18),0),IF(iData!AF18&gt;tblIndicators!$AI14,100,IF(ISNUMBER(iData!AF18),100*ABS($G18-(iData!AF18-$I18)/$M18),0)),IF(iData!AF18&lt;0,100,IF(ISNUMBER(iData!AF18),100*ABS($G18-(iData!AF18-$I18)/$M18),0)))</f>
        <v>87.835126063960544</v>
      </c>
      <c r="AN18" s="123" cm="1">
        <f t="array" ref="AN18">CHOOSE($H18,SUMPRODUCT($O19:$O$75*AN19:AN$75*($E19:$E$75=$D18)),IF(ISNUMBER(iData!AG18),100*ABS($G18-(iData!AG18-$K18)/$M18),0),IF(ISNUMBER(iData!AG18),100*ABS($G18-(iData!AG18-$I18)/$M18),0),IF(iData!AG18&gt;tblIndicators!$AI14,100,IF(ISNUMBER(iData!AG18),100*ABS($G18-(iData!AG18-$I18)/$M18),0)),IF(iData!AG18&lt;0,100,IF(ISNUMBER(iData!AG18),100*ABS($G18-(iData!AG18-$I18)/$M18),0)))</f>
        <v>59.680060748702886</v>
      </c>
      <c r="AO18" s="123" cm="1">
        <f t="array" ref="AO18">CHOOSE($H18,SUMPRODUCT($O19:$O$75*AO19:AO$75*($E19:$E$75=$D18)),IF(ISNUMBER(iData!AH18),100*ABS($G18-(iData!AH18-$K18)/$M18),0),IF(ISNUMBER(iData!AH18),100*ABS($G18-(iData!AH18-$I18)/$M18),0),IF(iData!AH18&gt;tblIndicators!$AI14,100,IF(ISNUMBER(iData!AH18),100*ABS($G18-(iData!AH18-$I18)/$M18),0)),IF(iData!AH18&lt;0,100,IF(ISNUMBER(iData!AH18),100*ABS($G18-(iData!AH18-$I18)/$M18),0)))</f>
        <v>66.616132390383399</v>
      </c>
      <c r="AP18" s="123" cm="1">
        <f t="array" ref="AP18">CHOOSE($H18,SUMPRODUCT($O19:$O$75*AP19:AP$75*($E19:$E$75=$D18)),IF(ISNUMBER(iData!AI18),100*ABS($G18-(iData!AI18-$K18)/$M18),0),IF(ISNUMBER(iData!AI18),100*ABS($G18-(iData!AI18-$I18)/$M18),0),IF(iData!AI18&gt;tblIndicators!$AI14,100,IF(ISNUMBER(iData!AI18),100*ABS($G18-(iData!AI18-$I18)/$M18),0)),IF(iData!AI18&lt;0,100,IF(ISNUMBER(iData!AI18),100*ABS($G18-(iData!AI18-$I18)/$M18),0)))</f>
        <v>92.54461782015494</v>
      </c>
      <c r="AQ18" s="123" cm="1">
        <f t="array" ref="AQ18">CHOOSE($H18,SUMPRODUCT($O19:$O$75*AQ19:AQ$75*($E19:$E$75=$D18)),IF(ISNUMBER(iData!AJ18),100*ABS($G18-(iData!AJ18-$K18)/$M18),0),IF(ISNUMBER(iData!AJ18),100*ABS($G18-(iData!AJ18-$I18)/$M18),0),IF(iData!AJ18&gt;tblIndicators!$AI14,100,IF(ISNUMBER(iData!AJ18),100*ABS($G18-(iData!AJ18-$I18)/$M18),0)),IF(iData!AJ18&lt;0,100,IF(ISNUMBER(iData!AJ18),100*ABS($G18-(iData!AJ18-$I18)/$M18),0)))</f>
        <v>88.225358138722186</v>
      </c>
      <c r="AR18" s="123" cm="1">
        <f t="array" ref="AR18">CHOOSE($H18,SUMPRODUCT($O19:$O$75*AR19:AR$75*($E19:$E$75=$D18)),IF(ISNUMBER(iData!AK18),100*ABS($G18-(iData!AK18-$K18)/$M18),0),IF(ISNUMBER(iData!AK18),100*ABS($G18-(iData!AK18-$I18)/$M18),0),IF(iData!AK18&gt;tblIndicators!$AI14,100,IF(ISNUMBER(iData!AK18),100*ABS($G18-(iData!AK18-$I18)/$M18),0)),IF(iData!AK18&lt;0,100,IF(ISNUMBER(iData!AK18),100*ABS($G18-(iData!AK18-$I18)/$M18),0)))</f>
        <v>71.528222847426036</v>
      </c>
      <c r="AS18" s="123" cm="1">
        <f t="array" ref="AS18">CHOOSE($H18,SUMPRODUCT($O19:$O$75*AS19:AS$75*($E19:$E$75=$D18)),IF(ISNUMBER(iData!AL18),100*ABS($G18-(iData!AL18-$K18)/$M18),0),IF(ISNUMBER(iData!AL18),100*ABS($G18-(iData!AL18-$I18)/$M18),0),IF(iData!AL18&gt;tblIndicators!$AI14,100,IF(ISNUMBER(iData!AL18),100*ABS($G18-(iData!AL18-$I18)/$M18),0)),IF(iData!AL18&lt;0,100,IF(ISNUMBER(iData!AL18),100*ABS($G18-(iData!AL18-$I18)/$M18),0)))</f>
        <v>57.211627822490058</v>
      </c>
      <c r="AT18" s="123" cm="1">
        <f t="array" ref="AT18">CHOOSE($H18,SUMPRODUCT($O19:$O$75*AT19:AT$75*($E19:$E$75=$D18)),IF(ISNUMBER(iData!AM18),100*ABS($G18-(iData!AM18-$K18)/$M18),0),IF(ISNUMBER(iData!AM18),100*ABS($G18-(iData!AM18-$I18)/$M18),0),IF(iData!AM18&gt;tblIndicators!$AI14,100,IF(ISNUMBER(iData!AM18),100*ABS($G18-(iData!AM18-$I18)/$M18),0)),IF(iData!AM18&lt;0,100,IF(ISNUMBER(iData!AM18),100*ABS($G18-(iData!AM18-$I18)/$M18),0)))</f>
        <v>93.83430910113141</v>
      </c>
      <c r="AU18" s="123" cm="1">
        <f t="array" ref="AU18">CHOOSE($H18,SUMPRODUCT($O19:$O$75*AU19:AU$75*($E19:$E$75=$D18)),IF(ISNUMBER(iData!AN18),100*ABS($G18-(iData!AN18-$K18)/$M18),0),IF(ISNUMBER(iData!AN18),100*ABS($G18-(iData!AN18-$I18)/$M18),0),IF(iData!AN18&gt;tblIndicators!$AI14,100,IF(ISNUMBER(iData!AN18),100*ABS($G18-(iData!AN18-$I18)/$M18),0)),IF(iData!AN18&lt;0,100,IF(ISNUMBER(iData!AN18),100*ABS($G18-(iData!AN18-$I18)/$M18),0)))</f>
        <v>83.539835829207064</v>
      </c>
      <c r="AV18" s="367"/>
      <c r="AW18" s="368"/>
      <c r="AX18" s="14"/>
      <c r="AY18" s="871">
        <f t="shared" si="40"/>
        <v>74.599999999999994</v>
      </c>
      <c r="AZ18" s="871">
        <f t="shared" si="41"/>
        <v>46.8</v>
      </c>
      <c r="BA18" s="871">
        <f t="shared" si="42"/>
        <v>53.4</v>
      </c>
      <c r="BB18" s="871">
        <f t="shared" si="43"/>
        <v>70.2</v>
      </c>
      <c r="BC18" s="871">
        <f t="shared" si="44"/>
        <v>94.4</v>
      </c>
      <c r="BD18" s="871">
        <f t="shared" si="45"/>
        <v>71.3</v>
      </c>
      <c r="BE18" s="871">
        <f t="shared" si="46"/>
        <v>25.1</v>
      </c>
      <c r="BF18" s="871">
        <f t="shared" si="47"/>
        <v>93.9</v>
      </c>
      <c r="BG18" s="871">
        <f t="shared" si="48"/>
        <v>89.8</v>
      </c>
      <c r="BH18" s="871">
        <f t="shared" si="49"/>
        <v>0.4</v>
      </c>
      <c r="BI18" s="871">
        <f t="shared" si="50"/>
        <v>87.1</v>
      </c>
      <c r="BJ18" s="871">
        <f t="shared" si="51"/>
        <v>78.5</v>
      </c>
      <c r="BK18" s="871">
        <f t="shared" si="52"/>
        <v>45.8</v>
      </c>
      <c r="BL18" s="871">
        <f t="shared" si="53"/>
        <v>65.099999999999994</v>
      </c>
      <c r="BM18" s="871">
        <f t="shared" si="54"/>
        <v>93.9</v>
      </c>
      <c r="BN18" s="871">
        <f t="shared" si="55"/>
        <v>79.2</v>
      </c>
      <c r="BO18" s="871">
        <f t="shared" si="56"/>
        <v>37.1</v>
      </c>
      <c r="BP18" s="871">
        <f t="shared" si="57"/>
        <v>63</v>
      </c>
      <c r="BQ18" s="871">
        <f t="shared" si="58"/>
        <v>26.5</v>
      </c>
      <c r="BR18" s="871">
        <f t="shared" si="59"/>
        <v>95.7</v>
      </c>
      <c r="BS18" s="871">
        <f t="shared" si="60"/>
        <v>87.7</v>
      </c>
      <c r="BT18" s="871">
        <f t="shared" si="61"/>
        <v>87.8</v>
      </c>
      <c r="BU18" s="871">
        <f t="shared" si="62"/>
        <v>59.7</v>
      </c>
      <c r="BV18" s="871">
        <f t="shared" si="63"/>
        <v>66.599999999999994</v>
      </c>
      <c r="BW18" s="871">
        <f t="shared" si="64"/>
        <v>92.5</v>
      </c>
      <c r="BX18" s="871">
        <f t="shared" si="65"/>
        <v>88.2</v>
      </c>
      <c r="BY18" s="871">
        <f t="shared" si="66"/>
        <v>71.5</v>
      </c>
      <c r="BZ18" s="871">
        <f t="shared" si="67"/>
        <v>57.2</v>
      </c>
      <c r="CA18" s="871">
        <f t="shared" si="68"/>
        <v>93.8</v>
      </c>
      <c r="CB18" s="871">
        <f t="shared" si="69"/>
        <v>83.5</v>
      </c>
      <c r="CD18" s="304">
        <f t="shared" ca="1" si="38"/>
        <v>69.3</v>
      </c>
      <c r="CE18" s="304">
        <f t="shared" ca="1" si="38"/>
        <v>69.3</v>
      </c>
      <c r="CF18" s="304">
        <f t="shared" ca="1" si="38"/>
        <v>63.9</v>
      </c>
      <c r="CG18" s="302">
        <f t="shared" ca="1" si="38"/>
        <v>82.9</v>
      </c>
      <c r="CH18" s="302">
        <f t="shared" ca="1" si="38"/>
        <v>49.3</v>
      </c>
      <c r="CI18" s="302">
        <f t="shared" ca="1" si="38"/>
        <v>0.4</v>
      </c>
      <c r="CJ18" s="302">
        <f t="shared" ca="1" si="38"/>
        <v>84.1</v>
      </c>
      <c r="CK18" s="302">
        <f t="shared" ca="1" si="38"/>
        <v>36.5</v>
      </c>
      <c r="CL18" s="302">
        <f t="shared" ca="1" si="38"/>
        <v>60.1</v>
      </c>
      <c r="CM18" s="302">
        <f t="shared" ca="1" si="38"/>
        <v>76.7</v>
      </c>
      <c r="CN18" s="302">
        <f t="shared" ca="1" si="39"/>
        <v>70.3</v>
      </c>
      <c r="CO18" s="302">
        <f t="shared" ca="1" si="39"/>
        <v>77.5</v>
      </c>
      <c r="CP18" s="302">
        <f t="shared" ca="1" si="39"/>
        <v>68</v>
      </c>
      <c r="CQ18" s="302">
        <f t="shared" ca="1" si="39"/>
        <v>60.9</v>
      </c>
    </row>
    <row r="19" spans="1:95" s="124" customFormat="1" ht="27.75" customHeight="1" thickBot="1">
      <c r="A19" s="118"/>
      <c r="B19" s="119">
        <f>tblIndicators!A15</f>
        <v>14</v>
      </c>
      <c r="C19" s="119">
        <f>tblIndicators!B15</f>
        <v>0</v>
      </c>
      <c r="D19" s="119" t="str">
        <f>tblIndicators!E15</f>
        <v>CNTY1_3_1</v>
      </c>
      <c r="E19" s="119" t="str">
        <f>tblIndicators!F15</f>
        <v>CNTY1_3</v>
      </c>
      <c r="F19" s="119">
        <f>tblIndicators!G15</f>
        <v>3</v>
      </c>
      <c r="G19" s="119">
        <f>tblIndicators!AF15</f>
        <v>1</v>
      </c>
      <c r="H19" s="119">
        <f>tblIndicators!AG15</f>
        <v>2</v>
      </c>
      <c r="I19" s="120">
        <f>tblIndicators!AH15</f>
        <v>0</v>
      </c>
      <c r="J19" s="119">
        <f>tblIndicators!AI15</f>
        <v>0</v>
      </c>
      <c r="K19" s="119">
        <f t="array" ref="K19">MIN(IF(ISNUMBER(iData!K19:AN19),iData!K19:AN19))</f>
        <v>1.2999999999999999E-2</v>
      </c>
      <c r="L19" s="121">
        <f t="array" ref="L19">MAX(IF(ISNUMBER(iData!K19:AN19),iData!K19:AN19))</f>
        <v>0.55500000000000005</v>
      </c>
      <c r="M19" s="51">
        <f t="shared" si="7"/>
        <v>0.54200000000000004</v>
      </c>
      <c r="N19" s="122" t="str">
        <f>REPT(" ",F19)&amp;tblIndicators!AM15</f>
        <v xml:space="preserve">   1.3.1) Mobile data affordability</v>
      </c>
      <c r="O19" s="381">
        <f>tblIndicators!AR15</f>
        <v>0.52171644711099519</v>
      </c>
      <c r="P19" s="381"/>
      <c r="Q19" s="323"/>
      <c r="R19" s="123" cm="1">
        <f t="array" ref="R19">CHOOSE($H19,SUMPRODUCT($O20:$O$75*R20:R$75*($E20:$E$75=$D19)),IF(ISNUMBER(iData!K19),100*ABS($G19-(iData!K19-$K19)/$M19),0),IF(ISNUMBER(iData!K19),100*ABS($G19-(iData!K19-$I19)/$M19),0),IF(iData!K19&gt;tblIndicators!$AI15,100,IF(ISNUMBER(iData!K19),100*ABS($G19-(iData!K19-$I19)/$M19),0)),IF(iData!K19&lt;0,100,IF(ISNUMBER(iData!K19),100*ABS($G19-(iData!K19-$I19)/$M19),0)))</f>
        <v>80.627306273062743</v>
      </c>
      <c r="S19" s="123" cm="1">
        <f t="array" ref="S19">CHOOSE($H19,SUMPRODUCT($O20:$O$75*S20:S$75*($E20:$E$75=$D19)),IF(ISNUMBER(iData!L19),100*ABS($G19-(iData!L19-$K19)/$M19),0),IF(ISNUMBER(iData!L19),100*ABS($G19-(iData!L19-$I19)/$M19),0),IF(iData!L19&gt;tblIndicators!$AI15,100,IF(ISNUMBER(iData!L19),100*ABS($G19-(iData!L19-$I19)/$M19),0)),IF(iData!L19&lt;0,100,IF(ISNUMBER(iData!L19),100*ABS($G19-(iData!L19-$I19)/$M19),0)))</f>
        <v>33.025830258302591</v>
      </c>
      <c r="T19" s="123" cm="1">
        <f t="array" ref="T19">CHOOSE($H19,SUMPRODUCT($O20:$O$75*T20:T$75*($E20:$E$75=$D19)),IF(ISNUMBER(iData!M19),100*ABS($G19-(iData!M19-$K19)/$M19),0),IF(ISNUMBER(iData!M19),100*ABS($G19-(iData!M19-$I19)/$M19),0),IF(iData!M19&gt;tblIndicators!$AI15,100,IF(ISNUMBER(iData!M19),100*ABS($G19-(iData!M19-$I19)/$M19),0)),IF(iData!M19&lt;0,100,IF(ISNUMBER(iData!M19),100*ABS($G19-(iData!M19-$I19)/$M19),0)))</f>
        <v>69.557195571955717</v>
      </c>
      <c r="U19" s="123" cm="1">
        <f t="array" ref="U19">CHOOSE($H19,SUMPRODUCT($O20:$O$75*U20:U$75*($E20:$E$75=$D19)),IF(ISNUMBER(iData!N19),100*ABS($G19-(iData!N19-$K19)/$M19),0),IF(ISNUMBER(iData!N19),100*ABS($G19-(iData!N19-$I19)/$M19),0),IF(iData!N19&gt;tblIndicators!$AI15,100,IF(ISNUMBER(iData!N19),100*ABS($G19-(iData!N19-$I19)/$M19),0)),IF(iData!N19&lt;0,100,IF(ISNUMBER(iData!N19),100*ABS($G19-(iData!N19-$I19)/$M19),0)))</f>
        <v>88.745387453874542</v>
      </c>
      <c r="V19" s="123" cm="1">
        <f t="array" ref="V19">CHOOSE($H19,SUMPRODUCT($O20:$O$75*V20:V$75*($E20:$E$75=$D19)),IF(ISNUMBER(iData!O19),100*ABS($G19-(iData!O19-$K19)/$M19),0),IF(ISNUMBER(iData!O19),100*ABS($G19-(iData!O19-$I19)/$M19),0),IF(iData!O19&gt;tblIndicators!$AI15,100,IF(ISNUMBER(iData!O19),100*ABS($G19-(iData!O19-$I19)/$M19),0)),IF(iData!O19&lt;0,100,IF(ISNUMBER(iData!O19),100*ABS($G19-(iData!O19-$I19)/$M19),0)))</f>
        <v>93.357933579335793</v>
      </c>
      <c r="W19" s="123" cm="1">
        <f t="array" ref="W19">CHOOSE($H19,SUMPRODUCT($O20:$O$75*W20:W$75*($E20:$E$75=$D19)),IF(ISNUMBER(iData!P19),100*ABS($G19-(iData!P19-$K19)/$M19),0),IF(ISNUMBER(iData!P19),100*ABS($G19-(iData!P19-$I19)/$M19),0),IF(iData!P19&gt;tblIndicators!$AI15,100,IF(ISNUMBER(iData!P19),100*ABS($G19-(iData!P19-$I19)/$M19),0)),IF(iData!P19&lt;0,100,IF(ISNUMBER(iData!P19),100*ABS($G19-(iData!P19-$I19)/$M19),0)))</f>
        <v>69.557195571955717</v>
      </c>
      <c r="X19" s="123" cm="1">
        <f t="array" ref="X19">CHOOSE($H19,SUMPRODUCT($O20:$O$75*X20:X$75*($E20:$E$75=$D19)),IF(ISNUMBER(iData!Q19),100*ABS($G19-(iData!Q19-$K19)/$M19),0),IF(ISNUMBER(iData!Q19),100*ABS($G19-(iData!Q19-$I19)/$M19),0),IF(iData!Q19&gt;tblIndicators!$AI15,100,IF(ISNUMBER(iData!Q19),100*ABS($G19-(iData!Q19-$I19)/$M19),0)),IF(iData!Q19&lt;0,100,IF(ISNUMBER(iData!Q19),100*ABS($G19-(iData!Q19-$I19)/$M19),0)))</f>
        <v>45.018450184501845</v>
      </c>
      <c r="Y19" s="123" cm="1">
        <f t="array" ref="Y19">CHOOSE($H19,SUMPRODUCT($O20:$O$75*Y20:Y$75*($E20:$E$75=$D19)),IF(ISNUMBER(iData!R19),100*ABS($G19-(iData!R19-$K19)/$M19),0),IF(ISNUMBER(iData!R19),100*ABS($G19-(iData!R19-$I19)/$M19),0),IF(iData!R19&gt;tblIndicators!$AI15,100,IF(ISNUMBER(iData!R19),100*ABS($G19-(iData!R19-$I19)/$M19),0)),IF(iData!R19&lt;0,100,IF(ISNUMBER(iData!R19),100*ABS($G19-(iData!R19-$I19)/$M19),0)))</f>
        <v>97.232472324723247</v>
      </c>
      <c r="Z19" s="123" cm="1">
        <f t="array" ref="Z19">CHOOSE($H19,SUMPRODUCT($O20:$O$75*Z20:Z$75*($E20:$E$75=$D19)),IF(ISNUMBER(iData!S19),100*ABS($G19-(iData!S19-$K19)/$M19),0),IF(ISNUMBER(iData!S19),100*ABS($G19-(iData!S19-$I19)/$M19),0),IF(iData!S19&gt;tblIndicators!$AI15,100,IF(ISNUMBER(iData!S19),100*ABS($G19-(iData!S19-$I19)/$M19),0)),IF(iData!S19&lt;0,100,IF(ISNUMBER(iData!S19),100*ABS($G19-(iData!S19-$I19)/$M19),0)))</f>
        <v>87.638376383763841</v>
      </c>
      <c r="AA19" s="123" cm="1">
        <f t="array" ref="AA19">CHOOSE($H19,SUMPRODUCT($O20:$O$75*AA20:AA$75*($E20:$E$75=$D19)),IF(ISNUMBER(iData!T19),100*ABS($G19-(iData!T19-$K19)/$M19),0),IF(ISNUMBER(iData!T19),100*ABS($G19-(iData!T19-$I19)/$M19),0),IF(iData!T19&gt;tblIndicators!$AI15,100,IF(ISNUMBER(iData!T19),100*ABS($G19-(iData!T19-$I19)/$M19),0)),IF(iData!T19&lt;0,100,IF(ISNUMBER(iData!T19),100*ABS($G19-(iData!T19-$I19)/$M19),0)))</f>
        <v>0</v>
      </c>
      <c r="AB19" s="123" cm="1">
        <f t="array" ref="AB19">CHOOSE($H19,SUMPRODUCT($O20:$O$75*AB20:AB$75*($E20:$E$75=$D19)),IF(ISNUMBER(iData!U19),100*ABS($G19-(iData!U19-$K19)/$M19),0),IF(ISNUMBER(iData!U19),100*ABS($G19-(iData!U19-$I19)/$M19),0),IF(iData!U19&gt;tblIndicators!$AI15,100,IF(ISNUMBER(iData!U19),100*ABS($G19-(iData!U19-$I19)/$M19),0)),IF(iData!U19&lt;0,100,IF(ISNUMBER(iData!U19),100*ABS($G19-(iData!U19-$I19)/$M19),0)))</f>
        <v>82.656826568265686</v>
      </c>
      <c r="AC19" s="123" cm="1">
        <f t="array" ref="AC19">CHOOSE($H19,SUMPRODUCT($O20:$O$75*AC20:AC$75*($E20:$E$75=$D19)),IF(ISNUMBER(iData!V19),100*ABS($G19-(iData!V19-$K19)/$M19),0),IF(ISNUMBER(iData!V19),100*ABS($G19-(iData!V19-$I19)/$M19),0),IF(iData!V19&gt;tblIndicators!$AI15,100,IF(ISNUMBER(iData!V19),100*ABS($G19-(iData!V19-$I19)/$M19),0)),IF(iData!V19&lt;0,100,IF(ISNUMBER(iData!V19),100*ABS($G19-(iData!V19-$I19)/$M19),0)))</f>
        <v>88.191881918819192</v>
      </c>
      <c r="AD19" s="123" cm="1">
        <f t="array" ref="AD19">CHOOSE($H19,SUMPRODUCT($O20:$O$75*AD20:AD$75*($E20:$E$75=$D19)),IF(ISNUMBER(iData!W19),100*ABS($G19-(iData!W19-$K19)/$M19),0),IF(ISNUMBER(iData!W19),100*ABS($G19-(iData!W19-$I19)/$M19),0),IF(iData!W19&gt;tblIndicators!$AI15,100,IF(ISNUMBER(iData!W19),100*ABS($G19-(iData!W19-$I19)/$M19),0)),IF(iData!W19&lt;0,100,IF(ISNUMBER(iData!W19),100*ABS($G19-(iData!W19-$I19)/$M19),0)))</f>
        <v>85.239852398523979</v>
      </c>
      <c r="AE19" s="123" cm="1">
        <f t="array" ref="AE19">CHOOSE($H19,SUMPRODUCT($O20:$O$75*AE20:AE$75*($E20:$E$75=$D19)),IF(ISNUMBER(iData!X19),100*ABS($G19-(iData!X19-$K19)/$M19),0),IF(ISNUMBER(iData!X19),100*ABS($G19-(iData!X19-$I19)/$M19),0),IF(iData!X19&gt;tblIndicators!$AI15,100,IF(ISNUMBER(iData!X19),100*ABS($G19-(iData!X19-$I19)/$M19),0)),IF(iData!X19&lt;0,100,IF(ISNUMBER(iData!X19),100*ABS($G19-(iData!X19-$I19)/$M19),0)))</f>
        <v>83.579335793357927</v>
      </c>
      <c r="AF19" s="123" cm="1">
        <f t="array" ref="AF19">CHOOSE($H19,SUMPRODUCT($O20:$O$75*AF20:AF$75*($E20:$E$75=$D19)),IF(ISNUMBER(iData!Y19),100*ABS($G19-(iData!Y19-$K19)/$M19),0),IF(ISNUMBER(iData!Y19),100*ABS($G19-(iData!Y19-$I19)/$M19),0),IF(iData!Y19&gt;tblIndicators!$AI15,100,IF(ISNUMBER(iData!Y19),100*ABS($G19-(iData!Y19-$I19)/$M19),0)),IF(iData!Y19&lt;0,100,IF(ISNUMBER(iData!Y19),100*ABS($G19-(iData!Y19-$I19)/$M19),0)))</f>
        <v>94.464944649446494</v>
      </c>
      <c r="AG19" s="123" cm="1">
        <f t="array" ref="AG19">CHOOSE($H19,SUMPRODUCT($O20:$O$75*AG20:AG$75*($E20:$E$75=$D19)),IF(ISNUMBER(iData!Z19),100*ABS($G19-(iData!Z19-$K19)/$M19),0),IF(ISNUMBER(iData!Z19),100*ABS($G19-(iData!Z19-$I19)/$M19),0),IF(iData!Z19&gt;tblIndicators!$AI15,100,IF(ISNUMBER(iData!Z19),100*ABS($G19-(iData!Z19-$I19)/$M19),0)),IF(iData!Z19&lt;0,100,IF(ISNUMBER(iData!Z19),100*ABS($G19-(iData!Z19-$I19)/$M19),0)))</f>
        <v>90.774907749077499</v>
      </c>
      <c r="AH19" s="123" cm="1">
        <f t="array" ref="AH19">CHOOSE($H19,SUMPRODUCT($O20:$O$75*AH20:AH$75*($E20:$E$75=$D19)),IF(ISNUMBER(iData!AA19),100*ABS($G19-(iData!AA19-$K19)/$M19),0),IF(ISNUMBER(iData!AA19),100*ABS($G19-(iData!AA19-$I19)/$M19),0),IF(iData!AA19&gt;tblIndicators!$AI15,100,IF(ISNUMBER(iData!AA19),100*ABS($G19-(iData!AA19-$I19)/$M19),0)),IF(iData!AA19&lt;0,100,IF(ISNUMBER(iData!AA19),100*ABS($G19-(iData!AA19-$I19)/$M19),0)))</f>
        <v>45.940959409594107</v>
      </c>
      <c r="AI19" s="123" cm="1">
        <f t="array" ref="AI19">CHOOSE($H19,SUMPRODUCT($O20:$O$75*AI20:AI$75*($E20:$E$75=$D19)),IF(ISNUMBER(iData!AB19),100*ABS($G19-(iData!AB19-$K19)/$M19),0),IF(ISNUMBER(iData!AB19),100*ABS($G19-(iData!AB19-$I19)/$M19),0),IF(iData!AB19&gt;tblIndicators!$AI15,100,IF(ISNUMBER(iData!AB19),100*ABS($G19-(iData!AB19-$I19)/$M19),0)),IF(iData!AB19&lt;0,100,IF(ISNUMBER(iData!AB19),100*ABS($G19-(iData!AB19-$I19)/$M19),0)))</f>
        <v>48.892988929889306</v>
      </c>
      <c r="AJ19" s="123" cm="1">
        <f t="array" ref="AJ19">CHOOSE($H19,SUMPRODUCT($O20:$O$75*AJ20:AJ$75*($E20:$E$75=$D19)),IF(ISNUMBER(iData!AC19),100*ABS($G19-(iData!AC19-$K19)/$M19),0),IF(ISNUMBER(iData!AC19),100*ABS($G19-(iData!AC19-$I19)/$M19),0),IF(iData!AC19&gt;tblIndicators!$AI15,100,IF(ISNUMBER(iData!AC19),100*ABS($G19-(iData!AC19-$I19)/$M19),0)),IF(iData!AC19&lt;0,100,IF(ISNUMBER(iData!AC19),100*ABS($G19-(iData!AC19-$I19)/$M19),0)))</f>
        <v>50.738007380073803</v>
      </c>
      <c r="AK19" s="123" cm="1">
        <f t="array" ref="AK19">CHOOSE($H19,SUMPRODUCT($O20:$O$75*AK20:AK$75*($E20:$E$75=$D19)),IF(ISNUMBER(iData!AD19),100*ABS($G19-(iData!AD19-$K19)/$M19),0),IF(ISNUMBER(iData!AD19),100*ABS($G19-(iData!AD19-$I19)/$M19),0),IF(iData!AD19&gt;tblIndicators!$AI15,100,IF(ISNUMBER(iData!AD19),100*ABS($G19-(iData!AD19-$I19)/$M19),0)),IF(iData!AD19&lt;0,100,IF(ISNUMBER(iData!AD19),100*ABS($G19-(iData!AD19-$I19)/$M19),0)))</f>
        <v>91.697416974169741</v>
      </c>
      <c r="AL19" s="123" cm="1">
        <f t="array" ref="AL19">CHOOSE($H19,SUMPRODUCT($O20:$O$75*AL20:AL$75*($E20:$E$75=$D19)),IF(ISNUMBER(iData!AE19),100*ABS($G19-(iData!AE19-$K19)/$M19),0),IF(ISNUMBER(iData!AE19),100*ABS($G19-(iData!AE19-$I19)/$M19),0),IF(iData!AE19&gt;tblIndicators!$AI15,100,IF(ISNUMBER(iData!AE19),100*ABS($G19-(iData!AE19-$I19)/$M19),0)),IF(iData!AE19&lt;0,100,IF(ISNUMBER(iData!AE19),100*ABS($G19-(iData!AE19-$I19)/$M19),0)))</f>
        <v>100</v>
      </c>
      <c r="AM19" s="123" cm="1">
        <f t="array" ref="AM19">CHOOSE($H19,SUMPRODUCT($O20:$O$75*AM20:AM$75*($E20:$E$75=$D19)),IF(ISNUMBER(iData!AF19),100*ABS($G19-(iData!AF19-$K19)/$M19),0),IF(ISNUMBER(iData!AF19),100*ABS($G19-(iData!AF19-$I19)/$M19),0),IF(iData!AF19&gt;tblIndicators!$AI15,100,IF(ISNUMBER(iData!AF19),100*ABS($G19-(iData!AF19-$I19)/$M19),0)),IF(iData!AF19&lt;0,100,IF(ISNUMBER(iData!AF19),100*ABS($G19-(iData!AF19-$I19)/$M19),0)))</f>
        <v>100</v>
      </c>
      <c r="AN19" s="123" cm="1">
        <f t="array" ref="AN19">CHOOSE($H19,SUMPRODUCT($O20:$O$75*AN20:AN$75*($E20:$E$75=$D19)),IF(ISNUMBER(iData!AG19),100*ABS($G19-(iData!AG19-$K19)/$M19),0),IF(ISNUMBER(iData!AG19),100*ABS($G19-(iData!AG19-$I19)/$M19),0),IF(iData!AG19&gt;tblIndicators!$AI15,100,IF(ISNUMBER(iData!AG19),100*ABS($G19-(iData!AG19-$I19)/$M19),0)),IF(iData!AG19&lt;0,100,IF(ISNUMBER(iData!AG19),100*ABS($G19-(iData!AG19-$I19)/$M19),0)))</f>
        <v>73.985239852398536</v>
      </c>
      <c r="AO19" s="123" cm="1">
        <f t="array" ref="AO19">CHOOSE($H19,SUMPRODUCT($O20:$O$75*AO20:AO$75*($E20:$E$75=$D19)),IF(ISNUMBER(iData!AH19),100*ABS($G19-(iData!AH19-$K19)/$M19),0),IF(ISNUMBER(iData!AH19),100*ABS($G19-(iData!AH19-$I19)/$M19),0),IF(iData!AH19&gt;tblIndicators!$AI15,100,IF(ISNUMBER(iData!AH19),100*ABS($G19-(iData!AH19-$I19)/$M19),0)),IF(iData!AH19&lt;0,100,IF(ISNUMBER(iData!AH19),100*ABS($G19-(iData!AH19-$I19)/$M19),0)))</f>
        <v>43.542435424354252</v>
      </c>
      <c r="AP19" s="123" cm="1">
        <f t="array" ref="AP19">CHOOSE($H19,SUMPRODUCT($O20:$O$75*AP20:AP$75*($E20:$E$75=$D19)),IF(ISNUMBER(iData!AI19),100*ABS($G19-(iData!AI19-$K19)/$M19),0),IF(ISNUMBER(iData!AI19),100*ABS($G19-(iData!AI19-$I19)/$M19),0),IF(iData!AI19&gt;tblIndicators!$AI15,100,IF(ISNUMBER(iData!AI19),100*ABS($G19-(iData!AI19-$I19)/$M19),0)),IF(iData!AI19&lt;0,100,IF(ISNUMBER(iData!AI19),100*ABS($G19-(iData!AI19-$I19)/$M19),0)))</f>
        <v>94.833948339483399</v>
      </c>
      <c r="AQ19" s="123" cm="1">
        <f t="array" ref="AQ19">CHOOSE($H19,SUMPRODUCT($O20:$O$75*AQ20:AQ$75*($E20:$E$75=$D19)),IF(ISNUMBER(iData!AJ19),100*ABS($G19-(iData!AJ19-$K19)/$M19),0),IF(ISNUMBER(iData!AJ19),100*ABS($G19-(iData!AJ19-$I19)/$M19),0),IF(iData!AJ19&gt;tblIndicators!$AI15,100,IF(ISNUMBER(iData!AJ19),100*ABS($G19-(iData!AJ19-$I19)/$M19),0)),IF(iData!AJ19&lt;0,100,IF(ISNUMBER(iData!AJ19),100*ABS($G19-(iData!AJ19-$I19)/$M19),0)))</f>
        <v>97.416974169741692</v>
      </c>
      <c r="AR19" s="123" cm="1">
        <f t="array" ref="AR19">CHOOSE($H19,SUMPRODUCT($O20:$O$75*AR20:AR$75*($E20:$E$75=$D19)),IF(ISNUMBER(iData!AK19),100*ABS($G19-(iData!AK19-$K19)/$M19),0),IF(ISNUMBER(iData!AK19),100*ABS($G19-(iData!AK19-$I19)/$M19),0),IF(iData!AK19&gt;tblIndicators!$AI15,100,IF(ISNUMBER(iData!AK19),100*ABS($G19-(iData!AK19-$I19)/$M19),0)),IF(iData!AK19&lt;0,100,IF(ISNUMBER(iData!AK19),100*ABS($G19-(iData!AK19-$I19)/$M19),0)))</f>
        <v>72.509225092250929</v>
      </c>
      <c r="AS19" s="123" cm="1">
        <f t="array" ref="AS19">CHOOSE($H19,SUMPRODUCT($O20:$O$75*AS20:AS$75*($E20:$E$75=$D19)),IF(ISNUMBER(iData!AL19),100*ABS($G19-(iData!AL19-$K19)/$M19),0),IF(ISNUMBER(iData!AL19),100*ABS($G19-(iData!AL19-$I19)/$M19),0),IF(iData!AL19&gt;tblIndicators!$AI15,100,IF(ISNUMBER(iData!AL19),100*ABS($G19-(iData!AL19-$I19)/$M19),0)),IF(iData!AL19&lt;0,100,IF(ISNUMBER(iData!AL19),100*ABS($G19-(iData!AL19-$I19)/$M19),0)))</f>
        <v>55.350553505535061</v>
      </c>
      <c r="AT19" s="123" cm="1">
        <f t="array" ref="AT19">CHOOSE($H19,SUMPRODUCT($O20:$O$75*AT20:AT$75*($E20:$E$75=$D19)),IF(ISNUMBER(iData!AM19),100*ABS($G19-(iData!AM19-$K19)/$M19),0),IF(ISNUMBER(iData!AM19),100*ABS($G19-(iData!AM19-$I19)/$M19),0),IF(iData!AM19&gt;tblIndicators!$AI15,100,IF(ISNUMBER(iData!AM19),100*ABS($G19-(iData!AM19-$I19)/$M19),0)),IF(iData!AM19&lt;0,100,IF(ISNUMBER(iData!AM19),100*ABS($G19-(iData!AM19-$I19)/$M19),0)))</f>
        <v>91.512915129151295</v>
      </c>
      <c r="AU19" s="123" cm="1">
        <f t="array" ref="AU19">CHOOSE($H19,SUMPRODUCT($O20:$O$75*AU20:AU$75*($E20:$E$75=$D19)),IF(ISNUMBER(iData!AN19),100*ABS($G19-(iData!AN19-$K19)/$M19),0),IF(ISNUMBER(iData!AN19),100*ABS($G19-(iData!AN19-$I19)/$M19),0),IF(iData!AN19&gt;tblIndicators!$AI15,100,IF(ISNUMBER(iData!AN19),100*ABS($G19-(iData!AN19-$I19)/$M19),0)),IF(iData!AN19&lt;0,100,IF(ISNUMBER(iData!AN19),100*ABS($G19-(iData!AN19-$I19)/$M19),0)))</f>
        <v>81.91881918819189</v>
      </c>
      <c r="AV19" s="367"/>
      <c r="AW19" s="368"/>
      <c r="AX19" s="14"/>
      <c r="AY19" s="871">
        <f t="shared" si="40"/>
        <v>80.599999999999994</v>
      </c>
      <c r="AZ19" s="871">
        <f t="shared" si="41"/>
        <v>33</v>
      </c>
      <c r="BA19" s="871">
        <f t="shared" si="42"/>
        <v>69.599999999999994</v>
      </c>
      <c r="BB19" s="871">
        <f t="shared" si="43"/>
        <v>88.7</v>
      </c>
      <c r="BC19" s="871">
        <f t="shared" si="44"/>
        <v>93.4</v>
      </c>
      <c r="BD19" s="871">
        <f t="shared" si="45"/>
        <v>69.599999999999994</v>
      </c>
      <c r="BE19" s="871">
        <f t="shared" si="46"/>
        <v>45</v>
      </c>
      <c r="BF19" s="871">
        <f t="shared" si="47"/>
        <v>97.2</v>
      </c>
      <c r="BG19" s="871">
        <f t="shared" si="48"/>
        <v>87.6</v>
      </c>
      <c r="BH19" s="871">
        <f t="shared" si="49"/>
        <v>0</v>
      </c>
      <c r="BI19" s="871">
        <f t="shared" si="50"/>
        <v>82.7</v>
      </c>
      <c r="BJ19" s="871">
        <f t="shared" si="51"/>
        <v>88.2</v>
      </c>
      <c r="BK19" s="871">
        <f t="shared" si="52"/>
        <v>85.2</v>
      </c>
      <c r="BL19" s="871">
        <f t="shared" si="53"/>
        <v>83.6</v>
      </c>
      <c r="BM19" s="871">
        <f t="shared" si="54"/>
        <v>94.5</v>
      </c>
      <c r="BN19" s="871">
        <f t="shared" si="55"/>
        <v>90.8</v>
      </c>
      <c r="BO19" s="871">
        <f t="shared" si="56"/>
        <v>45.9</v>
      </c>
      <c r="BP19" s="871">
        <f t="shared" si="57"/>
        <v>48.9</v>
      </c>
      <c r="BQ19" s="871">
        <f t="shared" si="58"/>
        <v>50.7</v>
      </c>
      <c r="BR19" s="871">
        <f t="shared" si="59"/>
        <v>91.7</v>
      </c>
      <c r="BS19" s="871">
        <f t="shared" si="60"/>
        <v>100</v>
      </c>
      <c r="BT19" s="871">
        <f t="shared" si="61"/>
        <v>100</v>
      </c>
      <c r="BU19" s="871">
        <f t="shared" si="62"/>
        <v>74</v>
      </c>
      <c r="BV19" s="871">
        <f t="shared" si="63"/>
        <v>43.5</v>
      </c>
      <c r="BW19" s="871">
        <f t="shared" si="64"/>
        <v>94.8</v>
      </c>
      <c r="BX19" s="871">
        <f t="shared" si="65"/>
        <v>97.4</v>
      </c>
      <c r="BY19" s="871">
        <f t="shared" si="66"/>
        <v>72.5</v>
      </c>
      <c r="BZ19" s="871">
        <f t="shared" si="67"/>
        <v>55.4</v>
      </c>
      <c r="CA19" s="871">
        <f t="shared" si="68"/>
        <v>91.5</v>
      </c>
      <c r="CB19" s="871">
        <f t="shared" si="69"/>
        <v>81.900000000000006</v>
      </c>
      <c r="CD19" s="304">
        <f t="shared" ca="1" si="38"/>
        <v>74.599999999999994</v>
      </c>
      <c r="CE19" s="304">
        <f t="shared" ca="1" si="38"/>
        <v>74.599999999999994</v>
      </c>
      <c r="CF19" s="304">
        <f t="shared" ca="1" si="38"/>
        <v>71.5</v>
      </c>
      <c r="CG19" s="302">
        <f t="shared" ca="1" si="38"/>
        <v>88.6</v>
      </c>
      <c r="CH19" s="302">
        <f t="shared" ca="1" si="38"/>
        <v>56</v>
      </c>
      <c r="CI19" s="302">
        <f t="shared" ca="1" si="38"/>
        <v>0</v>
      </c>
      <c r="CJ19" s="302">
        <f t="shared" ca="1" si="38"/>
        <v>81.599999999999994</v>
      </c>
      <c r="CK19" s="302">
        <f t="shared" ca="1" si="38"/>
        <v>60.6</v>
      </c>
      <c r="CL19" s="302">
        <f t="shared" ca="1" si="38"/>
        <v>69.099999999999994</v>
      </c>
      <c r="CM19" s="302">
        <f t="shared" ca="1" si="38"/>
        <v>78.2</v>
      </c>
      <c r="CN19" s="302">
        <f t="shared" ca="1" si="39"/>
        <v>71.599999999999994</v>
      </c>
      <c r="CO19" s="302">
        <f t="shared" ca="1" si="39"/>
        <v>83.4</v>
      </c>
      <c r="CP19" s="302">
        <f t="shared" ca="1" si="39"/>
        <v>77.5</v>
      </c>
      <c r="CQ19" s="302">
        <f t="shared" ca="1" si="39"/>
        <v>67.2</v>
      </c>
    </row>
    <row r="20" spans="1:95" s="124" customFormat="1" ht="27.75" customHeight="1" thickBot="1">
      <c r="A20" s="118"/>
      <c r="B20" s="119">
        <f>tblIndicators!A16</f>
        <v>15</v>
      </c>
      <c r="C20" s="119">
        <f>tblIndicators!B16</f>
        <v>0</v>
      </c>
      <c r="D20" s="119" t="str">
        <f>tblIndicators!E16</f>
        <v>CNTY1_3_2</v>
      </c>
      <c r="E20" s="119" t="str">
        <f>tblIndicators!F16</f>
        <v>CNTY1_3</v>
      </c>
      <c r="F20" s="119">
        <f>tblIndicators!G16</f>
        <v>3</v>
      </c>
      <c r="G20" s="119">
        <f>tblIndicators!AF16</f>
        <v>1</v>
      </c>
      <c r="H20" s="119">
        <f>tblIndicators!AG16</f>
        <v>2</v>
      </c>
      <c r="I20" s="120">
        <f>tblIndicators!AH16</f>
        <v>0</v>
      </c>
      <c r="J20" s="119">
        <f>tblIndicators!AI16</f>
        <v>0</v>
      </c>
      <c r="K20" s="119">
        <f t="array" ref="K20">MIN(IF(ISNUMBER(iData!K20:AN20),iData!K20:AN20))</f>
        <v>0.65</v>
      </c>
      <c r="L20" s="121">
        <f t="array" ref="L20">MAX(IF(ISNUMBER(iData!K20:AN20),iData!K20:AN20))</f>
        <v>6.98</v>
      </c>
      <c r="M20" s="51">
        <f t="shared" si="7"/>
        <v>6.33</v>
      </c>
      <c r="N20" s="122" t="str">
        <f>REPT(" ",F20)&amp;tblIndicators!AM16</f>
        <v xml:space="preserve">   1.3.2) Fixed broadband affordability</v>
      </c>
      <c r="O20" s="381">
        <f>tblIndicators!AR16</f>
        <v>0.47828355288900481</v>
      </c>
      <c r="P20" s="381"/>
      <c r="Q20" s="323"/>
      <c r="R20" s="123" cm="1">
        <f t="array" ref="R20">CHOOSE($H20,SUMPRODUCT($O21:$O$75*R21:R$75*($E21:$E$75=$D20)),IF(ISNUMBER(iData!K20),100*ABS($G20-(iData!K20-$K20)/$M20),0),IF(ISNUMBER(iData!K20),100*ABS($G20-(iData!K20-$I20)/$M20),0),IF(iData!K20&gt;tblIndicators!$AI16,100,IF(ISNUMBER(iData!K20),100*ABS($G20-(iData!K20-$I20)/$M20),0)),IF(iData!K20&lt;0,100,IF(ISNUMBER(iData!K20),100*ABS($G20-(iData!K20-$I20)/$M20),0)))</f>
        <v>67.930489731437589</v>
      </c>
      <c r="S20" s="123" cm="1">
        <f t="array" ref="S20">CHOOSE($H20,SUMPRODUCT($O21:$O$75*S21:S$75*($E21:$E$75=$D20)),IF(ISNUMBER(iData!L20),100*ABS($G20-(iData!L20-$K20)/$M20),0),IF(ISNUMBER(iData!L20),100*ABS($G20-(iData!L20-$I20)/$M20),0),IF(iData!L20&gt;tblIndicators!$AI16,100,IF(ISNUMBER(iData!L20),100*ABS($G20-(iData!L20-$I20)/$M20),0)),IF(iData!L20&lt;0,100,IF(ISNUMBER(iData!L20),100*ABS($G20-(iData!L20-$I20)/$M20),0)))</f>
        <v>61.927330173775673</v>
      </c>
      <c r="T20" s="123" cm="1">
        <f t="array" ref="T20">CHOOSE($H20,SUMPRODUCT($O21:$O$75*T21:T$75*($E21:$E$75=$D20)),IF(ISNUMBER(iData!M20),100*ABS($G20-(iData!M20-$K20)/$M20),0),IF(ISNUMBER(iData!M20),100*ABS($G20-(iData!M20-$I20)/$M20),0),IF(iData!M20&gt;tblIndicators!$AI16,100,IF(ISNUMBER(iData!M20),100*ABS($G20-(iData!M20-$I20)/$M20),0)),IF(iData!M20&lt;0,100,IF(ISNUMBER(iData!M20),100*ABS($G20-(iData!M20-$I20)/$M20),0)))</f>
        <v>35.703001579778835</v>
      </c>
      <c r="U20" s="123" cm="1">
        <f t="array" ref="U20">CHOOSE($H20,SUMPRODUCT($O21:$O$75*U21:U$75*($E21:$E$75=$D20)),IF(ISNUMBER(iData!N20),100*ABS($G20-(iData!N20-$K20)/$M20),0),IF(ISNUMBER(iData!N20),100*ABS($G20-(iData!N20-$I20)/$M20),0),IF(iData!N20&gt;tblIndicators!$AI16,100,IF(ISNUMBER(iData!N20),100*ABS($G20-(iData!N20-$I20)/$M20),0)),IF(iData!N20&lt;0,100,IF(ISNUMBER(iData!N20),100*ABS($G20-(iData!N20-$I20)/$M20),0)))</f>
        <v>49.921011058451811</v>
      </c>
      <c r="V20" s="123" cm="1">
        <f t="array" ref="V20">CHOOSE($H20,SUMPRODUCT($O21:$O$75*V21:V$75*($E21:$E$75=$D20)),IF(ISNUMBER(iData!O20),100*ABS($G20-(iData!O20-$K20)/$M20),0),IF(ISNUMBER(iData!O20),100*ABS($G20-(iData!O20-$I20)/$M20),0),IF(iData!O20&gt;tblIndicators!$AI16,100,IF(ISNUMBER(iData!O20),100*ABS($G20-(iData!O20-$I20)/$M20),0)),IF(iData!O20&lt;0,100,IF(ISNUMBER(iData!O20),100*ABS($G20-(iData!O20-$I20)/$M20),0)))</f>
        <v>95.576619273301731</v>
      </c>
      <c r="W20" s="123" cm="1">
        <f t="array" ref="W20">CHOOSE($H20,SUMPRODUCT($O21:$O$75*W21:W$75*($E21:$E$75=$D20)),IF(ISNUMBER(iData!P20),100*ABS($G20-(iData!P20-$K20)/$M20),0),IF(ISNUMBER(iData!P20),100*ABS($G20-(iData!P20-$I20)/$M20),0),IF(iData!P20&gt;tblIndicators!$AI16,100,IF(ISNUMBER(iData!P20),100*ABS($G20-(iData!P20-$I20)/$M20),0)),IF(iData!P20&lt;0,100,IF(ISNUMBER(iData!P20),100*ABS($G20-(iData!P20-$I20)/$M20),0)))</f>
        <v>73.143759873617697</v>
      </c>
      <c r="X20" s="123" cm="1">
        <f t="array" ref="X20">CHOOSE($H20,SUMPRODUCT($O21:$O$75*X21:X$75*($E21:$E$75=$D20)),IF(ISNUMBER(iData!Q20),100*ABS($G20-(iData!Q20-$K20)/$M20),0),IF(ISNUMBER(iData!Q20),100*ABS($G20-(iData!Q20-$I20)/$M20),0),IF(iData!Q20&gt;tblIndicators!$AI16,100,IF(ISNUMBER(iData!Q20),100*ABS($G20-(iData!Q20-$I20)/$M20),0)),IF(iData!Q20&lt;0,100,IF(ISNUMBER(iData!Q20),100*ABS($G20-(iData!Q20-$I20)/$M20),0)))</f>
        <v>3.4755134281200695</v>
      </c>
      <c r="Y20" s="123" cm="1">
        <f t="array" ref="Y20">CHOOSE($H20,SUMPRODUCT($O21:$O$75*Y21:Y$75*($E21:$E$75=$D20)),IF(ISNUMBER(iData!R20),100*ABS($G20-(iData!R20-$K20)/$M20),0),IF(ISNUMBER(iData!R20),100*ABS($G20-(iData!R20-$I20)/$M20),0),IF(iData!R20&gt;tblIndicators!$AI16,100,IF(ISNUMBER(iData!R20),100*ABS($G20-(iData!R20-$I20)/$M20),0)),IF(iData!R20&lt;0,100,IF(ISNUMBER(iData!R20),100*ABS($G20-(iData!R20-$I20)/$M20),0)))</f>
        <v>90.205371248025273</v>
      </c>
      <c r="Z20" s="123" cm="1">
        <f t="array" ref="Z20">CHOOSE($H20,SUMPRODUCT($O21:$O$75*Z21:Z$75*($E21:$E$75=$D20)),IF(ISNUMBER(iData!S20),100*ABS($G20-(iData!S20-$K20)/$M20),0),IF(ISNUMBER(iData!S20),100*ABS($G20-(iData!S20-$I20)/$M20),0),IF(iData!S20&gt;tblIndicators!$AI16,100,IF(ISNUMBER(iData!S20),100*ABS($G20-(iData!S20-$I20)/$M20),0)),IF(iData!S20&lt;0,100,IF(ISNUMBER(iData!S20),100*ABS($G20-(iData!S20-$I20)/$M20),0)))</f>
        <v>92.101105845181678</v>
      </c>
      <c r="AA20" s="123" cm="1">
        <f t="array" ref="AA20">CHOOSE($H20,SUMPRODUCT($O21:$O$75*AA21:AA$75*($E21:$E$75=$D20)),IF(ISNUMBER(iData!T20),100*ABS($G20-(iData!T20-$K20)/$M20),0),IF(ISNUMBER(iData!T20),100*ABS($G20-(iData!T20-$I20)/$M20),0),IF(iData!T20&gt;tblIndicators!$AI16,100,IF(ISNUMBER(iData!T20),100*ABS($G20-(iData!T20-$I20)/$M20),0)),IF(iData!T20&lt;0,100,IF(ISNUMBER(iData!T20),100*ABS($G20-(iData!T20-$I20)/$M20),0)))</f>
        <v>0.7898894154818481</v>
      </c>
      <c r="AB20" s="123" cm="1">
        <f t="array" ref="AB20">CHOOSE($H20,SUMPRODUCT($O21:$O$75*AB21:AB$75*($E21:$E$75=$D20)),IF(ISNUMBER(iData!U20),100*ABS($G20-(iData!U20-$K20)/$M20),0),IF(ISNUMBER(iData!U20),100*ABS($G20-(iData!U20-$I20)/$M20),0),IF(iData!U20&gt;tblIndicators!$AI16,100,IF(ISNUMBER(iData!U20),100*ABS($G20-(iData!U20-$I20)/$M20),0)),IF(iData!U20&lt;0,100,IF(ISNUMBER(iData!U20),100*ABS($G20-(iData!U20-$I20)/$M20),0)))</f>
        <v>91.943127962085313</v>
      </c>
      <c r="AC20" s="123" cm="1">
        <f t="array" ref="AC20">CHOOSE($H20,SUMPRODUCT($O21:$O$75*AC21:AC$75*($E21:$E$75=$D20)),IF(ISNUMBER(iData!V20),100*ABS($G20-(iData!V20-$K20)/$M20),0),IF(ISNUMBER(iData!V20),100*ABS($G20-(iData!V20-$I20)/$M20),0),IF(iData!V20&gt;tblIndicators!$AI16,100,IF(ISNUMBER(iData!V20),100*ABS($G20-(iData!V20-$I20)/$M20),0)),IF(iData!V20&lt;0,100,IF(ISNUMBER(iData!V20),100*ABS($G20-(iData!V20-$I20)/$M20),0)))</f>
        <v>67.930489731437589</v>
      </c>
      <c r="AD20" s="123" cm="1">
        <f t="array" ref="AD20">CHOOSE($H20,SUMPRODUCT($O21:$O$75*AD21:AD$75*($E21:$E$75=$D20)),IF(ISNUMBER(iData!W20),100*ABS($G20-(iData!W20-$K20)/$M20),0),IF(ISNUMBER(iData!W20),100*ABS($G20-(iData!W20-$I20)/$M20),0),IF(iData!W20&gt;tblIndicators!$AI16,100,IF(ISNUMBER(iData!W20),100*ABS($G20-(iData!W20-$I20)/$M20),0)),IF(iData!W20&lt;0,100,IF(ISNUMBER(iData!W20),100*ABS($G20-(iData!W20-$I20)/$M20),0)))</f>
        <v>2.8436018957346043</v>
      </c>
      <c r="AE20" s="123" cm="1">
        <f t="array" ref="AE20">CHOOSE($H20,SUMPRODUCT($O21:$O$75*AE21:AE$75*($E21:$E$75=$D20)),IF(ISNUMBER(iData!X20),100*ABS($G20-(iData!X20-$K20)/$M20),0),IF(ISNUMBER(iData!X20),100*ABS($G20-(iData!X20-$I20)/$M20),0),IF(iData!X20&gt;tblIndicators!$AI16,100,IF(ISNUMBER(iData!X20),100*ABS($G20-(iData!X20-$I20)/$M20),0)),IF(iData!X20&lt;0,100,IF(ISNUMBER(iData!X20),100*ABS($G20-(iData!X20-$I20)/$M20),0)))</f>
        <v>44.865718799368096</v>
      </c>
      <c r="AF20" s="123" cm="1">
        <f t="array" ref="AF20">CHOOSE($H20,SUMPRODUCT($O21:$O$75*AF21:AF$75*($E21:$E$75=$D20)),IF(ISNUMBER(iData!Y20),100*ABS($G20-(iData!Y20-$K20)/$M20),0),IF(ISNUMBER(iData!Y20),100*ABS($G20-(iData!Y20-$I20)/$M20),0),IF(iData!Y20&gt;tblIndicators!$AI16,100,IF(ISNUMBER(iData!Y20),100*ABS($G20-(iData!Y20-$I20)/$M20),0)),IF(iData!Y20&lt;0,100,IF(ISNUMBER(iData!Y20),100*ABS($G20-(iData!Y20-$I20)/$M20),0)))</f>
        <v>93.36492890995261</v>
      </c>
      <c r="AG20" s="123" cm="1">
        <f t="array" ref="AG20">CHOOSE($H20,SUMPRODUCT($O21:$O$75*AG21:AG$75*($E21:$E$75=$D20)),IF(ISNUMBER(iData!Z20),100*ABS($G20-(iData!Z20-$K20)/$M20),0),IF(ISNUMBER(iData!Z20),100*ABS($G20-(iData!Z20-$I20)/$M20),0),IF(iData!Z20&gt;tblIndicators!$AI16,100,IF(ISNUMBER(iData!Z20),100*ABS($G20-(iData!Z20-$I20)/$M20),0)),IF(iData!Z20&lt;0,100,IF(ISNUMBER(iData!Z20),100*ABS($G20-(iData!Z20-$I20)/$M20),0)))</f>
        <v>66.666666666666671</v>
      </c>
      <c r="AH20" s="123" cm="1">
        <f t="array" ref="AH20">CHOOSE($H20,SUMPRODUCT($O21:$O$75*AH21:AH$75*($E21:$E$75=$D20)),IF(ISNUMBER(iData!AA20),100*ABS($G20-(iData!AA20-$K20)/$M20),0),IF(ISNUMBER(iData!AA20),100*ABS($G20-(iData!AA20-$I20)/$M20),0),IF(iData!AA20&gt;tblIndicators!$AI16,100,IF(ISNUMBER(iData!AA20),100*ABS($G20-(iData!AA20-$I20)/$M20),0)),IF(iData!AA20&lt;0,100,IF(ISNUMBER(iData!AA20),100*ABS($G20-(iData!AA20-$I20)/$M20),0)))</f>
        <v>27.48815165876778</v>
      </c>
      <c r="AI20" s="123" cm="1">
        <f t="array" ref="AI20">CHOOSE($H20,SUMPRODUCT($O21:$O$75*AI21:AI$75*($E21:$E$75=$D20)),IF(ISNUMBER(iData!AB20),100*ABS($G20-(iData!AB20-$K20)/$M20),0),IF(ISNUMBER(iData!AB20),100*ABS($G20-(iData!AB20-$I20)/$M20),0),IF(iData!AB20&gt;tblIndicators!$AI16,100,IF(ISNUMBER(iData!AB20),100*ABS($G20-(iData!AB20-$I20)/$M20),0)),IF(iData!AB20&lt;0,100,IF(ISNUMBER(iData!AB20),100*ABS($G20-(iData!AB20-$I20)/$M20),0)))</f>
        <v>78.35703001579779</v>
      </c>
      <c r="AJ20" s="123" cm="1">
        <f t="array" ref="AJ20">CHOOSE($H20,SUMPRODUCT($O21:$O$75*AJ21:AJ$75*($E21:$E$75=$D20)),IF(ISNUMBER(iData!AC20),100*ABS($G20-(iData!AC20-$K20)/$M20),0),IF(ISNUMBER(iData!AC20),100*ABS($G20-(iData!AC20-$I20)/$M20),0),IF(iData!AC20&gt;tblIndicators!$AI16,100,IF(ISNUMBER(iData!AC20),100*ABS($G20-(iData!AC20-$I20)/$M20),0)),IF(iData!AC20&lt;0,100,IF(ISNUMBER(iData!AC20),100*ABS($G20-(iData!AC20-$I20)/$M20),0)))</f>
        <v>0</v>
      </c>
      <c r="AK20" s="123" cm="1">
        <f t="array" ref="AK20">CHOOSE($H20,SUMPRODUCT($O21:$O$75*AK21:AK$75*($E21:$E$75=$D20)),IF(ISNUMBER(iData!AD20),100*ABS($G20-(iData!AD20-$K20)/$M20),0),IF(ISNUMBER(iData!AD20),100*ABS($G20-(iData!AD20-$I20)/$M20),0),IF(iData!AD20&gt;tblIndicators!$AI16,100,IF(ISNUMBER(iData!AD20),100*ABS($G20-(iData!AD20-$I20)/$M20),0)),IF(iData!AD20&lt;0,100,IF(ISNUMBER(iData!AD20),100*ABS($G20-(iData!AD20-$I20)/$M20),0)))</f>
        <v>100</v>
      </c>
      <c r="AL20" s="123" cm="1">
        <f t="array" ref="AL20">CHOOSE($H20,SUMPRODUCT($O21:$O$75*AL21:AL$75*($E21:$E$75=$D20)),IF(ISNUMBER(iData!AE20),100*ABS($G20-(iData!AE20-$K20)/$M20),0),IF(ISNUMBER(iData!AE20),100*ABS($G20-(iData!AE20-$I20)/$M20),0),IF(iData!AE20&gt;tblIndicators!$AI16,100,IF(ISNUMBER(iData!AE20),100*ABS($G20-(iData!AE20-$I20)/$M20),0)),IF(iData!AE20&lt;0,100,IF(ISNUMBER(iData!AE20),100*ABS($G20-(iData!AE20-$I20)/$M20),0)))</f>
        <v>74.24960505529225</v>
      </c>
      <c r="AM20" s="123" cm="1">
        <f t="array" ref="AM20">CHOOSE($H20,SUMPRODUCT($O21:$O$75*AM21:AM$75*($E21:$E$75=$D20)),IF(ISNUMBER(iData!AF20),100*ABS($G20-(iData!AF20-$K20)/$M20),0),IF(ISNUMBER(iData!AF20),100*ABS($G20-(iData!AF20-$I20)/$M20),0),IF(iData!AF20&gt;tblIndicators!$AI16,100,IF(ISNUMBER(iData!AF20),100*ABS($G20-(iData!AF20-$I20)/$M20),0)),IF(iData!AF20&lt;0,100,IF(ISNUMBER(iData!AF20),100*ABS($G20-(iData!AF20-$I20)/$M20),0)))</f>
        <v>74.565560821484993</v>
      </c>
      <c r="AN20" s="123" cm="1">
        <f t="array" ref="AN20">CHOOSE($H20,SUMPRODUCT($O21:$O$75*AN21:AN$75*($E21:$E$75=$D20)),IF(ISNUMBER(iData!AG20),100*ABS($G20-(iData!AG20-$K20)/$M20),0),IF(ISNUMBER(iData!AG20),100*ABS($G20-(iData!AG20-$I20)/$M20),0),IF(iData!AG20&gt;tblIndicators!$AI16,100,IF(ISNUMBER(iData!AG20),100*ABS($G20-(iData!AG20-$I20)/$M20),0)),IF(iData!AG20&lt;0,100,IF(ISNUMBER(iData!AG20),100*ABS($G20-(iData!AG20-$I20)/$M20),0)))</f>
        <v>44.075829383886244</v>
      </c>
      <c r="AO20" s="123" cm="1">
        <f t="array" ref="AO20">CHOOSE($H20,SUMPRODUCT($O21:$O$75*AO21:AO$75*($E21:$E$75=$D20)),IF(ISNUMBER(iData!AH20),100*ABS($G20-(iData!AH20-$K20)/$M20),0),IF(ISNUMBER(iData!AH20),100*ABS($G20-(iData!AH20-$I20)/$M20),0),IF(iData!AH20&gt;tblIndicators!$AI16,100,IF(ISNUMBER(iData!AH20),100*ABS($G20-(iData!AH20-$I20)/$M20),0)),IF(iData!AH20&lt;0,100,IF(ISNUMBER(iData!AH20),100*ABS($G20-(iData!AH20-$I20)/$M20),0)))</f>
        <v>91.785150078988949</v>
      </c>
      <c r="AP20" s="123" cm="1">
        <f t="array" ref="AP20">CHOOSE($H20,SUMPRODUCT($O21:$O$75*AP21:AP$75*($E21:$E$75=$D20)),IF(ISNUMBER(iData!AI20),100*ABS($G20-(iData!AI20-$K20)/$M20),0),IF(ISNUMBER(iData!AI20),100*ABS($G20-(iData!AI20-$I20)/$M20),0),IF(iData!AI20&gt;tblIndicators!$AI16,100,IF(ISNUMBER(iData!AI20),100*ABS($G20-(iData!AI20-$I20)/$M20),0)),IF(iData!AI20&lt;0,100,IF(ISNUMBER(iData!AI20),100*ABS($G20-(iData!AI20-$I20)/$M20),0)))</f>
        <v>90.047393364928908</v>
      </c>
      <c r="AQ20" s="123" cm="1">
        <f t="array" ref="AQ20">CHOOSE($H20,SUMPRODUCT($O21:$O$75*AQ21:AQ$75*($E21:$E$75=$D20)),IF(ISNUMBER(iData!AJ20),100*ABS($G20-(iData!AJ20-$K20)/$M20),0),IF(ISNUMBER(iData!AJ20),100*ABS($G20-(iData!AJ20-$I20)/$M20),0),IF(iData!AJ20&gt;tblIndicators!$AI16,100,IF(ISNUMBER(iData!AJ20),100*ABS($G20-(iData!AJ20-$I20)/$M20),0)),IF(iData!AJ20&lt;0,100,IF(ISNUMBER(iData!AJ20),100*ABS($G20-(iData!AJ20-$I20)/$M20),0)))</f>
        <v>78.199052132701425</v>
      </c>
      <c r="AR20" s="123" cm="1">
        <f t="array" ref="AR20">CHOOSE($H20,SUMPRODUCT($O21:$O$75*AR21:AR$75*($E21:$E$75=$D20)),IF(ISNUMBER(iData!AK20),100*ABS($G20-(iData!AK20-$K20)/$M20),0),IF(ISNUMBER(iData!AK20),100*ABS($G20-(iData!AK20-$I20)/$M20),0),IF(iData!AK20&gt;tblIndicators!$AI16,100,IF(ISNUMBER(iData!AK20),100*ABS($G20-(iData!AK20-$I20)/$M20),0)),IF(iData!AK20&lt;0,100,IF(ISNUMBER(iData!AK20),100*ABS($G20-(iData!AK20-$I20)/$M20),0)))</f>
        <v>70.458135860979468</v>
      </c>
      <c r="AS20" s="123" cm="1">
        <f t="array" ref="AS20">CHOOSE($H20,SUMPRODUCT($O21:$O$75*AS21:AS$75*($E21:$E$75=$D20)),IF(ISNUMBER(iData!AL20),100*ABS($G20-(iData!AL20-$K20)/$M20),0),IF(ISNUMBER(iData!AL20),100*ABS($G20-(iData!AL20-$I20)/$M20),0),IF(iData!AL20&gt;tblIndicators!$AI16,100,IF(ISNUMBER(iData!AL20),100*ABS($G20-(iData!AL20-$I20)/$M20),0)),IF(iData!AL20&lt;0,100,IF(ISNUMBER(iData!AL20),100*ABS($G20-(iData!AL20-$I20)/$M20),0)))</f>
        <v>59.241706161137444</v>
      </c>
      <c r="AT20" s="123" cm="1">
        <f t="array" ref="AT20">CHOOSE($H20,SUMPRODUCT($O21:$O$75*AT21:AT$75*($E21:$E$75=$D20)),IF(ISNUMBER(iData!AM20),100*ABS($G20-(iData!AM20-$K20)/$M20),0),IF(ISNUMBER(iData!AM20),100*ABS($G20-(iData!AM20-$I20)/$M20),0),IF(iData!AM20&gt;tblIndicators!$AI16,100,IF(ISNUMBER(iData!AM20),100*ABS($G20-(iData!AM20-$I20)/$M20),0)),IF(iData!AM20&lt;0,100,IF(ISNUMBER(iData!AM20),100*ABS($G20-(iData!AM20-$I20)/$M20),0)))</f>
        <v>96.366508688783568</v>
      </c>
      <c r="AU20" s="123" cm="1">
        <f t="array" ref="AU20">CHOOSE($H20,SUMPRODUCT($O21:$O$75*AU21:AU$75*($E21:$E$75=$D20)),IF(ISNUMBER(iData!AN20),100*ABS($G20-(iData!AN20-$K20)/$M20),0),IF(ISNUMBER(iData!AN20),100*ABS($G20-(iData!AN20-$I20)/$M20),0),IF(iData!AN20&gt;tblIndicators!$AI16,100,IF(ISNUMBER(iData!AN20),100*ABS($G20-(iData!AN20-$I20)/$M20),0)),IF(iData!AN20&lt;0,100,IF(ISNUMBER(iData!AN20),100*ABS($G20-(iData!AN20-$I20)/$M20),0)))</f>
        <v>85.308056872037909</v>
      </c>
      <c r="AV20" s="367"/>
      <c r="AW20" s="368"/>
      <c r="AX20" s="14"/>
      <c r="AY20" s="871">
        <f t="shared" si="40"/>
        <v>67.900000000000006</v>
      </c>
      <c r="AZ20" s="871">
        <f t="shared" si="41"/>
        <v>61.9</v>
      </c>
      <c r="BA20" s="871">
        <f t="shared" si="42"/>
        <v>35.700000000000003</v>
      </c>
      <c r="BB20" s="871">
        <f t="shared" si="43"/>
        <v>49.9</v>
      </c>
      <c r="BC20" s="871">
        <f t="shared" si="44"/>
        <v>95.6</v>
      </c>
      <c r="BD20" s="871">
        <f t="shared" si="45"/>
        <v>73.099999999999994</v>
      </c>
      <c r="BE20" s="871">
        <f t="shared" si="46"/>
        <v>3.5</v>
      </c>
      <c r="BF20" s="871">
        <f t="shared" si="47"/>
        <v>90.2</v>
      </c>
      <c r="BG20" s="871">
        <f t="shared" si="48"/>
        <v>92.1</v>
      </c>
      <c r="BH20" s="871">
        <f t="shared" si="49"/>
        <v>0.8</v>
      </c>
      <c r="BI20" s="871">
        <f t="shared" si="50"/>
        <v>91.9</v>
      </c>
      <c r="BJ20" s="871">
        <f t="shared" si="51"/>
        <v>67.900000000000006</v>
      </c>
      <c r="BK20" s="871">
        <f t="shared" si="52"/>
        <v>2.8</v>
      </c>
      <c r="BL20" s="871">
        <f t="shared" si="53"/>
        <v>44.9</v>
      </c>
      <c r="BM20" s="871">
        <f t="shared" si="54"/>
        <v>93.4</v>
      </c>
      <c r="BN20" s="871">
        <f t="shared" si="55"/>
        <v>66.7</v>
      </c>
      <c r="BO20" s="871">
        <f t="shared" si="56"/>
        <v>27.5</v>
      </c>
      <c r="BP20" s="871">
        <f t="shared" si="57"/>
        <v>78.400000000000006</v>
      </c>
      <c r="BQ20" s="871">
        <f t="shared" si="58"/>
        <v>0</v>
      </c>
      <c r="BR20" s="871">
        <f t="shared" si="59"/>
        <v>100</v>
      </c>
      <c r="BS20" s="871">
        <f t="shared" si="60"/>
        <v>74.2</v>
      </c>
      <c r="BT20" s="871">
        <f t="shared" si="61"/>
        <v>74.599999999999994</v>
      </c>
      <c r="BU20" s="871">
        <f t="shared" si="62"/>
        <v>44.1</v>
      </c>
      <c r="BV20" s="871">
        <f t="shared" si="63"/>
        <v>91.8</v>
      </c>
      <c r="BW20" s="871">
        <f t="shared" si="64"/>
        <v>90</v>
      </c>
      <c r="BX20" s="871">
        <f t="shared" si="65"/>
        <v>78.2</v>
      </c>
      <c r="BY20" s="871">
        <f t="shared" si="66"/>
        <v>70.5</v>
      </c>
      <c r="BZ20" s="871">
        <f t="shared" si="67"/>
        <v>59.2</v>
      </c>
      <c r="CA20" s="871">
        <f t="shared" si="68"/>
        <v>96.4</v>
      </c>
      <c r="CB20" s="871">
        <f t="shared" si="69"/>
        <v>85.3</v>
      </c>
      <c r="CD20" s="304">
        <f t="shared" ca="1" si="38"/>
        <v>63.6</v>
      </c>
      <c r="CE20" s="304">
        <f t="shared" ca="1" si="38"/>
        <v>63.6</v>
      </c>
      <c r="CF20" s="304">
        <f t="shared" ca="1" si="38"/>
        <v>55.6</v>
      </c>
      <c r="CG20" s="302">
        <f t="shared" ca="1" si="38"/>
        <v>76.7</v>
      </c>
      <c r="CH20" s="302">
        <f t="shared" ca="1" si="38"/>
        <v>42</v>
      </c>
      <c r="CI20" s="302">
        <f t="shared" ca="1" si="38"/>
        <v>0.8</v>
      </c>
      <c r="CJ20" s="302">
        <f t="shared" ca="1" si="38"/>
        <v>86.9</v>
      </c>
      <c r="CK20" s="302">
        <f t="shared" ca="1" si="38"/>
        <v>10.1</v>
      </c>
      <c r="CL20" s="302">
        <f t="shared" ca="1" si="38"/>
        <v>50.4</v>
      </c>
      <c r="CM20" s="302">
        <f t="shared" ca="1" si="38"/>
        <v>75</v>
      </c>
      <c r="CN20" s="302">
        <f t="shared" ca="1" si="39"/>
        <v>68.900000000000006</v>
      </c>
      <c r="CO20" s="302">
        <f t="shared" ca="1" si="39"/>
        <v>71.099999999999994</v>
      </c>
      <c r="CP20" s="302">
        <f t="shared" ca="1" si="39"/>
        <v>57.7</v>
      </c>
      <c r="CQ20" s="302">
        <f t="shared" ref="CQ20" ca="1" si="100">IFERROR(ROUND(SUMIF(OFFSET(tblGroups,CQ$5-1,0,1,$CE$1),1,OFFSET(aScoresRounded,$B20-1,0,1,$CE$1))/SUM(OFFSET(tblGroups,CQ$5-1,0,1,$CE$1)),$CF$1),"n/a")</f>
        <v>54.1</v>
      </c>
    </row>
    <row r="21" spans="1:95" s="124" customFormat="1" ht="27.75" customHeight="1" thickBot="1">
      <c r="A21" s="118"/>
      <c r="B21" s="119">
        <f>tblIndicators!A17</f>
        <v>16</v>
      </c>
      <c r="C21" s="119">
        <f>tblIndicators!B17</f>
        <v>0</v>
      </c>
      <c r="D21" s="119" t="str">
        <f>tblIndicators!E17</f>
        <v>SERV</v>
      </c>
      <c r="E21" s="119" t="str">
        <f>tblIndicators!F17</f>
        <v>OVERALL</v>
      </c>
      <c r="F21" s="119">
        <f>tblIndicators!G17</f>
        <v>1</v>
      </c>
      <c r="G21" s="119">
        <f>tblIndicators!AF17</f>
        <v>0</v>
      </c>
      <c r="H21" s="119">
        <f>tblIndicators!AG17</f>
        <v>1</v>
      </c>
      <c r="I21" s="120">
        <f>tblIndicators!AH17</f>
        <v>0</v>
      </c>
      <c r="J21" s="119">
        <f>tblIndicators!AI17</f>
        <v>0</v>
      </c>
      <c r="K21" s="119">
        <f t="array" ref="K21">MIN(IF(ISNUMBER(iData!K21:AN21),iData!K21:AN21))</f>
        <v>0</v>
      </c>
      <c r="L21" s="121">
        <f t="array" ref="L21">MAX(IF(ISNUMBER(iData!K21:AN21),iData!K21:AN21))</f>
        <v>0</v>
      </c>
      <c r="M21" s="51" t="str">
        <f t="shared" si="7"/>
        <v>-</v>
      </c>
      <c r="N21" s="122" t="str">
        <f>REPT(" ",F21)&amp;tblIndicators!AM17</f>
        <v xml:space="preserve"> 2) SERVICES</v>
      </c>
      <c r="O21" s="381">
        <f>tblIndicators!AR17</f>
        <v>0.28000000000000003</v>
      </c>
      <c r="P21" s="381"/>
      <c r="Q21" s="323"/>
      <c r="R21" s="123" cm="1">
        <f t="array" ref="R21">CHOOSE($H21,SUMPRODUCT($O22:$O$75*R22:R$75*($E22:$E$75=$D21)),IF(ISNUMBER(iData!K21),100*ABS($G21-(iData!K21-$K21)/$M21),0),IF(ISNUMBER(iData!K21),100*ABS($G21-(iData!K21-$I21)/$M21),0),IF(iData!K21&gt;tblIndicators!$AI17,100,IF(ISNUMBER(iData!K21),100*ABS($G21-(iData!K21-$I21)/$M21),0)),IF(iData!K21&lt;0,100,IF(ISNUMBER(iData!K21),100*ABS($G21-(iData!K21-$I21)/$M21),0)))</f>
        <v>73.234541782796043</v>
      </c>
      <c r="S21" s="123" cm="1">
        <f t="array" ref="S21">CHOOSE($H21,SUMPRODUCT($O22:$O$75*S22:S$75*($E22:$E$75=$D21)),IF(ISNUMBER(iData!L21),100*ABS($G21-(iData!L21-$K21)/$M21),0),IF(ISNUMBER(iData!L21),100*ABS($G21-(iData!L21-$I21)/$M21),0),IF(iData!L21&gt;tblIndicators!$AI17,100,IF(ISNUMBER(iData!L21),100*ABS($G21-(iData!L21-$I21)/$M21),0)),IF(iData!L21&lt;0,100,IF(ISNUMBER(iData!L21),100*ABS($G21-(iData!L21-$I21)/$M21),0)))</f>
        <v>49.515129615079417</v>
      </c>
      <c r="T21" s="123" cm="1">
        <f t="array" ref="T21">CHOOSE($H21,SUMPRODUCT($O22:$O$75*T22:T$75*($E22:$E$75=$D21)),IF(ISNUMBER(iData!M21),100*ABS($G21-(iData!M21-$K21)/$M21),0),IF(ISNUMBER(iData!M21),100*ABS($G21-(iData!M21-$I21)/$M21),0),IF(iData!M21&gt;tblIndicators!$AI17,100,IF(ISNUMBER(iData!M21),100*ABS($G21-(iData!M21-$I21)/$M21),0)),IF(iData!M21&lt;0,100,IF(ISNUMBER(iData!M21),100*ABS($G21-(iData!M21-$I21)/$M21),0)))</f>
        <v>52.554705891267481</v>
      </c>
      <c r="U21" s="123" cm="1">
        <f t="array" ref="U21">CHOOSE($H21,SUMPRODUCT($O22:$O$75*U22:U$75*($E22:$E$75=$D21)),IF(ISNUMBER(iData!N21),100*ABS($G21-(iData!N21-$K21)/$M21),0),IF(ISNUMBER(iData!N21),100*ABS($G21-(iData!N21-$I21)/$M21),0),IF(iData!N21&gt;tblIndicators!$AI17,100,IF(ISNUMBER(iData!N21),100*ABS($G21-(iData!N21-$I21)/$M21),0)),IF(iData!N21&lt;0,100,IF(ISNUMBER(iData!N21),100*ABS($G21-(iData!N21-$I21)/$M21),0)))</f>
        <v>72.022026825204989</v>
      </c>
      <c r="V21" s="123" cm="1">
        <f t="array" ref="V21">CHOOSE($H21,SUMPRODUCT($O22:$O$75*V22:V$75*($E22:$E$75=$D21)),IF(ISNUMBER(iData!O21),100*ABS($G21-(iData!O21-$K21)/$M21),0),IF(ISNUMBER(iData!O21),100*ABS($G21-(iData!O21-$I21)/$M21),0),IF(iData!O21&gt;tblIndicators!$AI17,100,IF(ISNUMBER(iData!O21),100*ABS($G21-(iData!O21-$I21)/$M21),0)),IF(iData!O21&lt;0,100,IF(ISNUMBER(iData!O21),100*ABS($G21-(iData!O21-$I21)/$M21),0)))</f>
        <v>68.316441506309346</v>
      </c>
      <c r="W21" s="123" cm="1">
        <f t="array" ref="W21">CHOOSE($H21,SUMPRODUCT($O22:$O$75*W22:W$75*($E22:$E$75=$D21)),IF(ISNUMBER(iData!P21),100*ABS($G21-(iData!P21-$K21)/$M21),0),IF(ISNUMBER(iData!P21),100*ABS($G21-(iData!P21-$I21)/$M21),0),IF(iData!P21&gt;tblIndicators!$AI17,100,IF(ISNUMBER(iData!P21),100*ABS($G21-(iData!P21-$I21)/$M21),0)),IF(iData!P21&lt;0,100,IF(ISNUMBER(iData!P21),100*ABS($G21-(iData!P21-$I21)/$M21),0)))</f>
        <v>73.814344953240379</v>
      </c>
      <c r="X21" s="123" cm="1">
        <f t="array" ref="X21">CHOOSE($H21,SUMPRODUCT($O22:$O$75*X22:X$75*($E22:$E$75=$D21)),IF(ISNUMBER(iData!Q21),100*ABS($G21-(iData!Q21-$K21)/$M21),0),IF(ISNUMBER(iData!Q21),100*ABS($G21-(iData!Q21-$I21)/$M21),0),IF(iData!Q21&gt;tblIndicators!$AI17,100,IF(ISNUMBER(iData!Q21),100*ABS($G21-(iData!Q21-$I21)/$M21),0)),IF(iData!Q21&lt;0,100,IF(ISNUMBER(iData!Q21),100*ABS($G21-(iData!Q21-$I21)/$M21),0)))</f>
        <v>42.206183155277337</v>
      </c>
      <c r="Y21" s="123" cm="1">
        <f t="array" ref="Y21">CHOOSE($H21,SUMPRODUCT($O22:$O$75*Y22:Y$75*($E22:$E$75=$D21)),IF(ISNUMBER(iData!R21),100*ABS($G21-(iData!R21-$K21)/$M21),0),IF(ISNUMBER(iData!R21),100*ABS($G21-(iData!R21-$I21)/$M21),0),IF(iData!R21&gt;tblIndicators!$AI17,100,IF(ISNUMBER(iData!R21),100*ABS($G21-(iData!R21-$I21)/$M21),0)),IF(iData!R21&lt;0,100,IF(ISNUMBER(iData!R21),100*ABS($G21-(iData!R21-$I21)/$M21),0)))</f>
        <v>79.318819310156812</v>
      </c>
      <c r="Z21" s="123" cm="1">
        <f t="array" ref="Z21">CHOOSE($H21,SUMPRODUCT($O22:$O$75*Z22:Z$75*($E22:$E$75=$D21)),IF(ISNUMBER(iData!S21),100*ABS($G21-(iData!S21-$K21)/$M21),0),IF(ISNUMBER(iData!S21),100*ABS($G21-(iData!S21-$I21)/$M21),0),IF(iData!S21&gt;tblIndicators!$AI17,100,IF(ISNUMBER(iData!S21),100*ABS($G21-(iData!S21-$I21)/$M21),0)),IF(iData!S21&lt;0,100,IF(ISNUMBER(iData!S21),100*ABS($G21-(iData!S21-$I21)/$M21),0)))</f>
        <v>67.457345103922322</v>
      </c>
      <c r="AA21" s="123" cm="1">
        <f t="array" ref="AA21">CHOOSE($H21,SUMPRODUCT($O22:$O$75*AA22:AA$75*($E22:$E$75=$D21)),IF(ISNUMBER(iData!T21),100*ABS($G21-(iData!T21-$K21)/$M21),0),IF(ISNUMBER(iData!T21),100*ABS($G21-(iData!T21-$I21)/$M21),0),IF(iData!T21&gt;tblIndicators!$AI17,100,IF(ISNUMBER(iData!T21),100*ABS($G21-(iData!T21-$I21)/$M21),0)),IF(iData!T21&lt;0,100,IF(ISNUMBER(iData!T21),100*ABS($G21-(iData!T21-$I21)/$M21),0)))</f>
        <v>69.829467307973275</v>
      </c>
      <c r="AB21" s="123" cm="1">
        <f t="array" ref="AB21">CHOOSE($H21,SUMPRODUCT($O22:$O$75*AB22:AB$75*($E22:$E$75=$D21)),IF(ISNUMBER(iData!U21),100*ABS($G21-(iData!U21-$K21)/$M21),0),IF(ISNUMBER(iData!U21),100*ABS($G21-(iData!U21-$I21)/$M21),0),IF(iData!U21&gt;tblIndicators!$AI17,100,IF(ISNUMBER(iData!U21),100*ABS($G21-(iData!U21-$I21)/$M21),0)),IF(iData!U21&lt;0,100,IF(ISNUMBER(iData!U21),100*ABS($G21-(iData!U21-$I21)/$M21),0)))</f>
        <v>69.881053551041887</v>
      </c>
      <c r="AC21" s="123" cm="1">
        <f t="array" ref="AC21">CHOOSE($H21,SUMPRODUCT($O22:$O$75*AC22:AC$75*($E22:$E$75=$D21)),IF(ISNUMBER(iData!V21),100*ABS($G21-(iData!V21-$K21)/$M21),0),IF(ISNUMBER(iData!V21),100*ABS($G21-(iData!V21-$I21)/$M21),0),IF(iData!V21&gt;tblIndicators!$AI17,100,IF(ISNUMBER(iData!V21),100*ABS($G21-(iData!V21-$I21)/$M21),0)),IF(iData!V21&lt;0,100,IF(ISNUMBER(iData!V21),100*ABS($G21-(iData!V21-$I21)/$M21),0)))</f>
        <v>70.247477699013487</v>
      </c>
      <c r="AD21" s="123" cm="1">
        <f t="array" ref="AD21">CHOOSE($H21,SUMPRODUCT($O22:$O$75*AD22:AD$75*($E22:$E$75=$D21)),IF(ISNUMBER(iData!W21),100*ABS($G21-(iData!W21-$K21)/$M21),0),IF(ISNUMBER(iData!W21),100*ABS($G21-(iData!W21-$I21)/$M21),0),IF(iData!W21&gt;tblIndicators!$AI17,100,IF(ISNUMBER(iData!W21),100*ABS($G21-(iData!W21-$I21)/$M21),0)),IF(iData!W21&lt;0,100,IF(ISNUMBER(iData!W21),100*ABS($G21-(iData!W21-$I21)/$M21),0)))</f>
        <v>42.528154749149287</v>
      </c>
      <c r="AE21" s="123" cm="1">
        <f t="array" ref="AE21">CHOOSE($H21,SUMPRODUCT($O22:$O$75*AE22:AE$75*($E22:$E$75=$D21)),IF(ISNUMBER(iData!X21),100*ABS($G21-(iData!X21-$K21)/$M21),0),IF(ISNUMBER(iData!X21),100*ABS($G21-(iData!X21-$I21)/$M21),0),IF(iData!X21&gt;tblIndicators!$AI17,100,IF(ISNUMBER(iData!X21),100*ABS($G21-(iData!X21-$I21)/$M21),0)),IF(iData!X21&lt;0,100,IF(ISNUMBER(iData!X21),100*ABS($G21-(iData!X21-$I21)/$M21),0)))</f>
        <v>52.639765181358761</v>
      </c>
      <c r="AF21" s="123" cm="1">
        <f t="array" ref="AF21">CHOOSE($H21,SUMPRODUCT($O22:$O$75*AF22:AF$75*($E22:$E$75=$D21)),IF(ISNUMBER(iData!Y21),100*ABS($G21-(iData!Y21-$K21)/$M21),0),IF(ISNUMBER(iData!Y21),100*ABS($G21-(iData!Y21-$I21)/$M21),0),IF(iData!Y21&gt;tblIndicators!$AI17,100,IF(ISNUMBER(iData!Y21),100*ABS($G21-(iData!Y21-$I21)/$M21),0)),IF(iData!Y21&lt;0,100,IF(ISNUMBER(iData!Y21),100*ABS($G21-(iData!Y21-$I21)/$M21),0)))</f>
        <v>73.502908859947411</v>
      </c>
      <c r="AG21" s="123" cm="1">
        <f t="array" ref="AG21">CHOOSE($H21,SUMPRODUCT($O22:$O$75*AG22:AG$75*($E22:$E$75=$D21)),IF(ISNUMBER(iData!Z21),100*ABS($G21-(iData!Z21-$K21)/$M21),0),IF(ISNUMBER(iData!Z21),100*ABS($G21-(iData!Z21-$I21)/$M21),0),IF(iData!Z21&gt;tblIndicators!$AI17,100,IF(ISNUMBER(iData!Z21),100*ABS($G21-(iData!Z21-$I21)/$M21),0)),IF(iData!Z21&lt;0,100,IF(ISNUMBER(iData!Z21),100*ABS($G21-(iData!Z21-$I21)/$M21),0)))</f>
        <v>61.544072041287095</v>
      </c>
      <c r="AH21" s="123" cm="1">
        <f t="array" ref="AH21">CHOOSE($H21,SUMPRODUCT($O22:$O$75*AH22:AH$75*($E22:$E$75=$D21)),IF(ISNUMBER(iData!AA21),100*ABS($G21-(iData!AA21-$K21)/$M21),0),IF(ISNUMBER(iData!AA21),100*ABS($G21-(iData!AA21-$I21)/$M21),0),IF(iData!AA21&gt;tblIndicators!$AI17,100,IF(ISNUMBER(iData!AA21),100*ABS($G21-(iData!AA21-$I21)/$M21),0)),IF(iData!AA21&lt;0,100,IF(ISNUMBER(iData!AA21),100*ABS($G21-(iData!AA21-$I21)/$M21),0)))</f>
        <v>36.473966227646052</v>
      </c>
      <c r="AI21" s="123" cm="1">
        <f t="array" ref="AI21">CHOOSE($H21,SUMPRODUCT($O22:$O$75*AI22:AI$75*($E22:$E$75=$D21)),IF(ISNUMBER(iData!AB21),100*ABS($G21-(iData!AB21-$K21)/$M21),0),IF(ISNUMBER(iData!AB21),100*ABS($G21-(iData!AB21-$I21)/$M21),0),IF(iData!AB21&gt;tblIndicators!$AI17,100,IF(ISNUMBER(iData!AB21),100*ABS($G21-(iData!AB21-$I21)/$M21),0)),IF(iData!AB21&lt;0,100,IF(ISNUMBER(iData!AB21),100*ABS($G21-(iData!AB21-$I21)/$M21),0)))</f>
        <v>34.363290033728852</v>
      </c>
      <c r="AJ21" s="123" cm="1">
        <f t="array" ref="AJ21">CHOOSE($H21,SUMPRODUCT($O22:$O$75*AJ22:AJ$75*($E22:$E$75=$D21)),IF(ISNUMBER(iData!AC21),100*ABS($G21-(iData!AC21-$K21)/$M21),0),IF(ISNUMBER(iData!AC21),100*ABS($G21-(iData!AC21-$I21)/$M21),0),IF(iData!AC21&gt;tblIndicators!$AI17,100,IF(ISNUMBER(iData!AC21),100*ABS($G21-(iData!AC21-$I21)/$M21),0)),IF(iData!AC21&lt;0,100,IF(ISNUMBER(iData!AC21),100*ABS($G21-(iData!AC21-$I21)/$M21),0)))</f>
        <v>54.324834277370627</v>
      </c>
      <c r="AK21" s="123" cm="1">
        <f t="array" ref="AK21">CHOOSE($H21,SUMPRODUCT($O22:$O$75*AK22:AK$75*($E22:$E$75=$D21)),IF(ISNUMBER(iData!AD21),100*ABS($G21-(iData!AD21-$K21)/$M21),0),IF(ISNUMBER(iData!AD21),100*ABS($G21-(iData!AD21-$I21)/$M21),0),IF(iData!AD21&gt;tblIndicators!$AI17,100,IF(ISNUMBER(iData!AD21),100*ABS($G21-(iData!AD21-$I21)/$M21),0)),IF(iData!AD21&lt;0,100,IF(ISNUMBER(iData!AD21),100*ABS($G21-(iData!AD21-$I21)/$M21),0)))</f>
        <v>67.174377312959606</v>
      </c>
      <c r="AL21" s="123" cm="1">
        <f t="array" ref="AL21">CHOOSE($H21,SUMPRODUCT($O22:$O$75*AL22:AL$75*($E22:$E$75=$D21)),IF(ISNUMBER(iData!AE21),100*ABS($G21-(iData!AE21-$K21)/$M21),0),IF(ISNUMBER(iData!AE21),100*ABS($G21-(iData!AE21-$I21)/$M21),0),IF(iData!AE21&gt;tblIndicators!$AI17,100,IF(ISNUMBER(iData!AE21),100*ABS($G21-(iData!AE21-$I21)/$M21),0)),IF(iData!AE21&lt;0,100,IF(ISNUMBER(iData!AE21),100*ABS($G21-(iData!AE21-$I21)/$M21),0)))</f>
        <v>72.53488718948627</v>
      </c>
      <c r="AM21" s="123" cm="1">
        <f t="array" ref="AM21">CHOOSE($H21,SUMPRODUCT($O22:$O$75*AM22:AM$75*($E22:$E$75=$D21)),IF(ISNUMBER(iData!AF21),100*ABS($G21-(iData!AF21-$K21)/$M21),0),IF(ISNUMBER(iData!AF21),100*ABS($G21-(iData!AF21-$I21)/$M21),0),IF(iData!AF21&gt;tblIndicators!$AI17,100,IF(ISNUMBER(iData!AF21),100*ABS($G21-(iData!AF21-$I21)/$M21),0)),IF(iData!AF21&lt;0,100,IF(ISNUMBER(iData!AF21),100*ABS($G21-(iData!AF21-$I21)/$M21),0)))</f>
        <v>65.324780417338715</v>
      </c>
      <c r="AN21" s="123" cm="1">
        <f t="array" ref="AN21">CHOOSE($H21,SUMPRODUCT($O22:$O$75*AN22:AN$75*($E22:$E$75=$D21)),IF(ISNUMBER(iData!AG21),100*ABS($G21-(iData!AG21-$K21)/$M21),0),IF(ISNUMBER(iData!AG21),100*ABS($G21-(iData!AG21-$I21)/$M21),0),IF(iData!AG21&gt;tblIndicators!$AI17,100,IF(ISNUMBER(iData!AG21),100*ABS($G21-(iData!AG21-$I21)/$M21),0)),IF(iData!AG21&lt;0,100,IF(ISNUMBER(iData!AG21),100*ABS($G21-(iData!AG21-$I21)/$M21),0)))</f>
        <v>41.285507347432691</v>
      </c>
      <c r="AO21" s="123" cm="1">
        <f t="array" ref="AO21">CHOOSE($H21,SUMPRODUCT($O22:$O$75*AO22:AO$75*($E22:$E$75=$D21)),IF(ISNUMBER(iData!AH21),100*ABS($G21-(iData!AH21-$K21)/$M21),0),IF(ISNUMBER(iData!AH21),100*ABS($G21-(iData!AH21-$I21)/$M21),0),IF(iData!AH21&gt;tblIndicators!$AI17,100,IF(ISNUMBER(iData!AH21),100*ABS($G21-(iData!AH21-$I21)/$M21),0)),IF(iData!AH21&lt;0,100,IF(ISNUMBER(iData!AH21),100*ABS($G21-(iData!AH21-$I21)/$M21),0)))</f>
        <v>62.525123401347948</v>
      </c>
      <c r="AP21" s="123" cm="1">
        <f t="array" ref="AP21">CHOOSE($H21,SUMPRODUCT($O22:$O$75*AP22:AP$75*($E22:$E$75=$D21)),IF(ISNUMBER(iData!AI21),100*ABS($G21-(iData!AI21-$K21)/$M21),0),IF(ISNUMBER(iData!AI21),100*ABS($G21-(iData!AI21-$I21)/$M21),0),IF(iData!AI21&gt;tblIndicators!$AI17,100,IF(ISNUMBER(iData!AI21),100*ABS($G21-(iData!AI21-$I21)/$M21),0)),IF(iData!AI21&lt;0,100,IF(ISNUMBER(iData!AI21),100*ABS($G21-(iData!AI21-$I21)/$M21),0)))</f>
        <v>72.672996144065763</v>
      </c>
      <c r="AQ21" s="123" cm="1">
        <f t="array" ref="AQ21">CHOOSE($H21,SUMPRODUCT($O22:$O$75*AQ22:AQ$75*($E22:$E$75=$D21)),IF(ISNUMBER(iData!AJ21),100*ABS($G21-(iData!AJ21-$K21)/$M21),0),IF(ISNUMBER(iData!AJ21),100*ABS($G21-(iData!AJ21-$I21)/$M21),0),IF(iData!AJ21&gt;tblIndicators!$AI17,100,IF(ISNUMBER(iData!AJ21),100*ABS($G21-(iData!AJ21-$I21)/$M21),0)),IF(iData!AJ21&lt;0,100,IF(ISNUMBER(iData!AJ21),100*ABS($G21-(iData!AJ21-$I21)/$M21),0)))</f>
        <v>70.763912705407847</v>
      </c>
      <c r="AR21" s="123" cm="1">
        <f t="array" ref="AR21">CHOOSE($H21,SUMPRODUCT($O22:$O$75*AR22:AR$75*($E22:$E$75=$D21)),IF(ISNUMBER(iData!AK21),100*ABS($G21-(iData!AK21-$K21)/$M21),0),IF(ISNUMBER(iData!AK21),100*ABS($G21-(iData!AK21-$I21)/$M21),0),IF(iData!AK21&gt;tblIndicators!$AI17,100,IF(ISNUMBER(iData!AK21),100*ABS($G21-(iData!AK21-$I21)/$M21),0)),IF(iData!AK21&lt;0,100,IF(ISNUMBER(iData!AK21),100*ABS($G21-(iData!AK21-$I21)/$M21),0)))</f>
        <v>52.806467529096864</v>
      </c>
      <c r="AS21" s="123" cm="1">
        <f t="array" ref="AS21">CHOOSE($H21,SUMPRODUCT($O22:$O$75*AS22:AS$75*($E22:$E$75=$D21)),IF(ISNUMBER(iData!AL21),100*ABS($G21-(iData!AL21-$K21)/$M21),0),IF(ISNUMBER(iData!AL21),100*ABS($G21-(iData!AL21-$I21)/$M21),0),IF(iData!AL21&gt;tblIndicators!$AI17,100,IF(ISNUMBER(iData!AL21),100*ABS($G21-(iData!AL21-$I21)/$M21),0)),IF(iData!AL21&lt;0,100,IF(ISNUMBER(iData!AL21),100*ABS($G21-(iData!AL21-$I21)/$M21),0)))</f>
        <v>64.049759634532307</v>
      </c>
      <c r="AT21" s="123" cm="1">
        <f t="array" ref="AT21">CHOOSE($H21,SUMPRODUCT($O22:$O$75*AT22:AT$75*($E22:$E$75=$D21)),IF(ISNUMBER(iData!AM21),100*ABS($G21-(iData!AM21-$K21)/$M21),0),IF(ISNUMBER(iData!AM21),100*ABS($G21-(iData!AM21-$I21)/$M21),0),IF(iData!AM21&gt;tblIndicators!$AI17,100,IF(ISNUMBER(iData!AM21),100*ABS($G21-(iData!AM21-$I21)/$M21),0)),IF(iData!AM21&lt;0,100,IF(ISNUMBER(iData!AM21),100*ABS($G21-(iData!AM21-$I21)/$M21),0)))</f>
        <v>64.888174562488928</v>
      </c>
      <c r="AU21" s="123" cm="1">
        <f t="array" ref="AU21">CHOOSE($H21,SUMPRODUCT($O22:$O$75*AU22:AU$75*($E22:$E$75=$D21)),IF(ISNUMBER(iData!AN21),100*ABS($G21-(iData!AN21-$K21)/$M21),0),IF(ISNUMBER(iData!AN21),100*ABS($G21-(iData!AN21-$I21)/$M21),0),IF(iData!AN21&gt;tblIndicators!$AI17,100,IF(ISNUMBER(iData!AN21),100*ABS($G21-(iData!AN21-$I21)/$M21),0)),IF(iData!AN21&lt;0,100,IF(ISNUMBER(iData!AN21),100*ABS($G21-(iData!AN21-$I21)/$M21),0)))</f>
        <v>65.713774991611515</v>
      </c>
      <c r="AV21" s="367"/>
      <c r="AW21" s="368"/>
      <c r="AX21" s="14"/>
      <c r="AY21" s="871">
        <f t="shared" si="40"/>
        <v>73.2</v>
      </c>
      <c r="AZ21" s="871">
        <f t="shared" si="41"/>
        <v>49.5</v>
      </c>
      <c r="BA21" s="871">
        <f t="shared" si="42"/>
        <v>52.6</v>
      </c>
      <c r="BB21" s="871">
        <f t="shared" si="43"/>
        <v>72</v>
      </c>
      <c r="BC21" s="871">
        <f t="shared" si="44"/>
        <v>68.3</v>
      </c>
      <c r="BD21" s="871">
        <f t="shared" si="45"/>
        <v>73.8</v>
      </c>
      <c r="BE21" s="871">
        <f t="shared" si="46"/>
        <v>42.2</v>
      </c>
      <c r="BF21" s="871">
        <f t="shared" si="47"/>
        <v>79.3</v>
      </c>
      <c r="BG21" s="871">
        <f t="shared" si="48"/>
        <v>67.5</v>
      </c>
      <c r="BH21" s="871">
        <f t="shared" si="49"/>
        <v>69.8</v>
      </c>
      <c r="BI21" s="871">
        <f t="shared" si="50"/>
        <v>69.900000000000006</v>
      </c>
      <c r="BJ21" s="871">
        <f t="shared" si="51"/>
        <v>70.2</v>
      </c>
      <c r="BK21" s="871">
        <f t="shared" si="52"/>
        <v>42.5</v>
      </c>
      <c r="BL21" s="871">
        <f t="shared" si="53"/>
        <v>52.6</v>
      </c>
      <c r="BM21" s="871">
        <f t="shared" si="54"/>
        <v>73.5</v>
      </c>
      <c r="BN21" s="871">
        <f t="shared" si="55"/>
        <v>61.5</v>
      </c>
      <c r="BO21" s="871">
        <f t="shared" si="56"/>
        <v>36.5</v>
      </c>
      <c r="BP21" s="871">
        <f t="shared" si="57"/>
        <v>34.4</v>
      </c>
      <c r="BQ21" s="871">
        <f t="shared" si="58"/>
        <v>54.3</v>
      </c>
      <c r="BR21" s="871">
        <f t="shared" si="59"/>
        <v>67.2</v>
      </c>
      <c r="BS21" s="871">
        <f t="shared" si="60"/>
        <v>72.5</v>
      </c>
      <c r="BT21" s="871">
        <f t="shared" si="61"/>
        <v>65.3</v>
      </c>
      <c r="BU21" s="871">
        <f t="shared" si="62"/>
        <v>41.3</v>
      </c>
      <c r="BV21" s="871">
        <f t="shared" si="63"/>
        <v>62.5</v>
      </c>
      <c r="BW21" s="871">
        <f t="shared" si="64"/>
        <v>72.7</v>
      </c>
      <c r="BX21" s="871">
        <f t="shared" si="65"/>
        <v>70.8</v>
      </c>
      <c r="BY21" s="871">
        <f t="shared" si="66"/>
        <v>52.8</v>
      </c>
      <c r="BZ21" s="871">
        <f t="shared" si="67"/>
        <v>64</v>
      </c>
      <c r="CA21" s="871">
        <f t="shared" si="68"/>
        <v>64.900000000000006</v>
      </c>
      <c r="CB21" s="871">
        <f t="shared" si="69"/>
        <v>65.7</v>
      </c>
      <c r="CD21" s="304">
        <f t="shared" ca="1" si="38"/>
        <v>61.4</v>
      </c>
      <c r="CE21" s="304">
        <f t="shared" ca="1" si="38"/>
        <v>61.4</v>
      </c>
      <c r="CF21" s="304">
        <f t="shared" ca="1" si="38"/>
        <v>57.1</v>
      </c>
      <c r="CG21" s="302">
        <f t="shared" ca="1" si="38"/>
        <v>70.7</v>
      </c>
      <c r="CH21" s="302">
        <f t="shared" ca="1" si="38"/>
        <v>39.299999999999997</v>
      </c>
      <c r="CI21" s="302">
        <f t="shared" ca="1" si="38"/>
        <v>69.8</v>
      </c>
      <c r="CJ21" s="302">
        <f t="shared" ca="1" si="38"/>
        <v>65.900000000000006</v>
      </c>
      <c r="CK21" s="302">
        <f t="shared" ca="1" si="38"/>
        <v>44.4</v>
      </c>
      <c r="CL21" s="302">
        <f t="shared" ca="1" si="38"/>
        <v>48.6</v>
      </c>
      <c r="CM21" s="302">
        <f t="shared" ca="1" si="38"/>
        <v>67.599999999999994</v>
      </c>
      <c r="CN21" s="302">
        <f t="shared" ref="CN21:CQ42" ca="1" si="101">IFERROR(ROUND(SUMIF(OFFSET(tblGroups,CN$5-1,0,1,$CE$1),1,OFFSET(aScoresRounded,$B21-1,0,1,$CE$1))/SUM(OFFSET(tblGroups,CN$5-1,0,1,$CE$1)),$CF$1),"n/a")</f>
        <v>67.900000000000006</v>
      </c>
      <c r="CO21" s="302">
        <f t="shared" ca="1" si="101"/>
        <v>66.599999999999994</v>
      </c>
      <c r="CP21" s="302">
        <f t="shared" ca="1" si="101"/>
        <v>58.8</v>
      </c>
      <c r="CQ21" s="302">
        <f t="shared" ca="1" si="101"/>
        <v>51.7</v>
      </c>
    </row>
    <row r="22" spans="1:95" s="124" customFormat="1" ht="27.75" customHeight="1" thickBot="1">
      <c r="A22" s="118"/>
      <c r="B22" s="119">
        <f>tblIndicators!A18</f>
        <v>17</v>
      </c>
      <c r="C22" s="119">
        <f>tblIndicators!B18</f>
        <v>0</v>
      </c>
      <c r="D22" s="119" t="str">
        <f>tblIndicators!E18</f>
        <v>SERV2_1</v>
      </c>
      <c r="E22" s="119" t="str">
        <f>tblIndicators!F18</f>
        <v>SERV</v>
      </c>
      <c r="F22" s="119">
        <f>tblIndicators!G18</f>
        <v>2</v>
      </c>
      <c r="G22" s="119">
        <f>tblIndicators!AF18</f>
        <v>0</v>
      </c>
      <c r="H22" s="119">
        <f>tblIndicators!AG18</f>
        <v>1</v>
      </c>
      <c r="I22" s="120">
        <f>tblIndicators!AH18</f>
        <v>0</v>
      </c>
      <c r="J22" s="119">
        <f>tblIndicators!AI18</f>
        <v>0</v>
      </c>
      <c r="K22" s="119">
        <f t="array" ref="K22">MIN(IF(ISNUMBER(iData!K22:AN22),iData!K22:AN22))</f>
        <v>0</v>
      </c>
      <c r="L22" s="121">
        <f t="array" ref="L22">MAX(IF(ISNUMBER(iData!K22:AN22),iData!K22:AN22))</f>
        <v>0</v>
      </c>
      <c r="M22" s="51" t="str">
        <f t="shared" si="7"/>
        <v>-</v>
      </c>
      <c r="N22" s="122" t="str">
        <f>REPT(" ",F22)&amp;tblIndicators!AM18</f>
        <v xml:space="preserve">  2.1) E-gov services for residents &amp; businesses</v>
      </c>
      <c r="O22" s="381">
        <f>tblIndicators!AR18</f>
        <v>0.19230769230769232</v>
      </c>
      <c r="P22" s="381"/>
      <c r="Q22" s="323"/>
      <c r="R22" s="123" cm="1">
        <f t="array" ref="R22">CHOOSE($H22,SUMPRODUCT($O23:$O$75*R23:R$75*($E23:$E$75=$D22)),IF(ISNUMBER(iData!K22),100*ABS($G22-(iData!K22-$K22)/$M22),0),IF(ISNUMBER(iData!K22),100*ABS($G22-(iData!K22-$I22)/$M22),0),IF(iData!K22&gt;tblIndicators!$AI18,100,IF(ISNUMBER(iData!K22),100*ABS($G22-(iData!K22-$I22)/$M22),0)),IF(iData!K22&lt;0,100,IF(ISNUMBER(iData!K22),100*ABS($G22-(iData!K22-$I22)/$M22),0)))</f>
        <v>48.571428571428569</v>
      </c>
      <c r="S22" s="123" cm="1">
        <f t="array" ref="S22">CHOOSE($H22,SUMPRODUCT($O23:$O$75*S23:S$75*($E23:$E$75=$D22)),IF(ISNUMBER(iData!L22),100*ABS($G22-(iData!L22-$K22)/$M22),0),IF(ISNUMBER(iData!L22),100*ABS($G22-(iData!L22-$I22)/$M22),0),IF(iData!L22&gt;tblIndicators!$AI18,100,IF(ISNUMBER(iData!L22),100*ABS($G22-(iData!L22-$I22)/$M22),0)),IF(iData!L22&lt;0,100,IF(ISNUMBER(iData!L22),100*ABS($G22-(iData!L22-$I22)/$M22),0)))</f>
        <v>65.357142857142861</v>
      </c>
      <c r="T22" s="123" cm="1">
        <f t="array" ref="T22">CHOOSE($H22,SUMPRODUCT($O23:$O$75*T23:T$75*($E23:$E$75=$D22)),IF(ISNUMBER(iData!M22),100*ABS($G22-(iData!M22-$K22)/$M22),0),IF(ISNUMBER(iData!M22),100*ABS($G22-(iData!M22-$I22)/$M22),0),IF(iData!M22&gt;tblIndicators!$AI18,100,IF(ISNUMBER(iData!M22),100*ABS($G22-(iData!M22-$I22)/$M22),0)),IF(iData!M22&lt;0,100,IF(ISNUMBER(iData!M22),100*ABS($G22-(iData!M22-$I22)/$M22),0)))</f>
        <v>60.357142857142861</v>
      </c>
      <c r="U22" s="123" cm="1">
        <f t="array" ref="U22">CHOOSE($H22,SUMPRODUCT($O23:$O$75*U23:U$75*($E23:$E$75=$D22)),IF(ISNUMBER(iData!N22),100*ABS($G22-(iData!N22-$K22)/$M22),0),IF(ISNUMBER(iData!N22),100*ABS($G22-(iData!N22-$I22)/$M22),0),IF(iData!N22&gt;tblIndicators!$AI18,100,IF(ISNUMBER(iData!N22),100*ABS($G22-(iData!N22-$I22)/$M22),0)),IF(iData!N22&lt;0,100,IF(ISNUMBER(iData!N22),100*ABS($G22-(iData!N22-$I22)/$M22),0)))</f>
        <v>63.928571428571431</v>
      </c>
      <c r="V22" s="123" cm="1">
        <f t="array" ref="V22">CHOOSE($H22,SUMPRODUCT($O23:$O$75*V23:V$75*($E23:$E$75=$D22)),IF(ISNUMBER(iData!O22),100*ABS($G22-(iData!O22-$K22)/$M22),0),IF(ISNUMBER(iData!O22),100*ABS($G22-(iData!O22-$I22)/$M22),0),IF(iData!O22&gt;tblIndicators!$AI18,100,IF(ISNUMBER(iData!O22),100*ABS($G22-(iData!O22-$I22)/$M22),0)),IF(iData!O22&lt;0,100,IF(ISNUMBER(iData!O22),100*ABS($G22-(iData!O22-$I22)/$M22),0)))</f>
        <v>64.642857142857139</v>
      </c>
      <c r="W22" s="123" cm="1">
        <f t="array" ref="W22">CHOOSE($H22,SUMPRODUCT($O23:$O$75*W23:W$75*($E23:$E$75=$D22)),IF(ISNUMBER(iData!P22),100*ABS($G22-(iData!P22-$K22)/$M22),0),IF(ISNUMBER(iData!P22),100*ABS($G22-(iData!P22-$I22)/$M22),0),IF(iData!P22&gt;tblIndicators!$AI18,100,IF(ISNUMBER(iData!P22),100*ABS($G22-(iData!P22-$I22)/$M22),0)),IF(iData!P22&lt;0,100,IF(ISNUMBER(iData!P22),100*ABS($G22-(iData!P22-$I22)/$M22),0)))</f>
        <v>90.714285714285722</v>
      </c>
      <c r="X22" s="123" cm="1">
        <f t="array" ref="X22">CHOOSE($H22,SUMPRODUCT($O23:$O$75*X23:X$75*($E23:$E$75=$D22)),IF(ISNUMBER(iData!Q22),100*ABS($G22-(iData!Q22-$K22)/$M22),0),IF(ISNUMBER(iData!Q22),100*ABS($G22-(iData!Q22-$I22)/$M22),0),IF(iData!Q22&gt;tblIndicators!$AI18,100,IF(ISNUMBER(iData!Q22),100*ABS($G22-(iData!Q22-$I22)/$M22),0)),IF(iData!Q22&lt;0,100,IF(ISNUMBER(iData!Q22),100*ABS($G22-(iData!Q22-$I22)/$M22),0)))</f>
        <v>46.428571428571431</v>
      </c>
      <c r="Y22" s="123" cm="1">
        <f t="array" ref="Y22">CHOOSE($H22,SUMPRODUCT($O23:$O$75*Y23:Y$75*($E23:$E$75=$D22)),IF(ISNUMBER(iData!R22),100*ABS($G22-(iData!R22-$K22)/$M22),0),IF(ISNUMBER(iData!R22),100*ABS($G22-(iData!R22-$I22)/$M22),0),IF(iData!R22&gt;tblIndicators!$AI18,100,IF(ISNUMBER(iData!R22),100*ABS($G22-(iData!R22-$I22)/$M22),0)),IF(iData!R22&lt;0,100,IF(ISNUMBER(iData!R22),100*ABS($G22-(iData!R22-$I22)/$M22),0)))</f>
        <v>66.785714285714292</v>
      </c>
      <c r="Z22" s="123" cm="1">
        <f t="array" ref="Z22">CHOOSE($H22,SUMPRODUCT($O23:$O$75*Z23:Z$75*($E23:$E$75=$D22)),IF(ISNUMBER(iData!S22),100*ABS($G22-(iData!S22-$K22)/$M22),0),IF(ISNUMBER(iData!S22),100*ABS($G22-(iData!S22-$I22)/$M22),0),IF(iData!S22&gt;tblIndicators!$AI18,100,IF(ISNUMBER(iData!S22),100*ABS($G22-(iData!S22-$I22)/$M22),0)),IF(iData!S22&lt;0,100,IF(ISNUMBER(iData!S22),100*ABS($G22-(iData!S22-$I22)/$M22),0)))</f>
        <v>66.071428571428584</v>
      </c>
      <c r="AA22" s="123" cm="1">
        <f t="array" ref="AA22">CHOOSE($H22,SUMPRODUCT($O23:$O$75*AA23:AA$75*($E23:$E$75=$D22)),IF(ISNUMBER(iData!T22),100*ABS($G22-(iData!T22-$K22)/$M22),0),IF(ISNUMBER(iData!T22),100*ABS($G22-(iData!T22-$I22)/$M22),0),IF(iData!T22&gt;tblIndicators!$AI18,100,IF(ISNUMBER(iData!T22),100*ABS($G22-(iData!T22-$I22)/$M22),0)),IF(iData!T22&lt;0,100,IF(ISNUMBER(iData!T22),100*ABS($G22-(iData!T22-$I22)/$M22),0)))</f>
        <v>64.285714285714292</v>
      </c>
      <c r="AB22" s="123" cm="1">
        <f t="array" ref="AB22">CHOOSE($H22,SUMPRODUCT($O23:$O$75*AB23:AB$75*($E23:$E$75=$D22)),IF(ISNUMBER(iData!U22),100*ABS($G22-(iData!U22-$K22)/$M22),0),IF(ISNUMBER(iData!U22),100*ABS($G22-(iData!U22-$I22)/$M22),0),IF(iData!U22&gt;tblIndicators!$AI18,100,IF(ISNUMBER(iData!U22),100*ABS($G22-(iData!U22-$I22)/$M22),0)),IF(iData!U22&lt;0,100,IF(ISNUMBER(iData!U22),100*ABS($G22-(iData!U22-$I22)/$M22),0)))</f>
        <v>90.714285714285722</v>
      </c>
      <c r="AC22" s="123" cm="1">
        <f t="array" ref="AC22">CHOOSE($H22,SUMPRODUCT($O23:$O$75*AC23:AC$75*($E23:$E$75=$D22)),IF(ISNUMBER(iData!V22),100*ABS($G22-(iData!V22-$K22)/$M22),0),IF(ISNUMBER(iData!V22),100*ABS($G22-(iData!V22-$I22)/$M22),0),IF(iData!V22&gt;tblIndicators!$AI18,100,IF(ISNUMBER(iData!V22),100*ABS($G22-(iData!V22-$I22)/$M22),0)),IF(iData!V22&lt;0,100,IF(ISNUMBER(iData!V22),100*ABS($G22-(iData!V22-$I22)/$M22),0)))</f>
        <v>65.714285714285722</v>
      </c>
      <c r="AD22" s="123" cm="1">
        <f t="array" ref="AD22">CHOOSE($H22,SUMPRODUCT($O23:$O$75*AD23:AD$75*($E23:$E$75=$D22)),IF(ISNUMBER(iData!W22),100*ABS($G22-(iData!W22-$K22)/$M22),0),IF(ISNUMBER(iData!W22),100*ABS($G22-(iData!W22-$I22)/$M22),0),IF(iData!W22&gt;tblIndicators!$AI18,100,IF(ISNUMBER(iData!W22),100*ABS($G22-(iData!W22-$I22)/$M22),0)),IF(iData!W22&lt;0,100,IF(ISNUMBER(iData!W22),100*ABS($G22-(iData!W22-$I22)/$M22),0)))</f>
        <v>56.428571428571431</v>
      </c>
      <c r="AE22" s="123" cm="1">
        <f t="array" ref="AE22">CHOOSE($H22,SUMPRODUCT($O23:$O$75*AE23:AE$75*($E23:$E$75=$D22)),IF(ISNUMBER(iData!X22),100*ABS($G22-(iData!X22-$K22)/$M22),0),IF(ISNUMBER(iData!X22),100*ABS($G22-(iData!X22-$I22)/$M22),0),IF(iData!X22&gt;tblIndicators!$AI18,100,IF(ISNUMBER(iData!X22),100*ABS($G22-(iData!X22-$I22)/$M22),0)),IF(iData!X22&lt;0,100,IF(ISNUMBER(iData!X22),100*ABS($G22-(iData!X22-$I22)/$M22),0)))</f>
        <v>62.5</v>
      </c>
      <c r="AF22" s="123" cm="1">
        <f t="array" ref="AF22">CHOOSE($H22,SUMPRODUCT($O23:$O$75*AF23:AF$75*($E23:$E$75=$D22)),IF(ISNUMBER(iData!Y22),100*ABS($G22-(iData!Y22-$K22)/$M22),0),IF(ISNUMBER(iData!Y22),100*ABS($G22-(iData!Y22-$I22)/$M22),0),IF(iData!Y22&gt;tblIndicators!$AI18,100,IF(ISNUMBER(iData!Y22),100*ABS($G22-(iData!Y22-$I22)/$M22),0)),IF(iData!Y22&lt;0,100,IF(ISNUMBER(iData!Y22),100*ABS($G22-(iData!Y22-$I22)/$M22),0)))</f>
        <v>66.428571428571431</v>
      </c>
      <c r="AG22" s="123" cm="1">
        <f t="array" ref="AG22">CHOOSE($H22,SUMPRODUCT($O23:$O$75*AG23:AG$75*($E23:$E$75=$D22)),IF(ISNUMBER(iData!Z22),100*ABS($G22-(iData!Z22-$K22)/$M22),0),IF(ISNUMBER(iData!Z22),100*ABS($G22-(iData!Z22-$I22)/$M22),0),IF(iData!Z22&gt;tblIndicators!$AI18,100,IF(ISNUMBER(iData!Z22),100*ABS($G22-(iData!Z22-$I22)/$M22),0)),IF(iData!Z22&lt;0,100,IF(ISNUMBER(iData!Z22),100*ABS($G22-(iData!Z22-$I22)/$M22),0)))</f>
        <v>63.928571428571431</v>
      </c>
      <c r="AH22" s="123" cm="1">
        <f t="array" ref="AH22">CHOOSE($H22,SUMPRODUCT($O23:$O$75*AH23:AH$75*($E23:$E$75=$D22)),IF(ISNUMBER(iData!AA22),100*ABS($G22-(iData!AA22-$K22)/$M22),0),IF(ISNUMBER(iData!AA22),100*ABS($G22-(iData!AA22-$I22)/$M22),0),IF(iData!AA22&gt;tblIndicators!$AI18,100,IF(ISNUMBER(iData!AA22),100*ABS($G22-(iData!AA22-$I22)/$M22),0)),IF(iData!AA22&lt;0,100,IF(ISNUMBER(iData!AA22),100*ABS($G22-(iData!AA22-$I22)/$M22),0)))</f>
        <v>58.214285714285722</v>
      </c>
      <c r="AI22" s="123" cm="1">
        <f t="array" ref="AI22">CHOOSE($H22,SUMPRODUCT($O23:$O$75*AI23:AI$75*($E23:$E$75=$D22)),IF(ISNUMBER(iData!AB22),100*ABS($G22-(iData!AB22-$K22)/$M22),0),IF(ISNUMBER(iData!AB22),100*ABS($G22-(iData!AB22-$I22)/$M22),0),IF(iData!AB22&gt;tblIndicators!$AI18,100,IF(ISNUMBER(iData!AB22),100*ABS($G22-(iData!AB22-$I22)/$M22),0)),IF(iData!AB22&lt;0,100,IF(ISNUMBER(iData!AB22),100*ABS($G22-(iData!AB22-$I22)/$M22),0)))</f>
        <v>61.428571428571431</v>
      </c>
      <c r="AJ22" s="123" cm="1">
        <f t="array" ref="AJ22">CHOOSE($H22,SUMPRODUCT($O23:$O$75*AJ23:AJ$75*($E23:$E$75=$D22)),IF(ISNUMBER(iData!AC22),100*ABS($G22-(iData!AC22-$K22)/$M22),0),IF(ISNUMBER(iData!AC22),100*ABS($G22-(iData!AC22-$I22)/$M22),0),IF(iData!AC22&gt;tblIndicators!$AI18,100,IF(ISNUMBER(iData!AC22),100*ABS($G22-(iData!AC22-$I22)/$M22),0)),IF(iData!AC22&lt;0,100,IF(ISNUMBER(iData!AC22),100*ABS($G22-(iData!AC22-$I22)/$M22),0)))</f>
        <v>94.642857142857139</v>
      </c>
      <c r="AK22" s="123" cm="1">
        <f t="array" ref="AK22">CHOOSE($H22,SUMPRODUCT($O23:$O$75*AK23:AK$75*($E23:$E$75=$D22)),IF(ISNUMBER(iData!AD22),100*ABS($G22-(iData!AD22-$K22)/$M22),0),IF(ISNUMBER(iData!AD22),100*ABS($G22-(iData!AD22-$I22)/$M22),0),IF(iData!AD22&gt;tblIndicators!$AI18,100,IF(ISNUMBER(iData!AD22),100*ABS($G22-(iData!AD22-$I22)/$M22),0)),IF(iData!AD22&lt;0,100,IF(ISNUMBER(iData!AD22),100*ABS($G22-(iData!AD22-$I22)/$M22),0)))</f>
        <v>66.071428571428584</v>
      </c>
      <c r="AL22" s="123" cm="1">
        <f t="array" ref="AL22">CHOOSE($H22,SUMPRODUCT($O23:$O$75*AL23:AL$75*($E23:$E$75=$D22)),IF(ISNUMBER(iData!AE22),100*ABS($G22-(iData!AE22-$K22)/$M22),0),IF(ISNUMBER(iData!AE22),100*ABS($G22-(iData!AE22-$I22)/$M22),0),IF(iData!AE22&gt;tblIndicators!$AI18,100,IF(ISNUMBER(iData!AE22),100*ABS($G22-(iData!AE22-$I22)/$M22),0)),IF(iData!AE22&lt;0,100,IF(ISNUMBER(iData!AE22),100*ABS($G22-(iData!AE22-$I22)/$M22),0)))</f>
        <v>63.571428571428577</v>
      </c>
      <c r="AM22" s="123" cm="1">
        <f t="array" ref="AM22">CHOOSE($H22,SUMPRODUCT($O23:$O$75*AM23:AM$75*($E23:$E$75=$D22)),IF(ISNUMBER(iData!AF22),100*ABS($G22-(iData!AF22-$K22)/$M22),0),IF(ISNUMBER(iData!AF22),100*ABS($G22-(iData!AF22-$I22)/$M22),0),IF(iData!AF22&gt;tblIndicators!$AI18,100,IF(ISNUMBER(iData!AF22),100*ABS($G22-(iData!AF22-$I22)/$M22),0)),IF(iData!AF22&lt;0,100,IF(ISNUMBER(iData!AF22),100*ABS($G22-(iData!AF22-$I22)/$M22),0)))</f>
        <v>61.785714285714292</v>
      </c>
      <c r="AN22" s="123" cm="1">
        <f t="array" ref="AN22">CHOOSE($H22,SUMPRODUCT($O23:$O$75*AN23:AN$75*($E23:$E$75=$D22)),IF(ISNUMBER(iData!AG22),100*ABS($G22-(iData!AG22-$K22)/$M22),0),IF(ISNUMBER(iData!AG22),100*ABS($G22-(iData!AG22-$I22)/$M22),0),IF(iData!AG22&gt;tblIndicators!$AI18,100,IF(ISNUMBER(iData!AG22),100*ABS($G22-(iData!AG22-$I22)/$M22),0)),IF(iData!AG22&lt;0,100,IF(ISNUMBER(iData!AG22),100*ABS($G22-(iData!AG22-$I22)/$M22),0)))</f>
        <v>95.357142857142861</v>
      </c>
      <c r="AO22" s="123" cm="1">
        <f t="array" ref="AO22">CHOOSE($H22,SUMPRODUCT($O23:$O$75*AO23:AO$75*($E23:$E$75=$D22)),IF(ISNUMBER(iData!AH22),100*ABS($G22-(iData!AH22-$K22)/$M22),0),IF(ISNUMBER(iData!AH22),100*ABS($G22-(iData!AH22-$I22)/$M22),0),IF(iData!AH22&gt;tblIndicators!$AI18,100,IF(ISNUMBER(iData!AH22),100*ABS($G22-(iData!AH22-$I22)/$M22),0)),IF(iData!AH22&lt;0,100,IF(ISNUMBER(iData!AH22),100*ABS($G22-(iData!AH22-$I22)/$M22),0)))</f>
        <v>51.785714285714292</v>
      </c>
      <c r="AP22" s="123" cm="1">
        <f t="array" ref="AP22">CHOOSE($H22,SUMPRODUCT($O23:$O$75*AP23:AP$75*($E23:$E$75=$D22)),IF(ISNUMBER(iData!AI22),100*ABS($G22-(iData!AI22-$K22)/$M22),0),IF(ISNUMBER(iData!AI22),100*ABS($G22-(iData!AI22-$I22)/$M22),0),IF(iData!AI22&gt;tblIndicators!$AI18,100,IF(ISNUMBER(iData!AI22),100*ABS($G22-(iData!AI22-$I22)/$M22),0)),IF(iData!AI22&lt;0,100,IF(ISNUMBER(iData!AI22),100*ABS($G22-(iData!AI22-$I22)/$M22),0)))</f>
        <v>98.571428571428584</v>
      </c>
      <c r="AQ22" s="123" cm="1">
        <f t="array" ref="AQ22">CHOOSE($H22,SUMPRODUCT($O23:$O$75*AQ23:AQ$75*($E23:$E$75=$D22)),IF(ISNUMBER(iData!AJ22),100*ABS($G22-(iData!AJ22-$K22)/$M22),0),IF(ISNUMBER(iData!AJ22),100*ABS($G22-(iData!AJ22-$I22)/$M22),0),IF(iData!AJ22&gt;tblIndicators!$AI18,100,IF(ISNUMBER(iData!AJ22),100*ABS($G22-(iData!AJ22-$I22)/$M22),0)),IF(iData!AJ22&lt;0,100,IF(ISNUMBER(iData!AJ22),100*ABS($G22-(iData!AJ22-$I22)/$M22),0)))</f>
        <v>66.071428571428584</v>
      </c>
      <c r="AR22" s="123" cm="1">
        <f t="array" ref="AR22">CHOOSE($H22,SUMPRODUCT($O23:$O$75*AR23:AR$75*($E23:$E$75=$D22)),IF(ISNUMBER(iData!AK22),100*ABS($G22-(iData!AK22-$K22)/$M22),0),IF(ISNUMBER(iData!AK22),100*ABS($G22-(iData!AK22-$I22)/$M22),0),IF(iData!AK22&gt;tblIndicators!$AI18,100,IF(ISNUMBER(iData!AK22),100*ABS($G22-(iData!AK22-$I22)/$M22),0)),IF(iData!AK22&lt;0,100,IF(ISNUMBER(iData!AK22),100*ABS($G22-(iData!AK22-$I22)/$M22),0)))</f>
        <v>64.642857142857139</v>
      </c>
      <c r="AS22" s="123" cm="1">
        <f t="array" ref="AS22">CHOOSE($H22,SUMPRODUCT($O23:$O$75*AS23:AS$75*($E23:$E$75=$D22)),IF(ISNUMBER(iData!AL22),100*ABS($G22-(iData!AL22-$K22)/$M22),0),IF(ISNUMBER(iData!AL22),100*ABS($G22-(iData!AL22-$I22)/$M22),0),IF(iData!AL22&gt;tblIndicators!$AI18,100,IF(ISNUMBER(iData!AL22),100*ABS($G22-(iData!AL22-$I22)/$M22),0)),IF(iData!AL22&lt;0,100,IF(ISNUMBER(iData!AL22),100*ABS($G22-(iData!AL22-$I22)/$M22),0)))</f>
        <v>94.285714285714292</v>
      </c>
      <c r="AT22" s="123" cm="1">
        <f t="array" ref="AT22">CHOOSE($H22,SUMPRODUCT($O23:$O$75*AT23:AT$75*($E23:$E$75=$D22)),IF(ISNUMBER(iData!AM22),100*ABS($G22-(iData!AM22-$K22)/$M22),0),IF(ISNUMBER(iData!AM22),100*ABS($G22-(iData!AM22-$I22)/$M22),0),IF(iData!AM22&gt;tblIndicators!$AI18,100,IF(ISNUMBER(iData!AM22),100*ABS($G22-(iData!AM22-$I22)/$M22),0)),IF(iData!AM22&lt;0,100,IF(ISNUMBER(iData!AM22),100*ABS($G22-(iData!AM22-$I22)/$M22),0)))</f>
        <v>66.071428571428584</v>
      </c>
      <c r="AU22" s="123" cm="1">
        <f t="array" ref="AU22">CHOOSE($H22,SUMPRODUCT($O23:$O$75*AU23:AU$75*($E23:$E$75=$D22)),IF(ISNUMBER(iData!AN22),100*ABS($G22-(iData!AN22-$K22)/$M22),0),IF(ISNUMBER(iData!AN22),100*ABS($G22-(iData!AN22-$I22)/$M22),0),IF(iData!AN22&gt;tblIndicators!$AI18,100,IF(ISNUMBER(iData!AN22),100*ABS($G22-(iData!AN22-$I22)/$M22),0)),IF(iData!AN22&lt;0,100,IF(ISNUMBER(iData!AN22),100*ABS($G22-(iData!AN22-$I22)/$M22),0)))</f>
        <v>61.785714285714292</v>
      </c>
      <c r="AV22" s="367"/>
      <c r="AW22" s="368"/>
      <c r="AX22" s="14"/>
      <c r="AY22" s="871">
        <f t="shared" si="40"/>
        <v>48.6</v>
      </c>
      <c r="AZ22" s="871">
        <f t="shared" si="41"/>
        <v>65.400000000000006</v>
      </c>
      <c r="BA22" s="871">
        <f t="shared" si="42"/>
        <v>60.4</v>
      </c>
      <c r="BB22" s="871">
        <f t="shared" si="43"/>
        <v>63.9</v>
      </c>
      <c r="BC22" s="871">
        <f t="shared" si="44"/>
        <v>64.599999999999994</v>
      </c>
      <c r="BD22" s="871">
        <f t="shared" si="45"/>
        <v>90.7</v>
      </c>
      <c r="BE22" s="871">
        <f t="shared" si="46"/>
        <v>46.4</v>
      </c>
      <c r="BF22" s="871">
        <f t="shared" si="47"/>
        <v>66.8</v>
      </c>
      <c r="BG22" s="871">
        <f t="shared" si="48"/>
        <v>66.099999999999994</v>
      </c>
      <c r="BH22" s="871">
        <f t="shared" si="49"/>
        <v>64.3</v>
      </c>
      <c r="BI22" s="871">
        <f t="shared" si="50"/>
        <v>90.7</v>
      </c>
      <c r="BJ22" s="871">
        <f t="shared" si="51"/>
        <v>65.7</v>
      </c>
      <c r="BK22" s="871">
        <f t="shared" si="52"/>
        <v>56.4</v>
      </c>
      <c r="BL22" s="871">
        <f t="shared" si="53"/>
        <v>62.5</v>
      </c>
      <c r="BM22" s="871">
        <f t="shared" si="54"/>
        <v>66.400000000000006</v>
      </c>
      <c r="BN22" s="871">
        <f t="shared" si="55"/>
        <v>63.9</v>
      </c>
      <c r="BO22" s="871">
        <f t="shared" si="56"/>
        <v>58.2</v>
      </c>
      <c r="BP22" s="871">
        <f t="shared" si="57"/>
        <v>61.4</v>
      </c>
      <c r="BQ22" s="871">
        <f t="shared" si="58"/>
        <v>94.6</v>
      </c>
      <c r="BR22" s="871">
        <f t="shared" si="59"/>
        <v>66.099999999999994</v>
      </c>
      <c r="BS22" s="871">
        <f t="shared" si="60"/>
        <v>63.6</v>
      </c>
      <c r="BT22" s="871">
        <f t="shared" si="61"/>
        <v>61.8</v>
      </c>
      <c r="BU22" s="871">
        <f t="shared" si="62"/>
        <v>95.4</v>
      </c>
      <c r="BV22" s="871">
        <f t="shared" si="63"/>
        <v>51.8</v>
      </c>
      <c r="BW22" s="871">
        <f t="shared" si="64"/>
        <v>98.6</v>
      </c>
      <c r="BX22" s="871">
        <f t="shared" si="65"/>
        <v>66.099999999999994</v>
      </c>
      <c r="BY22" s="871">
        <f t="shared" si="66"/>
        <v>64.599999999999994</v>
      </c>
      <c r="BZ22" s="871">
        <f t="shared" si="67"/>
        <v>94.3</v>
      </c>
      <c r="CA22" s="871">
        <f t="shared" si="68"/>
        <v>66.099999999999994</v>
      </c>
      <c r="CB22" s="871">
        <f t="shared" si="69"/>
        <v>61.8</v>
      </c>
      <c r="CD22" s="304">
        <f t="shared" ca="1" si="38"/>
        <v>68.2</v>
      </c>
      <c r="CE22" s="304">
        <f t="shared" ca="1" si="38"/>
        <v>68.2</v>
      </c>
      <c r="CF22" s="304">
        <f t="shared" ca="1" si="38"/>
        <v>67.400000000000006</v>
      </c>
      <c r="CG22" s="302">
        <f t="shared" ca="1" si="38"/>
        <v>67.8</v>
      </c>
      <c r="CH22" s="302">
        <f t="shared" ca="1" si="38"/>
        <v>67.7</v>
      </c>
      <c r="CI22" s="302">
        <f t="shared" ca="1" si="38"/>
        <v>64.3</v>
      </c>
      <c r="CJ22" s="302">
        <f t="shared" ca="1" si="38"/>
        <v>73.2</v>
      </c>
      <c r="CK22" s="302">
        <f t="shared" ca="1" si="38"/>
        <v>69.7</v>
      </c>
      <c r="CL22" s="302">
        <f t="shared" ca="1" si="38"/>
        <v>65.099999999999994</v>
      </c>
      <c r="CM22" s="302">
        <f t="shared" ca="1" si="38"/>
        <v>68.900000000000006</v>
      </c>
      <c r="CN22" s="302">
        <f t="shared" ca="1" si="101"/>
        <v>65.7</v>
      </c>
      <c r="CO22" s="302">
        <f t="shared" ca="1" si="101"/>
        <v>74.599999999999994</v>
      </c>
      <c r="CP22" s="302">
        <f t="shared" ca="1" si="101"/>
        <v>62.2</v>
      </c>
      <c r="CQ22" s="302">
        <f t="shared" ca="1" si="101"/>
        <v>66.8</v>
      </c>
    </row>
    <row r="23" spans="1:95" s="124" customFormat="1" ht="27.75" customHeight="1" thickBot="1">
      <c r="A23" s="118"/>
      <c r="B23" s="119">
        <f>tblIndicators!A19</f>
        <v>18</v>
      </c>
      <c r="C23" s="119">
        <f>tblIndicators!B19</f>
        <v>0</v>
      </c>
      <c r="D23" s="119" t="str">
        <f>tblIndicators!E19</f>
        <v>SERV2_1_1</v>
      </c>
      <c r="E23" s="119" t="str">
        <f>tblIndicators!F19</f>
        <v>SERV2_1</v>
      </c>
      <c r="F23" s="119">
        <f>tblIndicators!G19</f>
        <v>3</v>
      </c>
      <c r="G23" s="119">
        <f>tblIndicators!AF19</f>
        <v>0</v>
      </c>
      <c r="H23" s="119">
        <f>tblIndicators!AG19</f>
        <v>3</v>
      </c>
      <c r="I23" s="120">
        <f>tblIndicators!AH19</f>
        <v>0</v>
      </c>
      <c r="J23" s="119">
        <f>tblIndicators!AI19</f>
        <v>1</v>
      </c>
      <c r="K23" s="119">
        <f t="array" ref="K23">MIN(IF(ISNUMBER(iData!K23:AN23),iData!K23:AN23))</f>
        <v>0</v>
      </c>
      <c r="L23" s="121">
        <f t="array" ref="L23">MAX(IF(ISNUMBER(iData!K23:AN23),iData!K23:AN23))</f>
        <v>1</v>
      </c>
      <c r="M23" s="51">
        <f t="shared" si="7"/>
        <v>1</v>
      </c>
      <c r="N23" s="122" t="str">
        <f>REPT(" ",F23)&amp;tblIndicators!AM19</f>
        <v xml:space="preserve">   2.1.1) Mobile digital national ID</v>
      </c>
      <c r="O23" s="381">
        <f>tblIndicators!AR19</f>
        <v>0.32142857142857145</v>
      </c>
      <c r="P23" s="381"/>
      <c r="Q23" s="323"/>
      <c r="R23" s="123" cm="1">
        <f t="array" ref="R23">CHOOSE($H23,SUMPRODUCT($O24:$O$75*R24:R$75*($E24:$E$75=$D23)),IF(ISNUMBER(iData!K23),100*ABS($G23-(iData!K23-$K23)/$M23),0),IF(ISNUMBER(iData!K23),100*ABS($G23-(iData!K23-$I23)/$M23),0),IF(iData!K23&gt;tblIndicators!$AI19,100,IF(ISNUMBER(iData!K23),100*ABS($G23-(iData!K23-$I23)/$M23),0)),IF(iData!K23&lt;0,100,IF(ISNUMBER(iData!K23),100*ABS($G23-(iData!K23-$I23)/$M23),0)))</f>
        <v>0</v>
      </c>
      <c r="S23" s="123" cm="1">
        <f t="array" ref="S23">CHOOSE($H23,SUMPRODUCT($O24:$O$75*S24:S$75*($E24:$E$75=$D23)),IF(ISNUMBER(iData!L23),100*ABS($G23-(iData!L23-$K23)/$M23),0),IF(ISNUMBER(iData!L23),100*ABS($G23-(iData!L23-$I23)/$M23),0),IF(iData!L23&gt;tblIndicators!$AI19,100,IF(ISNUMBER(iData!L23),100*ABS($G23-(iData!L23-$I23)/$M23),0)),IF(iData!L23&lt;0,100,IF(ISNUMBER(iData!L23),100*ABS($G23-(iData!L23-$I23)/$M23),0)))</f>
        <v>0</v>
      </c>
      <c r="T23" s="123" cm="1">
        <f t="array" ref="T23">CHOOSE($H23,SUMPRODUCT($O24:$O$75*T24:T$75*($E24:$E$75=$D23)),IF(ISNUMBER(iData!M23),100*ABS($G23-(iData!M23-$K23)/$M23),0),IF(ISNUMBER(iData!M23),100*ABS($G23-(iData!M23-$I23)/$M23),0),IF(iData!M23&gt;tblIndicators!$AI19,100,IF(ISNUMBER(iData!M23),100*ABS($G23-(iData!M23-$I23)/$M23),0)),IF(iData!M23&lt;0,100,IF(ISNUMBER(iData!M23),100*ABS($G23-(iData!M23-$I23)/$M23),0)))</f>
        <v>0</v>
      </c>
      <c r="U23" s="123" cm="1">
        <f t="array" ref="U23">CHOOSE($H23,SUMPRODUCT($O24:$O$75*U24:U$75*($E24:$E$75=$D23)),IF(ISNUMBER(iData!N23),100*ABS($G23-(iData!N23-$K23)/$M23),0),IF(ISNUMBER(iData!N23),100*ABS($G23-(iData!N23-$I23)/$M23),0),IF(iData!N23&gt;tblIndicators!$AI19,100,IF(ISNUMBER(iData!N23),100*ABS($G23-(iData!N23-$I23)/$M23),0)),IF(iData!N23&lt;0,100,IF(ISNUMBER(iData!N23),100*ABS($G23-(iData!N23-$I23)/$M23),0)))</f>
        <v>0</v>
      </c>
      <c r="V23" s="123" cm="1">
        <f t="array" ref="V23">CHOOSE($H23,SUMPRODUCT($O24:$O$75*V24:V$75*($E24:$E$75=$D23)),IF(ISNUMBER(iData!O23),100*ABS($G23-(iData!O23-$K23)/$M23),0),IF(ISNUMBER(iData!O23),100*ABS($G23-(iData!O23-$I23)/$M23),0),IF(iData!O23&gt;tblIndicators!$AI19,100,IF(ISNUMBER(iData!O23),100*ABS($G23-(iData!O23-$I23)/$M23),0)),IF(iData!O23&lt;0,100,IF(ISNUMBER(iData!O23),100*ABS($G23-(iData!O23-$I23)/$M23),0)))</f>
        <v>0</v>
      </c>
      <c r="W23" s="123" cm="1">
        <f t="array" ref="W23">CHOOSE($H23,SUMPRODUCT($O24:$O$75*W24:W$75*($E24:$E$75=$D23)),IF(ISNUMBER(iData!P23),100*ABS($G23-(iData!P23-$K23)/$M23),0),IF(ISNUMBER(iData!P23),100*ABS($G23-(iData!P23-$I23)/$M23),0),IF(iData!P23&gt;tblIndicators!$AI19,100,IF(ISNUMBER(iData!P23),100*ABS($G23-(iData!P23-$I23)/$M23),0)),IF(iData!P23&lt;0,100,IF(ISNUMBER(iData!P23),100*ABS($G23-(iData!P23-$I23)/$M23),0)))</f>
        <v>100</v>
      </c>
      <c r="X23" s="123" cm="1">
        <f t="array" ref="X23">CHOOSE($H23,SUMPRODUCT($O24:$O$75*X24:X$75*($E24:$E$75=$D23)),IF(ISNUMBER(iData!Q23),100*ABS($G23-(iData!Q23-$K23)/$M23),0),IF(ISNUMBER(iData!Q23),100*ABS($G23-(iData!Q23-$I23)/$M23),0),IF(iData!Q23&gt;tblIndicators!$AI19,100,IF(ISNUMBER(iData!Q23),100*ABS($G23-(iData!Q23-$I23)/$M23),0)),IF(iData!Q23&lt;0,100,IF(ISNUMBER(iData!Q23),100*ABS($G23-(iData!Q23-$I23)/$M23),0)))</f>
        <v>0</v>
      </c>
      <c r="Y23" s="123" cm="1">
        <f t="array" ref="Y23">CHOOSE($H23,SUMPRODUCT($O24:$O$75*Y24:Y$75*($E24:$E$75=$D23)),IF(ISNUMBER(iData!R23),100*ABS($G23-(iData!R23-$K23)/$M23),0),IF(ISNUMBER(iData!R23),100*ABS($G23-(iData!R23-$I23)/$M23),0),IF(iData!R23&gt;tblIndicators!$AI19,100,IF(ISNUMBER(iData!R23),100*ABS($G23-(iData!R23-$I23)/$M23),0)),IF(iData!R23&lt;0,100,IF(ISNUMBER(iData!R23),100*ABS($G23-(iData!R23-$I23)/$M23),0)))</f>
        <v>0</v>
      </c>
      <c r="Z23" s="123" cm="1">
        <f t="array" ref="Z23">CHOOSE($H23,SUMPRODUCT($O24:$O$75*Z24:Z$75*($E24:$E$75=$D23)),IF(ISNUMBER(iData!S23),100*ABS($G23-(iData!S23-$K23)/$M23),0),IF(ISNUMBER(iData!S23),100*ABS($G23-(iData!S23-$I23)/$M23),0),IF(iData!S23&gt;tblIndicators!$AI19,100,IF(ISNUMBER(iData!S23),100*ABS($G23-(iData!S23-$I23)/$M23),0)),IF(iData!S23&lt;0,100,IF(ISNUMBER(iData!S23),100*ABS($G23-(iData!S23-$I23)/$M23),0)))</f>
        <v>0</v>
      </c>
      <c r="AA23" s="123" cm="1">
        <f t="array" ref="AA23">CHOOSE($H23,SUMPRODUCT($O24:$O$75*AA24:AA$75*($E24:$E$75=$D23)),IF(ISNUMBER(iData!T23),100*ABS($G23-(iData!T23-$K23)/$M23),0),IF(ISNUMBER(iData!T23),100*ABS($G23-(iData!T23-$I23)/$M23),0),IF(iData!T23&gt;tblIndicators!$AI19,100,IF(ISNUMBER(iData!T23),100*ABS($G23-(iData!T23-$I23)/$M23),0)),IF(iData!T23&lt;0,100,IF(ISNUMBER(iData!T23),100*ABS($G23-(iData!T23-$I23)/$M23),0)))</f>
        <v>0</v>
      </c>
      <c r="AB23" s="123" cm="1">
        <f t="array" ref="AB23">CHOOSE($H23,SUMPRODUCT($O24:$O$75*AB24:AB$75*($E24:$E$75=$D23)),IF(ISNUMBER(iData!U23),100*ABS($G23-(iData!U23-$K23)/$M23),0),IF(ISNUMBER(iData!U23),100*ABS($G23-(iData!U23-$I23)/$M23),0),IF(iData!U23&gt;tblIndicators!$AI19,100,IF(ISNUMBER(iData!U23),100*ABS($G23-(iData!U23-$I23)/$M23),0)),IF(iData!U23&lt;0,100,IF(ISNUMBER(iData!U23),100*ABS($G23-(iData!U23-$I23)/$M23),0)))</f>
        <v>100</v>
      </c>
      <c r="AC23" s="123" cm="1">
        <f t="array" ref="AC23">CHOOSE($H23,SUMPRODUCT($O24:$O$75*AC24:AC$75*($E24:$E$75=$D23)),IF(ISNUMBER(iData!V23),100*ABS($G23-(iData!V23-$K23)/$M23),0),IF(ISNUMBER(iData!V23),100*ABS($G23-(iData!V23-$I23)/$M23),0),IF(iData!V23&gt;tblIndicators!$AI19,100,IF(ISNUMBER(iData!V23),100*ABS($G23-(iData!V23-$I23)/$M23),0)),IF(iData!V23&lt;0,100,IF(ISNUMBER(iData!V23),100*ABS($G23-(iData!V23-$I23)/$M23),0)))</f>
        <v>0</v>
      </c>
      <c r="AD23" s="123" cm="1">
        <f t="array" ref="AD23">CHOOSE($H23,SUMPRODUCT($O24:$O$75*AD24:AD$75*($E24:$E$75=$D23)),IF(ISNUMBER(iData!W23),100*ABS($G23-(iData!W23-$K23)/$M23),0),IF(ISNUMBER(iData!W23),100*ABS($G23-(iData!W23-$I23)/$M23),0),IF(iData!W23&gt;tblIndicators!$AI19,100,IF(ISNUMBER(iData!W23),100*ABS($G23-(iData!W23-$I23)/$M23),0)),IF(iData!W23&lt;0,100,IF(ISNUMBER(iData!W23),100*ABS($G23-(iData!W23-$I23)/$M23),0)))</f>
        <v>0</v>
      </c>
      <c r="AE23" s="123" cm="1">
        <f t="array" ref="AE23">CHOOSE($H23,SUMPRODUCT($O24:$O$75*AE24:AE$75*($E24:$E$75=$D23)),IF(ISNUMBER(iData!X23),100*ABS($G23-(iData!X23-$K23)/$M23),0),IF(ISNUMBER(iData!X23),100*ABS($G23-(iData!X23-$I23)/$M23),0),IF(iData!X23&gt;tblIndicators!$AI19,100,IF(ISNUMBER(iData!X23),100*ABS($G23-(iData!X23-$I23)/$M23),0)),IF(iData!X23&lt;0,100,IF(ISNUMBER(iData!X23),100*ABS($G23-(iData!X23-$I23)/$M23),0)))</f>
        <v>0</v>
      </c>
      <c r="AF23" s="123" cm="1">
        <f t="array" ref="AF23">CHOOSE($H23,SUMPRODUCT($O24:$O$75*AF24:AF$75*($E24:$E$75=$D23)),IF(ISNUMBER(iData!Y23),100*ABS($G23-(iData!Y23-$K23)/$M23),0),IF(ISNUMBER(iData!Y23),100*ABS($G23-(iData!Y23-$I23)/$M23),0),IF(iData!Y23&gt;tblIndicators!$AI19,100,IF(ISNUMBER(iData!Y23),100*ABS($G23-(iData!Y23-$I23)/$M23),0)),IF(iData!Y23&lt;0,100,IF(ISNUMBER(iData!Y23),100*ABS($G23-(iData!Y23-$I23)/$M23),0)))</f>
        <v>0</v>
      </c>
      <c r="AG23" s="123" cm="1">
        <f t="array" ref="AG23">CHOOSE($H23,SUMPRODUCT($O24:$O$75*AG24:AG$75*($E24:$E$75=$D23)),IF(ISNUMBER(iData!Z23),100*ABS($G23-(iData!Z23-$K23)/$M23),0),IF(ISNUMBER(iData!Z23),100*ABS($G23-(iData!Z23-$I23)/$M23),0),IF(iData!Z23&gt;tblIndicators!$AI19,100,IF(ISNUMBER(iData!Z23),100*ABS($G23-(iData!Z23-$I23)/$M23),0)),IF(iData!Z23&lt;0,100,IF(ISNUMBER(iData!Z23),100*ABS($G23-(iData!Z23-$I23)/$M23),0)))</f>
        <v>0</v>
      </c>
      <c r="AH23" s="123" cm="1">
        <f t="array" ref="AH23">CHOOSE($H23,SUMPRODUCT($O24:$O$75*AH24:AH$75*($E24:$E$75=$D23)),IF(ISNUMBER(iData!AA23),100*ABS($G23-(iData!AA23-$K23)/$M23),0),IF(ISNUMBER(iData!AA23),100*ABS($G23-(iData!AA23-$I23)/$M23),0),IF(iData!AA23&gt;tblIndicators!$AI19,100,IF(ISNUMBER(iData!AA23),100*ABS($G23-(iData!AA23-$I23)/$M23),0)),IF(iData!AA23&lt;0,100,IF(ISNUMBER(iData!AA23),100*ABS($G23-(iData!AA23-$I23)/$M23),0)))</f>
        <v>0</v>
      </c>
      <c r="AI23" s="123" cm="1">
        <f t="array" ref="AI23">CHOOSE($H23,SUMPRODUCT($O24:$O$75*AI24:AI$75*($E24:$E$75=$D23)),IF(ISNUMBER(iData!AB23),100*ABS($G23-(iData!AB23-$K23)/$M23),0),IF(ISNUMBER(iData!AB23),100*ABS($G23-(iData!AB23-$I23)/$M23),0),IF(iData!AB23&gt;tblIndicators!$AI19,100,IF(ISNUMBER(iData!AB23),100*ABS($G23-(iData!AB23-$I23)/$M23),0)),IF(iData!AB23&lt;0,100,IF(ISNUMBER(iData!AB23),100*ABS($G23-(iData!AB23-$I23)/$M23),0)))</f>
        <v>0</v>
      </c>
      <c r="AJ23" s="123" cm="1">
        <f t="array" ref="AJ23">CHOOSE($H23,SUMPRODUCT($O24:$O$75*AJ24:AJ$75*($E24:$E$75=$D23)),IF(ISNUMBER(iData!AC23),100*ABS($G23-(iData!AC23-$K23)/$M23),0),IF(ISNUMBER(iData!AC23),100*ABS($G23-(iData!AC23-$I23)/$M23),0),IF(iData!AC23&gt;tblIndicators!$AI19,100,IF(ISNUMBER(iData!AC23),100*ABS($G23-(iData!AC23-$I23)/$M23),0)),IF(iData!AC23&lt;0,100,IF(ISNUMBER(iData!AC23),100*ABS($G23-(iData!AC23-$I23)/$M23),0)))</f>
        <v>100</v>
      </c>
      <c r="AK23" s="123" cm="1">
        <f t="array" ref="AK23">CHOOSE($H23,SUMPRODUCT($O24:$O$75*AK24:AK$75*($E24:$E$75=$D23)),IF(ISNUMBER(iData!AD23),100*ABS($G23-(iData!AD23-$K23)/$M23),0),IF(ISNUMBER(iData!AD23),100*ABS($G23-(iData!AD23-$I23)/$M23),0),IF(iData!AD23&gt;tblIndicators!$AI19,100,IF(ISNUMBER(iData!AD23),100*ABS($G23-(iData!AD23-$I23)/$M23),0)),IF(iData!AD23&lt;0,100,IF(ISNUMBER(iData!AD23),100*ABS($G23-(iData!AD23-$I23)/$M23),0)))</f>
        <v>0</v>
      </c>
      <c r="AL23" s="123" cm="1">
        <f t="array" ref="AL23">CHOOSE($H23,SUMPRODUCT($O24:$O$75*AL24:AL$75*($E24:$E$75=$D23)),IF(ISNUMBER(iData!AE23),100*ABS($G23-(iData!AE23-$K23)/$M23),0),IF(ISNUMBER(iData!AE23),100*ABS($G23-(iData!AE23-$I23)/$M23),0),IF(iData!AE23&gt;tblIndicators!$AI19,100,IF(ISNUMBER(iData!AE23),100*ABS($G23-(iData!AE23-$I23)/$M23),0)),IF(iData!AE23&lt;0,100,IF(ISNUMBER(iData!AE23),100*ABS($G23-(iData!AE23-$I23)/$M23),0)))</f>
        <v>0</v>
      </c>
      <c r="AM23" s="123" cm="1">
        <f t="array" ref="AM23">CHOOSE($H23,SUMPRODUCT($O24:$O$75*AM24:AM$75*($E24:$E$75=$D23)),IF(ISNUMBER(iData!AF23),100*ABS($G23-(iData!AF23-$K23)/$M23),0),IF(ISNUMBER(iData!AF23),100*ABS($G23-(iData!AF23-$I23)/$M23),0),IF(iData!AF23&gt;tblIndicators!$AI19,100,IF(ISNUMBER(iData!AF23),100*ABS($G23-(iData!AF23-$I23)/$M23),0)),IF(iData!AF23&lt;0,100,IF(ISNUMBER(iData!AF23),100*ABS($G23-(iData!AF23-$I23)/$M23),0)))</f>
        <v>0</v>
      </c>
      <c r="AN23" s="123" cm="1">
        <f t="array" ref="AN23">CHOOSE($H23,SUMPRODUCT($O24:$O$75*AN24:AN$75*($E24:$E$75=$D23)),IF(ISNUMBER(iData!AG23),100*ABS($G23-(iData!AG23-$K23)/$M23),0),IF(ISNUMBER(iData!AG23),100*ABS($G23-(iData!AG23-$I23)/$M23),0),IF(iData!AG23&gt;tblIndicators!$AI19,100,IF(ISNUMBER(iData!AG23),100*ABS($G23-(iData!AG23-$I23)/$M23),0)),IF(iData!AG23&lt;0,100,IF(ISNUMBER(iData!AG23),100*ABS($G23-(iData!AG23-$I23)/$M23),0)))</f>
        <v>100</v>
      </c>
      <c r="AO23" s="123" cm="1">
        <f t="array" ref="AO23">CHOOSE($H23,SUMPRODUCT($O24:$O$75*AO24:AO$75*($E24:$E$75=$D23)),IF(ISNUMBER(iData!AH23),100*ABS($G23-(iData!AH23-$K23)/$M23),0),IF(ISNUMBER(iData!AH23),100*ABS($G23-(iData!AH23-$I23)/$M23),0),IF(iData!AH23&gt;tblIndicators!$AI19,100,IF(ISNUMBER(iData!AH23),100*ABS($G23-(iData!AH23-$I23)/$M23),0)),IF(iData!AH23&lt;0,100,IF(ISNUMBER(iData!AH23),100*ABS($G23-(iData!AH23-$I23)/$M23),0)))</f>
        <v>0</v>
      </c>
      <c r="AP23" s="123" cm="1">
        <f t="array" ref="AP23">CHOOSE($H23,SUMPRODUCT($O24:$O$75*AP24:AP$75*($E24:$E$75=$D23)),IF(ISNUMBER(iData!AI23),100*ABS($G23-(iData!AI23-$K23)/$M23),0),IF(ISNUMBER(iData!AI23),100*ABS($G23-(iData!AI23-$I23)/$M23),0),IF(iData!AI23&gt;tblIndicators!$AI19,100,IF(ISNUMBER(iData!AI23),100*ABS($G23-(iData!AI23-$I23)/$M23),0)),IF(iData!AI23&lt;0,100,IF(ISNUMBER(iData!AI23),100*ABS($G23-(iData!AI23-$I23)/$M23),0)))</f>
        <v>100</v>
      </c>
      <c r="AQ23" s="123" cm="1">
        <f t="array" ref="AQ23">CHOOSE($H23,SUMPRODUCT($O24:$O$75*AQ24:AQ$75*($E24:$E$75=$D23)),IF(ISNUMBER(iData!AJ23),100*ABS($G23-(iData!AJ23-$K23)/$M23),0),IF(ISNUMBER(iData!AJ23),100*ABS($G23-(iData!AJ23-$I23)/$M23),0),IF(iData!AJ23&gt;tblIndicators!$AI19,100,IF(ISNUMBER(iData!AJ23),100*ABS($G23-(iData!AJ23-$I23)/$M23),0)),IF(iData!AJ23&lt;0,100,IF(ISNUMBER(iData!AJ23),100*ABS($G23-(iData!AJ23-$I23)/$M23),0)))</f>
        <v>0</v>
      </c>
      <c r="AR23" s="123" cm="1">
        <f t="array" ref="AR23">CHOOSE($H23,SUMPRODUCT($O24:$O$75*AR24:AR$75*($E24:$E$75=$D23)),IF(ISNUMBER(iData!AK23),100*ABS($G23-(iData!AK23-$K23)/$M23),0),IF(ISNUMBER(iData!AK23),100*ABS($G23-(iData!AK23-$I23)/$M23),0),IF(iData!AK23&gt;tblIndicators!$AI19,100,IF(ISNUMBER(iData!AK23),100*ABS($G23-(iData!AK23-$I23)/$M23),0)),IF(iData!AK23&lt;0,100,IF(ISNUMBER(iData!AK23),100*ABS($G23-(iData!AK23-$I23)/$M23),0)))</f>
        <v>0</v>
      </c>
      <c r="AS23" s="123" cm="1">
        <f t="array" ref="AS23">CHOOSE($H23,SUMPRODUCT($O24:$O$75*AS24:AS$75*($E24:$E$75=$D23)),IF(ISNUMBER(iData!AL23),100*ABS($G23-(iData!AL23-$K23)/$M23),0),IF(ISNUMBER(iData!AL23),100*ABS($G23-(iData!AL23-$I23)/$M23),0),IF(iData!AL23&gt;tblIndicators!$AI19,100,IF(ISNUMBER(iData!AL23),100*ABS($G23-(iData!AL23-$I23)/$M23),0)),IF(iData!AL23&lt;0,100,IF(ISNUMBER(iData!AL23),100*ABS($G23-(iData!AL23-$I23)/$M23),0)))</f>
        <v>100</v>
      </c>
      <c r="AT23" s="123" cm="1">
        <f t="array" ref="AT23">CHOOSE($H23,SUMPRODUCT($O24:$O$75*AT24:AT$75*($E24:$E$75=$D23)),IF(ISNUMBER(iData!AM23),100*ABS($G23-(iData!AM23-$K23)/$M23),0),IF(ISNUMBER(iData!AM23),100*ABS($G23-(iData!AM23-$I23)/$M23),0),IF(iData!AM23&gt;tblIndicators!$AI19,100,IF(ISNUMBER(iData!AM23),100*ABS($G23-(iData!AM23-$I23)/$M23),0)),IF(iData!AM23&lt;0,100,IF(ISNUMBER(iData!AM23),100*ABS($G23-(iData!AM23-$I23)/$M23),0)))</f>
        <v>0</v>
      </c>
      <c r="AU23" s="123" cm="1">
        <f t="array" ref="AU23">CHOOSE($H23,SUMPRODUCT($O24:$O$75*AU24:AU$75*($E24:$E$75=$D23)),IF(ISNUMBER(iData!AN23),100*ABS($G23-(iData!AN23-$K23)/$M23),0),IF(ISNUMBER(iData!AN23),100*ABS($G23-(iData!AN23-$I23)/$M23),0),IF(iData!AN23&gt;tblIndicators!$AI19,100,IF(ISNUMBER(iData!AN23),100*ABS($G23-(iData!AN23-$I23)/$M23),0)),IF(iData!AN23&lt;0,100,IF(ISNUMBER(iData!AN23),100*ABS($G23-(iData!AN23-$I23)/$M23),0)))</f>
        <v>0</v>
      </c>
      <c r="AV23" s="367"/>
      <c r="AW23" s="368"/>
      <c r="AX23" s="14"/>
      <c r="AY23" s="871">
        <f t="shared" si="40"/>
        <v>0</v>
      </c>
      <c r="AZ23" s="871">
        <f t="shared" si="41"/>
        <v>0</v>
      </c>
      <c r="BA23" s="871">
        <f t="shared" si="42"/>
        <v>0</v>
      </c>
      <c r="BB23" s="871">
        <f t="shared" si="43"/>
        <v>0</v>
      </c>
      <c r="BC23" s="871">
        <f t="shared" si="44"/>
        <v>0</v>
      </c>
      <c r="BD23" s="871">
        <f t="shared" si="45"/>
        <v>100</v>
      </c>
      <c r="BE23" s="871">
        <f t="shared" si="46"/>
        <v>0</v>
      </c>
      <c r="BF23" s="871">
        <f t="shared" si="47"/>
        <v>0</v>
      </c>
      <c r="BG23" s="871">
        <f t="shared" si="48"/>
        <v>0</v>
      </c>
      <c r="BH23" s="871">
        <f t="shared" si="49"/>
        <v>0</v>
      </c>
      <c r="BI23" s="871">
        <f t="shared" si="50"/>
        <v>100</v>
      </c>
      <c r="BJ23" s="871">
        <f t="shared" si="51"/>
        <v>0</v>
      </c>
      <c r="BK23" s="871">
        <f t="shared" si="52"/>
        <v>0</v>
      </c>
      <c r="BL23" s="871">
        <f t="shared" si="53"/>
        <v>0</v>
      </c>
      <c r="BM23" s="871">
        <f t="shared" si="54"/>
        <v>0</v>
      </c>
      <c r="BN23" s="871">
        <f t="shared" si="55"/>
        <v>0</v>
      </c>
      <c r="BO23" s="871">
        <f t="shared" si="56"/>
        <v>0</v>
      </c>
      <c r="BP23" s="871">
        <f t="shared" si="57"/>
        <v>0</v>
      </c>
      <c r="BQ23" s="871">
        <f t="shared" si="58"/>
        <v>100</v>
      </c>
      <c r="BR23" s="871">
        <f t="shared" si="59"/>
        <v>0</v>
      </c>
      <c r="BS23" s="871">
        <f t="shared" si="60"/>
        <v>0</v>
      </c>
      <c r="BT23" s="871">
        <f t="shared" si="61"/>
        <v>0</v>
      </c>
      <c r="BU23" s="871">
        <f t="shared" si="62"/>
        <v>100</v>
      </c>
      <c r="BV23" s="871">
        <f t="shared" si="63"/>
        <v>0</v>
      </c>
      <c r="BW23" s="871">
        <f t="shared" si="64"/>
        <v>100</v>
      </c>
      <c r="BX23" s="871">
        <f t="shared" si="65"/>
        <v>0</v>
      </c>
      <c r="BY23" s="871">
        <f t="shared" si="66"/>
        <v>0</v>
      </c>
      <c r="BZ23" s="871">
        <f t="shared" si="67"/>
        <v>100</v>
      </c>
      <c r="CA23" s="871">
        <f t="shared" si="68"/>
        <v>0</v>
      </c>
      <c r="CB23" s="871">
        <f t="shared" si="69"/>
        <v>0</v>
      </c>
      <c r="CD23" s="304">
        <f t="shared" ca="1" si="38"/>
        <v>20</v>
      </c>
      <c r="CE23" s="304">
        <f t="shared" ca="1" si="38"/>
        <v>20</v>
      </c>
      <c r="CF23" s="304">
        <f t="shared" ca="1" si="38"/>
        <v>16.7</v>
      </c>
      <c r="CG23" s="302">
        <f t="shared" ca="1" si="38"/>
        <v>20</v>
      </c>
      <c r="CH23" s="302">
        <f t="shared" ca="1" si="38"/>
        <v>33.299999999999997</v>
      </c>
      <c r="CI23" s="302">
        <f t="shared" ca="1" si="38"/>
        <v>0</v>
      </c>
      <c r="CJ23" s="302">
        <f t="shared" ca="1" si="38"/>
        <v>25</v>
      </c>
      <c r="CK23" s="302">
        <f t="shared" ca="1" si="38"/>
        <v>33.299999999999997</v>
      </c>
      <c r="CL23" s="302">
        <f t="shared" ca="1" si="38"/>
        <v>16.7</v>
      </c>
      <c r="CM23" s="302">
        <f t="shared" ca="1" si="38"/>
        <v>19</v>
      </c>
      <c r="CN23" s="302">
        <f t="shared" ca="1" si="101"/>
        <v>12.5</v>
      </c>
      <c r="CO23" s="302">
        <f t="shared" ca="1" si="101"/>
        <v>33.299999999999997</v>
      </c>
      <c r="CP23" s="302">
        <f t="shared" ca="1" si="101"/>
        <v>0</v>
      </c>
      <c r="CQ23" s="302">
        <f t="shared" ca="1" si="101"/>
        <v>22.2</v>
      </c>
    </row>
    <row r="24" spans="1:95" s="124" customFormat="1" ht="27.75" customHeight="1" thickBot="1">
      <c r="A24" s="118"/>
      <c r="B24" s="119">
        <f>tblIndicators!A20</f>
        <v>19</v>
      </c>
      <c r="C24" s="119">
        <f>tblIndicators!B20</f>
        <v>0</v>
      </c>
      <c r="D24" s="119" t="str">
        <f>tblIndicators!E20</f>
        <v>SERV2_1_2</v>
      </c>
      <c r="E24" s="119" t="str">
        <f>tblIndicators!F20</f>
        <v>SERV2_1</v>
      </c>
      <c r="F24" s="119">
        <f>tblIndicators!G20</f>
        <v>3</v>
      </c>
      <c r="G24" s="119">
        <f>tblIndicators!AF20</f>
        <v>0</v>
      </c>
      <c r="H24" s="119">
        <f>tblIndicators!AG20</f>
        <v>3</v>
      </c>
      <c r="I24" s="120">
        <f>tblIndicators!AH20</f>
        <v>0</v>
      </c>
      <c r="J24" s="119">
        <f>tblIndicators!AI20</f>
        <v>1</v>
      </c>
      <c r="K24" s="119">
        <f t="array" ref="K24">MIN(IF(ISNUMBER(iData!K24:AN24),iData!K24:AN24))</f>
        <v>0.68</v>
      </c>
      <c r="L24" s="121">
        <f t="array" ref="L24">MAX(IF(ISNUMBER(iData!K24:AN24),iData!K24:AN24))</f>
        <v>1</v>
      </c>
      <c r="M24" s="51">
        <f t="shared" si="7"/>
        <v>1</v>
      </c>
      <c r="N24" s="122" t="str">
        <f>REPT(" ",F24)&amp;tblIndicators!AM20</f>
        <v xml:space="preserve">   2.1.2) E-gov service portal for residents</v>
      </c>
      <c r="O24" s="381">
        <f>tblIndicators!AR20</f>
        <v>0.35714285714285715</v>
      </c>
      <c r="P24" s="381"/>
      <c r="Q24" s="323"/>
      <c r="R24" s="123" cm="1">
        <f t="array" ref="R24">CHOOSE($H24,SUMPRODUCT($O25:$O$75*R25:R$75*($E25:$E$75=$D24)),IF(ISNUMBER(iData!K24),100*ABS($G24-(iData!K24-$K24)/$M24),0),IF(ISNUMBER(iData!K24),100*ABS($G24-(iData!K24-$I24)/$M24),0),IF(iData!K24&gt;tblIndicators!$AI20,100,IF(ISNUMBER(iData!K24),100*ABS($G24-(iData!K24-$I24)/$M24),0)),IF(iData!K24&lt;0,100,IF(ISNUMBER(iData!K24),100*ABS($G24-(iData!K24-$I24)/$M24),0)))</f>
        <v>91</v>
      </c>
      <c r="S24" s="123" cm="1">
        <f t="array" ref="S24">CHOOSE($H24,SUMPRODUCT($O25:$O$75*S25:S$75*($E25:$E$75=$D24)),IF(ISNUMBER(iData!L24),100*ABS($G24-(iData!L24-$K24)/$M24),0),IF(ISNUMBER(iData!L24),100*ABS($G24-(iData!L24-$I24)/$M24),0),IF(iData!L24&gt;tblIndicators!$AI20,100,IF(ISNUMBER(iData!L24),100*ABS($G24-(iData!L24-$I24)/$M24),0)),IF(iData!L24&lt;0,100,IF(ISNUMBER(iData!L24),100*ABS($G24-(iData!L24-$I24)/$M24),0)))</f>
        <v>93</v>
      </c>
      <c r="T24" s="123" cm="1">
        <f t="array" ref="T24">CHOOSE($H24,SUMPRODUCT($O25:$O$75*T25:T$75*($E25:$E$75=$D24)),IF(ISNUMBER(iData!M24),100*ABS($G24-(iData!M24-$K24)/$M24),0),IF(ISNUMBER(iData!M24),100*ABS($G24-(iData!M24-$I24)/$M24),0),IF(iData!M24&gt;tblIndicators!$AI20,100,IF(ISNUMBER(iData!M24),100*ABS($G24-(iData!M24-$I24)/$M24),0)),IF(iData!M24&lt;0,100,IF(ISNUMBER(iData!M24),100*ABS($G24-(iData!M24-$I24)/$M24),0)))</f>
        <v>79</v>
      </c>
      <c r="U24" s="123" cm="1">
        <f t="array" ref="U24">CHOOSE($H24,SUMPRODUCT($O25:$O$75*U25:U$75*($E25:$E$75=$D24)),IF(ISNUMBER(iData!N24),100*ABS($G24-(iData!N24-$K24)/$M24),0),IF(ISNUMBER(iData!N24),100*ABS($G24-(iData!N24-$I24)/$M24),0),IF(iData!N24&gt;tblIndicators!$AI20,100,IF(ISNUMBER(iData!N24),100*ABS($G24-(iData!N24-$I24)/$M24),0)),IF(iData!N24&lt;0,100,IF(ISNUMBER(iData!N24),100*ABS($G24-(iData!N24-$I24)/$M24),0)))</f>
        <v>89</v>
      </c>
      <c r="V24" s="123" cm="1">
        <f t="array" ref="V24">CHOOSE($H24,SUMPRODUCT($O25:$O$75*V25:V$75*($E25:$E$75=$D24)),IF(ISNUMBER(iData!O24),100*ABS($G24-(iData!O24-$K24)/$M24),0),IF(ISNUMBER(iData!O24),100*ABS($G24-(iData!O24-$I24)/$M24),0),IF(iData!O24&gt;tblIndicators!$AI20,100,IF(ISNUMBER(iData!O24),100*ABS($G24-(iData!O24-$I24)/$M24),0)),IF(iData!O24&lt;0,100,IF(ISNUMBER(iData!O24),100*ABS($G24-(iData!O24-$I24)/$M24),0)))</f>
        <v>91</v>
      </c>
      <c r="W24" s="123" cm="1">
        <f t="array" ref="W24">CHOOSE($H24,SUMPRODUCT($O25:$O$75*W25:W$75*($E25:$E$75=$D24)),IF(ISNUMBER(iData!P24),100*ABS($G24-(iData!P24-$K24)/$M24),0),IF(ISNUMBER(iData!P24),100*ABS($G24-(iData!P24-$I24)/$M24),0),IF(iData!P24&gt;tblIndicators!$AI20,100,IF(ISNUMBER(iData!P24),100*ABS($G24-(iData!P24-$I24)/$M24),0)),IF(iData!P24&lt;0,100,IF(ISNUMBER(iData!P24),100*ABS($G24-(iData!P24-$I24)/$M24),0)))</f>
        <v>74</v>
      </c>
      <c r="X24" s="123" cm="1">
        <f t="array" ref="X24">CHOOSE($H24,SUMPRODUCT($O25:$O$75*X25:X$75*($E25:$E$75=$D24)),IF(ISNUMBER(iData!Q24),100*ABS($G24-(iData!Q24-$K24)/$M24),0),IF(ISNUMBER(iData!Q24),100*ABS($G24-(iData!Q24-$I24)/$M24),0),IF(iData!Q24&gt;tblIndicators!$AI20,100,IF(ISNUMBER(iData!Q24),100*ABS($G24-(iData!Q24-$I24)/$M24),0)),IF(iData!Q24&lt;0,100,IF(ISNUMBER(iData!Q24),100*ABS($G24-(iData!Q24-$I24)/$M24),0)))</f>
        <v>85</v>
      </c>
      <c r="Y24" s="123" cm="1">
        <f t="array" ref="Y24">CHOOSE($H24,SUMPRODUCT($O25:$O$75*Y25:Y$75*($E25:$E$75=$D24)),IF(ISNUMBER(iData!R24),100*ABS($G24-(iData!R24-$K24)/$M24),0),IF(ISNUMBER(iData!R24),100*ABS($G24-(iData!R24-$I24)/$M24),0),IF(iData!R24&gt;tblIndicators!$AI20,100,IF(ISNUMBER(iData!R24),100*ABS($G24-(iData!R24-$I24)/$M24),0)),IF(iData!R24&lt;0,100,IF(ISNUMBER(iData!R24),100*ABS($G24-(iData!R24-$I24)/$M24),0)))</f>
        <v>97</v>
      </c>
      <c r="Z24" s="123" cm="1">
        <f t="array" ref="Z24">CHOOSE($H24,SUMPRODUCT($O25:$O$75*Z25:Z$75*($E25:$E$75=$D24)),IF(ISNUMBER(iData!S24),100*ABS($G24-(iData!S24-$K24)/$M24),0),IF(ISNUMBER(iData!S24),100*ABS($G24-(iData!S24-$I24)/$M24),0),IF(iData!S24&gt;tblIndicators!$AI20,100,IF(ISNUMBER(iData!S24),100*ABS($G24-(iData!S24-$I24)/$M24),0)),IF(iData!S24&lt;0,100,IF(ISNUMBER(iData!S24),100*ABS($G24-(iData!S24-$I24)/$M24),0)))</f>
        <v>95</v>
      </c>
      <c r="AA24" s="123" cm="1">
        <f t="array" ref="AA24">CHOOSE($H24,SUMPRODUCT($O25:$O$75*AA25:AA$75*($E25:$E$75=$D24)),IF(ISNUMBER(iData!T24),100*ABS($G24-(iData!T24-$K24)/$M24),0),IF(ISNUMBER(iData!T24),100*ABS($G24-(iData!T24-$I24)/$M24),0),IF(iData!T24&gt;tblIndicators!$AI20,100,IF(ISNUMBER(iData!T24),100*ABS($G24-(iData!T24-$I24)/$M24),0)),IF(iData!T24&lt;0,100,IF(ISNUMBER(iData!T24),100*ABS($G24-(iData!T24-$I24)/$M24),0)))</f>
        <v>90</v>
      </c>
      <c r="AB24" s="123" cm="1">
        <f t="array" ref="AB24">CHOOSE($H24,SUMPRODUCT($O25:$O$75*AB25:AB$75*($E25:$E$75=$D24)),IF(ISNUMBER(iData!U24),100*ABS($G24-(iData!U24-$K24)/$M24),0),IF(ISNUMBER(iData!U24),100*ABS($G24-(iData!U24-$I24)/$M24),0),IF(iData!U24&gt;tblIndicators!$AI20,100,IF(ISNUMBER(iData!U24),100*ABS($G24-(iData!U24-$I24)/$M24),0)),IF(iData!U24&lt;0,100,IF(ISNUMBER(iData!U24),100*ABS($G24-(iData!U24-$I24)/$M24),0)))</f>
        <v>74</v>
      </c>
      <c r="AC24" s="123" cm="1">
        <f t="array" ref="AC24">CHOOSE($H24,SUMPRODUCT($O25:$O$75*AC25:AC$75*($E25:$E$75=$D24)),IF(ISNUMBER(iData!V24),100*ABS($G24-(iData!V24-$K24)/$M24),0),IF(ISNUMBER(iData!V24),100*ABS($G24-(iData!V24-$I24)/$M24),0),IF(iData!V24&gt;tblIndicators!$AI20,100,IF(ISNUMBER(iData!V24),100*ABS($G24-(iData!V24-$I24)/$M24),0)),IF(iData!V24&lt;0,100,IF(ISNUMBER(iData!V24),100*ABS($G24-(iData!V24-$I24)/$M24),0)))</f>
        <v>94</v>
      </c>
      <c r="AD24" s="123" cm="1">
        <f t="array" ref="AD24">CHOOSE($H24,SUMPRODUCT($O25:$O$75*AD25:AD$75*($E25:$E$75=$D24)),IF(ISNUMBER(iData!W24),100*ABS($G24-(iData!W24-$K24)/$M24),0),IF(ISNUMBER(iData!W24),100*ABS($G24-(iData!W24-$I24)/$M24),0),IF(iData!W24&gt;tblIndicators!$AI20,100,IF(ISNUMBER(iData!W24),100*ABS($G24-(iData!W24-$I24)/$M24),0)),IF(iData!W24&lt;0,100,IF(ISNUMBER(iData!W24),100*ABS($G24-(iData!W24-$I24)/$M24),0)))</f>
        <v>68</v>
      </c>
      <c r="AE24" s="123" cm="1">
        <f t="array" ref="AE24">CHOOSE($H24,SUMPRODUCT($O25:$O$75*AE25:AE$75*($E25:$E$75=$D24)),IF(ISNUMBER(iData!X24),100*ABS($G24-(iData!X24-$K24)/$M24),0),IF(ISNUMBER(iData!X24),100*ABS($G24-(iData!X24-$I24)/$M24),0),IF(iData!X24&gt;tblIndicators!$AI20,100,IF(ISNUMBER(iData!X24),100*ABS($G24-(iData!X24-$I24)/$M24),0)),IF(iData!X24&lt;0,100,IF(ISNUMBER(iData!X24),100*ABS($G24-(iData!X24-$I24)/$M24),0)))</f>
        <v>85</v>
      </c>
      <c r="AF24" s="123" cm="1">
        <f t="array" ref="AF24">CHOOSE($H24,SUMPRODUCT($O25:$O$75*AF25:AF$75*($E25:$E$75=$D24)),IF(ISNUMBER(iData!Y24),100*ABS($G24-(iData!Y24-$K24)/$M24),0),IF(ISNUMBER(iData!Y24),100*ABS($G24-(iData!Y24-$I24)/$M24),0),IF(iData!Y24&gt;tblIndicators!$AI20,100,IF(ISNUMBER(iData!Y24),100*ABS($G24-(iData!Y24-$I24)/$M24),0)),IF(iData!Y24&lt;0,100,IF(ISNUMBER(iData!Y24),100*ABS($G24-(iData!Y24-$I24)/$M24),0)))</f>
        <v>96</v>
      </c>
      <c r="AG24" s="123" cm="1">
        <f t="array" ref="AG24">CHOOSE($H24,SUMPRODUCT($O25:$O$75*AG25:AG$75*($E25:$E$75=$D24)),IF(ISNUMBER(iData!Z24),100*ABS($G24-(iData!Z24-$K24)/$M24),0),IF(ISNUMBER(iData!Z24),100*ABS($G24-(iData!Z24-$I24)/$M24),0),IF(iData!Z24&gt;tblIndicators!$AI20,100,IF(ISNUMBER(iData!Z24),100*ABS($G24-(iData!Z24-$I24)/$M24),0)),IF(iData!Z24&lt;0,100,IF(ISNUMBER(iData!Z24),100*ABS($G24-(iData!Z24-$I24)/$M24),0)))</f>
        <v>89</v>
      </c>
      <c r="AH24" s="123" cm="1">
        <f t="array" ref="AH24">CHOOSE($H24,SUMPRODUCT($O25:$O$75*AH25:AH$75*($E25:$E$75=$D24)),IF(ISNUMBER(iData!AA24),100*ABS($G24-(iData!AA24-$K24)/$M24),0),IF(ISNUMBER(iData!AA24),100*ABS($G24-(iData!AA24-$I24)/$M24),0),IF(iData!AA24&gt;tblIndicators!$AI20,100,IF(ISNUMBER(iData!AA24),100*ABS($G24-(iData!AA24-$I24)/$M24),0)),IF(iData!AA24&lt;0,100,IF(ISNUMBER(iData!AA24),100*ABS($G24-(iData!AA24-$I24)/$M24),0)))</f>
        <v>73</v>
      </c>
      <c r="AI24" s="123" cm="1">
        <f t="array" ref="AI24">CHOOSE($H24,SUMPRODUCT($O25:$O$75*AI25:AI$75*($E25:$E$75=$D24)),IF(ISNUMBER(iData!AB24),100*ABS($G24-(iData!AB24-$K24)/$M24),0),IF(ISNUMBER(iData!AB24),100*ABS($G24-(iData!AB24-$I24)/$M24),0),IF(iData!AB24&gt;tblIndicators!$AI20,100,IF(ISNUMBER(iData!AB24),100*ABS($G24-(iData!AB24-$I24)/$M24),0)),IF(iData!AB24&lt;0,100,IF(ISNUMBER(iData!AB24),100*ABS($G24-(iData!AB24-$I24)/$M24),0)))</f>
        <v>82</v>
      </c>
      <c r="AJ24" s="123" cm="1">
        <f t="array" ref="AJ24">CHOOSE($H24,SUMPRODUCT($O25:$O$75*AJ25:AJ$75*($E25:$E$75=$D24)),IF(ISNUMBER(iData!AC24),100*ABS($G24-(iData!AC24-$K24)/$M24),0),IF(ISNUMBER(iData!AC24),100*ABS($G24-(iData!AC24-$I24)/$M24),0),IF(iData!AC24&gt;tblIndicators!$AI20,100,IF(ISNUMBER(iData!AC24),100*ABS($G24-(iData!AC24-$I24)/$M24),0)),IF(iData!AC24&lt;0,100,IF(ISNUMBER(iData!AC24),100*ABS($G24-(iData!AC24-$I24)/$M24),0)))</f>
        <v>85</v>
      </c>
      <c r="AK24" s="123" cm="1">
        <f t="array" ref="AK24">CHOOSE($H24,SUMPRODUCT($O25:$O$75*AK25:AK$75*($E25:$E$75=$D24)),IF(ISNUMBER(iData!AD24),100*ABS($G24-(iData!AD24-$K24)/$M24),0),IF(ISNUMBER(iData!AD24),100*ABS($G24-(iData!AD24-$I24)/$M24),0),IF(iData!AD24&gt;tblIndicators!$AI20,100,IF(ISNUMBER(iData!AD24),100*ABS($G24-(iData!AD24-$I24)/$M24),0)),IF(iData!AD24&lt;0,100,IF(ISNUMBER(iData!AD24),100*ABS($G24-(iData!AD24-$I24)/$M24),0)))</f>
        <v>95</v>
      </c>
      <c r="AL24" s="123" cm="1">
        <f t="array" ref="AL24">CHOOSE($H24,SUMPRODUCT($O25:$O$75*AL25:AL$75*($E25:$E$75=$D24)),IF(ISNUMBER(iData!AE24),100*ABS($G24-(iData!AE24-$K24)/$M24),0),IF(ISNUMBER(iData!AE24),100*ABS($G24-(iData!AE24-$I24)/$M24),0),IF(iData!AE24&gt;tblIndicators!$AI20,100,IF(ISNUMBER(iData!AE24),100*ABS($G24-(iData!AE24-$I24)/$M24),0)),IF(iData!AE24&lt;0,100,IF(ISNUMBER(iData!AE24),100*ABS($G24-(iData!AE24-$I24)/$M24),0)))</f>
        <v>88</v>
      </c>
      <c r="AM24" s="123" cm="1">
        <f t="array" ref="AM24">CHOOSE($H24,SUMPRODUCT($O25:$O$75*AM25:AM$75*($E25:$E$75=$D24)),IF(ISNUMBER(iData!AF24),100*ABS($G24-(iData!AF24-$K24)/$M24),0),IF(ISNUMBER(iData!AF24),100*ABS($G24-(iData!AF24-$I24)/$M24),0),IF(iData!AF24&gt;tblIndicators!$AI20,100,IF(ISNUMBER(iData!AF24),100*ABS($G24-(iData!AF24-$I24)/$M24),0)),IF(iData!AF24&lt;0,100,IF(ISNUMBER(iData!AF24),100*ABS($G24-(iData!AF24-$I24)/$M24),0)))</f>
        <v>83</v>
      </c>
      <c r="AN24" s="123" cm="1">
        <f t="array" ref="AN24">CHOOSE($H24,SUMPRODUCT($O25:$O$75*AN25:AN$75*($E25:$E$75=$D24)),IF(ISNUMBER(iData!AG24),100*ABS($G24-(iData!AG24-$K24)/$M24),0),IF(ISNUMBER(iData!AG24),100*ABS($G24-(iData!AG24-$I24)/$M24),0),IF(iData!AG24&gt;tblIndicators!$AI20,100,IF(ISNUMBER(iData!AG24),100*ABS($G24-(iData!AG24-$I24)/$M24),0)),IF(iData!AG24&lt;0,100,IF(ISNUMBER(iData!AG24),100*ABS($G24-(iData!AG24-$I24)/$M24),0)))</f>
        <v>87</v>
      </c>
      <c r="AO24" s="123" cm="1">
        <f t="array" ref="AO24">CHOOSE($H24,SUMPRODUCT($O25:$O$75*AO25:AO$75*($E25:$E$75=$D24)),IF(ISNUMBER(iData!AH24),100*ABS($G24-(iData!AH24-$K24)/$M24),0),IF(ISNUMBER(iData!AH24),100*ABS($G24-(iData!AH24-$I24)/$M24),0),IF(iData!AH24&gt;tblIndicators!$AI20,100,IF(ISNUMBER(iData!AH24),100*ABS($G24-(iData!AH24-$I24)/$M24),0)),IF(iData!AH24&lt;0,100,IF(ISNUMBER(iData!AH24),100*ABS($G24-(iData!AH24-$I24)/$M24),0)))</f>
        <v>100</v>
      </c>
      <c r="AP24" s="123" cm="1">
        <f t="array" ref="AP24">CHOOSE($H24,SUMPRODUCT($O25:$O$75*AP25:AP$75*($E25:$E$75=$D24)),IF(ISNUMBER(iData!AI24),100*ABS($G24-(iData!AI24-$K24)/$M24),0),IF(ISNUMBER(iData!AI24),100*ABS($G24-(iData!AI24-$I24)/$M24),0),IF(iData!AI24&gt;tblIndicators!$AI20,100,IF(ISNUMBER(iData!AI24),100*ABS($G24-(iData!AI24-$I24)/$M24),0)),IF(iData!AI24&lt;0,100,IF(ISNUMBER(iData!AI24),100*ABS($G24-(iData!AI24-$I24)/$M24),0)))</f>
        <v>96</v>
      </c>
      <c r="AQ24" s="123" cm="1">
        <f t="array" ref="AQ24">CHOOSE($H24,SUMPRODUCT($O25:$O$75*AQ25:AQ$75*($E25:$E$75=$D24)),IF(ISNUMBER(iData!AJ24),100*ABS($G24-(iData!AJ24-$K24)/$M24),0),IF(ISNUMBER(iData!AJ24),100*ABS($G24-(iData!AJ24-$I24)/$M24),0),IF(iData!AJ24&gt;tblIndicators!$AI20,100,IF(ISNUMBER(iData!AJ24),100*ABS($G24-(iData!AJ24-$I24)/$M24),0)),IF(iData!AJ24&lt;0,100,IF(ISNUMBER(iData!AJ24),100*ABS($G24-(iData!AJ24-$I24)/$M24),0)))</f>
        <v>95</v>
      </c>
      <c r="AR24" s="123" cm="1">
        <f t="array" ref="AR24">CHOOSE($H24,SUMPRODUCT($O25:$O$75*AR25:AR$75*($E25:$E$75=$D24)),IF(ISNUMBER(iData!AK24),100*ABS($G24-(iData!AK24-$K24)/$M24),0),IF(ISNUMBER(iData!AK24),100*ABS($G24-(iData!AK24-$I24)/$M24),0),IF(iData!AK24&gt;tblIndicators!$AI20,100,IF(ISNUMBER(iData!AK24),100*ABS($G24-(iData!AK24-$I24)/$M24),0)),IF(iData!AK24&lt;0,100,IF(ISNUMBER(iData!AK24),100*ABS($G24-(iData!AK24-$I24)/$M24),0)))</f>
        <v>91</v>
      </c>
      <c r="AS24" s="123" cm="1">
        <f t="array" ref="AS24">CHOOSE($H24,SUMPRODUCT($O25:$O$75*AS25:AS$75*($E25:$E$75=$D24)),IF(ISNUMBER(iData!AL24),100*ABS($G24-(iData!AL24-$K24)/$M24),0),IF(ISNUMBER(iData!AL24),100*ABS($G24-(iData!AL24-$I24)/$M24),0),IF(iData!AL24&gt;tblIndicators!$AI20,100,IF(ISNUMBER(iData!AL24),100*ABS($G24-(iData!AL24-$I24)/$M24),0)),IF(iData!AL24&lt;0,100,IF(ISNUMBER(iData!AL24),100*ABS($G24-(iData!AL24-$I24)/$M24),0)))</f>
        <v>84</v>
      </c>
      <c r="AT24" s="123" cm="1">
        <f t="array" ref="AT24">CHOOSE($H24,SUMPRODUCT($O25:$O$75*AT25:AT$75*($E25:$E$75=$D24)),IF(ISNUMBER(iData!AM24),100*ABS($G24-(iData!AM24-$K24)/$M24),0),IF(ISNUMBER(iData!AM24),100*ABS($G24-(iData!AM24-$I24)/$M24),0),IF(iData!AM24&gt;tblIndicators!$AI20,100,IF(ISNUMBER(iData!AM24),100*ABS($G24-(iData!AM24-$I24)/$M24),0)),IF(iData!AM24&lt;0,100,IF(ISNUMBER(iData!AM24),100*ABS($G24-(iData!AM24-$I24)/$M24),0)))</f>
        <v>95</v>
      </c>
      <c r="AU24" s="123" cm="1">
        <f t="array" ref="AU24">CHOOSE($H24,SUMPRODUCT($O25:$O$75*AU25:AU$75*($E25:$E$75=$D24)),IF(ISNUMBER(iData!AN24),100*ABS($G24-(iData!AN24-$K24)/$M24),0),IF(ISNUMBER(iData!AN24),100*ABS($G24-(iData!AN24-$I24)/$M24),0),IF(iData!AN24&gt;tblIndicators!$AI20,100,IF(ISNUMBER(iData!AN24),100*ABS($G24-(iData!AN24-$I24)/$M24),0)),IF(iData!AN24&lt;0,100,IF(ISNUMBER(iData!AN24),100*ABS($G24-(iData!AN24-$I24)/$M24),0)))</f>
        <v>83</v>
      </c>
      <c r="AV24" s="367"/>
      <c r="AW24" s="368"/>
      <c r="AX24" s="14"/>
      <c r="AY24" s="871">
        <f t="shared" si="40"/>
        <v>91</v>
      </c>
      <c r="AZ24" s="871">
        <f t="shared" si="41"/>
        <v>93</v>
      </c>
      <c r="BA24" s="871">
        <f t="shared" si="42"/>
        <v>79</v>
      </c>
      <c r="BB24" s="871">
        <f t="shared" si="43"/>
        <v>89</v>
      </c>
      <c r="BC24" s="871">
        <f t="shared" si="44"/>
        <v>91</v>
      </c>
      <c r="BD24" s="871">
        <f t="shared" si="45"/>
        <v>74</v>
      </c>
      <c r="BE24" s="871">
        <f t="shared" si="46"/>
        <v>85</v>
      </c>
      <c r="BF24" s="871">
        <f t="shared" si="47"/>
        <v>97</v>
      </c>
      <c r="BG24" s="871">
        <f t="shared" si="48"/>
        <v>95</v>
      </c>
      <c r="BH24" s="871">
        <f t="shared" si="49"/>
        <v>90</v>
      </c>
      <c r="BI24" s="871">
        <f t="shared" si="50"/>
        <v>74</v>
      </c>
      <c r="BJ24" s="871">
        <f t="shared" si="51"/>
        <v>94</v>
      </c>
      <c r="BK24" s="871">
        <f t="shared" si="52"/>
        <v>68</v>
      </c>
      <c r="BL24" s="871">
        <f t="shared" si="53"/>
        <v>85</v>
      </c>
      <c r="BM24" s="871">
        <f t="shared" si="54"/>
        <v>96</v>
      </c>
      <c r="BN24" s="871">
        <f t="shared" si="55"/>
        <v>89</v>
      </c>
      <c r="BO24" s="871">
        <f t="shared" si="56"/>
        <v>73</v>
      </c>
      <c r="BP24" s="871">
        <f t="shared" si="57"/>
        <v>82</v>
      </c>
      <c r="BQ24" s="871">
        <f t="shared" si="58"/>
        <v>85</v>
      </c>
      <c r="BR24" s="871">
        <f t="shared" si="59"/>
        <v>95</v>
      </c>
      <c r="BS24" s="871">
        <f t="shared" si="60"/>
        <v>88</v>
      </c>
      <c r="BT24" s="871">
        <f t="shared" si="61"/>
        <v>83</v>
      </c>
      <c r="BU24" s="871">
        <f t="shared" si="62"/>
        <v>87</v>
      </c>
      <c r="BV24" s="871">
        <f t="shared" si="63"/>
        <v>100</v>
      </c>
      <c r="BW24" s="871">
        <f t="shared" si="64"/>
        <v>96</v>
      </c>
      <c r="BX24" s="871">
        <f t="shared" si="65"/>
        <v>95</v>
      </c>
      <c r="BY24" s="871">
        <f t="shared" si="66"/>
        <v>91</v>
      </c>
      <c r="BZ24" s="871">
        <f t="shared" si="67"/>
        <v>84</v>
      </c>
      <c r="CA24" s="871">
        <f t="shared" si="68"/>
        <v>95</v>
      </c>
      <c r="CB24" s="871">
        <f t="shared" si="69"/>
        <v>83</v>
      </c>
      <c r="CD24" s="304">
        <f t="shared" ca="1" si="38"/>
        <v>87.6</v>
      </c>
      <c r="CE24" s="304">
        <f t="shared" ca="1" si="38"/>
        <v>87.6</v>
      </c>
      <c r="CF24" s="304">
        <f t="shared" ca="1" si="38"/>
        <v>87.5</v>
      </c>
      <c r="CG24" s="302">
        <f t="shared" ca="1" si="38"/>
        <v>86.4</v>
      </c>
      <c r="CH24" s="302">
        <f t="shared" ca="1" si="38"/>
        <v>84.7</v>
      </c>
      <c r="CI24" s="302">
        <f t="shared" ref="CI24:CM24" ca="1" si="102">IFERROR(ROUND(SUMIF(OFFSET(tblGroups,CI$5-1,0,1,$CE$1),1,OFFSET(aScoresRounded,$B24-1,0,1,$CE$1))/SUM(OFFSET(tblGroups,CI$5-1,0,1,$CE$1)),$CF$1),"n/a")</f>
        <v>90</v>
      </c>
      <c r="CJ24" s="302">
        <f t="shared" ca="1" si="102"/>
        <v>92.3</v>
      </c>
      <c r="CK24" s="302">
        <f t="shared" ca="1" si="102"/>
        <v>75.3</v>
      </c>
      <c r="CL24" s="302">
        <f t="shared" ca="1" si="102"/>
        <v>84.8</v>
      </c>
      <c r="CM24" s="302">
        <f t="shared" ca="1" si="102"/>
        <v>90.1</v>
      </c>
      <c r="CN24" s="302">
        <f t="shared" ca="1" si="101"/>
        <v>88.3</v>
      </c>
      <c r="CO24" s="302">
        <f t="shared" ca="1" si="101"/>
        <v>89</v>
      </c>
      <c r="CP24" s="302">
        <f t="shared" ca="1" si="101"/>
        <v>84</v>
      </c>
      <c r="CQ24" s="302">
        <f t="shared" ca="1" si="101"/>
        <v>87.1</v>
      </c>
    </row>
    <row r="25" spans="1:95" s="124" customFormat="1" ht="27.75" customHeight="1" thickBot="1">
      <c r="A25" s="118"/>
      <c r="B25" s="119">
        <f>tblIndicators!A21</f>
        <v>20</v>
      </c>
      <c r="C25" s="119">
        <f>tblIndicators!B21</f>
        <v>0</v>
      </c>
      <c r="D25" s="119" t="str">
        <f>tblIndicators!E21</f>
        <v>SERV2_1_3</v>
      </c>
      <c r="E25" s="119" t="str">
        <f>tblIndicators!F21</f>
        <v>SERV2_1</v>
      </c>
      <c r="F25" s="119">
        <f>tblIndicators!G21</f>
        <v>3</v>
      </c>
      <c r="G25" s="119">
        <f>tblIndicators!AF21</f>
        <v>0</v>
      </c>
      <c r="H25" s="119">
        <f>tblIndicators!AG21</f>
        <v>3</v>
      </c>
      <c r="I25" s="120">
        <f>tblIndicators!AH21</f>
        <v>0</v>
      </c>
      <c r="J25" s="119">
        <f>tblIndicators!AI21</f>
        <v>2</v>
      </c>
      <c r="K25" s="119">
        <f t="array" ref="K25">MIN(IF(ISNUMBER(iData!K25:AN25),iData!K25:AN25))</f>
        <v>1</v>
      </c>
      <c r="L25" s="121">
        <f t="array" ref="L25">MAX(IF(ISNUMBER(iData!K25:AN25),iData!K25:AN25))</f>
        <v>2</v>
      </c>
      <c r="M25" s="51">
        <f t="shared" si="7"/>
        <v>2</v>
      </c>
      <c r="N25" s="122" t="str">
        <f>REPT(" ",F25)&amp;tblIndicators!AM21</f>
        <v xml:space="preserve">   2.1.3) E-gov service portal for businesses</v>
      </c>
      <c r="O25" s="381">
        <f>tblIndicators!AR21</f>
        <v>0.32142857142857145</v>
      </c>
      <c r="P25" s="381"/>
      <c r="Q25" s="323"/>
      <c r="R25" s="123" cm="1">
        <f t="array" ref="R25">CHOOSE($H25,SUMPRODUCT($O26:$O$75*R26:R$75*($E26:$E$75=$D25)),IF(ISNUMBER(iData!K25),100*ABS($G25-(iData!K25-$K25)/$M25),0),IF(ISNUMBER(iData!K25),100*ABS($G25-(iData!K25-$I25)/$M25),0),IF(iData!K25&gt;tblIndicators!$AI21,100,IF(ISNUMBER(iData!K25),100*ABS($G25-(iData!K25-$I25)/$M25),0)),IF(iData!K25&lt;0,100,IF(ISNUMBER(iData!K25),100*ABS($G25-(iData!K25-$I25)/$M25),0)))</f>
        <v>50</v>
      </c>
      <c r="S25" s="123" cm="1">
        <f t="array" ref="S25">CHOOSE($H25,SUMPRODUCT($O26:$O$75*S26:S$75*($E26:$E$75=$D25)),IF(ISNUMBER(iData!L25),100*ABS($G25-(iData!L25-$K25)/$M25),0),IF(ISNUMBER(iData!L25),100*ABS($G25-(iData!L25-$I25)/$M25),0),IF(iData!L25&gt;tblIndicators!$AI21,100,IF(ISNUMBER(iData!L25),100*ABS($G25-(iData!L25-$I25)/$M25),0)),IF(iData!L25&lt;0,100,IF(ISNUMBER(iData!L25),100*ABS($G25-(iData!L25-$I25)/$M25),0)))</f>
        <v>100</v>
      </c>
      <c r="T25" s="123" cm="1">
        <f t="array" ref="T25">CHOOSE($H25,SUMPRODUCT($O26:$O$75*T26:T$75*($E26:$E$75=$D25)),IF(ISNUMBER(iData!M25),100*ABS($G25-(iData!M25-$K25)/$M25),0),IF(ISNUMBER(iData!M25),100*ABS($G25-(iData!M25-$I25)/$M25),0),IF(iData!M25&gt;tblIndicators!$AI21,100,IF(ISNUMBER(iData!M25),100*ABS($G25-(iData!M25-$I25)/$M25),0)),IF(iData!M25&lt;0,100,IF(ISNUMBER(iData!M25),100*ABS($G25-(iData!M25-$I25)/$M25),0)))</f>
        <v>100</v>
      </c>
      <c r="U25" s="123" cm="1">
        <f t="array" ref="U25">CHOOSE($H25,SUMPRODUCT($O26:$O$75*U26:U$75*($E26:$E$75=$D25)),IF(ISNUMBER(iData!N25),100*ABS($G25-(iData!N25-$K25)/$M25),0),IF(ISNUMBER(iData!N25),100*ABS($G25-(iData!N25-$I25)/$M25),0),IF(iData!N25&gt;tblIndicators!$AI21,100,IF(ISNUMBER(iData!N25),100*ABS($G25-(iData!N25-$I25)/$M25),0)),IF(iData!N25&lt;0,100,IF(ISNUMBER(iData!N25),100*ABS($G25-(iData!N25-$I25)/$M25),0)))</f>
        <v>100</v>
      </c>
      <c r="V25" s="123" cm="1">
        <f t="array" ref="V25">CHOOSE($H25,SUMPRODUCT($O26:$O$75*V26:V$75*($E26:$E$75=$D25)),IF(ISNUMBER(iData!O25),100*ABS($G25-(iData!O25-$K25)/$M25),0),IF(ISNUMBER(iData!O25),100*ABS($G25-(iData!O25-$I25)/$M25),0),IF(iData!O25&gt;tblIndicators!$AI21,100,IF(ISNUMBER(iData!O25),100*ABS($G25-(iData!O25-$I25)/$M25),0)),IF(iData!O25&lt;0,100,IF(ISNUMBER(iData!O25),100*ABS($G25-(iData!O25-$I25)/$M25),0)))</f>
        <v>100</v>
      </c>
      <c r="W25" s="123" cm="1">
        <f t="array" ref="W25">CHOOSE($H25,SUMPRODUCT($O26:$O$75*W26:W$75*($E26:$E$75=$D25)),IF(ISNUMBER(iData!P25),100*ABS($G25-(iData!P25-$K25)/$M25),0),IF(ISNUMBER(iData!P25),100*ABS($G25-(iData!P25-$I25)/$M25),0),IF(iData!P25&gt;tblIndicators!$AI21,100,IF(ISNUMBER(iData!P25),100*ABS($G25-(iData!P25-$I25)/$M25),0)),IF(iData!P25&lt;0,100,IF(ISNUMBER(iData!P25),100*ABS($G25-(iData!P25-$I25)/$M25),0)))</f>
        <v>100</v>
      </c>
      <c r="X25" s="123" cm="1">
        <f t="array" ref="X25">CHOOSE($H25,SUMPRODUCT($O26:$O$75*X26:X$75*($E26:$E$75=$D25)),IF(ISNUMBER(iData!Q25),100*ABS($G25-(iData!Q25-$K25)/$M25),0),IF(ISNUMBER(iData!Q25),100*ABS($G25-(iData!Q25-$I25)/$M25),0),IF(iData!Q25&gt;tblIndicators!$AI21,100,IF(ISNUMBER(iData!Q25),100*ABS($G25-(iData!Q25-$I25)/$M25),0)),IF(iData!Q25&lt;0,100,IF(ISNUMBER(iData!Q25),100*ABS($G25-(iData!Q25-$I25)/$M25),0)))</f>
        <v>50</v>
      </c>
      <c r="Y25" s="123" cm="1">
        <f t="array" ref="Y25">CHOOSE($H25,SUMPRODUCT($O26:$O$75*Y26:Y$75*($E26:$E$75=$D25)),IF(ISNUMBER(iData!R25),100*ABS($G25-(iData!R25-$K25)/$M25),0),IF(ISNUMBER(iData!R25),100*ABS($G25-(iData!R25-$I25)/$M25),0),IF(iData!R25&gt;tblIndicators!$AI21,100,IF(ISNUMBER(iData!R25),100*ABS($G25-(iData!R25-$I25)/$M25),0)),IF(iData!R25&lt;0,100,IF(ISNUMBER(iData!R25),100*ABS($G25-(iData!R25-$I25)/$M25),0)))</f>
        <v>100</v>
      </c>
      <c r="Z25" s="123" cm="1">
        <f t="array" ref="Z25">CHOOSE($H25,SUMPRODUCT($O26:$O$75*Z26:Z$75*($E26:$E$75=$D25)),IF(ISNUMBER(iData!S25),100*ABS($G25-(iData!S25-$K25)/$M25),0),IF(ISNUMBER(iData!S25),100*ABS($G25-(iData!S25-$I25)/$M25),0),IF(iData!S25&gt;tblIndicators!$AI21,100,IF(ISNUMBER(iData!S25),100*ABS($G25-(iData!S25-$I25)/$M25),0)),IF(iData!S25&lt;0,100,IF(ISNUMBER(iData!S25),100*ABS($G25-(iData!S25-$I25)/$M25),0)))</f>
        <v>100</v>
      </c>
      <c r="AA25" s="123" cm="1">
        <f t="array" ref="AA25">CHOOSE($H25,SUMPRODUCT($O26:$O$75*AA26:AA$75*($E26:$E$75=$D25)),IF(ISNUMBER(iData!T25),100*ABS($G25-(iData!T25-$K25)/$M25),0),IF(ISNUMBER(iData!T25),100*ABS($G25-(iData!T25-$I25)/$M25),0),IF(iData!T25&gt;tblIndicators!$AI21,100,IF(ISNUMBER(iData!T25),100*ABS($G25-(iData!T25-$I25)/$M25),0)),IF(iData!T25&lt;0,100,IF(ISNUMBER(iData!T25),100*ABS($G25-(iData!T25-$I25)/$M25),0)))</f>
        <v>100</v>
      </c>
      <c r="AB25" s="123" cm="1">
        <f t="array" ref="AB25">CHOOSE($H25,SUMPRODUCT($O26:$O$75*AB26:AB$75*($E26:$E$75=$D25)),IF(ISNUMBER(iData!U25),100*ABS($G25-(iData!U25-$K25)/$M25),0),IF(ISNUMBER(iData!U25),100*ABS($G25-(iData!U25-$I25)/$M25),0),IF(iData!U25&gt;tblIndicators!$AI21,100,IF(ISNUMBER(iData!U25),100*ABS($G25-(iData!U25-$I25)/$M25),0)),IF(iData!U25&lt;0,100,IF(ISNUMBER(iData!U25),100*ABS($G25-(iData!U25-$I25)/$M25),0)))</f>
        <v>100</v>
      </c>
      <c r="AC25" s="123" cm="1">
        <f t="array" ref="AC25">CHOOSE($H25,SUMPRODUCT($O26:$O$75*AC26:AC$75*($E26:$E$75=$D25)),IF(ISNUMBER(iData!V25),100*ABS($G25-(iData!V25-$K25)/$M25),0),IF(ISNUMBER(iData!V25),100*ABS($G25-(iData!V25-$I25)/$M25),0),IF(iData!V25&gt;tblIndicators!$AI21,100,IF(ISNUMBER(iData!V25),100*ABS($G25-(iData!V25-$I25)/$M25),0)),IF(iData!V25&lt;0,100,IF(ISNUMBER(iData!V25),100*ABS($G25-(iData!V25-$I25)/$M25),0)))</f>
        <v>100</v>
      </c>
      <c r="AD25" s="123" cm="1">
        <f t="array" ref="AD25">CHOOSE($H25,SUMPRODUCT($O26:$O$75*AD26:AD$75*($E26:$E$75=$D25)),IF(ISNUMBER(iData!W25),100*ABS($G25-(iData!W25-$K25)/$M25),0),IF(ISNUMBER(iData!W25),100*ABS($G25-(iData!W25-$I25)/$M25),0),IF(iData!W25&gt;tblIndicators!$AI21,100,IF(ISNUMBER(iData!W25),100*ABS($G25-(iData!W25-$I25)/$M25),0)),IF(iData!W25&lt;0,100,IF(ISNUMBER(iData!W25),100*ABS($G25-(iData!W25-$I25)/$M25),0)))</f>
        <v>100</v>
      </c>
      <c r="AE25" s="123" cm="1">
        <f t="array" ref="AE25">CHOOSE($H25,SUMPRODUCT($O26:$O$75*AE26:AE$75*($E26:$E$75=$D25)),IF(ISNUMBER(iData!X25),100*ABS($G25-(iData!X25-$K25)/$M25),0),IF(ISNUMBER(iData!X25),100*ABS($G25-(iData!X25-$I25)/$M25),0),IF(iData!X25&gt;tblIndicators!$AI21,100,IF(ISNUMBER(iData!X25),100*ABS($G25-(iData!X25-$I25)/$M25),0)),IF(iData!X25&lt;0,100,IF(ISNUMBER(iData!X25),100*ABS($G25-(iData!X25-$I25)/$M25),0)))</f>
        <v>100</v>
      </c>
      <c r="AF25" s="123" cm="1">
        <f t="array" ref="AF25">CHOOSE($H25,SUMPRODUCT($O26:$O$75*AF26:AF$75*($E26:$E$75=$D25)),IF(ISNUMBER(iData!Y25),100*ABS($G25-(iData!Y25-$K25)/$M25),0),IF(ISNUMBER(iData!Y25),100*ABS($G25-(iData!Y25-$I25)/$M25),0),IF(iData!Y25&gt;tblIndicators!$AI21,100,IF(ISNUMBER(iData!Y25),100*ABS($G25-(iData!Y25-$I25)/$M25),0)),IF(iData!Y25&lt;0,100,IF(ISNUMBER(iData!Y25),100*ABS($G25-(iData!Y25-$I25)/$M25),0)))</f>
        <v>100</v>
      </c>
      <c r="AG25" s="123" cm="1">
        <f t="array" ref="AG25">CHOOSE($H25,SUMPRODUCT($O26:$O$75*AG26:AG$75*($E26:$E$75=$D25)),IF(ISNUMBER(iData!Z25),100*ABS($G25-(iData!Z25-$K25)/$M25),0),IF(ISNUMBER(iData!Z25),100*ABS($G25-(iData!Z25-$I25)/$M25),0),IF(iData!Z25&gt;tblIndicators!$AI21,100,IF(ISNUMBER(iData!Z25),100*ABS($G25-(iData!Z25-$I25)/$M25),0)),IF(iData!Z25&lt;0,100,IF(ISNUMBER(iData!Z25),100*ABS($G25-(iData!Z25-$I25)/$M25),0)))</f>
        <v>100</v>
      </c>
      <c r="AH25" s="123" cm="1">
        <f t="array" ref="AH25">CHOOSE($H25,SUMPRODUCT($O26:$O$75*AH26:AH$75*($E26:$E$75=$D25)),IF(ISNUMBER(iData!AA25),100*ABS($G25-(iData!AA25-$K25)/$M25),0),IF(ISNUMBER(iData!AA25),100*ABS($G25-(iData!AA25-$I25)/$M25),0),IF(iData!AA25&gt;tblIndicators!$AI21,100,IF(ISNUMBER(iData!AA25),100*ABS($G25-(iData!AA25-$I25)/$M25),0)),IF(iData!AA25&lt;0,100,IF(ISNUMBER(iData!AA25),100*ABS($G25-(iData!AA25-$I25)/$M25),0)))</f>
        <v>100</v>
      </c>
      <c r="AI25" s="123" cm="1">
        <f t="array" ref="AI25">CHOOSE($H25,SUMPRODUCT($O26:$O$75*AI26:AI$75*($E26:$E$75=$D25)),IF(ISNUMBER(iData!AB25),100*ABS($G25-(iData!AB25-$K25)/$M25),0),IF(ISNUMBER(iData!AB25),100*ABS($G25-(iData!AB25-$I25)/$M25),0),IF(iData!AB25&gt;tblIndicators!$AI21,100,IF(ISNUMBER(iData!AB25),100*ABS($G25-(iData!AB25-$I25)/$M25),0)),IF(iData!AB25&lt;0,100,IF(ISNUMBER(iData!AB25),100*ABS($G25-(iData!AB25-$I25)/$M25),0)))</f>
        <v>100</v>
      </c>
      <c r="AJ25" s="123" cm="1">
        <f t="array" ref="AJ25">CHOOSE($H25,SUMPRODUCT($O26:$O$75*AJ26:AJ$75*($E26:$E$75=$D25)),IF(ISNUMBER(iData!AC25),100*ABS($G25-(iData!AC25-$K25)/$M25),0),IF(ISNUMBER(iData!AC25),100*ABS($G25-(iData!AC25-$I25)/$M25),0),IF(iData!AC25&gt;tblIndicators!$AI21,100,IF(ISNUMBER(iData!AC25),100*ABS($G25-(iData!AC25-$I25)/$M25),0)),IF(iData!AC25&lt;0,100,IF(ISNUMBER(iData!AC25),100*ABS($G25-(iData!AC25-$I25)/$M25),0)))</f>
        <v>100</v>
      </c>
      <c r="AK25" s="123" cm="1">
        <f t="array" ref="AK25">CHOOSE($H25,SUMPRODUCT($O26:$O$75*AK26:AK$75*($E26:$E$75=$D25)),IF(ISNUMBER(iData!AD25),100*ABS($G25-(iData!AD25-$K25)/$M25),0),IF(ISNUMBER(iData!AD25),100*ABS($G25-(iData!AD25-$I25)/$M25),0),IF(iData!AD25&gt;tblIndicators!$AI21,100,IF(ISNUMBER(iData!AD25),100*ABS($G25-(iData!AD25-$I25)/$M25),0)),IF(iData!AD25&lt;0,100,IF(ISNUMBER(iData!AD25),100*ABS($G25-(iData!AD25-$I25)/$M25),0)))</f>
        <v>100</v>
      </c>
      <c r="AL25" s="123" cm="1">
        <f t="array" ref="AL25">CHOOSE($H25,SUMPRODUCT($O26:$O$75*AL26:AL$75*($E26:$E$75=$D25)),IF(ISNUMBER(iData!AE25),100*ABS($G25-(iData!AE25-$K25)/$M25),0),IF(ISNUMBER(iData!AE25),100*ABS($G25-(iData!AE25-$I25)/$M25),0),IF(iData!AE25&gt;tblIndicators!$AI21,100,IF(ISNUMBER(iData!AE25),100*ABS($G25-(iData!AE25-$I25)/$M25),0)),IF(iData!AE25&lt;0,100,IF(ISNUMBER(iData!AE25),100*ABS($G25-(iData!AE25-$I25)/$M25),0)))</f>
        <v>100</v>
      </c>
      <c r="AM25" s="123" cm="1">
        <f t="array" ref="AM25">CHOOSE($H25,SUMPRODUCT($O26:$O$75*AM26:AM$75*($E26:$E$75=$D25)),IF(ISNUMBER(iData!AF25),100*ABS($G25-(iData!AF25-$K25)/$M25),0),IF(ISNUMBER(iData!AF25),100*ABS($G25-(iData!AF25-$I25)/$M25),0),IF(iData!AF25&gt;tblIndicators!$AI21,100,IF(ISNUMBER(iData!AF25),100*ABS($G25-(iData!AF25-$I25)/$M25),0)),IF(iData!AF25&lt;0,100,IF(ISNUMBER(iData!AF25),100*ABS($G25-(iData!AF25-$I25)/$M25),0)))</f>
        <v>100</v>
      </c>
      <c r="AN25" s="123" cm="1">
        <f t="array" ref="AN25">CHOOSE($H25,SUMPRODUCT($O26:$O$75*AN26:AN$75*($E26:$E$75=$D25)),IF(ISNUMBER(iData!AG25),100*ABS($G25-(iData!AG25-$K25)/$M25),0),IF(ISNUMBER(iData!AG25),100*ABS($G25-(iData!AG25-$I25)/$M25),0),IF(iData!AG25&gt;tblIndicators!$AI21,100,IF(ISNUMBER(iData!AG25),100*ABS($G25-(iData!AG25-$I25)/$M25),0)),IF(iData!AG25&lt;0,100,IF(ISNUMBER(iData!AG25),100*ABS($G25-(iData!AG25-$I25)/$M25),0)))</f>
        <v>100</v>
      </c>
      <c r="AO25" s="123" cm="1">
        <f t="array" ref="AO25">CHOOSE($H25,SUMPRODUCT($O26:$O$75*AO26:AO$75*($E26:$E$75=$D25)),IF(ISNUMBER(iData!AH25),100*ABS($G25-(iData!AH25-$K25)/$M25),0),IF(ISNUMBER(iData!AH25),100*ABS($G25-(iData!AH25-$I25)/$M25),0),IF(iData!AH25&gt;tblIndicators!$AI21,100,IF(ISNUMBER(iData!AH25),100*ABS($G25-(iData!AH25-$I25)/$M25),0)),IF(iData!AH25&lt;0,100,IF(ISNUMBER(iData!AH25),100*ABS($G25-(iData!AH25-$I25)/$M25),0)))</f>
        <v>50</v>
      </c>
      <c r="AP25" s="123" cm="1">
        <f t="array" ref="AP25">CHOOSE($H25,SUMPRODUCT($O26:$O$75*AP26:AP$75*($E26:$E$75=$D25)),IF(ISNUMBER(iData!AI25),100*ABS($G25-(iData!AI25-$K25)/$M25),0),IF(ISNUMBER(iData!AI25),100*ABS($G25-(iData!AI25-$I25)/$M25),0),IF(iData!AI25&gt;tblIndicators!$AI21,100,IF(ISNUMBER(iData!AI25),100*ABS($G25-(iData!AI25-$I25)/$M25),0)),IF(iData!AI25&lt;0,100,IF(ISNUMBER(iData!AI25),100*ABS($G25-(iData!AI25-$I25)/$M25),0)))</f>
        <v>100</v>
      </c>
      <c r="AQ25" s="123" cm="1">
        <f t="array" ref="AQ25">CHOOSE($H25,SUMPRODUCT($O26:$O$75*AQ26:AQ$75*($E26:$E$75=$D25)),IF(ISNUMBER(iData!AJ25),100*ABS($G25-(iData!AJ25-$K25)/$M25),0),IF(ISNUMBER(iData!AJ25),100*ABS($G25-(iData!AJ25-$I25)/$M25),0),IF(iData!AJ25&gt;tblIndicators!$AI21,100,IF(ISNUMBER(iData!AJ25),100*ABS($G25-(iData!AJ25-$I25)/$M25),0)),IF(iData!AJ25&lt;0,100,IF(ISNUMBER(iData!AJ25),100*ABS($G25-(iData!AJ25-$I25)/$M25),0)))</f>
        <v>100</v>
      </c>
      <c r="AR25" s="123" cm="1">
        <f t="array" ref="AR25">CHOOSE($H25,SUMPRODUCT($O26:$O$75*AR26:AR$75*($E26:$E$75=$D25)),IF(ISNUMBER(iData!AK25),100*ABS($G25-(iData!AK25-$K25)/$M25),0),IF(ISNUMBER(iData!AK25),100*ABS($G25-(iData!AK25-$I25)/$M25),0),IF(iData!AK25&gt;tblIndicators!$AI21,100,IF(ISNUMBER(iData!AK25),100*ABS($G25-(iData!AK25-$I25)/$M25),0)),IF(iData!AK25&lt;0,100,IF(ISNUMBER(iData!AK25),100*ABS($G25-(iData!AK25-$I25)/$M25),0)))</f>
        <v>100</v>
      </c>
      <c r="AS25" s="123" cm="1">
        <f t="array" ref="AS25">CHOOSE($H25,SUMPRODUCT($O26:$O$75*AS26:AS$75*($E26:$E$75=$D25)),IF(ISNUMBER(iData!AL25),100*ABS($G25-(iData!AL25-$K25)/$M25),0),IF(ISNUMBER(iData!AL25),100*ABS($G25-(iData!AL25-$I25)/$M25),0),IF(iData!AL25&gt;tblIndicators!$AI21,100,IF(ISNUMBER(iData!AL25),100*ABS($G25-(iData!AL25-$I25)/$M25),0)),IF(iData!AL25&lt;0,100,IF(ISNUMBER(iData!AL25),100*ABS($G25-(iData!AL25-$I25)/$M25),0)))</f>
        <v>100</v>
      </c>
      <c r="AT25" s="123" cm="1">
        <f t="array" ref="AT25">CHOOSE($H25,SUMPRODUCT($O26:$O$75*AT26:AT$75*($E26:$E$75=$D25)),IF(ISNUMBER(iData!AM25),100*ABS($G25-(iData!AM25-$K25)/$M25),0),IF(ISNUMBER(iData!AM25),100*ABS($G25-(iData!AM25-$I25)/$M25),0),IF(iData!AM25&gt;tblIndicators!$AI21,100,IF(ISNUMBER(iData!AM25),100*ABS($G25-(iData!AM25-$I25)/$M25),0)),IF(iData!AM25&lt;0,100,IF(ISNUMBER(iData!AM25),100*ABS($G25-(iData!AM25-$I25)/$M25),0)))</f>
        <v>100</v>
      </c>
      <c r="AU25" s="123" cm="1">
        <f t="array" ref="AU25">CHOOSE($H25,SUMPRODUCT($O26:$O$75*AU26:AU$75*($E26:$E$75=$D25)),IF(ISNUMBER(iData!AN25),100*ABS($G25-(iData!AN25-$K25)/$M25),0),IF(ISNUMBER(iData!AN25),100*ABS($G25-(iData!AN25-$I25)/$M25),0),IF(iData!AN25&gt;tblIndicators!$AI21,100,IF(ISNUMBER(iData!AN25),100*ABS($G25-(iData!AN25-$I25)/$M25),0)),IF(iData!AN25&lt;0,100,IF(ISNUMBER(iData!AN25),100*ABS($G25-(iData!AN25-$I25)/$M25),0)))</f>
        <v>100</v>
      </c>
      <c r="AV25" s="367"/>
      <c r="AW25" s="368"/>
      <c r="AX25" s="14"/>
      <c r="AY25" s="871">
        <f t="shared" si="40"/>
        <v>50</v>
      </c>
      <c r="AZ25" s="871">
        <f t="shared" si="41"/>
        <v>100</v>
      </c>
      <c r="BA25" s="871">
        <f t="shared" si="42"/>
        <v>100</v>
      </c>
      <c r="BB25" s="871">
        <f t="shared" si="43"/>
        <v>100</v>
      </c>
      <c r="BC25" s="871">
        <f t="shared" si="44"/>
        <v>100</v>
      </c>
      <c r="BD25" s="871">
        <f t="shared" si="45"/>
        <v>100</v>
      </c>
      <c r="BE25" s="871">
        <f t="shared" si="46"/>
        <v>50</v>
      </c>
      <c r="BF25" s="871">
        <f t="shared" si="47"/>
        <v>100</v>
      </c>
      <c r="BG25" s="871">
        <f t="shared" si="48"/>
        <v>100</v>
      </c>
      <c r="BH25" s="871">
        <f t="shared" si="49"/>
        <v>100</v>
      </c>
      <c r="BI25" s="871">
        <f t="shared" si="50"/>
        <v>100</v>
      </c>
      <c r="BJ25" s="871">
        <f t="shared" si="51"/>
        <v>100</v>
      </c>
      <c r="BK25" s="871">
        <f t="shared" si="52"/>
        <v>100</v>
      </c>
      <c r="BL25" s="871">
        <f t="shared" si="53"/>
        <v>100</v>
      </c>
      <c r="BM25" s="871">
        <f t="shared" si="54"/>
        <v>100</v>
      </c>
      <c r="BN25" s="871">
        <f t="shared" si="55"/>
        <v>100</v>
      </c>
      <c r="BO25" s="871">
        <f t="shared" si="56"/>
        <v>100</v>
      </c>
      <c r="BP25" s="871">
        <f t="shared" si="57"/>
        <v>100</v>
      </c>
      <c r="BQ25" s="871">
        <f t="shared" si="58"/>
        <v>100</v>
      </c>
      <c r="BR25" s="871">
        <f t="shared" si="59"/>
        <v>100</v>
      </c>
      <c r="BS25" s="871">
        <f t="shared" si="60"/>
        <v>100</v>
      </c>
      <c r="BT25" s="871">
        <f t="shared" si="61"/>
        <v>100</v>
      </c>
      <c r="BU25" s="871">
        <f t="shared" si="62"/>
        <v>100</v>
      </c>
      <c r="BV25" s="871">
        <f t="shared" si="63"/>
        <v>50</v>
      </c>
      <c r="BW25" s="871">
        <f t="shared" si="64"/>
        <v>100</v>
      </c>
      <c r="BX25" s="871">
        <f t="shared" si="65"/>
        <v>100</v>
      </c>
      <c r="BY25" s="871">
        <f t="shared" si="66"/>
        <v>100</v>
      </c>
      <c r="BZ25" s="871">
        <f t="shared" si="67"/>
        <v>100</v>
      </c>
      <c r="CA25" s="871">
        <f t="shared" si="68"/>
        <v>100</v>
      </c>
      <c r="CB25" s="871">
        <f t="shared" si="69"/>
        <v>100</v>
      </c>
      <c r="CD25" s="304">
        <f t="shared" ref="CD25:CM50" ca="1" si="103">IFERROR(ROUND(SUMIF(OFFSET(tblGroups,CD$5-1,0,1,$CE$1),1,OFFSET(aScoresRounded,$B25-1,0,1,$CE$1))/SUM(OFFSET(tblGroups,CD$5-1,0,1,$CE$1)),$CF$1),"n/a")</f>
        <v>95</v>
      </c>
      <c r="CE25" s="304">
        <f t="shared" ca="1" si="103"/>
        <v>95</v>
      </c>
      <c r="CF25" s="304">
        <f t="shared" ca="1" si="103"/>
        <v>95.8</v>
      </c>
      <c r="CG25" s="302">
        <f t="shared" ca="1" si="103"/>
        <v>95</v>
      </c>
      <c r="CH25" s="302">
        <f t="shared" ca="1" si="103"/>
        <v>83.3</v>
      </c>
      <c r="CI25" s="302">
        <f t="shared" ca="1" si="103"/>
        <v>100</v>
      </c>
      <c r="CJ25" s="302">
        <f t="shared" ca="1" si="103"/>
        <v>100</v>
      </c>
      <c r="CK25" s="302">
        <f t="shared" ca="1" si="103"/>
        <v>100</v>
      </c>
      <c r="CL25" s="302">
        <f t="shared" ca="1" si="103"/>
        <v>91.7</v>
      </c>
      <c r="CM25" s="302">
        <f t="shared" ca="1" si="103"/>
        <v>95.2</v>
      </c>
      <c r="CN25" s="302">
        <f t="shared" ca="1" si="101"/>
        <v>93.8</v>
      </c>
      <c r="CO25" s="302">
        <f t="shared" ca="1" si="101"/>
        <v>100</v>
      </c>
      <c r="CP25" s="302">
        <f t="shared" ca="1" si="101"/>
        <v>100</v>
      </c>
      <c r="CQ25" s="302">
        <f t="shared" ca="1" si="101"/>
        <v>88.9</v>
      </c>
    </row>
    <row r="26" spans="1:95" s="124" customFormat="1" ht="27.75" customHeight="1" thickBot="1">
      <c r="A26" s="118"/>
      <c r="B26" s="119">
        <f>tblIndicators!A22</f>
        <v>21</v>
      </c>
      <c r="C26" s="119">
        <f>tblIndicators!B22</f>
        <v>0</v>
      </c>
      <c r="D26" s="119" t="str">
        <f>tblIndicators!E22</f>
        <v>SERV2_2</v>
      </c>
      <c r="E26" s="119" t="str">
        <f>tblIndicators!F22</f>
        <v>SERV</v>
      </c>
      <c r="F26" s="119">
        <f>tblIndicators!G22</f>
        <v>2</v>
      </c>
      <c r="G26" s="119">
        <f>tblIndicators!AF22</f>
        <v>0</v>
      </c>
      <c r="H26" s="119">
        <f>tblIndicators!AG22</f>
        <v>1</v>
      </c>
      <c r="I26" s="120">
        <f>tblIndicators!AH22</f>
        <v>0</v>
      </c>
      <c r="J26" s="119">
        <f>tblIndicators!AI22</f>
        <v>0</v>
      </c>
      <c r="K26" s="119">
        <f t="array" ref="K26">MIN(IF(ISNUMBER(iData!K26:AN26),iData!K26:AN26))</f>
        <v>0</v>
      </c>
      <c r="L26" s="121">
        <f t="array" ref="L26">MAX(IF(ISNUMBER(iData!K26:AN26),iData!K26:AN26))</f>
        <v>0</v>
      </c>
      <c r="M26" s="51" t="str">
        <f t="shared" si="7"/>
        <v>-</v>
      </c>
      <c r="N26" s="122" t="str">
        <f>REPT(" ",F26)&amp;tblIndicators!AM22</f>
        <v xml:space="preserve">  2.2) Digital finance</v>
      </c>
      <c r="O26" s="381">
        <f>tblIndicators!AR22</f>
        <v>0.15384615384615385</v>
      </c>
      <c r="P26" s="381"/>
      <c r="Q26" s="323"/>
      <c r="R26" s="123" cm="1">
        <f t="array" ref="R26">CHOOSE($H26,SUMPRODUCT($O27:$O$75*R27:R$75*($E27:$E$75=$D26)),IF(ISNUMBER(iData!K26),100*ABS($G26-(iData!K26-$K26)/$M26),0),IF(ISNUMBER(iData!K26),100*ABS($G26-(iData!K26-$I26)/$M26),0),IF(iData!K26&gt;tblIndicators!$AI22,100,IF(ISNUMBER(iData!K26),100*ABS($G26-(iData!K26-$I26)/$M26),0)),IF(iData!K26&lt;0,100,IF(ISNUMBER(iData!K26),100*ABS($G26-(iData!K26-$I26)/$M26),0)))</f>
        <v>58.490985803131508</v>
      </c>
      <c r="S26" s="123" cm="1">
        <f t="array" ref="S26">CHOOSE($H26,SUMPRODUCT($O27:$O$75*S27:S$75*($E27:$E$75=$D26)),IF(ISNUMBER(iData!L26),100*ABS($G26-(iData!L26-$K26)/$M26),0),IF(ISNUMBER(iData!L26),100*ABS($G26-(iData!L26-$I26)/$M26),0),IF(iData!L26&gt;tblIndicators!$AI22,100,IF(ISNUMBER(iData!L26),100*ABS($G26-(iData!L26-$I26)/$M26),0)),IF(iData!L26&lt;0,100,IF(ISNUMBER(iData!L26),100*ABS($G26-(iData!L26-$I26)/$M26),0)))</f>
        <v>65.553255712977503</v>
      </c>
      <c r="T26" s="123" cm="1">
        <f t="array" ref="T26">CHOOSE($H26,SUMPRODUCT($O27:$O$75*T27:T$75*($E27:$E$75=$D26)),IF(ISNUMBER(iData!M26),100*ABS($G26-(iData!M26-$K26)/$M26),0),IF(ISNUMBER(iData!M26),100*ABS($G26-(iData!M26-$I26)/$M26),0),IF(iData!M26&gt;tblIndicators!$AI22,100,IF(ISNUMBER(iData!M26),100*ABS($G26-(iData!M26-$I26)/$M26),0)),IF(iData!M26&lt;0,100,IF(ISNUMBER(iData!M26),100*ABS($G26-(iData!M26-$I26)/$M26),0)))</f>
        <v>51.133092933347982</v>
      </c>
      <c r="U26" s="123" cm="1">
        <f t="array" ref="U26">CHOOSE($H26,SUMPRODUCT($O27:$O$75*U27:U$75*($E27:$E$75=$D26)),IF(ISNUMBER(iData!N26),100*ABS($G26-(iData!N26-$K26)/$M26),0),IF(ISNUMBER(iData!N26),100*ABS($G26-(iData!N26-$I26)/$M26),0),IF(iData!N26&gt;tblIndicators!$AI22,100,IF(ISNUMBER(iData!N26),100*ABS($G26-(iData!N26-$I26)/$M26),0)),IF(iData!N26&lt;0,100,IF(ISNUMBER(iData!N26),100*ABS($G26-(iData!N26-$I26)/$M26),0)))</f>
        <v>37.803975829448163</v>
      </c>
      <c r="V26" s="123" cm="1">
        <f t="array" ref="V26">CHOOSE($H26,SUMPRODUCT($O27:$O$75*V27:V$75*($E27:$E$75=$D26)),IF(ISNUMBER(iData!O26),100*ABS($G26-(iData!O26-$K26)/$M26),0),IF(ISNUMBER(iData!O26),100*ABS($G26-(iData!O26-$I26)/$M26),0),IF(iData!O26&gt;tblIndicators!$AI22,100,IF(ISNUMBER(iData!O26),100*ABS($G26-(iData!O26-$I26)/$M26),0)),IF(iData!O26&lt;0,100,IF(ISNUMBER(iData!O26),100*ABS($G26-(iData!O26-$I26)/$M26),0)))</f>
        <v>87.411537433616459</v>
      </c>
      <c r="W26" s="123" cm="1">
        <f t="array" ref="W26">CHOOSE($H26,SUMPRODUCT($O27:$O$75*W27:W$75*($E27:$E$75=$D26)),IF(ISNUMBER(iData!P26),100*ABS($G26-(iData!P26-$K26)/$M26),0),IF(ISNUMBER(iData!P26),100*ABS($G26-(iData!P26-$I26)/$M26),0),IF(iData!P26&gt;tblIndicators!$AI22,100,IF(ISNUMBER(iData!P26),100*ABS($G26-(iData!P26-$I26)/$M26),0)),IF(iData!P26&lt;0,100,IF(ISNUMBER(iData!P26),100*ABS($G26-(iData!P26-$I26)/$M26),0)))</f>
        <v>29.649552681064449</v>
      </c>
      <c r="X26" s="123" cm="1">
        <f t="array" ref="X26">CHOOSE($H26,SUMPRODUCT($O27:$O$75*X27:X$75*($E27:$E$75=$D26)),IF(ISNUMBER(iData!Q26),100*ABS($G26-(iData!Q26-$K26)/$M26),0),IF(ISNUMBER(iData!Q26),100*ABS($G26-(iData!Q26-$I26)/$M26),0),IF(iData!Q26&gt;tblIndicators!$AI22,100,IF(ISNUMBER(iData!Q26),100*ABS($G26-(iData!Q26-$I26)/$M26),0)),IF(iData!Q26&lt;0,100,IF(ISNUMBER(iData!Q26),100*ABS($G26-(iData!Q26-$I26)/$M26),0)))</f>
        <v>39.293423083374599</v>
      </c>
      <c r="Y26" s="123" cm="1">
        <f t="array" ref="Y26">CHOOSE($H26,SUMPRODUCT($O27:$O$75*Y27:Y$75*($E27:$E$75=$D26)),IF(ISNUMBER(iData!R26),100*ABS($G26-(iData!R26-$K26)/$M26),0),IF(ISNUMBER(iData!R26),100*ABS($G26-(iData!R26-$I26)/$M26),0),IF(iData!R26&gt;tblIndicators!$AI22,100,IF(ISNUMBER(iData!R26),100*ABS($G26-(iData!R26-$I26)/$M26),0)),IF(iData!R26&lt;0,100,IF(ISNUMBER(iData!R26),100*ABS($G26-(iData!R26-$I26)/$M26),0)))</f>
        <v>66.21668583499401</v>
      </c>
      <c r="Z26" s="123" cm="1">
        <f t="array" ref="Z26">CHOOSE($H26,SUMPRODUCT($O27:$O$75*Z27:Z$75*($E27:$E$75=$D26)),IF(ISNUMBER(iData!S26),100*ABS($G26-(iData!S26-$K26)/$M26),0),IF(ISNUMBER(iData!S26),100*ABS($G26-(iData!S26-$I26)/$M26),0),IF(iData!S26&gt;tblIndicators!$AI22,100,IF(ISNUMBER(iData!S26),100*ABS($G26-(iData!S26-$I26)/$M26),0)),IF(iData!S26&lt;0,100,IF(ISNUMBER(iData!S26),100*ABS($G26-(iData!S26-$I26)/$M26),0)))</f>
        <v>57.296776269905024</v>
      </c>
      <c r="AA26" s="123" cm="1">
        <f t="array" ref="AA26">CHOOSE($H26,SUMPRODUCT($O27:$O$75*AA27:AA$75*($E27:$E$75=$D26)),IF(ISNUMBER(iData!T26),100*ABS($G26-(iData!T26-$K26)/$M26),0),IF(ISNUMBER(iData!T26),100*ABS($G26-(iData!T26-$I26)/$M26),0),IF(iData!T26&gt;tblIndicators!$AI22,100,IF(ISNUMBER(iData!T26),100*ABS($G26-(iData!T26-$I26)/$M26),0)),IF(iData!T26&lt;0,100,IF(ISNUMBER(iData!T26),100*ABS($G26-(iData!T26-$I26)/$M26),0)))</f>
        <v>60.547376801695691</v>
      </c>
      <c r="AB26" s="123" cm="1">
        <f t="array" ref="AB26">CHOOSE($H26,SUMPRODUCT($O27:$O$75*AB27:AB$75*($E27:$E$75=$D26)),IF(ISNUMBER(iData!U26),100*ABS($G26-(iData!U26-$K26)/$M26),0),IF(ISNUMBER(iData!U26),100*ABS($G26-(iData!U26-$I26)/$M26),0),IF(iData!U26&gt;tblIndicators!$AI22,100,IF(ISNUMBER(iData!U26),100*ABS($G26-(iData!U26-$I26)/$M26),0)),IF(iData!U26&lt;0,100,IF(ISNUMBER(iData!U26),100*ABS($G26-(iData!U26-$I26)/$M26),0)))</f>
        <v>37.018986676340454</v>
      </c>
      <c r="AC26" s="123" cm="1">
        <f t="array" ref="AC26">CHOOSE($H26,SUMPRODUCT($O27:$O$75*AC27:AC$75*($E27:$E$75=$D26)),IF(ISNUMBER(iData!V26),100*ABS($G26-(iData!V26-$K26)/$M26),0),IF(ISNUMBER(iData!V26),100*ABS($G26-(iData!V26-$I26)/$M26),0),IF(iData!V26&gt;tblIndicators!$AI22,100,IF(ISNUMBER(iData!V26),100*ABS($G26-(iData!V26-$I26)/$M26),0)),IF(iData!V26&lt;0,100,IF(ISNUMBER(iData!V26),100*ABS($G26-(iData!V26-$I26)/$M26),0)))</f>
        <v>68.518731054054683</v>
      </c>
      <c r="AD26" s="123" cm="1">
        <f t="array" ref="AD26">CHOOSE($H26,SUMPRODUCT($O27:$O$75*AD27:AD$75*($E27:$E$75=$D26)),IF(ISNUMBER(iData!W26),100*ABS($G26-(iData!W26-$K26)/$M26),0),IF(ISNUMBER(iData!W26),100*ABS($G26-(iData!W26-$I26)/$M26),0),IF(iData!W26&gt;tblIndicators!$AI22,100,IF(ISNUMBER(iData!W26),100*ABS($G26-(iData!W26-$I26)/$M26),0)),IF(iData!W26&lt;0,100,IF(ISNUMBER(iData!W26),100*ABS($G26-(iData!W26-$I26)/$M26),0)))</f>
        <v>51.586037966932025</v>
      </c>
      <c r="AE26" s="123" cm="1">
        <f t="array" ref="AE26">CHOOSE($H26,SUMPRODUCT($O27:$O$75*AE27:AE$75*($E27:$E$75=$D26)),IF(ISNUMBER(iData!X26),100*ABS($G26-(iData!X26-$K26)/$M26),0),IF(ISNUMBER(iData!X26),100*ABS($G26-(iData!X26-$I26)/$M26),0),IF(iData!X26&gt;tblIndicators!$AI22,100,IF(ISNUMBER(iData!X26),100*ABS($G26-(iData!X26-$I26)/$M26),0)),IF(iData!X26&lt;0,100,IF(ISNUMBER(iData!X26),100*ABS($G26-(iData!X26-$I26)/$M26),0)))</f>
        <v>25.083921960161444</v>
      </c>
      <c r="AF26" s="123" cm="1">
        <f t="array" ref="AF26">CHOOSE($H26,SUMPRODUCT($O27:$O$75*AF27:AF$75*($E27:$E$75=$D26)),IF(ISNUMBER(iData!Y26),100*ABS($G26-(iData!Y26-$K26)/$M26),0),IF(ISNUMBER(iData!Y26),100*ABS($G26-(iData!Y26-$I26)/$M26),0),IF(iData!Y26&gt;tblIndicators!$AI22,100,IF(ISNUMBER(iData!Y26),100*ABS($G26-(iData!Y26-$I26)/$M26),0)),IF(iData!Y26&lt;0,100,IF(ISNUMBER(iData!Y26),100*ABS($G26-(iData!Y26-$I26)/$M26),0)))</f>
        <v>46.480045008784259</v>
      </c>
      <c r="AG26" s="123" cm="1">
        <f t="array" ref="AG26">CHOOSE($H26,SUMPRODUCT($O27:$O$75*AG27:AG$75*($E27:$E$75=$D26)),IF(ISNUMBER(iData!Z26),100*ABS($G26-(iData!Z26-$K26)/$M26),0),IF(ISNUMBER(iData!Z26),100*ABS($G26-(iData!Z26-$I26)/$M26),0),IF(iData!Z26&gt;tblIndicators!$AI22,100,IF(ISNUMBER(iData!Z26),100*ABS($G26-(iData!Z26-$I26)/$M26),0)),IF(iData!Z26&lt;0,100,IF(ISNUMBER(iData!Z26),100*ABS($G26-(iData!Z26-$I26)/$M26),0)))</f>
        <v>35.889882574264888</v>
      </c>
      <c r="AH26" s="123" cm="1">
        <f t="array" ref="AH26">CHOOSE($H26,SUMPRODUCT($O27:$O$75*AH27:AH$75*($E27:$E$75=$D26)),IF(ISNUMBER(iData!AA26),100*ABS($G26-(iData!AA26-$K26)/$M26),0),IF(ISNUMBER(iData!AA26),100*ABS($G26-(iData!AA26-$I26)/$M26),0),IF(iData!AA26&gt;tblIndicators!$AI22,100,IF(ISNUMBER(iData!AA26),100*ABS($G26-(iData!AA26-$I26)/$M26),0)),IF(iData!AA26&lt;0,100,IF(ISNUMBER(iData!AA26),100*ABS($G26-(iData!AA26-$I26)/$M26),0)))</f>
        <v>26.013199259377561</v>
      </c>
      <c r="AI26" s="123" cm="1">
        <f t="array" ref="AI26">CHOOSE($H26,SUMPRODUCT($O27:$O$75*AI27:AI$75*($E27:$E$75=$D26)),IF(ISNUMBER(iData!AB26),100*ABS($G26-(iData!AB26-$K26)/$M26),0),IF(ISNUMBER(iData!AB26),100*ABS($G26-(iData!AB26-$I26)/$M26),0),IF(iData!AB26&gt;tblIndicators!$AI22,100,IF(ISNUMBER(iData!AB26),100*ABS($G26-(iData!AB26-$I26)/$M26),0)),IF(iData!AB26&lt;0,100,IF(ISNUMBER(iData!AB26),100*ABS($G26-(iData!AB26-$I26)/$M26),0)))</f>
        <v>30.717885293411843</v>
      </c>
      <c r="AJ26" s="123" cm="1">
        <f t="array" ref="AJ26">CHOOSE($H26,SUMPRODUCT($O27:$O$75*AJ27:AJ$75*($E27:$E$75=$D26)),IF(ISNUMBER(iData!AC26),100*ABS($G26-(iData!AC26-$K26)/$M26),0),IF(ISNUMBER(iData!AC26),100*ABS($G26-(iData!AC26-$I26)/$M26),0),IF(iData!AC26&gt;tblIndicators!$AI22,100,IF(ISNUMBER(iData!AC26),100*ABS($G26-(iData!AC26-$I26)/$M26),0)),IF(iData!AC26&lt;0,100,IF(ISNUMBER(iData!AC26),100*ABS($G26-(iData!AC26-$I26)/$M26),0)))</f>
        <v>65.478374836172989</v>
      </c>
      <c r="AK26" s="123" cm="1">
        <f t="array" ref="AK26">CHOOSE($H26,SUMPRODUCT($O27:$O$75*AK27:AK$75*($E27:$E$75=$D26)),IF(ISNUMBER(iData!AD26),100*ABS($G26-(iData!AD26-$K26)/$M26),0),IF(ISNUMBER(iData!AD26),100*ABS($G26-(iData!AD26-$I26)/$M26),0),IF(iData!AD26&gt;tblIndicators!$AI22,100,IF(ISNUMBER(iData!AD26),100*ABS($G26-(iData!AD26-$I26)/$M26),0)),IF(iData!AD26&lt;0,100,IF(ISNUMBER(iData!AD26),100*ABS($G26-(iData!AD26-$I26)/$M26),0)))</f>
        <v>56.974844680367802</v>
      </c>
      <c r="AL26" s="123" cm="1">
        <f t="array" ref="AL26">CHOOSE($H26,SUMPRODUCT($O27:$O$75*AL27:AL$75*($E27:$E$75=$D26)),IF(ISNUMBER(iData!AE26),100*ABS($G26-(iData!AE26-$K26)/$M26),0),IF(ISNUMBER(iData!AE26),100*ABS($G26-(iData!AE26-$I26)/$M26),0),IF(iData!AE26&gt;tblIndicators!$AI22,100,IF(ISNUMBER(iData!AE26),100*ABS($G26-(iData!AE26-$I26)/$M26),0)),IF(iData!AE26&lt;0,100,IF(ISNUMBER(iData!AE26),100*ABS($G26-(iData!AE26-$I26)/$M26),0)))</f>
        <v>62.861412592026021</v>
      </c>
      <c r="AM26" s="123" cm="1">
        <f t="array" ref="AM26">CHOOSE($H26,SUMPRODUCT($O27:$O$75*AM27:AM$75*($E27:$E$75=$D26)),IF(ISNUMBER(iData!AF26),100*ABS($G26-(iData!AF26-$K26)/$M26),0),IF(ISNUMBER(iData!AF26),100*ABS($G26-(iData!AF26-$I26)/$M26),0),IF(iData!AF26&gt;tblIndicators!$AI22,100,IF(ISNUMBER(iData!AF26),100*ABS($G26-(iData!AF26-$I26)/$M26),0)),IF(iData!AF26&lt;0,100,IF(ISNUMBER(iData!AF26),100*ABS($G26-(iData!AF26-$I26)/$M26),0)))</f>
        <v>37.711261586270716</v>
      </c>
      <c r="AN26" s="123" cm="1">
        <f t="array" ref="AN26">CHOOSE($H26,SUMPRODUCT($O27:$O$75*AN27:AN$75*($E27:$E$75=$D26)),IF(ISNUMBER(iData!AG26),100*ABS($G26-(iData!AG26-$K26)/$M26),0),IF(ISNUMBER(iData!AG26),100*ABS($G26-(iData!AG26-$I26)/$M26),0),IF(iData!AG26&gt;tblIndicators!$AI22,100,IF(ISNUMBER(iData!AG26),100*ABS($G26-(iData!AG26-$I26)/$M26),0)),IF(iData!AG26&lt;0,100,IF(ISNUMBER(iData!AG26),100*ABS($G26-(iData!AG26-$I26)/$M26),0)))</f>
        <v>47.654912321957269</v>
      </c>
      <c r="AO26" s="123" cm="1">
        <f t="array" ref="AO26">CHOOSE($H26,SUMPRODUCT($O27:$O$75*AO27:AO$75*($E27:$E$75=$D26)),IF(ISNUMBER(iData!AH26),100*ABS($G26-(iData!AH26-$K26)/$M26),0),IF(ISNUMBER(iData!AH26),100*ABS($G26-(iData!AH26-$I26)/$M26),0),IF(iData!AH26&gt;tblIndicators!$AI22,100,IF(ISNUMBER(iData!AH26),100*ABS($G26-(iData!AH26-$I26)/$M26),0)),IF(iData!AH26&lt;0,100,IF(ISNUMBER(iData!AH26),100*ABS($G26-(iData!AH26-$I26)/$M26),0)))</f>
        <v>83.285641250775484</v>
      </c>
      <c r="AP26" s="123" cm="1">
        <f t="array" ref="AP26">CHOOSE($H26,SUMPRODUCT($O27:$O$75*AP27:AP$75*($E27:$E$75=$D26)),IF(ISNUMBER(iData!AI26),100*ABS($G26-(iData!AI26-$K26)/$M26),0),IF(ISNUMBER(iData!AI26),100*ABS($G26-(iData!AI26-$I26)/$M26),0),IF(iData!AI26&gt;tblIndicators!$AI22,100,IF(ISNUMBER(iData!AI26),100*ABS($G26-(iData!AI26-$I26)/$M26),0)),IF(iData!AI26&lt;0,100,IF(ISNUMBER(iData!AI26),100*ABS($G26-(iData!AI26-$I26)/$M26),0)))</f>
        <v>60.305205785972312</v>
      </c>
      <c r="AQ26" s="123" cm="1">
        <f t="array" ref="AQ26">CHOOSE($H26,SUMPRODUCT($O27:$O$75*AQ27:AQ$75*($E27:$E$75=$D26)),IF(ISNUMBER(iData!AJ26),100*ABS($G26-(iData!AJ26-$K26)/$M26),0),IF(ISNUMBER(iData!AJ26),100*ABS($G26-(iData!AJ26-$I26)/$M26),0),IF(iData!AJ26&gt;tblIndicators!$AI22,100,IF(ISNUMBER(iData!AJ26),100*ABS($G26-(iData!AJ26-$I26)/$M26),0)),IF(iData!AJ26&lt;0,100,IF(ISNUMBER(iData!AJ26),100*ABS($G26-(iData!AJ26-$I26)/$M26),0)))</f>
        <v>48.969621478371621</v>
      </c>
      <c r="AR26" s="123" cm="1">
        <f t="array" ref="AR26">CHOOSE($H26,SUMPRODUCT($O27:$O$75*AR27:AR$75*($E27:$E$75=$D26)),IF(ISNUMBER(iData!AK26),100*ABS($G26-(iData!AK26-$K26)/$M26),0),IF(ISNUMBER(iData!AK26),100*ABS($G26-(iData!AK26-$I26)/$M26),0),IF(iData!AK26&gt;tblIndicators!$AI22,100,IF(ISNUMBER(iData!AK26),100*ABS($G26-(iData!AK26-$I26)/$M26),0)),IF(iData!AK26&lt;0,100,IF(ISNUMBER(iData!AK26),100*ABS($G26-(iData!AK26-$I26)/$M26),0)))</f>
        <v>6.9226367378583404</v>
      </c>
      <c r="AS26" s="123" cm="1">
        <f t="array" ref="AS26">CHOOSE($H26,SUMPRODUCT($O27:$O$75*AS27:AS$75*($E27:$E$75=$D26)),IF(ISNUMBER(iData!AL26),100*ABS($G26-(iData!AL26-$K26)/$M26),0),IF(ISNUMBER(iData!AL26),100*ABS($G26-(iData!AL26-$I26)/$M26),0),IF(iData!AL26&gt;tblIndicators!$AI22,100,IF(ISNUMBER(iData!AL26),100*ABS($G26-(iData!AL26-$I26)/$M26),0)),IF(iData!AL26&lt;0,100,IF(ISNUMBER(iData!AL26),100*ABS($G26-(iData!AL26-$I26)/$M26),0)))</f>
        <v>58.74726620593124</v>
      </c>
      <c r="AT26" s="123" cm="1">
        <f t="array" ref="AT26">CHOOSE($H26,SUMPRODUCT($O27:$O$75*AT27:AT$75*($E27:$E$75=$D26)),IF(ISNUMBER(iData!AM26),100*ABS($G26-(iData!AM26-$K26)/$M26),0),IF(ISNUMBER(iData!AM26),100*ABS($G26-(iData!AM26-$I26)/$M26),0),IF(iData!AM26&gt;tblIndicators!$AI22,100,IF(ISNUMBER(iData!AM26),100*ABS($G26-(iData!AM26-$I26)/$M26),0)),IF(iData!AM26&lt;0,100,IF(ISNUMBER(iData!AM26),100*ABS($G26-(iData!AM26-$I26)/$M26),0)))</f>
        <v>60.820527472774415</v>
      </c>
      <c r="AU26" s="123" cm="1">
        <f t="array" ref="AU26">CHOOSE($H26,SUMPRODUCT($O27:$O$75*AU27:AU$75*($E27:$E$75=$D26)),IF(ISNUMBER(iData!AN26),100*ABS($G26-(iData!AN26-$K26)/$M26),0),IF(ISNUMBER(iData!AN26),100*ABS($G26-(iData!AN26-$I26)/$M26),0),IF(iData!AN26&gt;tblIndicators!$AI22,100,IF(ISNUMBER(iData!AN26),100*ABS($G26-(iData!AN26-$I26)/$M26),0)),IF(iData!AN26&lt;0,100,IF(ISNUMBER(iData!AN26),100*ABS($G26-(iData!AN26-$I26)/$M26),0)))</f>
        <v>58.983578374916434</v>
      </c>
      <c r="AV26" s="367"/>
      <c r="AW26" s="368"/>
      <c r="AX26" s="14"/>
      <c r="AY26" s="871">
        <f t="shared" si="40"/>
        <v>58.5</v>
      </c>
      <c r="AZ26" s="871">
        <f t="shared" si="41"/>
        <v>65.599999999999994</v>
      </c>
      <c r="BA26" s="871">
        <f t="shared" si="42"/>
        <v>51.1</v>
      </c>
      <c r="BB26" s="871">
        <f t="shared" si="43"/>
        <v>37.799999999999997</v>
      </c>
      <c r="BC26" s="871">
        <f t="shared" si="44"/>
        <v>87.4</v>
      </c>
      <c r="BD26" s="871">
        <f t="shared" si="45"/>
        <v>29.6</v>
      </c>
      <c r="BE26" s="871">
        <f t="shared" si="46"/>
        <v>39.299999999999997</v>
      </c>
      <c r="BF26" s="871">
        <f t="shared" si="47"/>
        <v>66.2</v>
      </c>
      <c r="BG26" s="871">
        <f t="shared" si="48"/>
        <v>57.3</v>
      </c>
      <c r="BH26" s="871">
        <f t="shared" si="49"/>
        <v>60.5</v>
      </c>
      <c r="BI26" s="871">
        <f t="shared" si="50"/>
        <v>37</v>
      </c>
      <c r="BJ26" s="871">
        <f t="shared" si="51"/>
        <v>68.5</v>
      </c>
      <c r="BK26" s="871">
        <f t="shared" si="52"/>
        <v>51.6</v>
      </c>
      <c r="BL26" s="871">
        <f t="shared" si="53"/>
        <v>25.1</v>
      </c>
      <c r="BM26" s="871">
        <f t="shared" si="54"/>
        <v>46.5</v>
      </c>
      <c r="BN26" s="871">
        <f t="shared" si="55"/>
        <v>35.9</v>
      </c>
      <c r="BO26" s="871">
        <f t="shared" si="56"/>
        <v>26</v>
      </c>
      <c r="BP26" s="871">
        <f t="shared" si="57"/>
        <v>30.7</v>
      </c>
      <c r="BQ26" s="871">
        <f t="shared" si="58"/>
        <v>65.5</v>
      </c>
      <c r="BR26" s="871">
        <f t="shared" si="59"/>
        <v>57</v>
      </c>
      <c r="BS26" s="871">
        <f t="shared" si="60"/>
        <v>62.9</v>
      </c>
      <c r="BT26" s="871">
        <f t="shared" si="61"/>
        <v>37.700000000000003</v>
      </c>
      <c r="BU26" s="871">
        <f t="shared" si="62"/>
        <v>47.7</v>
      </c>
      <c r="BV26" s="871">
        <f t="shared" si="63"/>
        <v>83.3</v>
      </c>
      <c r="BW26" s="871">
        <f t="shared" si="64"/>
        <v>60.3</v>
      </c>
      <c r="BX26" s="871">
        <f t="shared" si="65"/>
        <v>49</v>
      </c>
      <c r="BY26" s="871">
        <f t="shared" si="66"/>
        <v>6.9</v>
      </c>
      <c r="BZ26" s="871">
        <f t="shared" si="67"/>
        <v>58.7</v>
      </c>
      <c r="CA26" s="871">
        <f t="shared" si="68"/>
        <v>60.8</v>
      </c>
      <c r="CB26" s="871">
        <f t="shared" si="69"/>
        <v>59</v>
      </c>
      <c r="CD26" s="304">
        <f t="shared" ca="1" si="103"/>
        <v>50.8</v>
      </c>
      <c r="CE26" s="304">
        <f t="shared" ca="1" si="103"/>
        <v>50.8</v>
      </c>
      <c r="CF26" s="304">
        <f t="shared" ca="1" si="103"/>
        <v>53.4</v>
      </c>
      <c r="CG26" s="302">
        <f t="shared" ca="1" si="103"/>
        <v>47.1</v>
      </c>
      <c r="CH26" s="302">
        <f t="shared" ca="1" si="103"/>
        <v>39.200000000000003</v>
      </c>
      <c r="CI26" s="302">
        <f t="shared" ca="1" si="103"/>
        <v>60.5</v>
      </c>
      <c r="CJ26" s="302">
        <f t="shared" ca="1" si="103"/>
        <v>58.5</v>
      </c>
      <c r="CK26" s="302">
        <f t="shared" ca="1" si="103"/>
        <v>47.7</v>
      </c>
      <c r="CL26" s="302">
        <f t="shared" ca="1" si="103"/>
        <v>46.9</v>
      </c>
      <c r="CM26" s="302">
        <f t="shared" ca="1" si="103"/>
        <v>52.3</v>
      </c>
      <c r="CN26" s="302">
        <f t="shared" ca="1" si="101"/>
        <v>54.2</v>
      </c>
      <c r="CO26" s="302">
        <f t="shared" ca="1" si="101"/>
        <v>48.2</v>
      </c>
      <c r="CP26" s="302">
        <f t="shared" ca="1" si="101"/>
        <v>46.6</v>
      </c>
      <c r="CQ26" s="302">
        <f t="shared" ca="1" si="101"/>
        <v>52.2</v>
      </c>
    </row>
    <row r="27" spans="1:95" s="124" customFormat="1" ht="27.75" customHeight="1" thickBot="1">
      <c r="A27" s="118"/>
      <c r="B27" s="119">
        <f>tblIndicators!A23</f>
        <v>22</v>
      </c>
      <c r="C27" s="119">
        <f>tblIndicators!B23</f>
        <v>0</v>
      </c>
      <c r="D27" s="119" t="str">
        <f>tblIndicators!E23</f>
        <v>SERV2_2_1</v>
      </c>
      <c r="E27" s="119" t="str">
        <f>tblIndicators!F23</f>
        <v>SERV2_2</v>
      </c>
      <c r="F27" s="119">
        <f>tblIndicators!G23</f>
        <v>3</v>
      </c>
      <c r="G27" s="119">
        <f>tblIndicators!AF23</f>
        <v>0</v>
      </c>
      <c r="H27" s="119">
        <f>tblIndicators!AG23</f>
        <v>2</v>
      </c>
      <c r="I27" s="120">
        <f>tblIndicators!AH23</f>
        <v>0</v>
      </c>
      <c r="J27" s="119">
        <f>tblIndicators!AI23</f>
        <v>0</v>
      </c>
      <c r="K27" s="119">
        <f t="array" ref="K27">MIN(IF(ISNUMBER(iData!K27:AN27),iData!K27:AN27))</f>
        <v>42</v>
      </c>
      <c r="L27" s="121">
        <f t="array" ref="L27">MAX(IF(ISNUMBER(iData!K27:AN27),iData!K27:AN27))</f>
        <v>88</v>
      </c>
      <c r="M27" s="51">
        <f t="shared" si="7"/>
        <v>46</v>
      </c>
      <c r="N27" s="122" t="str">
        <f>REPT(" ",F27)&amp;tblIndicators!AM23</f>
        <v xml:space="preserve">   2.2.1) Digital platforms for banking and personal finance</v>
      </c>
      <c r="O27" s="381">
        <f>tblIndicators!AR23</f>
        <v>0.34285714285714286</v>
      </c>
      <c r="P27" s="381"/>
      <c r="Q27" s="323"/>
      <c r="R27" s="123" cm="1">
        <f t="array" ref="R27">CHOOSE($H27,SUMPRODUCT($O28:$O$75*R28:R$75*($E28:$E$75=$D27)),IF(ISNUMBER(iData!K27),100*ABS($G27-(iData!K27-$K27)/$M27),0),IF(ISNUMBER(iData!K27),100*ABS($G27-(iData!K27-$I27)/$M27),0),IF(iData!K27&gt;tblIndicators!$AI23,100,IF(ISNUMBER(iData!K27),100*ABS($G27-(iData!K27-$I27)/$M27),0)),IF(iData!K27&lt;0,100,IF(ISNUMBER(iData!K27),100*ABS($G27-(iData!K27-$I27)/$M27),0)))</f>
        <v>56.521739130434781</v>
      </c>
      <c r="S27" s="123" cm="1">
        <f t="array" ref="S27">CHOOSE($H27,SUMPRODUCT($O28:$O$75*S28:S$75*($E28:$E$75=$D27)),IF(ISNUMBER(iData!L27),100*ABS($G27-(iData!L27-$K27)/$M27),0),IF(ISNUMBER(iData!L27),100*ABS($G27-(iData!L27-$I27)/$M27),0),IF(iData!L27&gt;tblIndicators!$AI23,100,IF(ISNUMBER(iData!L27),100*ABS($G27-(iData!L27-$I27)/$M27),0)),IF(iData!L27&lt;0,100,IF(ISNUMBER(iData!L27),100*ABS($G27-(iData!L27-$I27)/$M27),0)))</f>
        <v>69.565217391304344</v>
      </c>
      <c r="T27" s="123" cm="1">
        <f t="array" ref="T27">CHOOSE($H27,SUMPRODUCT($O28:$O$75*T28:T$75*($E28:$E$75=$D27)),IF(ISNUMBER(iData!M27),100*ABS($G27-(iData!M27-$K27)/$M27),0),IF(ISNUMBER(iData!M27),100*ABS($G27-(iData!M27-$I27)/$M27),0),IF(iData!M27&gt;tblIndicators!$AI23,100,IF(ISNUMBER(iData!M27),100*ABS($G27-(iData!M27-$I27)/$M27),0)),IF(iData!M27&lt;0,100,IF(ISNUMBER(iData!M27),100*ABS($G27-(iData!M27-$I27)/$M27),0)))</f>
        <v>89.130434782608688</v>
      </c>
      <c r="U27" s="123" cm="1">
        <f t="array" ref="U27">CHOOSE($H27,SUMPRODUCT($O28:$O$75*U28:U$75*($E28:$E$75=$D27)),IF(ISNUMBER(iData!N27),100*ABS($G27-(iData!N27-$K27)/$M27),0),IF(ISNUMBER(iData!N27),100*ABS($G27-(iData!N27-$I27)/$M27),0),IF(iData!N27&gt;tblIndicators!$AI23,100,IF(ISNUMBER(iData!N27),100*ABS($G27-(iData!N27-$I27)/$M27),0)),IF(iData!N27&lt;0,100,IF(ISNUMBER(iData!N27),100*ABS($G27-(iData!N27-$I27)/$M27),0)))</f>
        <v>54.347826086956516</v>
      </c>
      <c r="V27" s="123" cm="1">
        <f t="array" ref="V27">CHOOSE($H27,SUMPRODUCT($O28:$O$75*V28:V$75*($E28:$E$75=$D27)),IF(ISNUMBER(iData!O27),100*ABS($G27-(iData!O27-$K27)/$M27),0),IF(ISNUMBER(iData!O27),100*ABS($G27-(iData!O27-$I27)/$M27),0),IF(iData!O27&gt;tblIndicators!$AI23,100,IF(ISNUMBER(iData!O27),100*ABS($G27-(iData!O27-$I27)/$M27),0)),IF(iData!O27&lt;0,100,IF(ISNUMBER(iData!O27),100*ABS($G27-(iData!O27-$I27)/$M27),0)))</f>
        <v>95.652173913043484</v>
      </c>
      <c r="W27" s="123" cm="1">
        <f t="array" ref="W27">CHOOSE($H27,SUMPRODUCT($O28:$O$75*W28:W$75*($E28:$E$75=$D27)),IF(ISNUMBER(iData!P27),100*ABS($G27-(iData!P27-$K27)/$M27),0),IF(ISNUMBER(iData!P27),100*ABS($G27-(iData!P27-$I27)/$M27),0),IF(iData!P27&gt;tblIndicators!$AI23,100,IF(ISNUMBER(iData!P27),100*ABS($G27-(iData!P27-$I27)/$M27),0)),IF(iData!P27&lt;0,100,IF(ISNUMBER(iData!P27),100*ABS($G27-(iData!P27-$I27)/$M27),0)))</f>
        <v>45.652173913043477</v>
      </c>
      <c r="X27" s="123" cm="1">
        <f t="array" ref="X27">CHOOSE($H27,SUMPRODUCT($O28:$O$75*X28:X$75*($E28:$E$75=$D27)),IF(ISNUMBER(iData!Q27),100*ABS($G27-(iData!Q27-$K27)/$M27),0),IF(ISNUMBER(iData!Q27),100*ABS($G27-(iData!Q27-$I27)/$M27),0),IF(iData!Q27&gt;tblIndicators!$AI23,100,IF(ISNUMBER(iData!Q27),100*ABS($G27-(iData!Q27-$I27)/$M27),0)),IF(iData!Q27&lt;0,100,IF(ISNUMBER(iData!Q27),100*ABS($G27-(iData!Q27-$I27)/$M27),0)))</f>
        <v>47.826086956521742</v>
      </c>
      <c r="Y27" s="123" cm="1">
        <f t="array" ref="Y27">CHOOSE($H27,SUMPRODUCT($O28:$O$75*Y28:Y$75*($E28:$E$75=$D27)),IF(ISNUMBER(iData!R27),100*ABS($G27-(iData!R27-$K27)/$M27),0),IF(ISNUMBER(iData!R27),100*ABS($G27-(iData!R27-$I27)/$M27),0),IF(iData!R27&gt;tblIndicators!$AI23,100,IF(ISNUMBER(iData!R27),100*ABS($G27-(iData!R27-$I27)/$M27),0)),IF(iData!R27&lt;0,100,IF(ISNUMBER(iData!R27),100*ABS($G27-(iData!R27-$I27)/$M27),0)))</f>
        <v>69.565217391304344</v>
      </c>
      <c r="Z27" s="123" cm="1">
        <f t="array" ref="Z27">CHOOSE($H27,SUMPRODUCT($O28:$O$75*Z28:Z$75*($E28:$E$75=$D27)),IF(ISNUMBER(iData!S27),100*ABS($G27-(iData!S27-$K27)/$M27),0),IF(ISNUMBER(iData!S27),100*ABS($G27-(iData!S27-$I27)/$M27),0),IF(iData!S27&gt;tblIndicators!$AI23,100,IF(ISNUMBER(iData!S27),100*ABS($G27-(iData!S27-$I27)/$M27),0)),IF(iData!S27&lt;0,100,IF(ISNUMBER(iData!S27),100*ABS($G27-(iData!S27-$I27)/$M27),0)))</f>
        <v>34.782608695652172</v>
      </c>
      <c r="AA27" s="123" cm="1">
        <f t="array" ref="AA27">CHOOSE($H27,SUMPRODUCT($O28:$O$75*AA28:AA$75*($E28:$E$75=$D27)),IF(ISNUMBER(iData!T27),100*ABS($G27-(iData!T27-$K27)/$M27),0),IF(ISNUMBER(iData!T27),100*ABS($G27-(iData!T27-$I27)/$M27),0),IF(iData!T27&gt;tblIndicators!$AI23,100,IF(ISNUMBER(iData!T27),100*ABS($G27-(iData!T27-$I27)/$M27),0)),IF(iData!T27&lt;0,100,IF(ISNUMBER(iData!T27),100*ABS($G27-(iData!T27-$I27)/$M27),0)))</f>
        <v>89.130434782608688</v>
      </c>
      <c r="AB27" s="123" cm="1">
        <f t="array" ref="AB27">CHOOSE($H27,SUMPRODUCT($O28:$O$75*AB28:AB$75*($E28:$E$75=$D27)),IF(ISNUMBER(iData!U27),100*ABS($G27-(iData!U27-$K27)/$M27),0),IF(ISNUMBER(iData!U27),100*ABS($G27-(iData!U27-$I27)/$M27),0),IF(iData!U27&gt;tblIndicators!$AI23,100,IF(ISNUMBER(iData!U27),100*ABS($G27-(iData!U27-$I27)/$M27),0)),IF(iData!U27&lt;0,100,IF(ISNUMBER(iData!U27),100*ABS($G27-(iData!U27-$I27)/$M27),0)))</f>
        <v>58.695652173913047</v>
      </c>
      <c r="AC27" s="123" cm="1">
        <f t="array" ref="AC27">CHOOSE($H27,SUMPRODUCT($O28:$O$75*AC28:AC$75*($E28:$E$75=$D27)),IF(ISNUMBER(iData!V27),100*ABS($G27-(iData!V27-$K27)/$M27),0),IF(ISNUMBER(iData!V27),100*ABS($G27-(iData!V27-$I27)/$M27),0),IF(iData!V27&gt;tblIndicators!$AI23,100,IF(ISNUMBER(iData!V27),100*ABS($G27-(iData!V27-$I27)/$M27),0)),IF(iData!V27&lt;0,100,IF(ISNUMBER(iData!V27),100*ABS($G27-(iData!V27-$I27)/$M27),0)))</f>
        <v>45.652173913043477</v>
      </c>
      <c r="AD27" s="123" cm="1">
        <f t="array" ref="AD27">CHOOSE($H27,SUMPRODUCT($O28:$O$75*AD28:AD$75*($E28:$E$75=$D27)),IF(ISNUMBER(iData!W27),100*ABS($G27-(iData!W27-$K27)/$M27),0),IF(ISNUMBER(iData!W27),100*ABS($G27-(iData!W27-$I27)/$M27),0),IF(iData!W27&gt;tblIndicators!$AI23,100,IF(ISNUMBER(iData!W27),100*ABS($G27-(iData!W27-$I27)/$M27),0)),IF(iData!W27&lt;0,100,IF(ISNUMBER(iData!W27),100*ABS($G27-(iData!W27-$I27)/$M27),0)))</f>
        <v>91.304347826086953</v>
      </c>
      <c r="AE27" s="123" cm="1">
        <f t="array" ref="AE27">CHOOSE($H27,SUMPRODUCT($O28:$O$75*AE28:AE$75*($E28:$E$75=$D27)),IF(ISNUMBER(iData!X27),100*ABS($G27-(iData!X27-$K27)/$M27),0),IF(ISNUMBER(iData!X27),100*ABS($G27-(iData!X27-$I27)/$M27),0),IF(iData!X27&gt;tblIndicators!$AI23,100,IF(ISNUMBER(iData!X27),100*ABS($G27-(iData!X27-$I27)/$M27),0)),IF(iData!X27&lt;0,100,IF(ISNUMBER(iData!X27),100*ABS($G27-(iData!X27-$I27)/$M27),0)))</f>
        <v>23.913043478260871</v>
      </c>
      <c r="AF27" s="123" cm="1">
        <f t="array" ref="AF27">CHOOSE($H27,SUMPRODUCT($O28:$O$75*AF28:AF$75*($E28:$E$75=$D27)),IF(ISNUMBER(iData!Y27),100*ABS($G27-(iData!Y27-$K27)/$M27),0),IF(ISNUMBER(iData!Y27),100*ABS($G27-(iData!Y27-$I27)/$M27),0),IF(iData!Y27&gt;tblIndicators!$AI23,100,IF(ISNUMBER(iData!Y27),100*ABS($G27-(iData!Y27-$I27)/$M27),0)),IF(iData!Y27&lt;0,100,IF(ISNUMBER(iData!Y27),100*ABS($G27-(iData!Y27-$I27)/$M27),0)))</f>
        <v>30.434782608695656</v>
      </c>
      <c r="AG27" s="123" cm="1">
        <f t="array" ref="AG27">CHOOSE($H27,SUMPRODUCT($O28:$O$75*AG28:AG$75*($E28:$E$75=$D27)),IF(ISNUMBER(iData!Z27),100*ABS($G27-(iData!Z27-$K27)/$M27),0),IF(ISNUMBER(iData!Z27),100*ABS($G27-(iData!Z27-$I27)/$M27),0),IF(iData!Z27&gt;tblIndicators!$AI23,100,IF(ISNUMBER(iData!Z27),100*ABS($G27-(iData!Z27-$I27)/$M27),0)),IF(iData!Z27&lt;0,100,IF(ISNUMBER(iData!Z27),100*ABS($G27-(iData!Z27-$I27)/$M27),0)))</f>
        <v>47.826086956521742</v>
      </c>
      <c r="AH27" s="123" cm="1">
        <f t="array" ref="AH27">CHOOSE($H27,SUMPRODUCT($O28:$O$75*AH28:AH$75*($E28:$E$75=$D27)),IF(ISNUMBER(iData!AA27),100*ABS($G27-(iData!AA27-$K27)/$M27),0),IF(ISNUMBER(iData!AA27),100*ABS($G27-(iData!AA27-$I27)/$M27),0),IF(iData!AA27&gt;tblIndicators!$AI23,100,IF(ISNUMBER(iData!AA27),100*ABS($G27-(iData!AA27-$I27)/$M27),0)),IF(iData!AA27&lt;0,100,IF(ISNUMBER(iData!AA27),100*ABS($G27-(iData!AA27-$I27)/$M27),0)))</f>
        <v>39.130434782608695</v>
      </c>
      <c r="AI27" s="123" cm="1">
        <f t="array" ref="AI27">CHOOSE($H27,SUMPRODUCT($O28:$O$75*AI28:AI$75*($E28:$E$75=$D27)),IF(ISNUMBER(iData!AB27),100*ABS($G27-(iData!AB27-$K27)/$M27),0),IF(ISNUMBER(iData!AB27),100*ABS($G27-(iData!AB27-$I27)/$M27),0),IF(iData!AB27&gt;tblIndicators!$AI23,100,IF(ISNUMBER(iData!AB27),100*ABS($G27-(iData!AB27-$I27)/$M27),0)),IF(iData!AB27&lt;0,100,IF(ISNUMBER(iData!AB27),100*ABS($G27-(iData!AB27-$I27)/$M27),0)))</f>
        <v>50</v>
      </c>
      <c r="AJ27" s="123" cm="1">
        <f t="array" ref="AJ27">CHOOSE($H27,SUMPRODUCT($O28:$O$75*AJ28:AJ$75*($E28:$E$75=$D27)),IF(ISNUMBER(iData!AC27),100*ABS($G27-(iData!AC27-$K27)/$M27),0),IF(ISNUMBER(iData!AC27),100*ABS($G27-(iData!AC27-$I27)/$M27),0),IF(iData!AC27&gt;tblIndicators!$AI23,100,IF(ISNUMBER(iData!AC27),100*ABS($G27-(iData!AC27-$I27)/$M27),0)),IF(iData!AC27&lt;0,100,IF(ISNUMBER(iData!AC27),100*ABS($G27-(iData!AC27-$I27)/$M27),0)))</f>
        <v>100</v>
      </c>
      <c r="AK27" s="123" cm="1">
        <f t="array" ref="AK27">CHOOSE($H27,SUMPRODUCT($O28:$O$75*AK28:AK$75*($E28:$E$75=$D27)),IF(ISNUMBER(iData!AD27),100*ABS($G27-(iData!AD27-$K27)/$M27),0),IF(ISNUMBER(iData!AD27),100*ABS($G27-(iData!AD27-$I27)/$M27),0),IF(iData!AD27&gt;tblIndicators!$AI23,100,IF(ISNUMBER(iData!AD27),100*ABS($G27-(iData!AD27-$I27)/$M27),0)),IF(iData!AD27&lt;0,100,IF(ISNUMBER(iData!AD27),100*ABS($G27-(iData!AD27-$I27)/$M27),0)))</f>
        <v>34.782608695652172</v>
      </c>
      <c r="AL27" s="123" cm="1">
        <f t="array" ref="AL27">CHOOSE($H27,SUMPRODUCT($O28:$O$75*AL28:AL$75*($E28:$E$75=$D27)),IF(ISNUMBER(iData!AE27),100*ABS($G27-(iData!AE27-$K27)/$M27),0),IF(ISNUMBER(iData!AE27),100*ABS($G27-(iData!AE27-$I27)/$M27),0),IF(iData!AE27&gt;tblIndicators!$AI23,100,IF(ISNUMBER(iData!AE27),100*ABS($G27-(iData!AE27-$I27)/$M27),0)),IF(iData!AE27&lt;0,100,IF(ISNUMBER(iData!AE27),100*ABS($G27-(iData!AE27-$I27)/$M27),0)))</f>
        <v>73.91304347826086</v>
      </c>
      <c r="AM27" s="123" cm="1">
        <f t="array" ref="AM27">CHOOSE($H27,SUMPRODUCT($O28:$O$75*AM28:AM$75*($E28:$E$75=$D27)),IF(ISNUMBER(iData!AF27),100*ABS($G27-(iData!AF27-$K27)/$M27),0),IF(ISNUMBER(iData!AF27),100*ABS($G27-(iData!AF27-$I27)/$M27),0),IF(iData!AF27&gt;tblIndicators!$AI23,100,IF(ISNUMBER(iData!AF27),100*ABS($G27-(iData!AF27-$I27)/$M27),0)),IF(iData!AF27&lt;0,100,IF(ISNUMBER(iData!AF27),100*ABS($G27-(iData!AF27-$I27)/$M27),0)))</f>
        <v>56.521739130434781</v>
      </c>
      <c r="AN27" s="123" cm="1">
        <f t="array" ref="AN27">CHOOSE($H27,SUMPRODUCT($O28:$O$75*AN28:AN$75*($E28:$E$75=$D27)),IF(ISNUMBER(iData!AG27),100*ABS($G27-(iData!AG27-$K27)/$M27),0),IF(ISNUMBER(iData!AG27),100*ABS($G27-(iData!AG27-$I27)/$M27),0),IF(iData!AG27&gt;tblIndicators!$AI23,100,IF(ISNUMBER(iData!AG27),100*ABS($G27-(iData!AG27-$I27)/$M27),0)),IF(iData!AG27&lt;0,100,IF(ISNUMBER(iData!AG27),100*ABS($G27-(iData!AG27-$I27)/$M27),0)))</f>
        <v>58.695652173913047</v>
      </c>
      <c r="AO27" s="123" cm="1">
        <f t="array" ref="AO27">CHOOSE($H27,SUMPRODUCT($O28:$O$75*AO28:AO$75*($E28:$E$75=$D27)),IF(ISNUMBER(iData!AH27),100*ABS($G27-(iData!AH27-$K27)/$M27),0),IF(ISNUMBER(iData!AH27),100*ABS($G27-(iData!AH27-$I27)/$M27),0),IF(iData!AH27&gt;tblIndicators!$AI23,100,IF(ISNUMBER(iData!AH27),100*ABS($G27-(iData!AH27-$I27)/$M27),0)),IF(iData!AH27&lt;0,100,IF(ISNUMBER(iData!AH27),100*ABS($G27-(iData!AH27-$I27)/$M27),0)))</f>
        <v>89.130434782608688</v>
      </c>
      <c r="AP27" s="123" cm="1">
        <f t="array" ref="AP27">CHOOSE($H27,SUMPRODUCT($O28:$O$75*AP28:AP$75*($E28:$E$75=$D27)),IF(ISNUMBER(iData!AI27),100*ABS($G27-(iData!AI27-$K27)/$M27),0),IF(ISNUMBER(iData!AI27),100*ABS($G27-(iData!AI27-$I27)/$M27),0),IF(iData!AI27&gt;tblIndicators!$AI23,100,IF(ISNUMBER(iData!AI27),100*ABS($G27-(iData!AI27-$I27)/$M27),0)),IF(iData!AI27&lt;0,100,IF(ISNUMBER(iData!AI27),100*ABS($G27-(iData!AI27-$I27)/$M27),0)))</f>
        <v>71.739130434782609</v>
      </c>
      <c r="AQ27" s="123" cm="1">
        <f t="array" ref="AQ27">CHOOSE($H27,SUMPRODUCT($O28:$O$75*AQ28:AQ$75*($E28:$E$75=$D27)),IF(ISNUMBER(iData!AJ27),100*ABS($G27-(iData!AJ27-$K27)/$M27),0),IF(ISNUMBER(iData!AJ27),100*ABS($G27-(iData!AJ27-$I27)/$M27),0),IF(iData!AJ27&gt;tblIndicators!$AI23,100,IF(ISNUMBER(iData!AJ27),100*ABS($G27-(iData!AJ27-$I27)/$M27),0)),IF(iData!AJ27&lt;0,100,IF(ISNUMBER(iData!AJ27),100*ABS($G27-(iData!AJ27-$I27)/$M27),0)))</f>
        <v>23.913043478260871</v>
      </c>
      <c r="AR27" s="123" cm="1">
        <f t="array" ref="AR27">CHOOSE($H27,SUMPRODUCT($O28:$O$75*AR28:AR$75*($E28:$E$75=$D27)),IF(ISNUMBER(iData!AK27),100*ABS($G27-(iData!AK27-$K27)/$M27),0),IF(ISNUMBER(iData!AK27),100*ABS($G27-(iData!AK27-$I27)/$M27),0),IF(iData!AK27&gt;tblIndicators!$AI23,100,IF(ISNUMBER(iData!AK27),100*ABS($G27-(iData!AK27-$I27)/$M27),0)),IF(iData!AK27&lt;0,100,IF(ISNUMBER(iData!AK27),100*ABS($G27-(iData!AK27-$I27)/$M27),0)))</f>
        <v>0</v>
      </c>
      <c r="AS27" s="123" cm="1">
        <f t="array" ref="AS27">CHOOSE($H27,SUMPRODUCT($O28:$O$75*AS28:AS$75*($E28:$E$75=$D27)),IF(ISNUMBER(iData!AL27),100*ABS($G27-(iData!AL27-$K27)/$M27),0),IF(ISNUMBER(iData!AL27),100*ABS($G27-(iData!AL27-$I27)/$M27),0),IF(iData!AL27&gt;tblIndicators!$AI23,100,IF(ISNUMBER(iData!AL27),100*ABS($G27-(iData!AL27-$I27)/$M27),0)),IF(iData!AL27&lt;0,100,IF(ISNUMBER(iData!AL27),100*ABS($G27-(iData!AL27-$I27)/$M27),0)))</f>
        <v>36.95652173913043</v>
      </c>
      <c r="AT27" s="123" cm="1">
        <f t="array" ref="AT27">CHOOSE($H27,SUMPRODUCT($O28:$O$75*AT28:AT$75*($E28:$E$75=$D27)),IF(ISNUMBER(iData!AM27),100*ABS($G27-(iData!AM27-$K27)/$M27),0),IF(ISNUMBER(iData!AM27),100*ABS($G27-(iData!AM27-$I27)/$M27),0),IF(iData!AM27&gt;tblIndicators!$AI23,100,IF(ISNUMBER(iData!AM27),100*ABS($G27-(iData!AM27-$I27)/$M27),0)),IF(iData!AM27&lt;0,100,IF(ISNUMBER(iData!AM27),100*ABS($G27-(iData!AM27-$I27)/$M27),0)))</f>
        <v>41.304347826086953</v>
      </c>
      <c r="AU27" s="123" cm="1">
        <f t="array" ref="AU27">CHOOSE($H27,SUMPRODUCT($O28:$O$75*AU28:AU$75*($E28:$E$75=$D27)),IF(ISNUMBER(iData!AN27),100*ABS($G27-(iData!AN27-$K27)/$M27),0),IF(ISNUMBER(iData!AN27),100*ABS($G27-(iData!AN27-$I27)/$M27),0),IF(iData!AN27&gt;tblIndicators!$AI23,100,IF(ISNUMBER(iData!AN27),100*ABS($G27-(iData!AN27-$I27)/$M27),0)),IF(iData!AN27&lt;0,100,IF(ISNUMBER(iData!AN27),100*ABS($G27-(iData!AN27-$I27)/$M27),0)))</f>
        <v>52.173913043478258</v>
      </c>
      <c r="AV27" s="367"/>
      <c r="AW27" s="368"/>
      <c r="AX27" s="14"/>
      <c r="AY27" s="871">
        <f t="shared" si="40"/>
        <v>56.5</v>
      </c>
      <c r="AZ27" s="871">
        <f t="shared" si="41"/>
        <v>69.599999999999994</v>
      </c>
      <c r="BA27" s="871">
        <f t="shared" si="42"/>
        <v>89.1</v>
      </c>
      <c r="BB27" s="871">
        <f t="shared" si="43"/>
        <v>54.3</v>
      </c>
      <c r="BC27" s="871">
        <f t="shared" si="44"/>
        <v>95.7</v>
      </c>
      <c r="BD27" s="871">
        <f t="shared" si="45"/>
        <v>45.7</v>
      </c>
      <c r="BE27" s="871">
        <f t="shared" si="46"/>
        <v>47.8</v>
      </c>
      <c r="BF27" s="871">
        <f t="shared" si="47"/>
        <v>69.599999999999994</v>
      </c>
      <c r="BG27" s="871">
        <f t="shared" si="48"/>
        <v>34.799999999999997</v>
      </c>
      <c r="BH27" s="871">
        <f t="shared" si="49"/>
        <v>89.1</v>
      </c>
      <c r="BI27" s="871">
        <f t="shared" si="50"/>
        <v>58.7</v>
      </c>
      <c r="BJ27" s="871">
        <f t="shared" si="51"/>
        <v>45.7</v>
      </c>
      <c r="BK27" s="871">
        <f t="shared" si="52"/>
        <v>91.3</v>
      </c>
      <c r="BL27" s="871">
        <f t="shared" si="53"/>
        <v>23.9</v>
      </c>
      <c r="BM27" s="871">
        <f t="shared" si="54"/>
        <v>30.4</v>
      </c>
      <c r="BN27" s="871">
        <f t="shared" si="55"/>
        <v>47.8</v>
      </c>
      <c r="BO27" s="871">
        <f t="shared" si="56"/>
        <v>39.1</v>
      </c>
      <c r="BP27" s="871">
        <f t="shared" si="57"/>
        <v>50</v>
      </c>
      <c r="BQ27" s="871">
        <f t="shared" si="58"/>
        <v>100</v>
      </c>
      <c r="BR27" s="871">
        <f t="shared" si="59"/>
        <v>34.799999999999997</v>
      </c>
      <c r="BS27" s="871">
        <f t="shared" si="60"/>
        <v>73.900000000000006</v>
      </c>
      <c r="BT27" s="871">
        <f t="shared" si="61"/>
        <v>56.5</v>
      </c>
      <c r="BU27" s="871">
        <f t="shared" si="62"/>
        <v>58.7</v>
      </c>
      <c r="BV27" s="871">
        <f t="shared" si="63"/>
        <v>89.1</v>
      </c>
      <c r="BW27" s="871">
        <f t="shared" si="64"/>
        <v>71.7</v>
      </c>
      <c r="BX27" s="871">
        <f t="shared" si="65"/>
        <v>23.9</v>
      </c>
      <c r="BY27" s="871">
        <f t="shared" si="66"/>
        <v>0</v>
      </c>
      <c r="BZ27" s="871">
        <f t="shared" si="67"/>
        <v>37</v>
      </c>
      <c r="CA27" s="871">
        <f t="shared" si="68"/>
        <v>41.3</v>
      </c>
      <c r="CB27" s="871">
        <f t="shared" si="69"/>
        <v>52.2</v>
      </c>
      <c r="CD27" s="304">
        <f t="shared" ca="1" si="103"/>
        <v>55.9</v>
      </c>
      <c r="CE27" s="304">
        <f t="shared" ca="1" si="103"/>
        <v>55.9</v>
      </c>
      <c r="CF27" s="304">
        <f t="shared" ca="1" si="103"/>
        <v>61.6</v>
      </c>
      <c r="CG27" s="302">
        <f t="shared" ca="1" si="103"/>
        <v>54.6</v>
      </c>
      <c r="CH27" s="302">
        <f t="shared" ca="1" si="103"/>
        <v>52.2</v>
      </c>
      <c r="CI27" s="302">
        <f t="shared" ca="1" si="103"/>
        <v>89.1</v>
      </c>
      <c r="CJ27" s="302">
        <f t="shared" ca="1" si="103"/>
        <v>37</v>
      </c>
      <c r="CK27" s="302">
        <f t="shared" ca="1" si="103"/>
        <v>76.8</v>
      </c>
      <c r="CL27" s="302">
        <f t="shared" ca="1" si="103"/>
        <v>60.9</v>
      </c>
      <c r="CM27" s="302">
        <f t="shared" ca="1" si="103"/>
        <v>51.6</v>
      </c>
      <c r="CN27" s="302">
        <f t="shared" ca="1" si="101"/>
        <v>59.5</v>
      </c>
      <c r="CO27" s="302">
        <f t="shared" ca="1" si="101"/>
        <v>44.7</v>
      </c>
      <c r="CP27" s="302">
        <f t="shared" ca="1" si="101"/>
        <v>58.1</v>
      </c>
      <c r="CQ27" s="302">
        <f t="shared" ca="1" si="101"/>
        <v>63</v>
      </c>
    </row>
    <row r="28" spans="1:95" s="124" customFormat="1" ht="27.75" customHeight="1" thickBot="1">
      <c r="A28" s="118"/>
      <c r="B28" s="119">
        <f>tblIndicators!A24</f>
        <v>23</v>
      </c>
      <c r="C28" s="119">
        <f>tblIndicators!B24</f>
        <v>0</v>
      </c>
      <c r="D28" s="119" t="str">
        <f>tblIndicators!E24</f>
        <v>SERV2_2_2</v>
      </c>
      <c r="E28" s="119" t="str">
        <f>tblIndicators!F24</f>
        <v>SERV2_2</v>
      </c>
      <c r="F28" s="119">
        <f>tblIndicators!G24</f>
        <v>3</v>
      </c>
      <c r="G28" s="119">
        <f>tblIndicators!AF24</f>
        <v>0</v>
      </c>
      <c r="H28" s="119">
        <f>tblIndicators!AG24</f>
        <v>2</v>
      </c>
      <c r="I28" s="120">
        <f>tblIndicators!AH24</f>
        <v>0</v>
      </c>
      <c r="J28" s="119">
        <f>tblIndicators!AI24</f>
        <v>0</v>
      </c>
      <c r="K28" s="119">
        <f t="array" ref="K28">MIN(IF(ISNUMBER(iData!K28:AN28),iData!K28:AN28))</f>
        <v>6</v>
      </c>
      <c r="L28" s="121">
        <f t="array" ref="L28">MAX(IF(ISNUMBER(iData!K28:AN28),iData!K28:AN28))</f>
        <v>77</v>
      </c>
      <c r="M28" s="51">
        <f t="shared" si="7"/>
        <v>71</v>
      </c>
      <c r="N28" s="122" t="str">
        <f>REPT(" ",F28)&amp;tblIndicators!AM24</f>
        <v xml:space="preserve">   2.2.2) Digital investment management tools</v>
      </c>
      <c r="O28" s="381">
        <f>tblIndicators!AR24</f>
        <v>0.22857142857142856</v>
      </c>
      <c r="P28" s="381"/>
      <c r="Q28" s="323"/>
      <c r="R28" s="123" cm="1">
        <f t="array" ref="R28">CHOOSE($H28,SUMPRODUCT($O29:$O$75*R29:R$75*($E29:$E$75=$D28)),IF(ISNUMBER(iData!K28),100*ABS($G28-(iData!K28-$K28)/$M28),0),IF(ISNUMBER(iData!K28),100*ABS($G28-(iData!K28-$I28)/$M28),0),IF(iData!K28&gt;tblIndicators!$AI24,100,IF(ISNUMBER(iData!K28),100*ABS($G28-(iData!K28-$I28)/$M28),0)),IF(iData!K28&lt;0,100,IF(ISNUMBER(iData!K28),100*ABS($G28-(iData!K28-$I28)/$M28),0)))</f>
        <v>5.6338028169014089</v>
      </c>
      <c r="S28" s="123" cm="1">
        <f t="array" ref="S28">CHOOSE($H28,SUMPRODUCT($O29:$O$75*S29:S$75*($E29:$E$75=$D28)),IF(ISNUMBER(iData!L28),100*ABS($G28-(iData!L28-$K28)/$M28),0),IF(ISNUMBER(iData!L28),100*ABS($G28-(iData!L28-$I28)/$M28),0),IF(iData!L28&gt;tblIndicators!$AI24,100,IF(ISNUMBER(iData!L28),100*ABS($G28-(iData!L28-$I28)/$M28),0)),IF(iData!L28&lt;0,100,IF(ISNUMBER(iData!L28),100*ABS($G28-(iData!L28-$I28)/$M28),0)))</f>
        <v>19.718309859154928</v>
      </c>
      <c r="T28" s="123" cm="1">
        <f t="array" ref="T28">CHOOSE($H28,SUMPRODUCT($O29:$O$75*T29:T$75*($E29:$E$75=$D28)),IF(ISNUMBER(iData!M28),100*ABS($G28-(iData!M28-$K28)/$M28),0),IF(ISNUMBER(iData!M28),100*ABS($G28-(iData!M28-$I28)/$M28),0),IF(iData!M28&gt;tblIndicators!$AI24,100,IF(ISNUMBER(iData!M28),100*ABS($G28-(iData!M28-$I28)/$M28),0)),IF(iData!M28&lt;0,100,IF(ISNUMBER(iData!M28),100*ABS($G28-(iData!M28-$I28)/$M28),0)))</f>
        <v>84.507042253521121</v>
      </c>
      <c r="U28" s="123" cm="1">
        <f t="array" ref="U28">CHOOSE($H28,SUMPRODUCT($O29:$O$75*U29:U$75*($E29:$E$75=$D28)),IF(ISNUMBER(iData!N28),100*ABS($G28-(iData!N28-$K28)/$M28),0),IF(ISNUMBER(iData!N28),100*ABS($G28-(iData!N28-$I28)/$M28),0),IF(iData!N28&gt;tblIndicators!$AI24,100,IF(ISNUMBER(iData!N28),100*ABS($G28-(iData!N28-$I28)/$M28),0)),IF(iData!N28&lt;0,100,IF(ISNUMBER(iData!N28),100*ABS($G28-(iData!N28-$I28)/$M28),0)))</f>
        <v>26.760563380281688</v>
      </c>
      <c r="V28" s="123" cm="1">
        <f t="array" ref="V28">CHOOSE($H28,SUMPRODUCT($O29:$O$75*V29:V$75*($E29:$E$75=$D28)),IF(ISNUMBER(iData!O28),100*ABS($G28-(iData!O28-$K28)/$M28),0),IF(ISNUMBER(iData!O28),100*ABS($G28-(iData!O28-$I28)/$M28),0),IF(iData!O28&gt;tblIndicators!$AI24,100,IF(ISNUMBER(iData!O28),100*ABS($G28-(iData!O28-$I28)/$M28),0)),IF(iData!O28&lt;0,100,IF(ISNUMBER(iData!O28),100*ABS($G28-(iData!O28-$I28)/$M28),0)))</f>
        <v>83.098591549295776</v>
      </c>
      <c r="W28" s="123" cm="1">
        <f t="array" ref="W28">CHOOSE($H28,SUMPRODUCT($O29:$O$75*W29:W$75*($E29:$E$75=$D28)),IF(ISNUMBER(iData!P28),100*ABS($G28-(iData!P28-$K28)/$M28),0),IF(ISNUMBER(iData!P28),100*ABS($G28-(iData!P28-$I28)/$M28),0),IF(iData!P28&gt;tblIndicators!$AI24,100,IF(ISNUMBER(iData!P28),100*ABS($G28-(iData!P28-$I28)/$M28),0)),IF(iData!P28&lt;0,100,IF(ISNUMBER(iData!P28),100*ABS($G28-(iData!P28-$I28)/$M28),0)))</f>
        <v>0</v>
      </c>
      <c r="X28" s="123" cm="1">
        <f t="array" ref="X28">CHOOSE($H28,SUMPRODUCT($O29:$O$75*X29:X$75*($E29:$E$75=$D28)),IF(ISNUMBER(iData!Q28),100*ABS($G28-(iData!Q28-$K28)/$M28),0),IF(ISNUMBER(iData!Q28),100*ABS($G28-(iData!Q28-$I28)/$M28),0),IF(iData!Q28&gt;tblIndicators!$AI24,100,IF(ISNUMBER(iData!Q28),100*ABS($G28-(iData!Q28-$I28)/$M28),0)),IF(iData!Q28&lt;0,100,IF(ISNUMBER(iData!Q28),100*ABS($G28-(iData!Q28-$I28)/$M28),0)))</f>
        <v>32.394366197183103</v>
      </c>
      <c r="Y28" s="123" cm="1">
        <f t="array" ref="Y28">CHOOSE($H28,SUMPRODUCT($O29:$O$75*Y29:Y$75*($E29:$E$75=$D28)),IF(ISNUMBER(iData!R28),100*ABS($G28-(iData!R28-$K28)/$M28),0),IF(ISNUMBER(iData!R28),100*ABS($G28-(iData!R28-$I28)/$M28),0),IF(iData!R28&gt;tblIndicators!$AI24,100,IF(ISNUMBER(iData!R28),100*ABS($G28-(iData!R28-$I28)/$M28),0)),IF(iData!R28&lt;0,100,IF(ISNUMBER(iData!R28),100*ABS($G28-(iData!R28-$I28)/$M28),0)))</f>
        <v>11.267605633802818</v>
      </c>
      <c r="Z28" s="123" cm="1">
        <f t="array" ref="Z28">CHOOSE($H28,SUMPRODUCT($O29:$O$75*Z29:Z$75*($E29:$E$75=$D28)),IF(ISNUMBER(iData!S28),100*ABS($G28-(iData!S28-$K28)/$M28),0),IF(ISNUMBER(iData!S28),100*ABS($G28-(iData!S28-$I28)/$M28),0),IF(iData!S28&gt;tblIndicators!$AI24,100,IF(ISNUMBER(iData!S28),100*ABS($G28-(iData!S28-$I28)/$M28),0)),IF(iData!S28&lt;0,100,IF(ISNUMBER(iData!S28),100*ABS($G28-(iData!S28-$I28)/$M28),0)))</f>
        <v>29.577464788732392</v>
      </c>
      <c r="AA28" s="123" cm="1">
        <f t="array" ref="AA28">CHOOSE($H28,SUMPRODUCT($O29:$O$75*AA29:AA$75*($E29:$E$75=$D28)),IF(ISNUMBER(iData!T28),100*ABS($G28-(iData!T28-$K28)/$M28),0),IF(ISNUMBER(iData!T28),100*ABS($G28-(iData!T28-$I28)/$M28),0),IF(iData!T28&gt;tblIndicators!$AI24,100,IF(ISNUMBER(iData!T28),100*ABS($G28-(iData!T28-$I28)/$M28),0)),IF(iData!T28&lt;0,100,IF(ISNUMBER(iData!T28),100*ABS($G28-(iData!T28-$I28)/$M28),0)))</f>
        <v>80.281690140845072</v>
      </c>
      <c r="AB28" s="123" cm="1">
        <f t="array" ref="AB28">CHOOSE($H28,SUMPRODUCT($O29:$O$75*AB29:AB$75*($E29:$E$75=$D28)),IF(ISNUMBER(iData!U28),100*ABS($G28-(iData!U28-$K28)/$M28),0),IF(ISNUMBER(iData!U28),100*ABS($G28-(iData!U28-$I28)/$M28),0),IF(iData!U28&gt;tblIndicators!$AI24,100,IF(ISNUMBER(iData!U28),100*ABS($G28-(iData!U28-$I28)/$M28),0)),IF(iData!U28&lt;0,100,IF(ISNUMBER(iData!U28),100*ABS($G28-(iData!U28-$I28)/$M28),0)))</f>
        <v>12.676056338028168</v>
      </c>
      <c r="AC28" s="123" cm="1">
        <f t="array" ref="AC28">CHOOSE($H28,SUMPRODUCT($O29:$O$75*AC29:AC$75*($E29:$E$75=$D28)),IF(ISNUMBER(iData!V28),100*ABS($G28-(iData!V28-$K28)/$M28),0),IF(ISNUMBER(iData!V28),100*ABS($G28-(iData!V28-$I28)/$M28),0),IF(iData!V28&gt;tblIndicators!$AI24,100,IF(ISNUMBER(iData!V28),100*ABS($G28-(iData!V28-$I28)/$M28),0)),IF(iData!V28&lt;0,100,IF(ISNUMBER(iData!V28),100*ABS($G28-(iData!V28-$I28)/$M28),0)))</f>
        <v>49.295774647887328</v>
      </c>
      <c r="AD28" s="123" cm="1">
        <f t="array" ref="AD28">CHOOSE($H28,SUMPRODUCT($O29:$O$75*AD29:AD$75*($E29:$E$75=$D28)),IF(ISNUMBER(iData!W28),100*ABS($G28-(iData!W28-$K28)/$M28),0),IF(ISNUMBER(iData!W28),100*ABS($G28-(iData!W28-$I28)/$M28),0),IF(iData!W28&gt;tblIndicators!$AI24,100,IF(ISNUMBER(iData!W28),100*ABS($G28-(iData!W28-$I28)/$M28),0)),IF(iData!W28&lt;0,100,IF(ISNUMBER(iData!W28),100*ABS($G28-(iData!W28-$I28)/$M28),0)))</f>
        <v>88.732394366197184</v>
      </c>
      <c r="AE28" s="123" cm="1">
        <f t="array" ref="AE28">CHOOSE($H28,SUMPRODUCT($O29:$O$75*AE29:AE$75*($E29:$E$75=$D28)),IF(ISNUMBER(iData!X28),100*ABS($G28-(iData!X28-$K28)/$M28),0),IF(ISNUMBER(iData!X28),100*ABS($G28-(iData!X28-$I28)/$M28),0),IF(iData!X28&gt;tblIndicators!$AI24,100,IF(ISNUMBER(iData!X28),100*ABS($G28-(iData!X28-$I28)/$M28),0)),IF(iData!X28&lt;0,100,IF(ISNUMBER(iData!X28),100*ABS($G28-(iData!X28-$I28)/$M28),0)))</f>
        <v>40.845070422535215</v>
      </c>
      <c r="AF28" s="123" cm="1">
        <f t="array" ref="AF28">CHOOSE($H28,SUMPRODUCT($O29:$O$75*AF29:AF$75*($E29:$E$75=$D28)),IF(ISNUMBER(iData!Y28),100*ABS($G28-(iData!Y28-$K28)/$M28),0),IF(ISNUMBER(iData!Y28),100*ABS($G28-(iData!Y28-$I28)/$M28),0),IF(iData!Y28&gt;tblIndicators!$AI24,100,IF(ISNUMBER(iData!Y28),100*ABS($G28-(iData!Y28-$I28)/$M28),0)),IF(iData!Y28&lt;0,100,IF(ISNUMBER(iData!Y28),100*ABS($G28-(iData!Y28-$I28)/$M28),0)))</f>
        <v>5.6338028169014089</v>
      </c>
      <c r="AG28" s="123" cm="1">
        <f t="array" ref="AG28">CHOOSE($H28,SUMPRODUCT($O29:$O$75*AG29:AG$75*($E29:$E$75=$D28)),IF(ISNUMBER(iData!Z28),100*ABS($G28-(iData!Z28-$K28)/$M28),0),IF(ISNUMBER(iData!Z28),100*ABS($G28-(iData!Z28-$I28)/$M28),0),IF(iData!Z28&gt;tblIndicators!$AI24,100,IF(ISNUMBER(iData!Z28),100*ABS($G28-(iData!Z28-$I28)/$M28),0)),IF(iData!Z28&lt;0,100,IF(ISNUMBER(iData!Z28),100*ABS($G28-(iData!Z28-$I28)/$M28),0)))</f>
        <v>28.169014084507044</v>
      </c>
      <c r="AH28" s="123" cm="1">
        <f t="array" ref="AH28">CHOOSE($H28,SUMPRODUCT($O29:$O$75*AH29:AH$75*($E29:$E$75=$D28)),IF(ISNUMBER(iData!AA28),100*ABS($G28-(iData!AA28-$K28)/$M28),0),IF(ISNUMBER(iData!AA28),100*ABS($G28-(iData!AA28-$I28)/$M28),0),IF(iData!AA28&gt;tblIndicators!$AI24,100,IF(ISNUMBER(iData!AA28),100*ABS($G28-(iData!AA28-$I28)/$M28),0)),IF(iData!AA28&lt;0,100,IF(ISNUMBER(iData!AA28),100*ABS($G28-(iData!AA28-$I28)/$M28),0)))</f>
        <v>47.887323943661968</v>
      </c>
      <c r="AI28" s="123" cm="1">
        <f t="array" ref="AI28">CHOOSE($H28,SUMPRODUCT($O29:$O$75*AI29:AI$75*($E29:$E$75=$D28)),IF(ISNUMBER(iData!AB28),100*ABS($G28-(iData!AB28-$K28)/$M28),0),IF(ISNUMBER(iData!AB28),100*ABS($G28-(iData!AB28-$I28)/$M28),0),IF(iData!AB28&gt;tblIndicators!$AI24,100,IF(ISNUMBER(iData!AB28),100*ABS($G28-(iData!AB28-$I28)/$M28),0)),IF(iData!AB28&lt;0,100,IF(ISNUMBER(iData!AB28),100*ABS($G28-(iData!AB28-$I28)/$M28),0)))</f>
        <v>39.436619718309856</v>
      </c>
      <c r="AJ28" s="123" cm="1">
        <f t="array" ref="AJ28">CHOOSE($H28,SUMPRODUCT($O29:$O$75*AJ29:AJ$75*($E29:$E$75=$D28)),IF(ISNUMBER(iData!AC28),100*ABS($G28-(iData!AC28-$K28)/$M28),0),IF(ISNUMBER(iData!AC28),100*ABS($G28-(iData!AC28-$I28)/$M28),0),IF(iData!AC28&gt;tblIndicators!$AI24,100,IF(ISNUMBER(iData!AC28),100*ABS($G28-(iData!AC28-$I28)/$M28),0)),IF(iData!AC28&lt;0,100,IF(ISNUMBER(iData!AC28),100*ABS($G28-(iData!AC28-$I28)/$M28),0)))</f>
        <v>100</v>
      </c>
      <c r="AK28" s="123" cm="1">
        <f t="array" ref="AK28">CHOOSE($H28,SUMPRODUCT($O29:$O$75*AK29:AK$75*($E29:$E$75=$D28)),IF(ISNUMBER(iData!AD28),100*ABS($G28-(iData!AD28-$K28)/$M28),0),IF(ISNUMBER(iData!AD28),100*ABS($G28-(iData!AD28-$I28)/$M28),0),IF(iData!AD28&gt;tblIndicators!$AI24,100,IF(ISNUMBER(iData!AD28),100*ABS($G28-(iData!AD28-$I28)/$M28),0)),IF(iData!AD28&lt;0,100,IF(ISNUMBER(iData!AD28),100*ABS($G28-(iData!AD28-$I28)/$M28),0)))</f>
        <v>28.169014084507044</v>
      </c>
      <c r="AL28" s="123" cm="1">
        <f t="array" ref="AL28">CHOOSE($H28,SUMPRODUCT($O29:$O$75*AL29:AL$75*($E29:$E$75=$D28)),IF(ISNUMBER(iData!AE28),100*ABS($G28-(iData!AE28-$K28)/$M28),0),IF(ISNUMBER(iData!AE28),100*ABS($G28-(iData!AE28-$I28)/$M28),0),IF(iData!AE28&gt;tblIndicators!$AI24,100,IF(ISNUMBER(iData!AE28),100*ABS($G28-(iData!AE28-$I28)/$M28),0)),IF(iData!AE28&lt;0,100,IF(ISNUMBER(iData!AE28),100*ABS($G28-(iData!AE28-$I28)/$M28),0)))</f>
        <v>16.901408450704224</v>
      </c>
      <c r="AM28" s="123" cm="1">
        <f t="array" ref="AM28">CHOOSE($H28,SUMPRODUCT($O29:$O$75*AM29:AM$75*($E29:$E$75=$D28)),IF(ISNUMBER(iData!AF28),100*ABS($G28-(iData!AF28-$K28)/$M28),0),IF(ISNUMBER(iData!AF28),100*ABS($G28-(iData!AF28-$I28)/$M28),0),IF(iData!AF28&gt;tblIndicators!$AI24,100,IF(ISNUMBER(iData!AF28),100*ABS($G28-(iData!AF28-$I28)/$M28),0)),IF(iData!AF28&lt;0,100,IF(ISNUMBER(iData!AF28),100*ABS($G28-(iData!AF28-$I28)/$M28),0)))</f>
        <v>16.901408450704224</v>
      </c>
      <c r="AN28" s="123" cm="1">
        <f t="array" ref="AN28">CHOOSE($H28,SUMPRODUCT($O29:$O$75*AN29:AN$75*($E29:$E$75=$D28)),IF(ISNUMBER(iData!AG28),100*ABS($G28-(iData!AG28-$K28)/$M28),0),IF(ISNUMBER(iData!AG28),100*ABS($G28-(iData!AG28-$I28)/$M28),0),IF(iData!AG28&gt;tblIndicators!$AI24,100,IF(ISNUMBER(iData!AG28),100*ABS($G28-(iData!AG28-$I28)/$M28),0)),IF(iData!AG28&lt;0,100,IF(ISNUMBER(iData!AG28),100*ABS($G28-(iData!AG28-$I28)/$M28),0)))</f>
        <v>46.478873239436616</v>
      </c>
      <c r="AO28" s="123" cm="1">
        <f t="array" ref="AO28">CHOOSE($H28,SUMPRODUCT($O29:$O$75*AO29:AO$75*($E29:$E$75=$D28)),IF(ISNUMBER(iData!AH28),100*ABS($G28-(iData!AH28-$K28)/$M28),0),IF(ISNUMBER(iData!AH28),100*ABS($G28-(iData!AH28-$I28)/$M28),0),IF(iData!AH28&gt;tblIndicators!$AI24,100,IF(ISNUMBER(iData!AH28),100*ABS($G28-(iData!AH28-$I28)/$M28),0)),IF(iData!AH28&lt;0,100,IF(ISNUMBER(iData!AH28),100*ABS($G28-(iData!AH28-$I28)/$M28),0)))</f>
        <v>67.605633802816897</v>
      </c>
      <c r="AP28" s="123" cm="1">
        <f t="array" ref="AP28">CHOOSE($H28,SUMPRODUCT($O29:$O$75*AP29:AP$75*($E29:$E$75=$D28)),IF(ISNUMBER(iData!AI28),100*ABS($G28-(iData!AI28-$K28)/$M28),0),IF(ISNUMBER(iData!AI28),100*ABS($G28-(iData!AI28-$I28)/$M28),0),IF(iData!AI28&gt;tblIndicators!$AI24,100,IF(ISNUMBER(iData!AI28),100*ABS($G28-(iData!AI28-$I28)/$M28),0)),IF(iData!AI28&lt;0,100,IF(ISNUMBER(iData!AI28),100*ABS($G28-(iData!AI28-$I28)/$M28),0)))</f>
        <v>46.478873239436616</v>
      </c>
      <c r="AQ28" s="123" cm="1">
        <f t="array" ref="AQ28">CHOOSE($H28,SUMPRODUCT($O29:$O$75*AQ29:AQ$75*($E29:$E$75=$D28)),IF(ISNUMBER(iData!AJ28),100*ABS($G28-(iData!AJ28-$K28)/$M28),0),IF(ISNUMBER(iData!AJ28),100*ABS($G28-(iData!AJ28-$I28)/$M28),0),IF(iData!AJ28&gt;tblIndicators!$AI24,100,IF(ISNUMBER(iData!AJ28),100*ABS($G28-(iData!AJ28-$I28)/$M28),0)),IF(iData!AJ28&lt;0,100,IF(ISNUMBER(iData!AJ28),100*ABS($G28-(iData!AJ28-$I28)/$M28),0)))</f>
        <v>7.042253521126761</v>
      </c>
      <c r="AR28" s="123" cm="1">
        <f t="array" ref="AR28">CHOOSE($H28,SUMPRODUCT($O29:$O$75*AR29:AR$75*($E29:$E$75=$D28)),IF(ISNUMBER(iData!AK28),100*ABS($G28-(iData!AK28-$K28)/$M28),0),IF(ISNUMBER(iData!AK28),100*ABS($G28-(iData!AK28-$I28)/$M28),0),IF(iData!AK28&gt;tblIndicators!$AI24,100,IF(ISNUMBER(iData!AK28),100*ABS($G28-(iData!AK28-$I28)/$M28),0)),IF(iData!AK28&lt;0,100,IF(ISNUMBER(iData!AK28),100*ABS($G28-(iData!AK28-$I28)/$M28),0)))</f>
        <v>15.492957746478872</v>
      </c>
      <c r="AS28" s="123" cm="1">
        <f t="array" ref="AS28">CHOOSE($H28,SUMPRODUCT($O29:$O$75*AS29:AS$75*($E29:$E$75=$D28)),IF(ISNUMBER(iData!AL28),100*ABS($G28-(iData!AL28-$K28)/$M28),0),IF(ISNUMBER(iData!AL28),100*ABS($G28-(iData!AL28-$I28)/$M28),0),IF(iData!AL28&gt;tblIndicators!$AI24,100,IF(ISNUMBER(iData!AL28),100*ABS($G28-(iData!AL28-$I28)/$M28),0)),IF(iData!AL28&lt;0,100,IF(ISNUMBER(iData!AL28),100*ABS($G28-(iData!AL28-$I28)/$M28),0)))</f>
        <v>14.084507042253522</v>
      </c>
      <c r="AT28" s="123" cm="1">
        <f t="array" ref="AT28">CHOOSE($H28,SUMPRODUCT($O29:$O$75*AT29:AT$75*($E29:$E$75=$D28)),IF(ISNUMBER(iData!AM28),100*ABS($G28-(iData!AM28-$K28)/$M28),0),IF(ISNUMBER(iData!AM28),100*ABS($G28-(iData!AM28-$I28)/$M28),0),IF(iData!AM28&gt;tblIndicators!$AI24,100,IF(ISNUMBER(iData!AM28),100*ABS($G28-(iData!AM28-$I28)/$M28),0)),IF(iData!AM28&lt;0,100,IF(ISNUMBER(iData!AM28),100*ABS($G28-(iData!AM28-$I28)/$M28),0)))</f>
        <v>35.2112676056338</v>
      </c>
      <c r="AU28" s="123" cm="1">
        <f t="array" ref="AU28">CHOOSE($H28,SUMPRODUCT($O29:$O$75*AU29:AU$75*($E29:$E$75=$D28)),IF(ISNUMBER(iData!AN28),100*ABS($G28-(iData!AN28-$K28)/$M28),0),IF(ISNUMBER(iData!AN28),100*ABS($G28-(iData!AN28-$I28)/$M28),0),IF(iData!AN28&gt;tblIndicators!$AI24,100,IF(ISNUMBER(iData!AN28),100*ABS($G28-(iData!AN28-$I28)/$M28),0)),IF(iData!AN28&lt;0,100,IF(ISNUMBER(iData!AN28),100*ABS($G28-(iData!AN28-$I28)/$M28),0)))</f>
        <v>23.943661971830984</v>
      </c>
      <c r="AV28" s="367"/>
      <c r="AW28" s="368"/>
      <c r="AX28" s="14"/>
      <c r="AY28" s="871">
        <f t="shared" si="40"/>
        <v>5.6</v>
      </c>
      <c r="AZ28" s="871">
        <f t="shared" si="41"/>
        <v>19.7</v>
      </c>
      <c r="BA28" s="871">
        <f t="shared" si="42"/>
        <v>84.5</v>
      </c>
      <c r="BB28" s="871">
        <f t="shared" si="43"/>
        <v>26.8</v>
      </c>
      <c r="BC28" s="871">
        <f t="shared" si="44"/>
        <v>83.1</v>
      </c>
      <c r="BD28" s="871">
        <f t="shared" si="45"/>
        <v>0</v>
      </c>
      <c r="BE28" s="871">
        <f t="shared" si="46"/>
        <v>32.4</v>
      </c>
      <c r="BF28" s="871">
        <f t="shared" si="47"/>
        <v>11.3</v>
      </c>
      <c r="BG28" s="871">
        <f t="shared" si="48"/>
        <v>29.6</v>
      </c>
      <c r="BH28" s="871">
        <f t="shared" si="49"/>
        <v>80.3</v>
      </c>
      <c r="BI28" s="871">
        <f t="shared" si="50"/>
        <v>12.7</v>
      </c>
      <c r="BJ28" s="871">
        <f t="shared" si="51"/>
        <v>49.3</v>
      </c>
      <c r="BK28" s="871">
        <f t="shared" si="52"/>
        <v>88.7</v>
      </c>
      <c r="BL28" s="871">
        <f t="shared" si="53"/>
        <v>40.799999999999997</v>
      </c>
      <c r="BM28" s="871">
        <f t="shared" si="54"/>
        <v>5.6</v>
      </c>
      <c r="BN28" s="871">
        <f t="shared" si="55"/>
        <v>28.2</v>
      </c>
      <c r="BO28" s="871">
        <f t="shared" si="56"/>
        <v>47.9</v>
      </c>
      <c r="BP28" s="871">
        <f t="shared" si="57"/>
        <v>39.4</v>
      </c>
      <c r="BQ28" s="871">
        <f t="shared" si="58"/>
        <v>100</v>
      </c>
      <c r="BR28" s="871">
        <f t="shared" si="59"/>
        <v>28.2</v>
      </c>
      <c r="BS28" s="871">
        <f t="shared" si="60"/>
        <v>16.899999999999999</v>
      </c>
      <c r="BT28" s="871">
        <f t="shared" si="61"/>
        <v>16.899999999999999</v>
      </c>
      <c r="BU28" s="871">
        <f t="shared" si="62"/>
        <v>46.5</v>
      </c>
      <c r="BV28" s="871">
        <f t="shared" si="63"/>
        <v>67.599999999999994</v>
      </c>
      <c r="BW28" s="871">
        <f t="shared" si="64"/>
        <v>46.5</v>
      </c>
      <c r="BX28" s="871">
        <f t="shared" si="65"/>
        <v>7</v>
      </c>
      <c r="BY28" s="871">
        <f t="shared" si="66"/>
        <v>15.5</v>
      </c>
      <c r="BZ28" s="871">
        <f t="shared" si="67"/>
        <v>14.1</v>
      </c>
      <c r="CA28" s="871">
        <f t="shared" si="68"/>
        <v>35.200000000000003</v>
      </c>
      <c r="CB28" s="871">
        <f t="shared" si="69"/>
        <v>23.9</v>
      </c>
      <c r="CD28" s="304">
        <f t="shared" ca="1" si="103"/>
        <v>36.799999999999997</v>
      </c>
      <c r="CE28" s="304">
        <f t="shared" ca="1" si="103"/>
        <v>36.799999999999997</v>
      </c>
      <c r="CF28" s="304">
        <f t="shared" ca="1" si="103"/>
        <v>54.2</v>
      </c>
      <c r="CG28" s="302">
        <f t="shared" ca="1" si="103"/>
        <v>14.8</v>
      </c>
      <c r="CH28" s="302">
        <f t="shared" ca="1" si="103"/>
        <v>39.4</v>
      </c>
      <c r="CI28" s="302">
        <f t="shared" ca="1" si="103"/>
        <v>80.3</v>
      </c>
      <c r="CJ28" s="302">
        <f t="shared" ca="1" si="103"/>
        <v>26.8</v>
      </c>
      <c r="CK28" s="302">
        <f t="shared" ca="1" si="103"/>
        <v>78.900000000000006</v>
      </c>
      <c r="CL28" s="302">
        <f t="shared" ca="1" si="103"/>
        <v>54.5</v>
      </c>
      <c r="CM28" s="302">
        <f t="shared" ca="1" si="103"/>
        <v>25.8</v>
      </c>
      <c r="CN28" s="302">
        <f t="shared" ca="1" si="101"/>
        <v>22.2</v>
      </c>
      <c r="CO28" s="302">
        <f t="shared" ca="1" si="101"/>
        <v>30.1</v>
      </c>
      <c r="CP28" s="302">
        <f t="shared" ca="1" si="101"/>
        <v>38.700000000000003</v>
      </c>
      <c r="CQ28" s="302">
        <f t="shared" ca="1" si="101"/>
        <v>55.7</v>
      </c>
    </row>
    <row r="29" spans="1:95" s="124" customFormat="1" ht="27.75" customHeight="1" thickBot="1">
      <c r="A29" s="118"/>
      <c r="B29" s="119">
        <f>tblIndicators!A25</f>
        <v>24</v>
      </c>
      <c r="C29" s="119">
        <f>tblIndicators!B25</f>
        <v>0</v>
      </c>
      <c r="D29" s="119" t="str">
        <f>tblIndicators!E25</f>
        <v>SERV2_2_3</v>
      </c>
      <c r="E29" s="119" t="str">
        <f>tblIndicators!F25</f>
        <v>SERV2_2</v>
      </c>
      <c r="F29" s="119">
        <f>tblIndicators!G25</f>
        <v>3</v>
      </c>
      <c r="G29" s="119">
        <f>tblIndicators!AF25</f>
        <v>0</v>
      </c>
      <c r="H29" s="119">
        <f>tblIndicators!AG25</f>
        <v>2</v>
      </c>
      <c r="I29" s="120">
        <f>tblIndicators!AH25</f>
        <v>0</v>
      </c>
      <c r="J29" s="119">
        <f>tblIndicators!AI25</f>
        <v>0</v>
      </c>
      <c r="K29" s="119">
        <f t="array" ref="K29">MIN(IF(ISNUMBER(iData!K29:AN29),iData!K29:AN29))</f>
        <v>36.700000000000003</v>
      </c>
      <c r="L29" s="121">
        <f t="array" ref="L29">MAX(IF(ISNUMBER(iData!K29:AN29),iData!K29:AN29))</f>
        <v>91.2</v>
      </c>
      <c r="M29" s="51">
        <f t="shared" si="7"/>
        <v>54.5</v>
      </c>
      <c r="N29" s="122" t="str">
        <f>REPT(" ",F29)&amp;tblIndicators!AM25</f>
        <v xml:space="preserve">   2.2.3) E-payments</v>
      </c>
      <c r="O29" s="381">
        <f>tblIndicators!AR25</f>
        <v>0.4285714285714286</v>
      </c>
      <c r="P29" s="381"/>
      <c r="Q29" s="323"/>
      <c r="R29" s="123" cm="1">
        <f t="array" ref="R29">CHOOSE($H29,SUMPRODUCT($O30:$O$75*R30:R$75*($E30:$E$75=$D29)),IF(ISNUMBER(iData!K29),100*ABS($G29-(iData!K29-$K29)/$M29),0),IF(ISNUMBER(iData!K29),100*ABS($G29-(iData!K29-$I29)/$M29),0),IF(iData!K29&gt;tblIndicators!$AI25,100,IF(ISNUMBER(iData!K29),100*ABS($G29-(iData!K29-$I29)/$M29),0)),IF(iData!K29&lt;0,100,IF(ISNUMBER(iData!K29),100*ABS($G29-(iData!K29-$I29)/$M29),0)))</f>
        <v>88.256880733944939</v>
      </c>
      <c r="S29" s="123" cm="1">
        <f t="array" ref="S29">CHOOSE($H29,SUMPRODUCT($O30:$O$75*S30:S$75*($E30:$E$75=$D29)),IF(ISNUMBER(iData!L29),100*ABS($G29-(iData!L29-$K29)/$M29),0),IF(ISNUMBER(iData!L29),100*ABS($G29-(iData!L29-$I29)/$M29),0),IF(iData!L29&gt;tblIndicators!$AI25,100,IF(ISNUMBER(iData!L29),100*ABS($G29-(iData!L29-$I29)/$M29),0)),IF(iData!L29&lt;0,100,IF(ISNUMBER(iData!L29),100*ABS($G29-(iData!L29-$I29)/$M29),0)))</f>
        <v>86.788990825688074</v>
      </c>
      <c r="T29" s="123" cm="1">
        <f t="array" ref="T29">CHOOSE($H29,SUMPRODUCT($O30:$O$75*T30:T$75*($E30:$E$75=$D29)),IF(ISNUMBER(iData!M29),100*ABS($G29-(iData!M29-$K29)/$M29),0),IF(ISNUMBER(iData!M29),100*ABS($G29-(iData!M29-$I29)/$M29),0),IF(iData!M29&gt;tblIndicators!$AI25,100,IF(ISNUMBER(iData!M29),100*ABS($G29-(iData!M29-$I29)/$M29),0)),IF(iData!M29&lt;0,100,IF(ISNUMBER(iData!M29),100*ABS($G29-(iData!M29-$I29)/$M29),0)))</f>
        <v>2.935779816513751</v>
      </c>
      <c r="U29" s="123" cm="1">
        <f t="array" ref="U29">CHOOSE($H29,SUMPRODUCT($O30:$O$75*U30:U$75*($E30:$E$75=$D29)),IF(ISNUMBER(iData!N29),100*ABS($G29-(iData!N29-$K29)/$M29),0),IF(ISNUMBER(iData!N29),100*ABS($G29-(iData!N29-$I29)/$M29),0),IF(iData!N29&gt;tblIndicators!$AI25,100,IF(ISNUMBER(iData!N29),100*ABS($G29-(iData!N29-$I29)/$M29),0)),IF(iData!N29&lt;0,100,IF(ISNUMBER(iData!N29),100*ABS($G29-(iData!N29-$I29)/$M29),0)))</f>
        <v>30.458715596330265</v>
      </c>
      <c r="V29" s="123" cm="1">
        <f t="array" ref="V29">CHOOSE($H29,SUMPRODUCT($O30:$O$75*V30:V$75*($E30:$E$75=$D29)),IF(ISNUMBER(iData!O29),100*ABS($G29-(iData!O29-$K29)/$M29),0),IF(ISNUMBER(iData!O29),100*ABS($G29-(iData!O29-$I29)/$M29),0),IF(iData!O29&gt;tblIndicators!$AI25,100,IF(ISNUMBER(iData!O29),100*ABS($G29-(iData!O29-$I29)/$M29),0)),IF(iData!O29&lt;0,100,IF(ISNUMBER(iData!O29),100*ABS($G29-(iData!O29-$I29)/$M29),0)))</f>
        <v>83.11926605504587</v>
      </c>
      <c r="W29" s="123" cm="1">
        <f t="array" ref="W29">CHOOSE($H29,SUMPRODUCT($O30:$O$75*W30:W$75*($E30:$E$75=$D29)),IF(ISNUMBER(iData!P29),100*ABS($G29-(iData!P29-$K29)/$M29),0),IF(ISNUMBER(iData!P29),100*ABS($G29-(iData!P29-$I29)/$M29),0),IF(iData!P29&gt;tblIndicators!$AI25,100,IF(ISNUMBER(iData!P29),100*ABS($G29-(iData!P29-$I29)/$M29),0)),IF(iData!P29&lt;0,100,IF(ISNUMBER(iData!P29),100*ABS($G29-(iData!P29-$I29)/$M29),0)))</f>
        <v>32.660550458715591</v>
      </c>
      <c r="X29" s="123" cm="1">
        <f t="array" ref="X29">CHOOSE($H29,SUMPRODUCT($O30:$O$75*X30:X$75*($E30:$E$75=$D29)),IF(ISNUMBER(iData!Q29),100*ABS($G29-(iData!Q29-$K29)/$M29),0),IF(ISNUMBER(iData!Q29),100*ABS($G29-(iData!Q29-$I29)/$M29),0),IF(iData!Q29&gt;tblIndicators!$AI25,100,IF(ISNUMBER(iData!Q29),100*ABS($G29-(iData!Q29-$I29)/$M29),0)),IF(iData!Q29&lt;0,100,IF(ISNUMBER(iData!Q29),100*ABS($G29-(iData!Q29-$I29)/$M29),0)))</f>
        <v>36.146788990825677</v>
      </c>
      <c r="Y29" s="123" cm="1">
        <f t="array" ref="Y29">CHOOSE($H29,SUMPRODUCT($O30:$O$75*Y30:Y$75*($E30:$E$75=$D29)),IF(ISNUMBER(iData!R29),100*ABS($G29-(iData!R29-$K29)/$M29),0),IF(ISNUMBER(iData!R29),100*ABS($G29-(iData!R29-$I29)/$M29),0),IF(iData!R29&gt;tblIndicators!$AI25,100,IF(ISNUMBER(iData!R29),100*ABS($G29-(iData!R29-$I29)/$M29),0)),IF(iData!R29&lt;0,100,IF(ISNUMBER(iData!R29),100*ABS($G29-(iData!R29-$I29)/$M29),0)))</f>
        <v>92.844036697247702</v>
      </c>
      <c r="Z29" s="123" cm="1">
        <f t="array" ref="Z29">CHOOSE($H29,SUMPRODUCT($O30:$O$75*Z30:Z$75*($E30:$E$75=$D29)),IF(ISNUMBER(iData!S29),100*ABS($G29-(iData!S29-$K29)/$M29),0),IF(ISNUMBER(iData!S29),100*ABS($G29-(iData!S29-$I29)/$M29),0),IF(iData!S29&gt;tblIndicators!$AI25,100,IF(ISNUMBER(iData!S29),100*ABS($G29-(iData!S29-$I29)/$M29),0)),IF(iData!S29&lt;0,100,IF(ISNUMBER(iData!S29),100*ABS($G29-(iData!S29-$I29)/$M29),0)))</f>
        <v>90.091743119266042</v>
      </c>
      <c r="AA29" s="123" cm="1">
        <f t="array" ref="AA29">CHOOSE($H29,SUMPRODUCT($O30:$O$75*AA30:AA$75*($E30:$E$75=$D29)),IF(ISNUMBER(iData!T29),100*ABS($G29-(iData!T29-$K29)/$M29),0),IF(ISNUMBER(iData!T29),100*ABS($G29-(iData!T29-$I29)/$M29),0),IF(iData!T29&gt;tblIndicators!$AI25,100,IF(ISNUMBER(iData!T29),100*ABS($G29-(iData!T29-$I29)/$M29),0)),IF(iData!T29&lt;0,100,IF(ISNUMBER(iData!T29),100*ABS($G29-(iData!T29-$I29)/$M29),0)))</f>
        <v>27.155963302752291</v>
      </c>
      <c r="AB29" s="123" cm="1">
        <f t="array" ref="AB29">CHOOSE($H29,SUMPRODUCT($O30:$O$75*AB30:AB$75*($E30:$E$75=$D29)),IF(ISNUMBER(iData!U29),100*ABS($G29-(iData!U29-$K29)/$M29),0),IF(ISNUMBER(iData!U29),100*ABS($G29-(iData!U29-$I29)/$M29),0),IF(iData!U29&gt;tblIndicators!$AI25,100,IF(ISNUMBER(iData!U29),100*ABS($G29-(iData!U29-$I29)/$M29),0)),IF(iData!U29&lt;0,100,IF(ISNUMBER(iData!U29),100*ABS($G29-(iData!U29-$I29)/$M29),0)))</f>
        <v>32.660550458715591</v>
      </c>
      <c r="AC29" s="123" cm="1">
        <f t="array" ref="AC29">CHOOSE($H29,SUMPRODUCT($O30:$O$75*AC30:AC$75*($E30:$E$75=$D29)),IF(ISNUMBER(iData!V29),100*ABS($G29-(iData!V29-$K29)/$M29),0),IF(ISNUMBER(iData!V29),100*ABS($G29-(iData!V29-$I29)/$M29),0),IF(iData!V29&gt;tblIndicators!$AI25,100,IF(ISNUMBER(iData!V29),100*ABS($G29-(iData!V29-$I29)/$M29),0)),IF(iData!V29&lt;0,100,IF(ISNUMBER(iData!V29),100*ABS($G29-(iData!V29-$I29)/$M29),0)))</f>
        <v>97.064220183486228</v>
      </c>
      <c r="AD29" s="123" cm="1">
        <f t="array" ref="AD29">CHOOSE($H29,SUMPRODUCT($O30:$O$75*AD30:AD$75*($E30:$E$75=$D29)),IF(ISNUMBER(iData!W29),100*ABS($G29-(iData!W29-$K29)/$M29),0),IF(ISNUMBER(iData!W29),100*ABS($G29-(iData!W29-$I29)/$M29),0),IF(iData!W29&gt;tblIndicators!$AI25,100,IF(ISNUMBER(iData!W29),100*ABS($G29-(iData!W29-$I29)/$M29),0)),IF(iData!W29&lt;0,100,IF(ISNUMBER(iData!W29),100*ABS($G29-(iData!W29-$I29)/$M29),0)))</f>
        <v>0</v>
      </c>
      <c r="AE29" s="123" cm="1">
        <f t="array" ref="AE29">CHOOSE($H29,SUMPRODUCT($O30:$O$75*AE30:AE$75*($E30:$E$75=$D29)),IF(ISNUMBER(iData!X29),100*ABS($G29-(iData!X29-$K29)/$M29),0),IF(ISNUMBER(iData!X29),100*ABS($G29-(iData!X29-$I29)/$M29),0),IF(iData!X29&gt;tblIndicators!$AI25,100,IF(ISNUMBER(iData!X29),100*ABS($G29-(iData!X29-$I29)/$M29),0)),IF(iData!X29&lt;0,100,IF(ISNUMBER(iData!X29),100*ABS($G29-(iData!X29-$I29)/$M29),0)))</f>
        <v>17.614678899082559</v>
      </c>
      <c r="AF29" s="123" cm="1">
        <f t="array" ref="AF29">CHOOSE($H29,SUMPRODUCT($O30:$O$75*AF30:AF$75*($E30:$E$75=$D29)),IF(ISNUMBER(iData!Y29),100*ABS($G29-(iData!Y29-$K29)/$M29),0),IF(ISNUMBER(iData!Y29),100*ABS($G29-(iData!Y29-$I29)/$M29),0),IF(iData!Y29&gt;tblIndicators!$AI25,100,IF(ISNUMBER(iData!Y29),100*ABS($G29-(iData!Y29-$I29)/$M29),0)),IF(iData!Y29&lt;0,100,IF(ISNUMBER(iData!Y29),100*ABS($G29-(iData!Y29-$I29)/$M29),0)))</f>
        <v>81.10091743119267</v>
      </c>
      <c r="AG29" s="123" cm="1">
        <f t="array" ref="AG29">CHOOSE($H29,SUMPRODUCT($O30:$O$75*AG30:AG$75*($E30:$E$75=$D29)),IF(ISNUMBER(iData!Z29),100*ABS($G29-(iData!Z29-$K29)/$M29),0),IF(ISNUMBER(iData!Z29),100*ABS($G29-(iData!Z29-$I29)/$M29),0),IF(iData!Z29&gt;tblIndicators!$AI25,100,IF(ISNUMBER(iData!Z29),100*ABS($G29-(iData!Z29-$I29)/$M29),0)),IF(iData!Z29&lt;0,100,IF(ISNUMBER(iData!Z29),100*ABS($G29-(iData!Z29-$I29)/$M29),0)))</f>
        <v>30.458715596330265</v>
      </c>
      <c r="AH29" s="123" cm="1">
        <f t="array" ref="AH29">CHOOSE($H29,SUMPRODUCT($O30:$O$75*AH30:AH$75*($E30:$E$75=$D29)),IF(ISNUMBER(iData!AA29),100*ABS($G29-(iData!AA29-$K29)/$M29),0),IF(ISNUMBER(iData!AA29),100*ABS($G29-(iData!AA29-$I29)/$M29),0),IF(iData!AA29&gt;tblIndicators!$AI25,100,IF(ISNUMBER(iData!AA29),100*ABS($G29-(iData!AA29-$I29)/$M29),0)),IF(iData!AA29&lt;0,100,IF(ISNUMBER(iData!AA29),100*ABS($G29-(iData!AA29-$I29)/$M29),0)))</f>
        <v>3.8532110091743017</v>
      </c>
      <c r="AI29" s="123" cm="1">
        <f t="array" ref="AI29">CHOOSE($H29,SUMPRODUCT($O30:$O$75*AI30:AI$75*($E30:$E$75=$D29)),IF(ISNUMBER(iData!AB29),100*ABS($G29-(iData!AB29-$K29)/$M29),0),IF(ISNUMBER(iData!AB29),100*ABS($G29-(iData!AB29-$I29)/$M29),0),IF(iData!AB29&gt;tblIndicators!$AI25,100,IF(ISNUMBER(iData!AB29),100*ABS($G29-(iData!AB29-$I29)/$M29),0)),IF(iData!AB29&lt;0,100,IF(ISNUMBER(iData!AB29),100*ABS($G29-(iData!AB29-$I29)/$M29),0)))</f>
        <v>10.64220183486238</v>
      </c>
      <c r="AJ29" s="123" cm="1">
        <f t="array" ref="AJ29">CHOOSE($H29,SUMPRODUCT($O30:$O$75*AJ30:AJ$75*($E30:$E$75=$D29)),IF(ISNUMBER(iData!AC29),100*ABS($G29-(iData!AC29-$K29)/$M29),0),IF(ISNUMBER(iData!AC29),100*ABS($G29-(iData!AC29-$I29)/$M29),0),IF(iData!AC29&gt;tblIndicators!$AI25,100,IF(ISNUMBER(iData!AC29),100*ABS($G29-(iData!AC29-$I29)/$M29),0)),IF(iData!AC29&lt;0,100,IF(ISNUMBER(iData!AC29),100*ABS($G29-(iData!AC29-$I29)/$M29),0)))</f>
        <v>19.449541284403658</v>
      </c>
      <c r="AK29" s="123" cm="1">
        <f t="array" ref="AK29">CHOOSE($H29,SUMPRODUCT($O30:$O$75*AK30:AK$75*($E30:$E$75=$D29)),IF(ISNUMBER(iData!AD29),100*ABS($G29-(iData!AD29-$K29)/$M29),0),IF(ISNUMBER(iData!AD29),100*ABS($G29-(iData!AD29-$I29)/$M29),0),IF(iData!AD29&gt;tblIndicators!$AI25,100,IF(ISNUMBER(iData!AD29),100*ABS($G29-(iData!AD29-$I29)/$M29),0)),IF(iData!AD29&lt;0,100,IF(ISNUMBER(iData!AD29),100*ABS($G29-(iData!AD29-$I29)/$M29),0)))</f>
        <v>90.091743119266042</v>
      </c>
      <c r="AL29" s="123" cm="1">
        <f t="array" ref="AL29">CHOOSE($H29,SUMPRODUCT($O30:$O$75*AL30:AL$75*($E30:$E$75=$D29)),IF(ISNUMBER(iData!AE29),100*ABS($G29-(iData!AE29-$K29)/$M29),0),IF(ISNUMBER(iData!AE29),100*ABS($G29-(iData!AE29-$I29)/$M29),0),IF(iData!AE29&gt;tblIndicators!$AI25,100,IF(ISNUMBER(iData!AE29),100*ABS($G29-(iData!AE29-$I29)/$M29),0)),IF(iData!AE29&lt;0,100,IF(ISNUMBER(iData!AE29),100*ABS($G29-(iData!AE29-$I29)/$M29),0)))</f>
        <v>78.532110091743107</v>
      </c>
      <c r="AM29" s="123" cm="1">
        <f t="array" ref="AM29">CHOOSE($H29,SUMPRODUCT($O30:$O$75*AM30:AM$75*($E30:$E$75=$D29)),IF(ISNUMBER(iData!AF29),100*ABS($G29-(iData!AF29-$K29)/$M29),0),IF(ISNUMBER(iData!AF29),100*ABS($G29-(iData!AF29-$I29)/$M29),0),IF(iData!AF29&gt;tblIndicators!$AI25,100,IF(ISNUMBER(iData!AF29),100*ABS($G29-(iData!AF29-$I29)/$M29),0)),IF(iData!AF29&lt;0,100,IF(ISNUMBER(iData!AF29),100*ABS($G29-(iData!AF29-$I29)/$M29),0)))</f>
        <v>33.761467889908253</v>
      </c>
      <c r="AN29" s="123" cm="1">
        <f t="array" ref="AN29">CHOOSE($H29,SUMPRODUCT($O30:$O$75*AN30:AN$75*($E30:$E$75=$D29)),IF(ISNUMBER(iData!AG29),100*ABS($G29-(iData!AG29-$K29)/$M29),0),IF(ISNUMBER(iData!AG29),100*ABS($G29-(iData!AG29-$I29)/$M29),0),IF(iData!AG29&gt;tblIndicators!$AI25,100,IF(ISNUMBER(iData!AG29),100*ABS($G29-(iData!AG29-$I29)/$M29),0)),IF(iData!AG29&lt;0,100,IF(ISNUMBER(iData!AG29),100*ABS($G29-(iData!AG29-$I29)/$M29),0)))</f>
        <v>39.449541284403672</v>
      </c>
      <c r="AO29" s="123" cm="1">
        <f t="array" ref="AO29">CHOOSE($H29,SUMPRODUCT($O30:$O$75*AO30:AO$75*($E30:$E$75=$D29)),IF(ISNUMBER(iData!AH29),100*ABS($G29-(iData!AH29-$K29)/$M29),0),IF(ISNUMBER(iData!AH29),100*ABS($G29-(iData!AH29-$I29)/$M29),0),IF(iData!AH29&gt;tblIndicators!$AI25,100,IF(ISNUMBER(iData!AH29),100*ABS($G29-(iData!AH29-$I29)/$M29),0)),IF(iData!AH29&lt;0,100,IF(ISNUMBER(iData!AH29),100*ABS($G29-(iData!AH29-$I29)/$M29),0)))</f>
        <v>86.972477064220172</v>
      </c>
      <c r="AP29" s="123" cm="1">
        <f t="array" ref="AP29">CHOOSE($H29,SUMPRODUCT($O30:$O$75*AP30:AP$75*($E30:$E$75=$D29)),IF(ISNUMBER(iData!AI29),100*ABS($G29-(iData!AI29-$K29)/$M29),0),IF(ISNUMBER(iData!AI29),100*ABS($G29-(iData!AI29-$I29)/$M29),0),IF(iData!AI29&gt;tblIndicators!$AI25,100,IF(ISNUMBER(iData!AI29),100*ABS($G29-(iData!AI29-$I29)/$M29),0)),IF(iData!AI29&lt;0,100,IF(ISNUMBER(iData!AI29),100*ABS($G29-(iData!AI29-$I29)/$M29),0)))</f>
        <v>58.532110091743107</v>
      </c>
      <c r="AQ29" s="123" cm="1">
        <f t="array" ref="AQ29">CHOOSE($H29,SUMPRODUCT($O30:$O$75*AQ30:AQ$75*($E30:$E$75=$D29)),IF(ISNUMBER(iData!AJ29),100*ABS($G29-(iData!AJ29-$K29)/$M29),0),IF(ISNUMBER(iData!AJ29),100*ABS($G29-(iData!AJ29-$I29)/$M29),0),IF(iData!AJ29&gt;tblIndicators!$AI25,100,IF(ISNUMBER(iData!AJ29),100*ABS($G29-(iData!AJ29-$I29)/$M29),0)),IF(iData!AJ29&lt;0,100,IF(ISNUMBER(iData!AJ29),100*ABS($G29-(iData!AJ29-$I29)/$M29),0)))</f>
        <v>91.376146788990823</v>
      </c>
      <c r="AR29" s="123" cm="1">
        <f t="array" ref="AR29">CHOOSE($H29,SUMPRODUCT($O30:$O$75*AR30:AR$75*($E30:$E$75=$D29)),IF(ISNUMBER(iData!AK29),100*ABS($G29-(iData!AK29-$K29)/$M29),0),IF(ISNUMBER(iData!AK29),100*ABS($G29-(iData!AK29-$I29)/$M29),0),IF(iData!AK29&gt;tblIndicators!$AI25,100,IF(ISNUMBER(iData!AK29),100*ABS($G29-(iData!AK29-$I29)/$M29),0)),IF(iData!AK29&lt;0,100,IF(ISNUMBER(iData!AK29),100*ABS($G29-(iData!AK29-$I29)/$M29),0)))</f>
        <v>7.8899082568807284</v>
      </c>
      <c r="AS29" s="123" cm="1">
        <f t="array" ref="AS29">CHOOSE($H29,SUMPRODUCT($O30:$O$75*AS30:AS$75*($E30:$E$75=$D29)),IF(ISNUMBER(iData!AL29),100*ABS($G29-(iData!AL29-$K29)/$M29),0),IF(ISNUMBER(iData!AL29),100*ABS($G29-(iData!AL29-$I29)/$M29),0),IF(iData!AL29&gt;tblIndicators!$AI25,100,IF(ISNUMBER(iData!AL29),100*ABS($G29-(iData!AL29-$I29)/$M29),0)),IF(iData!AL29&lt;0,100,IF(ISNUMBER(iData!AL29),100*ABS($G29-(iData!AL29-$I29)/$M29),0)))</f>
        <v>100</v>
      </c>
      <c r="AT29" s="123" cm="1">
        <f t="array" ref="AT29">CHOOSE($H29,SUMPRODUCT($O30:$O$75*AT30:AT$75*($E30:$E$75=$D29)),IF(ISNUMBER(iData!AM29),100*ABS($G29-(iData!AM29-$K29)/$M29),0),IF(ISNUMBER(iData!AM29),100*ABS($G29-(iData!AM29-$I29)/$M29),0),IF(iData!AM29&gt;tblIndicators!$AI25,100,IF(ISNUMBER(iData!AM29),100*ABS($G29-(iData!AM29-$I29)/$M29),0)),IF(iData!AM29&lt;0,100,IF(ISNUMBER(iData!AM29),100*ABS($G29-(iData!AM29-$I29)/$M29),0)))</f>
        <v>90.091743119266042</v>
      </c>
      <c r="AU29" s="123" cm="1">
        <f t="array" ref="AU29">CHOOSE($H29,SUMPRODUCT($O30:$O$75*AU30:AU$75*($E30:$E$75=$D29)),IF(ISNUMBER(iData!AN29),100*ABS($G29-(iData!AN29-$K29)/$M29),0),IF(ISNUMBER(iData!AN29),100*ABS($G29-(iData!AN29-$I29)/$M29),0),IF(iData!AN29&gt;tblIndicators!$AI25,100,IF(ISNUMBER(iData!AN29),100*ABS($G29-(iData!AN29-$I29)/$M29),0)),IF(iData!AN29&lt;0,100,IF(ISNUMBER(iData!AN29),100*ABS($G29-(iData!AN29-$I29)/$M29),0)))</f>
        <v>83.11926605504587</v>
      </c>
      <c r="AV29" s="367"/>
      <c r="AW29" s="368"/>
      <c r="AX29" s="14"/>
      <c r="AY29" s="871">
        <f t="shared" si="40"/>
        <v>88.3</v>
      </c>
      <c r="AZ29" s="871">
        <f t="shared" si="41"/>
        <v>86.8</v>
      </c>
      <c r="BA29" s="871">
        <f t="shared" si="42"/>
        <v>2.9</v>
      </c>
      <c r="BB29" s="871">
        <f t="shared" si="43"/>
        <v>30.5</v>
      </c>
      <c r="BC29" s="871">
        <f t="shared" si="44"/>
        <v>83.1</v>
      </c>
      <c r="BD29" s="871">
        <f t="shared" si="45"/>
        <v>32.700000000000003</v>
      </c>
      <c r="BE29" s="871">
        <f t="shared" si="46"/>
        <v>36.1</v>
      </c>
      <c r="BF29" s="871">
        <f t="shared" si="47"/>
        <v>92.8</v>
      </c>
      <c r="BG29" s="871">
        <f t="shared" si="48"/>
        <v>90.1</v>
      </c>
      <c r="BH29" s="871">
        <f t="shared" si="49"/>
        <v>27.2</v>
      </c>
      <c r="BI29" s="871">
        <f t="shared" si="50"/>
        <v>32.700000000000003</v>
      </c>
      <c r="BJ29" s="871">
        <f t="shared" si="51"/>
        <v>97.1</v>
      </c>
      <c r="BK29" s="871">
        <f t="shared" si="52"/>
        <v>0</v>
      </c>
      <c r="BL29" s="871">
        <f t="shared" si="53"/>
        <v>17.600000000000001</v>
      </c>
      <c r="BM29" s="871">
        <f t="shared" si="54"/>
        <v>81.099999999999994</v>
      </c>
      <c r="BN29" s="871">
        <f t="shared" si="55"/>
        <v>30.5</v>
      </c>
      <c r="BO29" s="871">
        <f t="shared" si="56"/>
        <v>3.9</v>
      </c>
      <c r="BP29" s="871">
        <f t="shared" si="57"/>
        <v>10.6</v>
      </c>
      <c r="BQ29" s="871">
        <f t="shared" si="58"/>
        <v>19.399999999999999</v>
      </c>
      <c r="BR29" s="871">
        <f t="shared" si="59"/>
        <v>90.1</v>
      </c>
      <c r="BS29" s="871">
        <f t="shared" si="60"/>
        <v>78.5</v>
      </c>
      <c r="BT29" s="871">
        <f t="shared" si="61"/>
        <v>33.799999999999997</v>
      </c>
      <c r="BU29" s="871">
        <f t="shared" si="62"/>
        <v>39.4</v>
      </c>
      <c r="BV29" s="871">
        <f t="shared" si="63"/>
        <v>87</v>
      </c>
      <c r="BW29" s="871">
        <f t="shared" si="64"/>
        <v>58.5</v>
      </c>
      <c r="BX29" s="871">
        <f t="shared" si="65"/>
        <v>91.4</v>
      </c>
      <c r="BY29" s="871">
        <f t="shared" si="66"/>
        <v>7.9</v>
      </c>
      <c r="BZ29" s="871">
        <f t="shared" si="67"/>
        <v>100</v>
      </c>
      <c r="CA29" s="871">
        <f t="shared" si="68"/>
        <v>90.1</v>
      </c>
      <c r="CB29" s="871">
        <f t="shared" si="69"/>
        <v>83.1</v>
      </c>
      <c r="CD29" s="304">
        <f t="shared" ca="1" si="103"/>
        <v>54.1</v>
      </c>
      <c r="CE29" s="304">
        <f t="shared" ca="1" si="103"/>
        <v>54.1</v>
      </c>
      <c r="CF29" s="304">
        <f t="shared" ca="1" si="103"/>
        <v>46.3</v>
      </c>
      <c r="CG29" s="302">
        <f t="shared" ca="1" si="103"/>
        <v>58.4</v>
      </c>
      <c r="CH29" s="302">
        <f t="shared" ca="1" si="103"/>
        <v>28.7</v>
      </c>
      <c r="CI29" s="302">
        <f t="shared" ca="1" si="103"/>
        <v>27.2</v>
      </c>
      <c r="CJ29" s="302">
        <f t="shared" ca="1" si="103"/>
        <v>92.6</v>
      </c>
      <c r="CK29" s="302">
        <f t="shared" ca="1" si="103"/>
        <v>7.8</v>
      </c>
      <c r="CL29" s="302">
        <f t="shared" ca="1" si="103"/>
        <v>31.6</v>
      </c>
      <c r="CM29" s="302">
        <f t="shared" ca="1" si="103"/>
        <v>67.2</v>
      </c>
      <c r="CN29" s="302">
        <f t="shared" ca="1" si="101"/>
        <v>67</v>
      </c>
      <c r="CO29" s="302">
        <f t="shared" ca="1" si="101"/>
        <v>60.8</v>
      </c>
      <c r="CP29" s="302">
        <f t="shared" ca="1" si="101"/>
        <v>41.6</v>
      </c>
      <c r="CQ29" s="302">
        <f t="shared" ca="1" si="101"/>
        <v>41.5</v>
      </c>
    </row>
    <row r="30" spans="1:95" s="124" customFormat="1" ht="27.75" customHeight="1" thickBot="1">
      <c r="A30" s="118"/>
      <c r="B30" s="119">
        <f>tblIndicators!A26</f>
        <v>25</v>
      </c>
      <c r="C30" s="119">
        <f>tblIndicators!B26</f>
        <v>0</v>
      </c>
      <c r="D30" s="119" t="str">
        <f>tblIndicators!E26</f>
        <v>SERV2_3</v>
      </c>
      <c r="E30" s="119" t="str">
        <f>tblIndicators!F26</f>
        <v>SERV</v>
      </c>
      <c r="F30" s="119">
        <f>tblIndicators!G26</f>
        <v>2</v>
      </c>
      <c r="G30" s="119">
        <f>tblIndicators!AF26</f>
        <v>0</v>
      </c>
      <c r="H30" s="119">
        <f>tblIndicators!AG26</f>
        <v>1</v>
      </c>
      <c r="I30" s="120">
        <f>tblIndicators!AH26</f>
        <v>0</v>
      </c>
      <c r="J30" s="119">
        <f>tblIndicators!AI26</f>
        <v>0</v>
      </c>
      <c r="K30" s="119">
        <f t="array" ref="K30">MIN(IF(ISNUMBER(iData!K30:AN30),iData!K30:AN30))</f>
        <v>0</v>
      </c>
      <c r="L30" s="121">
        <f t="array" ref="L30">MAX(IF(ISNUMBER(iData!K30:AN30),iData!K30:AN30))</f>
        <v>0</v>
      </c>
      <c r="M30" s="51" t="str">
        <f t="shared" si="7"/>
        <v>-</v>
      </c>
      <c r="N30" s="122" t="str">
        <f>REPT(" ",F30)&amp;tblIndicators!AM26</f>
        <v xml:space="preserve">  2.3) Transportation</v>
      </c>
      <c r="O30" s="381">
        <f>tblIndicators!AR26</f>
        <v>0.19230769230769232</v>
      </c>
      <c r="P30" s="381"/>
      <c r="Q30" s="323"/>
      <c r="R30" s="123" cm="1">
        <f t="array" ref="R30">CHOOSE($H30,SUMPRODUCT($O31:$O$75*R31:R$75*($E31:$E$75=$D30)),IF(ISNUMBER(iData!K30),100*ABS($G30-(iData!K30-$K30)/$M30),0),IF(ISNUMBER(iData!K30),100*ABS($G30-(iData!K30-$I30)/$M30),0),IF(iData!K30&gt;tblIndicators!$AI26,100,IF(ISNUMBER(iData!K30),100*ABS($G30-(iData!K30-$I30)/$M30),0)),IF(iData!K30&lt;0,100,IF(ISNUMBER(iData!K30),100*ABS($G30-(iData!K30-$I30)/$M30),0)))</f>
        <v>100</v>
      </c>
      <c r="S30" s="123" cm="1">
        <f t="array" ref="S30">CHOOSE($H30,SUMPRODUCT($O31:$O$75*S31:S$75*($E31:$E$75=$D30)),IF(ISNUMBER(iData!L30),100*ABS($G30-(iData!L30-$K30)/$M30),0),IF(ISNUMBER(iData!L30),100*ABS($G30-(iData!L30-$I30)/$M30),0),IF(iData!L30&gt;tblIndicators!$AI26,100,IF(ISNUMBER(iData!L30),100*ABS($G30-(iData!L30-$I30)/$M30),0)),IF(iData!L30&lt;0,100,IF(ISNUMBER(iData!L30),100*ABS($G30-(iData!L30-$I30)/$M30),0)))</f>
        <v>41.025641025641022</v>
      </c>
      <c r="T30" s="123" cm="1">
        <f t="array" ref="T30">CHOOSE($H30,SUMPRODUCT($O31:$O$75*T31:T$75*($E31:$E$75=$D30)),IF(ISNUMBER(iData!M30),100*ABS($G30-(iData!M30-$K30)/$M30),0),IF(ISNUMBER(iData!M30),100*ABS($G30-(iData!M30-$I30)/$M30),0),IF(iData!M30&gt;tblIndicators!$AI26,100,IF(ISNUMBER(iData!M30),100*ABS($G30-(iData!M30-$I30)/$M30),0)),IF(iData!M30&lt;0,100,IF(ISNUMBER(iData!M30),100*ABS($G30-(iData!M30-$I30)/$M30),0)))</f>
        <v>23.076923076923073</v>
      </c>
      <c r="U30" s="123" cm="1">
        <f t="array" ref="U30">CHOOSE($H30,SUMPRODUCT($O31:$O$75*U31:U$75*($E31:$E$75=$D30)),IF(ISNUMBER(iData!N30),100*ABS($G30-(iData!N30-$K30)/$M30),0),IF(ISNUMBER(iData!N30),100*ABS($G30-(iData!N30-$I30)/$M30),0),IF(iData!N30&gt;tblIndicators!$AI26,100,IF(ISNUMBER(iData!N30),100*ABS($G30-(iData!N30-$I30)/$M30),0)),IF(iData!N30&lt;0,100,IF(ISNUMBER(iData!N30),100*ABS($G30-(iData!N30-$I30)/$M30),0)))</f>
        <v>100</v>
      </c>
      <c r="V30" s="123" cm="1">
        <f t="array" ref="V30">CHOOSE($H30,SUMPRODUCT($O31:$O$75*V31:V$75*($E31:$E$75=$D30)),IF(ISNUMBER(iData!O30),100*ABS($G30-(iData!O30-$K30)/$M30),0),IF(ISNUMBER(iData!O30),100*ABS($G30-(iData!O30-$I30)/$M30),0),IF(iData!O30&gt;tblIndicators!$AI26,100,IF(ISNUMBER(iData!O30),100*ABS($G30-(iData!O30-$I30)/$M30),0)),IF(iData!O30&lt;0,100,IF(ISNUMBER(iData!O30),100*ABS($G30-(iData!O30-$I30)/$M30),0)))</f>
        <v>82.051282051282044</v>
      </c>
      <c r="W30" s="123" cm="1">
        <f t="array" ref="W30">CHOOSE($H30,SUMPRODUCT($O31:$O$75*W31:W$75*($E31:$E$75=$D30)),IF(ISNUMBER(iData!P30),100*ABS($G30-(iData!P30-$K30)/$M30),0),IF(ISNUMBER(iData!P30),100*ABS($G30-(iData!P30-$I30)/$M30),0),IF(iData!P30&gt;tblIndicators!$AI26,100,IF(ISNUMBER(iData!P30),100*ABS($G30-(iData!P30-$I30)/$M30),0)),IF(iData!P30&lt;0,100,IF(ISNUMBER(iData!P30),100*ABS($G30-(iData!P30-$I30)/$M30),0)))</f>
        <v>76.92307692307692</v>
      </c>
      <c r="X30" s="123" cm="1">
        <f t="array" ref="X30">CHOOSE($H30,SUMPRODUCT($O31:$O$75*X31:X$75*($E31:$E$75=$D30)),IF(ISNUMBER(iData!Q30),100*ABS($G30-(iData!Q30-$K30)/$M30),0),IF(ISNUMBER(iData!Q30),100*ABS($G30-(iData!Q30-$I30)/$M30),0),IF(iData!Q30&gt;tblIndicators!$AI26,100,IF(ISNUMBER(iData!Q30),100*ABS($G30-(iData!Q30-$I30)/$M30),0)),IF(iData!Q30&lt;0,100,IF(ISNUMBER(iData!Q30),100*ABS($G30-(iData!Q30-$I30)/$M30),0)))</f>
        <v>58.974358974358964</v>
      </c>
      <c r="Y30" s="123" cm="1">
        <f t="array" ref="Y30">CHOOSE($H30,SUMPRODUCT($O31:$O$75*Y31:Y$75*($E31:$E$75=$D30)),IF(ISNUMBER(iData!R30),100*ABS($G30-(iData!R30-$K30)/$M30),0),IF(ISNUMBER(iData!R30),100*ABS($G30-(iData!R30-$I30)/$M30),0),IF(iData!R30&gt;tblIndicators!$AI26,100,IF(ISNUMBER(iData!R30),100*ABS($G30-(iData!R30-$I30)/$M30),0)),IF(iData!R30&lt;0,100,IF(ISNUMBER(iData!R30),100*ABS($G30-(iData!R30-$I30)/$M30),0)))</f>
        <v>58.974358974358964</v>
      </c>
      <c r="Z30" s="123" cm="1">
        <f t="array" ref="Z30">CHOOSE($H30,SUMPRODUCT($O31:$O$75*Z31:Z$75*($E31:$E$75=$D30)),IF(ISNUMBER(iData!S30),100*ABS($G30-(iData!S30-$K30)/$M30),0),IF(ISNUMBER(iData!S30),100*ABS($G30-(iData!S30-$I30)/$M30),0),IF(iData!S30&gt;tblIndicators!$AI26,100,IF(ISNUMBER(iData!S30),100*ABS($G30-(iData!S30-$I30)/$M30),0)),IF(iData!S30&lt;0,100,IF(ISNUMBER(iData!S30),100*ABS($G30-(iData!S30-$I30)/$M30),0)))</f>
        <v>76.92307692307692</v>
      </c>
      <c r="AA30" s="123" cm="1">
        <f t="array" ref="AA30">CHOOSE($H30,SUMPRODUCT($O31:$O$75*AA31:AA$75*($E31:$E$75=$D30)),IF(ISNUMBER(iData!T30),100*ABS($G30-(iData!T30-$K30)/$M30),0),IF(ISNUMBER(iData!T30),100*ABS($G30-(iData!T30-$I30)/$M30),0),IF(iData!T30&gt;tblIndicators!$AI26,100,IF(ISNUMBER(iData!T30),100*ABS($G30-(iData!T30-$I30)/$M30),0)),IF(iData!T30&lt;0,100,IF(ISNUMBER(iData!T30),100*ABS($G30-(iData!T30-$I30)/$M30),0)))</f>
        <v>100</v>
      </c>
      <c r="AB30" s="123" cm="1">
        <f t="array" ref="AB30">CHOOSE($H30,SUMPRODUCT($O31:$O$75*AB31:AB$75*($E31:$E$75=$D30)),IF(ISNUMBER(iData!U30),100*ABS($G30-(iData!U30-$K30)/$M30),0),IF(ISNUMBER(iData!U30),100*ABS($G30-(iData!U30-$I30)/$M30),0),IF(iData!U30&gt;tblIndicators!$AI26,100,IF(ISNUMBER(iData!U30),100*ABS($G30-(iData!U30-$I30)/$M30),0)),IF(iData!U30&lt;0,100,IF(ISNUMBER(iData!U30),100*ABS($G30-(iData!U30-$I30)/$M30),0)))</f>
        <v>100</v>
      </c>
      <c r="AC30" s="123" cm="1">
        <f t="array" ref="AC30">CHOOSE($H30,SUMPRODUCT($O31:$O$75*AC31:AC$75*($E31:$E$75=$D30)),IF(ISNUMBER(iData!V30),100*ABS($G30-(iData!V30-$K30)/$M30),0),IF(ISNUMBER(iData!V30),100*ABS($G30-(iData!V30-$I30)/$M30),0),IF(iData!V30&gt;tblIndicators!$AI26,100,IF(ISNUMBER(iData!V30),100*ABS($G30-(iData!V30-$I30)/$M30),0)),IF(iData!V30&lt;0,100,IF(ISNUMBER(iData!V30),100*ABS($G30-(iData!V30-$I30)/$M30),0)))</f>
        <v>82.051282051282044</v>
      </c>
      <c r="AD30" s="123" cm="1">
        <f t="array" ref="AD30">CHOOSE($H30,SUMPRODUCT($O31:$O$75*AD31:AD$75*($E31:$E$75=$D30)),IF(ISNUMBER(iData!W30),100*ABS($G30-(iData!W30-$K30)/$M30),0),IF(ISNUMBER(iData!W30),100*ABS($G30-(iData!W30-$I30)/$M30),0),IF(iData!W30&gt;tblIndicators!$AI26,100,IF(ISNUMBER(iData!W30),100*ABS($G30-(iData!W30-$I30)/$M30),0)),IF(iData!W30&lt;0,100,IF(ISNUMBER(iData!W30),100*ABS($G30-(iData!W30-$I30)/$M30),0)))</f>
        <v>76.92307692307692</v>
      </c>
      <c r="AE30" s="123" cm="1">
        <f t="array" ref="AE30">CHOOSE($H30,SUMPRODUCT($O31:$O$75*AE31:AE$75*($E31:$E$75=$D30)),IF(ISNUMBER(iData!X30),100*ABS($G30-(iData!X30-$K30)/$M30),0),IF(ISNUMBER(iData!X30),100*ABS($G30-(iData!X30-$I30)/$M30),0),IF(iData!X30&gt;tblIndicators!$AI26,100,IF(ISNUMBER(iData!X30),100*ABS($G30-(iData!X30-$I30)/$M30),0)),IF(iData!X30&lt;0,100,IF(ISNUMBER(iData!X30),100*ABS($G30-(iData!X30-$I30)/$M30),0)))</f>
        <v>82.051282051282044</v>
      </c>
      <c r="AF30" s="123" cm="1">
        <f t="array" ref="AF30">CHOOSE($H30,SUMPRODUCT($O31:$O$75*AF31:AF$75*($E31:$E$75=$D30)),IF(ISNUMBER(iData!Y30),100*ABS($G30-(iData!Y30-$K30)/$M30),0),IF(ISNUMBER(iData!Y30),100*ABS($G30-(iData!Y30-$I30)/$M30),0),IF(iData!Y30&gt;tblIndicators!$AI26,100,IF(ISNUMBER(iData!Y30),100*ABS($G30-(iData!Y30-$I30)/$M30),0)),IF(iData!Y30&lt;0,100,IF(ISNUMBER(iData!Y30),100*ABS($G30-(iData!Y30-$I30)/$M30),0)))</f>
        <v>82.051282051282044</v>
      </c>
      <c r="AG30" s="123" cm="1">
        <f t="array" ref="AG30">CHOOSE($H30,SUMPRODUCT($O31:$O$75*AG31:AG$75*($E31:$E$75=$D30)),IF(ISNUMBER(iData!Z30),100*ABS($G30-(iData!Z30-$K30)/$M30),0),IF(ISNUMBER(iData!Z30),100*ABS($G30-(iData!Z30-$I30)/$M30),0),IF(iData!Z30&gt;tblIndicators!$AI26,100,IF(ISNUMBER(iData!Z30),100*ABS($G30-(iData!Z30-$I30)/$M30),0)),IF(iData!Z30&lt;0,100,IF(ISNUMBER(iData!Z30),100*ABS($G30-(iData!Z30-$I30)/$M30),0)))</f>
        <v>64.102564102564088</v>
      </c>
      <c r="AH30" s="123" cm="1">
        <f t="array" ref="AH30">CHOOSE($H30,SUMPRODUCT($O31:$O$75*AH31:AH$75*($E31:$E$75=$D30)),IF(ISNUMBER(iData!AA30),100*ABS($G30-(iData!AA30-$K30)/$M30),0),IF(ISNUMBER(iData!AA30),100*ABS($G30-(iData!AA30-$I30)/$M30),0),IF(iData!AA30&gt;tblIndicators!$AI26,100,IF(ISNUMBER(iData!AA30),100*ABS($G30-(iData!AA30-$I30)/$M30),0)),IF(iData!AA30&lt;0,100,IF(ISNUMBER(iData!AA30),100*ABS($G30-(iData!AA30-$I30)/$M30),0)))</f>
        <v>23.076923076923073</v>
      </c>
      <c r="AI30" s="123" cm="1">
        <f t="array" ref="AI30">CHOOSE($H30,SUMPRODUCT($O31:$O$75*AI31:AI$75*($E31:$E$75=$D30)),IF(ISNUMBER(iData!AB30),100*ABS($G30-(iData!AB30-$K30)/$M30),0),IF(ISNUMBER(iData!AB30),100*ABS($G30-(iData!AB30-$I30)/$M30),0),IF(iData!AB30&gt;tblIndicators!$AI26,100,IF(ISNUMBER(iData!AB30),100*ABS($G30-(iData!AB30-$I30)/$M30),0)),IF(iData!AB30&lt;0,100,IF(ISNUMBER(iData!AB30),100*ABS($G30-(iData!AB30-$I30)/$M30),0)))</f>
        <v>23.076923076923073</v>
      </c>
      <c r="AJ30" s="123" cm="1">
        <f t="array" ref="AJ30">CHOOSE($H30,SUMPRODUCT($O31:$O$75*AJ31:AJ$75*($E31:$E$75=$D30)),IF(ISNUMBER(iData!AC30),100*ABS($G30-(iData!AC30-$K30)/$M30),0),IF(ISNUMBER(iData!AC30),100*ABS($G30-(iData!AC30-$I30)/$M30),0),IF(iData!AC30&gt;tblIndicators!$AI26,100,IF(ISNUMBER(iData!AC30),100*ABS($G30-(iData!AC30-$I30)/$M30),0)),IF(iData!AC30&lt;0,100,IF(ISNUMBER(iData!AC30),100*ABS($G30-(iData!AC30-$I30)/$M30),0)))</f>
        <v>17.948717948717945</v>
      </c>
      <c r="AK30" s="123" cm="1">
        <f t="array" ref="AK30">CHOOSE($H30,SUMPRODUCT($O31:$O$75*AK31:AK$75*($E31:$E$75=$D30)),IF(ISNUMBER(iData!AD30),100*ABS($G30-(iData!AD30-$K30)/$M30),0),IF(ISNUMBER(iData!AD30),100*ABS($G30-(iData!AD30-$I30)/$M30),0),IF(iData!AD30&gt;tblIndicators!$AI26,100,IF(ISNUMBER(iData!AD30),100*ABS($G30-(iData!AD30-$I30)/$M30),0)),IF(iData!AD30&lt;0,100,IF(ISNUMBER(iData!AD30),100*ABS($G30-(iData!AD30-$I30)/$M30),0)))</f>
        <v>58.974358974358964</v>
      </c>
      <c r="AL30" s="123" cm="1">
        <f t="array" ref="AL30">CHOOSE($H30,SUMPRODUCT($O31:$O$75*AL31:AL$75*($E31:$E$75=$D30)),IF(ISNUMBER(iData!AE30),100*ABS($G30-(iData!AE30-$K30)/$M30),0),IF(ISNUMBER(iData!AE30),100*ABS($G30-(iData!AE30-$I30)/$M30),0),IF(iData!AE30&gt;tblIndicators!$AI26,100,IF(ISNUMBER(iData!AE30),100*ABS($G30-(iData!AE30-$I30)/$M30),0)),IF(iData!AE30&lt;0,100,IF(ISNUMBER(iData!AE30),100*ABS($G30-(iData!AE30-$I30)/$M30),0)))</f>
        <v>100</v>
      </c>
      <c r="AM30" s="123" cm="1">
        <f t="array" ref="AM30">CHOOSE($H30,SUMPRODUCT($O31:$O$75*AM31:AM$75*($E31:$E$75=$D30)),IF(ISNUMBER(iData!AF30),100*ABS($G30-(iData!AF30-$K30)/$M30),0),IF(ISNUMBER(iData!AF30),100*ABS($G30-(iData!AF30-$I30)/$M30),0),IF(iData!AF30&gt;tblIndicators!$AI26,100,IF(ISNUMBER(iData!AF30),100*ABS($G30-(iData!AF30-$I30)/$M30),0)),IF(iData!AF30&lt;0,100,IF(ISNUMBER(iData!AF30),100*ABS($G30-(iData!AF30-$I30)/$M30),0)))</f>
        <v>100</v>
      </c>
      <c r="AN30" s="123" cm="1">
        <f t="array" ref="AN30">CHOOSE($H30,SUMPRODUCT($O31:$O$75*AN31:AN$75*($E31:$E$75=$D30)),IF(ISNUMBER(iData!AG30),100*ABS($G30-(iData!AG30-$K30)/$M30),0),IF(ISNUMBER(iData!AG30),100*ABS($G30-(iData!AG30-$I30)/$M30),0),IF(iData!AG30&gt;tblIndicators!$AI26,100,IF(ISNUMBER(iData!AG30),100*ABS($G30-(iData!AG30-$I30)/$M30),0)),IF(iData!AG30&lt;0,100,IF(ISNUMBER(iData!AG30),100*ABS($G30-(iData!AG30-$I30)/$M30),0)))</f>
        <v>0</v>
      </c>
      <c r="AO30" s="123" cm="1">
        <f t="array" ref="AO30">CHOOSE($H30,SUMPRODUCT($O31:$O$75*AO31:AO$75*($E31:$E$75=$D30)),IF(ISNUMBER(iData!AH30),100*ABS($G30-(iData!AH30-$K30)/$M30),0),IF(ISNUMBER(iData!AH30),100*ABS($G30-(iData!AH30-$I30)/$M30),0),IF(iData!AH30&gt;tblIndicators!$AI26,100,IF(ISNUMBER(iData!AH30),100*ABS($G30-(iData!AH30-$I30)/$M30),0)),IF(iData!AH30&lt;0,100,IF(ISNUMBER(iData!AH30),100*ABS($G30-(iData!AH30-$I30)/$M30),0)))</f>
        <v>82.051282051282044</v>
      </c>
      <c r="AP30" s="123" cm="1">
        <f t="array" ref="AP30">CHOOSE($H30,SUMPRODUCT($O31:$O$75*AP31:AP$75*($E31:$E$75=$D30)),IF(ISNUMBER(iData!AI30),100*ABS($G30-(iData!AI30-$K30)/$M30),0),IF(ISNUMBER(iData!AI30),100*ABS($G30-(iData!AI30-$I30)/$M30),0),IF(iData!AI30&gt;tblIndicators!$AI26,100,IF(ISNUMBER(iData!AI30),100*ABS($G30-(iData!AI30-$I30)/$M30),0)),IF(iData!AI30&lt;0,100,IF(ISNUMBER(iData!AI30),100*ABS($G30-(iData!AI30-$I30)/$M30),0)))</f>
        <v>82.051282051282044</v>
      </c>
      <c r="AQ30" s="123" cm="1">
        <f t="array" ref="AQ30">CHOOSE($H30,SUMPRODUCT($O31:$O$75*AQ31:AQ$75*($E31:$E$75=$D30)),IF(ISNUMBER(iData!AJ30),100*ABS($G30-(iData!AJ30-$K30)/$M30),0),IF(ISNUMBER(iData!AJ30),100*ABS($G30-(iData!AJ30-$I30)/$M30),0),IF(iData!AJ30&gt;tblIndicators!$AI26,100,IF(ISNUMBER(iData!AJ30),100*ABS($G30-(iData!AJ30-$I30)/$M30),0)),IF(iData!AJ30&lt;0,100,IF(ISNUMBER(iData!AJ30),100*ABS($G30-(iData!AJ30-$I30)/$M30),0)))</f>
        <v>100</v>
      </c>
      <c r="AR30" s="123" cm="1">
        <f t="array" ref="AR30">CHOOSE($H30,SUMPRODUCT($O31:$O$75*AR31:AR$75*($E31:$E$75=$D30)),IF(ISNUMBER(iData!AK30),100*ABS($G30-(iData!AK30-$K30)/$M30),0),IF(ISNUMBER(iData!AK30),100*ABS($G30-(iData!AK30-$I30)/$M30),0),IF(iData!AK30&gt;tblIndicators!$AI26,100,IF(ISNUMBER(iData!AK30),100*ABS($G30-(iData!AK30-$I30)/$M30),0)),IF(iData!AK30&lt;0,100,IF(ISNUMBER(iData!AK30),100*ABS($G30-(iData!AK30-$I30)/$M30),0)))</f>
        <v>64.102564102564088</v>
      </c>
      <c r="AS30" s="123" cm="1">
        <f t="array" ref="AS30">CHOOSE($H30,SUMPRODUCT($O31:$O$75*AS31:AS$75*($E31:$E$75=$D30)),IF(ISNUMBER(iData!AL30),100*ABS($G30-(iData!AL30-$K30)/$M30),0),IF(ISNUMBER(iData!AL30),100*ABS($G30-(iData!AL30-$I30)/$M30),0),IF(iData!AL30&gt;tblIndicators!$AI26,100,IF(ISNUMBER(iData!AL30),100*ABS($G30-(iData!AL30-$I30)/$M30),0)),IF(iData!AL30&lt;0,100,IF(ISNUMBER(iData!AL30),100*ABS($G30-(iData!AL30-$I30)/$M30),0)))</f>
        <v>35.897435897435891</v>
      </c>
      <c r="AT30" s="123" cm="1">
        <f t="array" ref="AT30">CHOOSE($H30,SUMPRODUCT($O31:$O$75*AT31:AT$75*($E31:$E$75=$D30)),IF(ISNUMBER(iData!AM30),100*ABS($G30-(iData!AM30-$K30)/$M30),0),IF(ISNUMBER(iData!AM30),100*ABS($G30-(iData!AM30-$I30)/$M30),0),IF(iData!AM30&gt;tblIndicators!$AI26,100,IF(ISNUMBER(iData!AM30),100*ABS($G30-(iData!AM30-$I30)/$M30),0)),IF(iData!AM30&lt;0,100,IF(ISNUMBER(iData!AM30),100*ABS($G30-(iData!AM30-$I30)/$M30),0)))</f>
        <v>58.974358974358964</v>
      </c>
      <c r="AU30" s="123" cm="1">
        <f t="array" ref="AU30">CHOOSE($H30,SUMPRODUCT($O31:$O$75*AU31:AU$75*($E31:$E$75=$D30)),IF(ISNUMBER(iData!AN30),100*ABS($G30-(iData!AN30-$K30)/$M30),0),IF(ISNUMBER(iData!AN30),100*ABS($G30-(iData!AN30-$I30)/$M30),0),IF(iData!AN30&gt;tblIndicators!$AI26,100,IF(ISNUMBER(iData!AN30),100*ABS($G30-(iData!AN30-$I30)/$M30),0)),IF(iData!AN30&lt;0,100,IF(ISNUMBER(iData!AN30),100*ABS($G30-(iData!AN30-$I30)/$M30),0)))</f>
        <v>76.92307692307692</v>
      </c>
      <c r="AV30" s="367"/>
      <c r="AW30" s="368"/>
      <c r="AX30" s="14"/>
      <c r="AY30" s="871">
        <f t="shared" si="40"/>
        <v>100</v>
      </c>
      <c r="AZ30" s="871">
        <f t="shared" si="41"/>
        <v>41</v>
      </c>
      <c r="BA30" s="871">
        <f t="shared" si="42"/>
        <v>23.1</v>
      </c>
      <c r="BB30" s="871">
        <f t="shared" si="43"/>
        <v>100</v>
      </c>
      <c r="BC30" s="871">
        <f t="shared" si="44"/>
        <v>82.1</v>
      </c>
      <c r="BD30" s="871">
        <f t="shared" si="45"/>
        <v>76.900000000000006</v>
      </c>
      <c r="BE30" s="871">
        <f t="shared" si="46"/>
        <v>59</v>
      </c>
      <c r="BF30" s="871">
        <f t="shared" si="47"/>
        <v>59</v>
      </c>
      <c r="BG30" s="871">
        <f t="shared" si="48"/>
        <v>76.900000000000006</v>
      </c>
      <c r="BH30" s="871">
        <f t="shared" si="49"/>
        <v>100</v>
      </c>
      <c r="BI30" s="871">
        <f t="shared" si="50"/>
        <v>100</v>
      </c>
      <c r="BJ30" s="871">
        <f t="shared" si="51"/>
        <v>82.1</v>
      </c>
      <c r="BK30" s="871">
        <f t="shared" si="52"/>
        <v>76.900000000000006</v>
      </c>
      <c r="BL30" s="871">
        <f t="shared" si="53"/>
        <v>82.1</v>
      </c>
      <c r="BM30" s="871">
        <f t="shared" si="54"/>
        <v>82.1</v>
      </c>
      <c r="BN30" s="871">
        <f t="shared" si="55"/>
        <v>64.099999999999994</v>
      </c>
      <c r="BO30" s="871">
        <f t="shared" si="56"/>
        <v>23.1</v>
      </c>
      <c r="BP30" s="871">
        <f t="shared" si="57"/>
        <v>23.1</v>
      </c>
      <c r="BQ30" s="871">
        <f t="shared" si="58"/>
        <v>17.899999999999999</v>
      </c>
      <c r="BR30" s="871">
        <f t="shared" si="59"/>
        <v>59</v>
      </c>
      <c r="BS30" s="871">
        <f t="shared" si="60"/>
        <v>100</v>
      </c>
      <c r="BT30" s="871">
        <f t="shared" si="61"/>
        <v>100</v>
      </c>
      <c r="BU30" s="871">
        <f t="shared" si="62"/>
        <v>0</v>
      </c>
      <c r="BV30" s="871">
        <f t="shared" si="63"/>
        <v>82.1</v>
      </c>
      <c r="BW30" s="871">
        <f t="shared" si="64"/>
        <v>82.1</v>
      </c>
      <c r="BX30" s="871">
        <f t="shared" si="65"/>
        <v>100</v>
      </c>
      <c r="BY30" s="871">
        <f t="shared" si="66"/>
        <v>64.099999999999994</v>
      </c>
      <c r="BZ30" s="871">
        <f t="shared" si="67"/>
        <v>35.9</v>
      </c>
      <c r="CA30" s="871">
        <f t="shared" si="68"/>
        <v>59</v>
      </c>
      <c r="CB30" s="871">
        <f t="shared" si="69"/>
        <v>76.900000000000006</v>
      </c>
      <c r="CD30" s="304">
        <f t="shared" ca="1" si="103"/>
        <v>67.599999999999994</v>
      </c>
      <c r="CE30" s="304">
        <f t="shared" ca="1" si="103"/>
        <v>67.599999999999994</v>
      </c>
      <c r="CF30" s="304">
        <f t="shared" ca="1" si="103"/>
        <v>63.1</v>
      </c>
      <c r="CG30" s="302">
        <f t="shared" ca="1" si="103"/>
        <v>85.9</v>
      </c>
      <c r="CH30" s="302">
        <f t="shared" ca="1" si="103"/>
        <v>27.4</v>
      </c>
      <c r="CI30" s="302">
        <f t="shared" ca="1" si="103"/>
        <v>100</v>
      </c>
      <c r="CJ30" s="302">
        <f t="shared" ca="1" si="103"/>
        <v>57.7</v>
      </c>
      <c r="CK30" s="302">
        <f t="shared" ca="1" si="103"/>
        <v>39.299999999999997</v>
      </c>
      <c r="CL30" s="302">
        <f t="shared" ca="1" si="103"/>
        <v>44.9</v>
      </c>
      <c r="CM30" s="302">
        <f t="shared" ca="1" si="103"/>
        <v>78.2</v>
      </c>
      <c r="CN30" s="302">
        <f t="shared" ca="1" si="101"/>
        <v>84.6</v>
      </c>
      <c r="CO30" s="302">
        <f t="shared" ca="1" si="101"/>
        <v>73.2</v>
      </c>
      <c r="CP30" s="302">
        <f t="shared" ca="1" si="101"/>
        <v>57.1</v>
      </c>
      <c r="CQ30" s="302">
        <f t="shared" ca="1" si="101"/>
        <v>51.6</v>
      </c>
    </row>
    <row r="31" spans="1:95" s="124" customFormat="1" ht="27.75" customHeight="1" thickBot="1">
      <c r="A31" s="118"/>
      <c r="B31" s="119">
        <f>tblIndicators!A27</f>
        <v>26</v>
      </c>
      <c r="C31" s="119">
        <f>tblIndicators!B27</f>
        <v>0</v>
      </c>
      <c r="D31" s="119" t="str">
        <f>tblIndicators!E27</f>
        <v>SERV2_3_1</v>
      </c>
      <c r="E31" s="119" t="str">
        <f>tblIndicators!F27</f>
        <v>SERV2_3</v>
      </c>
      <c r="F31" s="119">
        <f>tblIndicators!G27</f>
        <v>3</v>
      </c>
      <c r="G31" s="119">
        <f>tblIndicators!AF27</f>
        <v>0</v>
      </c>
      <c r="H31" s="119">
        <f>tblIndicators!AG27</f>
        <v>3</v>
      </c>
      <c r="I31" s="120">
        <f>tblIndicators!AH27</f>
        <v>0</v>
      </c>
      <c r="J31" s="119">
        <f>tblIndicators!AI27</f>
        <v>3</v>
      </c>
      <c r="K31" s="119">
        <f t="array" ref="K31">MIN(IF(ISNUMBER(iData!K31:AN31),iData!K31:AN31))</f>
        <v>0</v>
      </c>
      <c r="L31" s="121">
        <f t="array" ref="L31">MAX(IF(ISNUMBER(iData!K31:AN31),iData!K31:AN31))</f>
        <v>3</v>
      </c>
      <c r="M31" s="51">
        <f t="shared" si="7"/>
        <v>3</v>
      </c>
      <c r="N31" s="122" t="str">
        <f>REPT(" ",F31)&amp;tblIndicators!AM27</f>
        <v xml:space="preserve">   2.3.1) Integrated public transport apps</v>
      </c>
      <c r="O31" s="381">
        <f>tblIndicators!AR27</f>
        <v>0.53846153846153844</v>
      </c>
      <c r="P31" s="381"/>
      <c r="Q31" s="323"/>
      <c r="R31" s="123" cm="1">
        <f t="array" ref="R31">CHOOSE($H31,SUMPRODUCT($O32:$O$75*R32:R$75*($E32:$E$75=$D31)),IF(ISNUMBER(iData!K31),100*ABS($G31-(iData!K31-$K31)/$M31),0),IF(ISNUMBER(iData!K31),100*ABS($G31-(iData!K31-$I31)/$M31),0),IF(iData!K31&gt;tblIndicators!$AI27,100,IF(ISNUMBER(iData!K31),100*ABS($G31-(iData!K31-$I31)/$M31),0)),IF(iData!K31&lt;0,100,IF(ISNUMBER(iData!K31),100*ABS($G31-(iData!K31-$I31)/$M31),0)))</f>
        <v>100</v>
      </c>
      <c r="S31" s="123" cm="1">
        <f t="array" ref="S31">CHOOSE($H31,SUMPRODUCT($O32:$O$75*S32:S$75*($E32:$E$75=$D31)),IF(ISNUMBER(iData!L31),100*ABS($G31-(iData!L31-$K31)/$M31),0),IF(ISNUMBER(iData!L31),100*ABS($G31-(iData!L31-$I31)/$M31),0),IF(iData!L31&gt;tblIndicators!$AI27,100,IF(ISNUMBER(iData!L31),100*ABS($G31-(iData!L31-$I31)/$M31),0)),IF(iData!L31&lt;0,100,IF(ISNUMBER(iData!L31),100*ABS($G31-(iData!L31-$I31)/$M31),0)))</f>
        <v>33.333333333333329</v>
      </c>
      <c r="T31" s="123" cm="1">
        <f t="array" ref="T31">CHOOSE($H31,SUMPRODUCT($O32:$O$75*T32:T$75*($E32:$E$75=$D31)),IF(ISNUMBER(iData!M31),100*ABS($G31-(iData!M31-$K31)/$M31),0),IF(ISNUMBER(iData!M31),100*ABS($G31-(iData!M31-$I31)/$M31),0),IF(iData!M31&gt;tblIndicators!$AI27,100,IF(ISNUMBER(iData!M31),100*ABS($G31-(iData!M31-$I31)/$M31),0)),IF(iData!M31&lt;0,100,IF(ISNUMBER(iData!M31),100*ABS($G31-(iData!M31-$I31)/$M31),0)))</f>
        <v>0</v>
      </c>
      <c r="U31" s="123" cm="1">
        <f t="array" ref="U31">CHOOSE($H31,SUMPRODUCT($O32:$O$75*U32:U$75*($E32:$E$75=$D31)),IF(ISNUMBER(iData!N31),100*ABS($G31-(iData!N31-$K31)/$M31),0),IF(ISNUMBER(iData!N31),100*ABS($G31-(iData!N31-$I31)/$M31),0),IF(iData!N31&gt;tblIndicators!$AI27,100,IF(ISNUMBER(iData!N31),100*ABS($G31-(iData!N31-$I31)/$M31),0)),IF(iData!N31&lt;0,100,IF(ISNUMBER(iData!N31),100*ABS($G31-(iData!N31-$I31)/$M31),0)))</f>
        <v>100</v>
      </c>
      <c r="V31" s="123" cm="1">
        <f t="array" ref="V31">CHOOSE($H31,SUMPRODUCT($O32:$O$75*V32:V$75*($E32:$E$75=$D31)),IF(ISNUMBER(iData!O31),100*ABS($G31-(iData!O31-$K31)/$M31),0),IF(ISNUMBER(iData!O31),100*ABS($G31-(iData!O31-$I31)/$M31),0),IF(iData!O31&gt;tblIndicators!$AI27,100,IF(ISNUMBER(iData!O31),100*ABS($G31-(iData!O31-$I31)/$M31),0)),IF(iData!O31&lt;0,100,IF(ISNUMBER(iData!O31),100*ABS($G31-(iData!O31-$I31)/$M31),0)))</f>
        <v>66.666666666666657</v>
      </c>
      <c r="W31" s="123" cm="1">
        <f t="array" ref="W31">CHOOSE($H31,SUMPRODUCT($O32:$O$75*W32:W$75*($E32:$E$75=$D31)),IF(ISNUMBER(iData!P31),100*ABS($G31-(iData!P31-$K31)/$M31),0),IF(ISNUMBER(iData!P31),100*ABS($G31-(iData!P31-$I31)/$M31),0),IF(iData!P31&gt;tblIndicators!$AI27,100,IF(ISNUMBER(iData!P31),100*ABS($G31-(iData!P31-$I31)/$M31),0)),IF(iData!P31&lt;0,100,IF(ISNUMBER(iData!P31),100*ABS($G31-(iData!P31-$I31)/$M31),0)))</f>
        <v>100</v>
      </c>
      <c r="X31" s="123" cm="1">
        <f t="array" ref="X31">CHOOSE($H31,SUMPRODUCT($O32:$O$75*X32:X$75*($E32:$E$75=$D31)),IF(ISNUMBER(iData!Q31),100*ABS($G31-(iData!Q31-$K31)/$M31),0),IF(ISNUMBER(iData!Q31),100*ABS($G31-(iData!Q31-$I31)/$M31),0),IF(iData!Q31&gt;tblIndicators!$AI27,100,IF(ISNUMBER(iData!Q31),100*ABS($G31-(iData!Q31-$I31)/$M31),0)),IF(iData!Q31&lt;0,100,IF(ISNUMBER(iData!Q31),100*ABS($G31-(iData!Q31-$I31)/$M31),0)))</f>
        <v>66.666666666666657</v>
      </c>
      <c r="Y31" s="123" cm="1">
        <f t="array" ref="Y31">CHOOSE($H31,SUMPRODUCT($O32:$O$75*Y32:Y$75*($E32:$E$75=$D31)),IF(ISNUMBER(iData!R31),100*ABS($G31-(iData!R31-$K31)/$M31),0),IF(ISNUMBER(iData!R31),100*ABS($G31-(iData!R31-$I31)/$M31),0),IF(iData!R31&gt;tblIndicators!$AI27,100,IF(ISNUMBER(iData!R31),100*ABS($G31-(iData!R31-$I31)/$M31),0)),IF(iData!R31&lt;0,100,IF(ISNUMBER(iData!R31),100*ABS($G31-(iData!R31-$I31)/$M31),0)))</f>
        <v>66.666666666666657</v>
      </c>
      <c r="Z31" s="123" cm="1">
        <f t="array" ref="Z31">CHOOSE($H31,SUMPRODUCT($O32:$O$75*Z32:Z$75*($E32:$E$75=$D31)),IF(ISNUMBER(iData!S31),100*ABS($G31-(iData!S31-$K31)/$M31),0),IF(ISNUMBER(iData!S31),100*ABS($G31-(iData!S31-$I31)/$M31),0),IF(iData!S31&gt;tblIndicators!$AI27,100,IF(ISNUMBER(iData!S31),100*ABS($G31-(iData!S31-$I31)/$M31),0)),IF(iData!S31&lt;0,100,IF(ISNUMBER(iData!S31),100*ABS($G31-(iData!S31-$I31)/$M31),0)))</f>
        <v>100</v>
      </c>
      <c r="AA31" s="123" cm="1">
        <f t="array" ref="AA31">CHOOSE($H31,SUMPRODUCT($O32:$O$75*AA32:AA$75*($E32:$E$75=$D31)),IF(ISNUMBER(iData!T31),100*ABS($G31-(iData!T31-$K31)/$M31),0),IF(ISNUMBER(iData!T31),100*ABS($G31-(iData!T31-$I31)/$M31),0),IF(iData!T31&gt;tblIndicators!$AI27,100,IF(ISNUMBER(iData!T31),100*ABS($G31-(iData!T31-$I31)/$M31),0)),IF(iData!T31&lt;0,100,IF(ISNUMBER(iData!T31),100*ABS($G31-(iData!T31-$I31)/$M31),0)))</f>
        <v>100</v>
      </c>
      <c r="AB31" s="123" cm="1">
        <f t="array" ref="AB31">CHOOSE($H31,SUMPRODUCT($O32:$O$75*AB32:AB$75*($E32:$E$75=$D31)),IF(ISNUMBER(iData!U31),100*ABS($G31-(iData!U31-$K31)/$M31),0),IF(ISNUMBER(iData!U31),100*ABS($G31-(iData!U31-$I31)/$M31),0),IF(iData!U31&gt;tblIndicators!$AI27,100,IF(ISNUMBER(iData!U31),100*ABS($G31-(iData!U31-$I31)/$M31),0)),IF(iData!U31&lt;0,100,IF(ISNUMBER(iData!U31),100*ABS($G31-(iData!U31-$I31)/$M31),0)))</f>
        <v>100</v>
      </c>
      <c r="AC31" s="123" cm="1">
        <f t="array" ref="AC31">CHOOSE($H31,SUMPRODUCT($O32:$O$75*AC32:AC$75*($E32:$E$75=$D31)),IF(ISNUMBER(iData!V31),100*ABS($G31-(iData!V31-$K31)/$M31),0),IF(ISNUMBER(iData!V31),100*ABS($G31-(iData!V31-$I31)/$M31),0),IF(iData!V31&gt;tblIndicators!$AI27,100,IF(ISNUMBER(iData!V31),100*ABS($G31-(iData!V31-$I31)/$M31),0)),IF(iData!V31&lt;0,100,IF(ISNUMBER(iData!V31),100*ABS($G31-(iData!V31-$I31)/$M31),0)))</f>
        <v>66.666666666666657</v>
      </c>
      <c r="AD31" s="123" cm="1">
        <f t="array" ref="AD31">CHOOSE($H31,SUMPRODUCT($O32:$O$75*AD32:AD$75*($E32:$E$75=$D31)),IF(ISNUMBER(iData!W31),100*ABS($G31-(iData!W31-$K31)/$M31),0),IF(ISNUMBER(iData!W31),100*ABS($G31-(iData!W31-$I31)/$M31),0),IF(iData!W31&gt;tblIndicators!$AI27,100,IF(ISNUMBER(iData!W31),100*ABS($G31-(iData!W31-$I31)/$M31),0)),IF(iData!W31&lt;0,100,IF(ISNUMBER(iData!W31),100*ABS($G31-(iData!W31-$I31)/$M31),0)))</f>
        <v>100</v>
      </c>
      <c r="AE31" s="123" cm="1">
        <f t="array" ref="AE31">CHOOSE($H31,SUMPRODUCT($O32:$O$75*AE32:AE$75*($E32:$E$75=$D31)),IF(ISNUMBER(iData!X31),100*ABS($G31-(iData!X31-$K31)/$M31),0),IF(ISNUMBER(iData!X31),100*ABS($G31-(iData!X31-$I31)/$M31),0),IF(iData!X31&gt;tblIndicators!$AI27,100,IF(ISNUMBER(iData!X31),100*ABS($G31-(iData!X31-$I31)/$M31),0)),IF(iData!X31&lt;0,100,IF(ISNUMBER(iData!X31),100*ABS($G31-(iData!X31-$I31)/$M31),0)))</f>
        <v>66.666666666666657</v>
      </c>
      <c r="AF31" s="123" cm="1">
        <f t="array" ref="AF31">CHOOSE($H31,SUMPRODUCT($O32:$O$75*AF32:AF$75*($E32:$E$75=$D31)),IF(ISNUMBER(iData!Y31),100*ABS($G31-(iData!Y31-$K31)/$M31),0),IF(ISNUMBER(iData!Y31),100*ABS($G31-(iData!Y31-$I31)/$M31),0),IF(iData!Y31&gt;tblIndicators!$AI27,100,IF(ISNUMBER(iData!Y31),100*ABS($G31-(iData!Y31-$I31)/$M31),0)),IF(iData!Y31&lt;0,100,IF(ISNUMBER(iData!Y31),100*ABS($G31-(iData!Y31-$I31)/$M31),0)))</f>
        <v>66.666666666666657</v>
      </c>
      <c r="AG31" s="123" cm="1">
        <f t="array" ref="AG31">CHOOSE($H31,SUMPRODUCT($O32:$O$75*AG32:AG$75*($E32:$E$75=$D31)),IF(ISNUMBER(iData!Z31),100*ABS($G31-(iData!Z31-$K31)/$M31),0),IF(ISNUMBER(iData!Z31),100*ABS($G31-(iData!Z31-$I31)/$M31),0),IF(iData!Z31&gt;tblIndicators!$AI27,100,IF(ISNUMBER(iData!Z31),100*ABS($G31-(iData!Z31-$I31)/$M31),0)),IF(iData!Z31&lt;0,100,IF(ISNUMBER(iData!Z31),100*ABS($G31-(iData!Z31-$I31)/$M31),0)))</f>
        <v>33.333333333333329</v>
      </c>
      <c r="AH31" s="123" cm="1">
        <f t="array" ref="AH31">CHOOSE($H31,SUMPRODUCT($O32:$O$75*AH32:AH$75*($E32:$E$75=$D31)),IF(ISNUMBER(iData!AA31),100*ABS($G31-(iData!AA31-$K31)/$M31),0),IF(ISNUMBER(iData!AA31),100*ABS($G31-(iData!AA31-$I31)/$M31),0),IF(iData!AA31&gt;tblIndicators!$AI27,100,IF(ISNUMBER(iData!AA31),100*ABS($G31-(iData!AA31-$I31)/$M31),0)),IF(iData!AA31&lt;0,100,IF(ISNUMBER(iData!AA31),100*ABS($G31-(iData!AA31-$I31)/$M31),0)))</f>
        <v>0</v>
      </c>
      <c r="AI31" s="123" cm="1">
        <f t="array" ref="AI31">CHOOSE($H31,SUMPRODUCT($O32:$O$75*AI32:AI$75*($E32:$E$75=$D31)),IF(ISNUMBER(iData!AB31),100*ABS($G31-(iData!AB31-$K31)/$M31),0),IF(ISNUMBER(iData!AB31),100*ABS($G31-(iData!AB31-$I31)/$M31),0),IF(iData!AB31&gt;tblIndicators!$AI27,100,IF(ISNUMBER(iData!AB31),100*ABS($G31-(iData!AB31-$I31)/$M31),0)),IF(iData!AB31&lt;0,100,IF(ISNUMBER(iData!AB31),100*ABS($G31-(iData!AB31-$I31)/$M31),0)))</f>
        <v>0</v>
      </c>
      <c r="AJ31" s="123" cm="1">
        <f t="array" ref="AJ31">CHOOSE($H31,SUMPRODUCT($O32:$O$75*AJ32:AJ$75*($E32:$E$75=$D31)),IF(ISNUMBER(iData!AC31),100*ABS($G31-(iData!AC31-$K31)/$M31),0),IF(ISNUMBER(iData!AC31),100*ABS($G31-(iData!AC31-$I31)/$M31),0),IF(iData!AC31&gt;tblIndicators!$AI27,100,IF(ISNUMBER(iData!AC31),100*ABS($G31-(iData!AC31-$I31)/$M31),0)),IF(iData!AC31&lt;0,100,IF(ISNUMBER(iData!AC31),100*ABS($G31-(iData!AC31-$I31)/$M31),0)))</f>
        <v>33.333333333333329</v>
      </c>
      <c r="AK31" s="123" cm="1">
        <f t="array" ref="AK31">CHOOSE($H31,SUMPRODUCT($O32:$O$75*AK32:AK$75*($E32:$E$75=$D31)),IF(ISNUMBER(iData!AD31),100*ABS($G31-(iData!AD31-$K31)/$M31),0),IF(ISNUMBER(iData!AD31),100*ABS($G31-(iData!AD31-$I31)/$M31),0),IF(iData!AD31&gt;tblIndicators!$AI27,100,IF(ISNUMBER(iData!AD31),100*ABS($G31-(iData!AD31-$I31)/$M31),0)),IF(iData!AD31&lt;0,100,IF(ISNUMBER(iData!AD31),100*ABS($G31-(iData!AD31-$I31)/$M31),0)))</f>
        <v>66.666666666666657</v>
      </c>
      <c r="AL31" s="123" cm="1">
        <f t="array" ref="AL31">CHOOSE($H31,SUMPRODUCT($O32:$O$75*AL32:AL$75*($E32:$E$75=$D31)),IF(ISNUMBER(iData!AE31),100*ABS($G31-(iData!AE31-$K31)/$M31),0),IF(ISNUMBER(iData!AE31),100*ABS($G31-(iData!AE31-$I31)/$M31),0),IF(iData!AE31&gt;tblIndicators!$AI27,100,IF(ISNUMBER(iData!AE31),100*ABS($G31-(iData!AE31-$I31)/$M31),0)),IF(iData!AE31&lt;0,100,IF(ISNUMBER(iData!AE31),100*ABS($G31-(iData!AE31-$I31)/$M31),0)))</f>
        <v>100</v>
      </c>
      <c r="AM31" s="123" cm="1">
        <f t="array" ref="AM31">CHOOSE($H31,SUMPRODUCT($O32:$O$75*AM32:AM$75*($E32:$E$75=$D31)),IF(ISNUMBER(iData!AF31),100*ABS($G31-(iData!AF31-$K31)/$M31),0),IF(ISNUMBER(iData!AF31),100*ABS($G31-(iData!AF31-$I31)/$M31),0),IF(iData!AF31&gt;tblIndicators!$AI27,100,IF(ISNUMBER(iData!AF31),100*ABS($G31-(iData!AF31-$I31)/$M31),0)),IF(iData!AF31&lt;0,100,IF(ISNUMBER(iData!AF31),100*ABS($G31-(iData!AF31-$I31)/$M31),0)))</f>
        <v>100</v>
      </c>
      <c r="AN31" s="123" cm="1">
        <f t="array" ref="AN31">CHOOSE($H31,SUMPRODUCT($O32:$O$75*AN32:AN$75*($E32:$E$75=$D31)),IF(ISNUMBER(iData!AG31),100*ABS($G31-(iData!AG31-$K31)/$M31),0),IF(ISNUMBER(iData!AG31),100*ABS($G31-(iData!AG31-$I31)/$M31),0),IF(iData!AG31&gt;tblIndicators!$AI27,100,IF(ISNUMBER(iData!AG31),100*ABS($G31-(iData!AG31-$I31)/$M31),0)),IF(iData!AG31&lt;0,100,IF(ISNUMBER(iData!AG31),100*ABS($G31-(iData!AG31-$I31)/$M31),0)))</f>
        <v>0</v>
      </c>
      <c r="AO31" s="123" cm="1">
        <f t="array" ref="AO31">CHOOSE($H31,SUMPRODUCT($O32:$O$75*AO32:AO$75*($E32:$E$75=$D31)),IF(ISNUMBER(iData!AH31),100*ABS($G31-(iData!AH31-$K31)/$M31),0),IF(ISNUMBER(iData!AH31),100*ABS($G31-(iData!AH31-$I31)/$M31),0),IF(iData!AH31&gt;tblIndicators!$AI27,100,IF(ISNUMBER(iData!AH31),100*ABS($G31-(iData!AH31-$I31)/$M31),0)),IF(iData!AH31&lt;0,100,IF(ISNUMBER(iData!AH31),100*ABS($G31-(iData!AH31-$I31)/$M31),0)))</f>
        <v>66.666666666666657</v>
      </c>
      <c r="AP31" s="123" cm="1">
        <f t="array" ref="AP31">CHOOSE($H31,SUMPRODUCT($O32:$O$75*AP32:AP$75*($E32:$E$75=$D31)),IF(ISNUMBER(iData!AI31),100*ABS($G31-(iData!AI31-$K31)/$M31),0),IF(ISNUMBER(iData!AI31),100*ABS($G31-(iData!AI31-$I31)/$M31),0),IF(iData!AI31&gt;tblIndicators!$AI27,100,IF(ISNUMBER(iData!AI31),100*ABS($G31-(iData!AI31-$I31)/$M31),0)),IF(iData!AI31&lt;0,100,IF(ISNUMBER(iData!AI31),100*ABS($G31-(iData!AI31-$I31)/$M31),0)))</f>
        <v>66.666666666666657</v>
      </c>
      <c r="AQ31" s="123" cm="1">
        <f t="array" ref="AQ31">CHOOSE($H31,SUMPRODUCT($O32:$O$75*AQ32:AQ$75*($E32:$E$75=$D31)),IF(ISNUMBER(iData!AJ31),100*ABS($G31-(iData!AJ31-$K31)/$M31),0),IF(ISNUMBER(iData!AJ31),100*ABS($G31-(iData!AJ31-$I31)/$M31),0),IF(iData!AJ31&gt;tblIndicators!$AI27,100,IF(ISNUMBER(iData!AJ31),100*ABS($G31-(iData!AJ31-$I31)/$M31),0)),IF(iData!AJ31&lt;0,100,IF(ISNUMBER(iData!AJ31),100*ABS($G31-(iData!AJ31-$I31)/$M31),0)))</f>
        <v>100</v>
      </c>
      <c r="AR31" s="123" cm="1">
        <f t="array" ref="AR31">CHOOSE($H31,SUMPRODUCT($O32:$O$75*AR32:AR$75*($E32:$E$75=$D31)),IF(ISNUMBER(iData!AK31),100*ABS($G31-(iData!AK31-$K31)/$M31),0),IF(ISNUMBER(iData!AK31),100*ABS($G31-(iData!AK31-$I31)/$M31),0),IF(iData!AK31&gt;tblIndicators!$AI27,100,IF(ISNUMBER(iData!AK31),100*ABS($G31-(iData!AK31-$I31)/$M31),0)),IF(iData!AK31&lt;0,100,IF(ISNUMBER(iData!AK31),100*ABS($G31-(iData!AK31-$I31)/$M31),0)))</f>
        <v>33.333333333333329</v>
      </c>
      <c r="AS31" s="123" cm="1">
        <f t="array" ref="AS31">CHOOSE($H31,SUMPRODUCT($O32:$O$75*AS32:AS$75*($E32:$E$75=$D31)),IF(ISNUMBER(iData!AL31),100*ABS($G31-(iData!AL31-$K31)/$M31),0),IF(ISNUMBER(iData!AL31),100*ABS($G31-(iData!AL31-$I31)/$M31),0),IF(iData!AL31&gt;tblIndicators!$AI27,100,IF(ISNUMBER(iData!AL31),100*ABS($G31-(iData!AL31-$I31)/$M31),0)),IF(iData!AL31&lt;0,100,IF(ISNUMBER(iData!AL31),100*ABS($G31-(iData!AL31-$I31)/$M31),0)))</f>
        <v>66.666666666666657</v>
      </c>
      <c r="AT31" s="123" cm="1">
        <f t="array" ref="AT31">CHOOSE($H31,SUMPRODUCT($O32:$O$75*AT32:AT$75*($E32:$E$75=$D31)),IF(ISNUMBER(iData!AM31),100*ABS($G31-(iData!AM31-$K31)/$M31),0),IF(ISNUMBER(iData!AM31),100*ABS($G31-(iData!AM31-$I31)/$M31),0),IF(iData!AM31&gt;tblIndicators!$AI27,100,IF(ISNUMBER(iData!AM31),100*ABS($G31-(iData!AM31-$I31)/$M31),0)),IF(iData!AM31&lt;0,100,IF(ISNUMBER(iData!AM31),100*ABS($G31-(iData!AM31-$I31)/$M31),0)))</f>
        <v>66.666666666666657</v>
      </c>
      <c r="AU31" s="123" cm="1">
        <f t="array" ref="AU31">CHOOSE($H31,SUMPRODUCT($O32:$O$75*AU32:AU$75*($E32:$E$75=$D31)),IF(ISNUMBER(iData!AN31),100*ABS($G31-(iData!AN31-$K31)/$M31),0),IF(ISNUMBER(iData!AN31),100*ABS($G31-(iData!AN31-$I31)/$M31),0),IF(iData!AN31&gt;tblIndicators!$AI27,100,IF(ISNUMBER(iData!AN31),100*ABS($G31-(iData!AN31-$I31)/$M31),0)),IF(iData!AN31&lt;0,100,IF(ISNUMBER(iData!AN31),100*ABS($G31-(iData!AN31-$I31)/$M31),0)))</f>
        <v>100</v>
      </c>
      <c r="AV31" s="367"/>
      <c r="AW31" s="368"/>
      <c r="AX31" s="14"/>
      <c r="AY31" s="871">
        <f t="shared" si="40"/>
        <v>100</v>
      </c>
      <c r="AZ31" s="871">
        <f t="shared" si="41"/>
        <v>33.299999999999997</v>
      </c>
      <c r="BA31" s="871">
        <f t="shared" si="42"/>
        <v>0</v>
      </c>
      <c r="BB31" s="871">
        <f t="shared" si="43"/>
        <v>100</v>
      </c>
      <c r="BC31" s="871">
        <f t="shared" si="44"/>
        <v>66.7</v>
      </c>
      <c r="BD31" s="871">
        <f t="shared" si="45"/>
        <v>100</v>
      </c>
      <c r="BE31" s="871">
        <f t="shared" si="46"/>
        <v>66.7</v>
      </c>
      <c r="BF31" s="871">
        <f t="shared" si="47"/>
        <v>66.7</v>
      </c>
      <c r="BG31" s="871">
        <f t="shared" si="48"/>
        <v>100</v>
      </c>
      <c r="BH31" s="871">
        <f t="shared" si="49"/>
        <v>100</v>
      </c>
      <c r="BI31" s="871">
        <f t="shared" si="50"/>
        <v>100</v>
      </c>
      <c r="BJ31" s="871">
        <f t="shared" si="51"/>
        <v>66.7</v>
      </c>
      <c r="BK31" s="871">
        <f t="shared" si="52"/>
        <v>100</v>
      </c>
      <c r="BL31" s="871">
        <f t="shared" si="53"/>
        <v>66.7</v>
      </c>
      <c r="BM31" s="871">
        <f t="shared" si="54"/>
        <v>66.7</v>
      </c>
      <c r="BN31" s="871">
        <f t="shared" si="55"/>
        <v>33.299999999999997</v>
      </c>
      <c r="BO31" s="871">
        <f t="shared" si="56"/>
        <v>0</v>
      </c>
      <c r="BP31" s="871">
        <f t="shared" si="57"/>
        <v>0</v>
      </c>
      <c r="BQ31" s="871">
        <f t="shared" si="58"/>
        <v>33.299999999999997</v>
      </c>
      <c r="BR31" s="871">
        <f t="shared" si="59"/>
        <v>66.7</v>
      </c>
      <c r="BS31" s="871">
        <f t="shared" si="60"/>
        <v>100</v>
      </c>
      <c r="BT31" s="871">
        <f t="shared" si="61"/>
        <v>100</v>
      </c>
      <c r="BU31" s="871">
        <f t="shared" si="62"/>
        <v>0</v>
      </c>
      <c r="BV31" s="871">
        <f t="shared" si="63"/>
        <v>66.7</v>
      </c>
      <c r="BW31" s="871">
        <f t="shared" si="64"/>
        <v>66.7</v>
      </c>
      <c r="BX31" s="871">
        <f t="shared" si="65"/>
        <v>100</v>
      </c>
      <c r="BY31" s="871">
        <f t="shared" si="66"/>
        <v>33.299999999999997</v>
      </c>
      <c r="BZ31" s="871">
        <f t="shared" si="67"/>
        <v>66.7</v>
      </c>
      <c r="CA31" s="871">
        <f t="shared" si="68"/>
        <v>66.7</v>
      </c>
      <c r="CB31" s="871">
        <f t="shared" si="69"/>
        <v>100</v>
      </c>
      <c r="CD31" s="304">
        <f t="shared" ca="1" si="103"/>
        <v>65.599999999999994</v>
      </c>
      <c r="CE31" s="304">
        <f t="shared" ca="1" si="103"/>
        <v>65.599999999999994</v>
      </c>
      <c r="CF31" s="304">
        <f t="shared" ca="1" si="103"/>
        <v>52.8</v>
      </c>
      <c r="CG31" s="302">
        <f t="shared" ca="1" si="103"/>
        <v>86.7</v>
      </c>
      <c r="CH31" s="302">
        <f t="shared" ca="1" si="103"/>
        <v>22.2</v>
      </c>
      <c r="CI31" s="302">
        <f t="shared" ca="1" si="103"/>
        <v>100</v>
      </c>
      <c r="CJ31" s="302">
        <f t="shared" ca="1" si="103"/>
        <v>75</v>
      </c>
      <c r="CK31" s="302">
        <f t="shared" ca="1" si="103"/>
        <v>44.4</v>
      </c>
      <c r="CL31" s="302">
        <f t="shared" ca="1" si="103"/>
        <v>33.4</v>
      </c>
      <c r="CM31" s="302">
        <f t="shared" ca="1" si="103"/>
        <v>77.8</v>
      </c>
      <c r="CN31" s="302">
        <f t="shared" ca="1" si="101"/>
        <v>87.5</v>
      </c>
      <c r="CO31" s="302">
        <f t="shared" ca="1" si="101"/>
        <v>74.099999999999994</v>
      </c>
      <c r="CP31" s="302">
        <f t="shared" ca="1" si="101"/>
        <v>41.7</v>
      </c>
      <c r="CQ31" s="302">
        <f t="shared" ca="1" si="101"/>
        <v>48.2</v>
      </c>
    </row>
    <row r="32" spans="1:95" s="124" customFormat="1" ht="27.75" customHeight="1" thickBot="1">
      <c r="A32" s="118"/>
      <c r="B32" s="119">
        <f>tblIndicators!A28</f>
        <v>27</v>
      </c>
      <c r="C32" s="119">
        <f>tblIndicators!B28</f>
        <v>0</v>
      </c>
      <c r="D32" s="119" t="str">
        <f>tblIndicators!E28</f>
        <v>SERV2_3_2</v>
      </c>
      <c r="E32" s="119" t="str">
        <f>tblIndicators!F28</f>
        <v>SERV2_3</v>
      </c>
      <c r="F32" s="119">
        <f>tblIndicators!G28</f>
        <v>3</v>
      </c>
      <c r="G32" s="119">
        <f>tblIndicators!AF28</f>
        <v>0</v>
      </c>
      <c r="H32" s="119">
        <f>tblIndicators!AG28</f>
        <v>3</v>
      </c>
      <c r="I32" s="120">
        <f>tblIndicators!AH28</f>
        <v>0</v>
      </c>
      <c r="J32" s="119">
        <f>tblIndicators!AI28</f>
        <v>2</v>
      </c>
      <c r="K32" s="119">
        <f t="array" ref="K32">MIN(IF(ISNUMBER(iData!K32:AN32),iData!K32:AN32))</f>
        <v>0</v>
      </c>
      <c r="L32" s="121">
        <f t="array" ref="L32">MAX(IF(ISNUMBER(iData!K32:AN32),iData!K32:AN32))</f>
        <v>2</v>
      </c>
      <c r="M32" s="51">
        <f t="shared" si="7"/>
        <v>2</v>
      </c>
      <c r="N32" s="122" t="str">
        <f>REPT(" ",F32)&amp;tblIndicators!AM28</f>
        <v xml:space="preserve">   2.3.2) Digital identification at airports</v>
      </c>
      <c r="O32" s="381">
        <f>tblIndicators!AR28</f>
        <v>0.46153846153846145</v>
      </c>
      <c r="P32" s="381"/>
      <c r="Q32" s="323"/>
      <c r="R32" s="123" cm="1">
        <f t="array" ref="R32">CHOOSE($H32,SUMPRODUCT($O33:$O$75*R33:R$75*($E33:$E$75=$D32)),IF(ISNUMBER(iData!K32),100*ABS($G32-(iData!K32-$K32)/$M32),0),IF(ISNUMBER(iData!K32),100*ABS($G32-(iData!K32-$I32)/$M32),0),IF(iData!K32&gt;tblIndicators!$AI28,100,IF(ISNUMBER(iData!K32),100*ABS($G32-(iData!K32-$I32)/$M32),0)),IF(iData!K32&lt;0,100,IF(ISNUMBER(iData!K32),100*ABS($G32-(iData!K32-$I32)/$M32),0)))</f>
        <v>100</v>
      </c>
      <c r="S32" s="123" cm="1">
        <f t="array" ref="S32">CHOOSE($H32,SUMPRODUCT($O33:$O$75*S33:S$75*($E33:$E$75=$D32)),IF(ISNUMBER(iData!L32),100*ABS($G32-(iData!L32-$K32)/$M32),0),IF(ISNUMBER(iData!L32),100*ABS($G32-(iData!L32-$I32)/$M32),0),IF(iData!L32&gt;tblIndicators!$AI28,100,IF(ISNUMBER(iData!L32),100*ABS($G32-(iData!L32-$I32)/$M32),0)),IF(iData!L32&lt;0,100,IF(ISNUMBER(iData!L32),100*ABS($G32-(iData!L32-$I32)/$M32),0)))</f>
        <v>50</v>
      </c>
      <c r="T32" s="123" cm="1">
        <f t="array" ref="T32">CHOOSE($H32,SUMPRODUCT($O33:$O$75*T33:T$75*($E33:$E$75=$D32)),IF(ISNUMBER(iData!M32),100*ABS($G32-(iData!M32-$K32)/$M32),0),IF(ISNUMBER(iData!M32),100*ABS($G32-(iData!M32-$I32)/$M32),0),IF(iData!M32&gt;tblIndicators!$AI28,100,IF(ISNUMBER(iData!M32),100*ABS($G32-(iData!M32-$I32)/$M32),0)),IF(iData!M32&lt;0,100,IF(ISNUMBER(iData!M32),100*ABS($G32-(iData!M32-$I32)/$M32),0)))</f>
        <v>50</v>
      </c>
      <c r="U32" s="123" cm="1">
        <f t="array" ref="U32">CHOOSE($H32,SUMPRODUCT($O33:$O$75*U33:U$75*($E33:$E$75=$D32)),IF(ISNUMBER(iData!N32),100*ABS($G32-(iData!N32-$K32)/$M32),0),IF(ISNUMBER(iData!N32),100*ABS($G32-(iData!N32-$I32)/$M32),0),IF(iData!N32&gt;tblIndicators!$AI28,100,IF(ISNUMBER(iData!N32),100*ABS($G32-(iData!N32-$I32)/$M32),0)),IF(iData!N32&lt;0,100,IF(ISNUMBER(iData!N32),100*ABS($G32-(iData!N32-$I32)/$M32),0)))</f>
        <v>100</v>
      </c>
      <c r="V32" s="123" cm="1">
        <f t="array" ref="V32">CHOOSE($H32,SUMPRODUCT($O33:$O$75*V33:V$75*($E33:$E$75=$D32)),IF(ISNUMBER(iData!O32),100*ABS($G32-(iData!O32-$K32)/$M32),0),IF(ISNUMBER(iData!O32),100*ABS($G32-(iData!O32-$I32)/$M32),0),IF(iData!O32&gt;tblIndicators!$AI28,100,IF(ISNUMBER(iData!O32),100*ABS($G32-(iData!O32-$I32)/$M32),0)),IF(iData!O32&lt;0,100,IF(ISNUMBER(iData!O32),100*ABS($G32-(iData!O32-$I32)/$M32),0)))</f>
        <v>100</v>
      </c>
      <c r="W32" s="123" cm="1">
        <f t="array" ref="W32">CHOOSE($H32,SUMPRODUCT($O33:$O$75*W33:W$75*($E33:$E$75=$D32)),IF(ISNUMBER(iData!P32),100*ABS($G32-(iData!P32-$K32)/$M32),0),IF(ISNUMBER(iData!P32),100*ABS($G32-(iData!P32-$I32)/$M32),0),IF(iData!P32&gt;tblIndicators!$AI28,100,IF(ISNUMBER(iData!P32),100*ABS($G32-(iData!P32-$I32)/$M32),0)),IF(iData!P32&lt;0,100,IF(ISNUMBER(iData!P32),100*ABS($G32-(iData!P32-$I32)/$M32),0)))</f>
        <v>50</v>
      </c>
      <c r="X32" s="123" cm="1">
        <f t="array" ref="X32">CHOOSE($H32,SUMPRODUCT($O33:$O$75*X33:X$75*($E33:$E$75=$D32)),IF(ISNUMBER(iData!Q32),100*ABS($G32-(iData!Q32-$K32)/$M32),0),IF(ISNUMBER(iData!Q32),100*ABS($G32-(iData!Q32-$I32)/$M32),0),IF(iData!Q32&gt;tblIndicators!$AI28,100,IF(ISNUMBER(iData!Q32),100*ABS($G32-(iData!Q32-$I32)/$M32),0)),IF(iData!Q32&lt;0,100,IF(ISNUMBER(iData!Q32),100*ABS($G32-(iData!Q32-$I32)/$M32),0)))</f>
        <v>50</v>
      </c>
      <c r="Y32" s="123" cm="1">
        <f t="array" ref="Y32">CHOOSE($H32,SUMPRODUCT($O33:$O$75*Y33:Y$75*($E33:$E$75=$D32)),IF(ISNUMBER(iData!R32),100*ABS($G32-(iData!R32-$K32)/$M32),0),IF(ISNUMBER(iData!R32),100*ABS($G32-(iData!R32-$I32)/$M32),0),IF(iData!R32&gt;tblIndicators!$AI28,100,IF(ISNUMBER(iData!R32),100*ABS($G32-(iData!R32-$I32)/$M32),0)),IF(iData!R32&lt;0,100,IF(ISNUMBER(iData!R32),100*ABS($G32-(iData!R32-$I32)/$M32),0)))</f>
        <v>50</v>
      </c>
      <c r="Z32" s="123" cm="1">
        <f t="array" ref="Z32">CHOOSE($H32,SUMPRODUCT($O33:$O$75*Z33:Z$75*($E33:$E$75=$D32)),IF(ISNUMBER(iData!S32),100*ABS($G32-(iData!S32-$K32)/$M32),0),IF(ISNUMBER(iData!S32),100*ABS($G32-(iData!S32-$I32)/$M32),0),IF(iData!S32&gt;tblIndicators!$AI28,100,IF(ISNUMBER(iData!S32),100*ABS($G32-(iData!S32-$I32)/$M32),0)),IF(iData!S32&lt;0,100,IF(ISNUMBER(iData!S32),100*ABS($G32-(iData!S32-$I32)/$M32),0)))</f>
        <v>50</v>
      </c>
      <c r="AA32" s="123" cm="1">
        <f t="array" ref="AA32">CHOOSE($H32,SUMPRODUCT($O33:$O$75*AA33:AA$75*($E33:$E$75=$D32)),IF(ISNUMBER(iData!T32),100*ABS($G32-(iData!T32-$K32)/$M32),0),IF(ISNUMBER(iData!T32),100*ABS($G32-(iData!T32-$I32)/$M32),0),IF(iData!T32&gt;tblIndicators!$AI28,100,IF(ISNUMBER(iData!T32),100*ABS($G32-(iData!T32-$I32)/$M32),0)),IF(iData!T32&lt;0,100,IF(ISNUMBER(iData!T32),100*ABS($G32-(iData!T32-$I32)/$M32),0)))</f>
        <v>100</v>
      </c>
      <c r="AB32" s="123" cm="1">
        <f t="array" ref="AB32">CHOOSE($H32,SUMPRODUCT($O33:$O$75*AB33:AB$75*($E33:$E$75=$D32)),IF(ISNUMBER(iData!U32),100*ABS($G32-(iData!U32-$K32)/$M32),0),IF(ISNUMBER(iData!U32),100*ABS($G32-(iData!U32-$I32)/$M32),0),IF(iData!U32&gt;tblIndicators!$AI28,100,IF(ISNUMBER(iData!U32),100*ABS($G32-(iData!U32-$I32)/$M32),0)),IF(iData!U32&lt;0,100,IF(ISNUMBER(iData!U32),100*ABS($G32-(iData!U32-$I32)/$M32),0)))</f>
        <v>100</v>
      </c>
      <c r="AC32" s="123" cm="1">
        <f t="array" ref="AC32">CHOOSE($H32,SUMPRODUCT($O33:$O$75*AC33:AC$75*($E33:$E$75=$D32)),IF(ISNUMBER(iData!V32),100*ABS($G32-(iData!V32-$K32)/$M32),0),IF(ISNUMBER(iData!V32),100*ABS($G32-(iData!V32-$I32)/$M32),0),IF(iData!V32&gt;tblIndicators!$AI28,100,IF(ISNUMBER(iData!V32),100*ABS($G32-(iData!V32-$I32)/$M32),0)),IF(iData!V32&lt;0,100,IF(ISNUMBER(iData!V32),100*ABS($G32-(iData!V32-$I32)/$M32),0)))</f>
        <v>100</v>
      </c>
      <c r="AD32" s="123" cm="1">
        <f t="array" ref="AD32">CHOOSE($H32,SUMPRODUCT($O33:$O$75*AD33:AD$75*($E33:$E$75=$D32)),IF(ISNUMBER(iData!W32),100*ABS($G32-(iData!W32-$K32)/$M32),0),IF(ISNUMBER(iData!W32),100*ABS($G32-(iData!W32-$I32)/$M32),0),IF(iData!W32&gt;tblIndicators!$AI28,100,IF(ISNUMBER(iData!W32),100*ABS($G32-(iData!W32-$I32)/$M32),0)),IF(iData!W32&lt;0,100,IF(ISNUMBER(iData!W32),100*ABS($G32-(iData!W32-$I32)/$M32),0)))</f>
        <v>50</v>
      </c>
      <c r="AE32" s="123" cm="1">
        <f t="array" ref="AE32">CHOOSE($H32,SUMPRODUCT($O33:$O$75*AE33:AE$75*($E33:$E$75=$D32)),IF(ISNUMBER(iData!X32),100*ABS($G32-(iData!X32-$K32)/$M32),0),IF(ISNUMBER(iData!X32),100*ABS($G32-(iData!X32-$I32)/$M32),0),IF(iData!X32&gt;tblIndicators!$AI28,100,IF(ISNUMBER(iData!X32),100*ABS($G32-(iData!X32-$I32)/$M32),0)),IF(iData!X32&lt;0,100,IF(ISNUMBER(iData!X32),100*ABS($G32-(iData!X32-$I32)/$M32),0)))</f>
        <v>100</v>
      </c>
      <c r="AF32" s="123" cm="1">
        <f t="array" ref="AF32">CHOOSE($H32,SUMPRODUCT($O33:$O$75*AF33:AF$75*($E33:$E$75=$D32)),IF(ISNUMBER(iData!Y32),100*ABS($G32-(iData!Y32-$K32)/$M32),0),IF(ISNUMBER(iData!Y32),100*ABS($G32-(iData!Y32-$I32)/$M32),0),IF(iData!Y32&gt;tblIndicators!$AI28,100,IF(ISNUMBER(iData!Y32),100*ABS($G32-(iData!Y32-$I32)/$M32),0)),IF(iData!Y32&lt;0,100,IF(ISNUMBER(iData!Y32),100*ABS($G32-(iData!Y32-$I32)/$M32),0)))</f>
        <v>100</v>
      </c>
      <c r="AG32" s="123" cm="1">
        <f t="array" ref="AG32">CHOOSE($H32,SUMPRODUCT($O33:$O$75*AG33:AG$75*($E33:$E$75=$D32)),IF(ISNUMBER(iData!Z32),100*ABS($G32-(iData!Z32-$K32)/$M32),0),IF(ISNUMBER(iData!Z32),100*ABS($G32-(iData!Z32-$I32)/$M32),0),IF(iData!Z32&gt;tblIndicators!$AI28,100,IF(ISNUMBER(iData!Z32),100*ABS($G32-(iData!Z32-$I32)/$M32),0)),IF(iData!Z32&lt;0,100,IF(ISNUMBER(iData!Z32),100*ABS($G32-(iData!Z32-$I32)/$M32),0)))</f>
        <v>100</v>
      </c>
      <c r="AH32" s="123" cm="1">
        <f t="array" ref="AH32">CHOOSE($H32,SUMPRODUCT($O33:$O$75*AH33:AH$75*($E33:$E$75=$D32)),IF(ISNUMBER(iData!AA32),100*ABS($G32-(iData!AA32-$K32)/$M32),0),IF(ISNUMBER(iData!AA32),100*ABS($G32-(iData!AA32-$I32)/$M32),0),IF(iData!AA32&gt;tblIndicators!$AI28,100,IF(ISNUMBER(iData!AA32),100*ABS($G32-(iData!AA32-$I32)/$M32),0)),IF(iData!AA32&lt;0,100,IF(ISNUMBER(iData!AA32),100*ABS($G32-(iData!AA32-$I32)/$M32),0)))</f>
        <v>50</v>
      </c>
      <c r="AI32" s="123" cm="1">
        <f t="array" ref="AI32">CHOOSE($H32,SUMPRODUCT($O33:$O$75*AI33:AI$75*($E33:$E$75=$D32)),IF(ISNUMBER(iData!AB32),100*ABS($G32-(iData!AB32-$K32)/$M32),0),IF(ISNUMBER(iData!AB32),100*ABS($G32-(iData!AB32-$I32)/$M32),0),IF(iData!AB32&gt;tblIndicators!$AI28,100,IF(ISNUMBER(iData!AB32),100*ABS($G32-(iData!AB32-$I32)/$M32),0)),IF(iData!AB32&lt;0,100,IF(ISNUMBER(iData!AB32),100*ABS($G32-(iData!AB32-$I32)/$M32),0)))</f>
        <v>50</v>
      </c>
      <c r="AJ32" s="123" cm="1">
        <f t="array" ref="AJ32">CHOOSE($H32,SUMPRODUCT($O33:$O$75*AJ33:AJ$75*($E33:$E$75=$D32)),IF(ISNUMBER(iData!AC32),100*ABS($G32-(iData!AC32-$K32)/$M32),0),IF(ISNUMBER(iData!AC32),100*ABS($G32-(iData!AC32-$I32)/$M32),0),IF(iData!AC32&gt;tblIndicators!$AI28,100,IF(ISNUMBER(iData!AC32),100*ABS($G32-(iData!AC32-$I32)/$M32),0)),IF(iData!AC32&lt;0,100,IF(ISNUMBER(iData!AC32),100*ABS($G32-(iData!AC32-$I32)/$M32),0)))</f>
        <v>0</v>
      </c>
      <c r="AK32" s="123" cm="1">
        <f t="array" ref="AK32">CHOOSE($H32,SUMPRODUCT($O33:$O$75*AK33:AK$75*($E33:$E$75=$D32)),IF(ISNUMBER(iData!AD32),100*ABS($G32-(iData!AD32-$K32)/$M32),0),IF(ISNUMBER(iData!AD32),100*ABS($G32-(iData!AD32-$I32)/$M32),0),IF(iData!AD32&gt;tblIndicators!$AI28,100,IF(ISNUMBER(iData!AD32),100*ABS($G32-(iData!AD32-$I32)/$M32),0)),IF(iData!AD32&lt;0,100,IF(ISNUMBER(iData!AD32),100*ABS($G32-(iData!AD32-$I32)/$M32),0)))</f>
        <v>50</v>
      </c>
      <c r="AL32" s="123" cm="1">
        <f t="array" ref="AL32">CHOOSE($H32,SUMPRODUCT($O33:$O$75*AL33:AL$75*($E33:$E$75=$D32)),IF(ISNUMBER(iData!AE32),100*ABS($G32-(iData!AE32-$K32)/$M32),0),IF(ISNUMBER(iData!AE32),100*ABS($G32-(iData!AE32-$I32)/$M32),0),IF(iData!AE32&gt;tblIndicators!$AI28,100,IF(ISNUMBER(iData!AE32),100*ABS($G32-(iData!AE32-$I32)/$M32),0)),IF(iData!AE32&lt;0,100,IF(ISNUMBER(iData!AE32),100*ABS($G32-(iData!AE32-$I32)/$M32),0)))</f>
        <v>100</v>
      </c>
      <c r="AM32" s="123" cm="1">
        <f t="array" ref="AM32">CHOOSE($H32,SUMPRODUCT($O33:$O$75*AM33:AM$75*($E33:$E$75=$D32)),IF(ISNUMBER(iData!AF32),100*ABS($G32-(iData!AF32-$K32)/$M32),0),IF(ISNUMBER(iData!AF32),100*ABS($G32-(iData!AF32-$I32)/$M32),0),IF(iData!AF32&gt;tblIndicators!$AI28,100,IF(ISNUMBER(iData!AF32),100*ABS($G32-(iData!AF32-$I32)/$M32),0)),IF(iData!AF32&lt;0,100,IF(ISNUMBER(iData!AF32),100*ABS($G32-(iData!AF32-$I32)/$M32),0)))</f>
        <v>100</v>
      </c>
      <c r="AN32" s="123" cm="1">
        <f t="array" ref="AN32">CHOOSE($H32,SUMPRODUCT($O33:$O$75*AN33:AN$75*($E33:$E$75=$D32)),IF(ISNUMBER(iData!AG32),100*ABS($G32-(iData!AG32-$K32)/$M32),0),IF(ISNUMBER(iData!AG32),100*ABS($G32-(iData!AG32-$I32)/$M32),0),IF(iData!AG32&gt;tblIndicators!$AI28,100,IF(ISNUMBER(iData!AG32),100*ABS($G32-(iData!AG32-$I32)/$M32),0)),IF(iData!AG32&lt;0,100,IF(ISNUMBER(iData!AG32),100*ABS($G32-(iData!AG32-$I32)/$M32),0)))</f>
        <v>0</v>
      </c>
      <c r="AO32" s="123" cm="1">
        <f t="array" ref="AO32">CHOOSE($H32,SUMPRODUCT($O33:$O$75*AO33:AO$75*($E33:$E$75=$D32)),IF(ISNUMBER(iData!AH32),100*ABS($G32-(iData!AH32-$K32)/$M32),0),IF(ISNUMBER(iData!AH32),100*ABS($G32-(iData!AH32-$I32)/$M32),0),IF(iData!AH32&gt;tblIndicators!$AI28,100,IF(ISNUMBER(iData!AH32),100*ABS($G32-(iData!AH32-$I32)/$M32),0)),IF(iData!AH32&lt;0,100,IF(ISNUMBER(iData!AH32),100*ABS($G32-(iData!AH32-$I32)/$M32),0)))</f>
        <v>100</v>
      </c>
      <c r="AP32" s="123" cm="1">
        <f t="array" ref="AP32">CHOOSE($H32,SUMPRODUCT($O33:$O$75*AP33:AP$75*($E33:$E$75=$D32)),IF(ISNUMBER(iData!AI32),100*ABS($G32-(iData!AI32-$K32)/$M32),0),IF(ISNUMBER(iData!AI32),100*ABS($G32-(iData!AI32-$I32)/$M32),0),IF(iData!AI32&gt;tblIndicators!$AI28,100,IF(ISNUMBER(iData!AI32),100*ABS($G32-(iData!AI32-$I32)/$M32),0)),IF(iData!AI32&lt;0,100,IF(ISNUMBER(iData!AI32),100*ABS($G32-(iData!AI32-$I32)/$M32),0)))</f>
        <v>100</v>
      </c>
      <c r="AQ32" s="123" cm="1">
        <f t="array" ref="AQ32">CHOOSE($H32,SUMPRODUCT($O33:$O$75*AQ33:AQ$75*($E33:$E$75=$D32)),IF(ISNUMBER(iData!AJ32),100*ABS($G32-(iData!AJ32-$K32)/$M32),0),IF(ISNUMBER(iData!AJ32),100*ABS($G32-(iData!AJ32-$I32)/$M32),0),IF(iData!AJ32&gt;tblIndicators!$AI28,100,IF(ISNUMBER(iData!AJ32),100*ABS($G32-(iData!AJ32-$I32)/$M32),0)),IF(iData!AJ32&lt;0,100,IF(ISNUMBER(iData!AJ32),100*ABS($G32-(iData!AJ32-$I32)/$M32),0)))</f>
        <v>100</v>
      </c>
      <c r="AR32" s="123" cm="1">
        <f t="array" ref="AR32">CHOOSE($H32,SUMPRODUCT($O33:$O$75*AR33:AR$75*($E33:$E$75=$D32)),IF(ISNUMBER(iData!AK32),100*ABS($G32-(iData!AK32-$K32)/$M32),0),IF(ISNUMBER(iData!AK32),100*ABS($G32-(iData!AK32-$I32)/$M32),0),IF(iData!AK32&gt;tblIndicators!$AI28,100,IF(ISNUMBER(iData!AK32),100*ABS($G32-(iData!AK32-$I32)/$M32),0)),IF(iData!AK32&lt;0,100,IF(ISNUMBER(iData!AK32),100*ABS($G32-(iData!AK32-$I32)/$M32),0)))</f>
        <v>100</v>
      </c>
      <c r="AS32" s="123" cm="1">
        <f t="array" ref="AS32">CHOOSE($H32,SUMPRODUCT($O33:$O$75*AS33:AS$75*($E33:$E$75=$D32)),IF(ISNUMBER(iData!AL32),100*ABS($G32-(iData!AL32-$K32)/$M32),0),IF(ISNUMBER(iData!AL32),100*ABS($G32-(iData!AL32-$I32)/$M32),0),IF(iData!AL32&gt;tblIndicators!$AI28,100,IF(ISNUMBER(iData!AL32),100*ABS($G32-(iData!AL32-$I32)/$M32),0)),IF(iData!AL32&lt;0,100,IF(ISNUMBER(iData!AL32),100*ABS($G32-(iData!AL32-$I32)/$M32),0)))</f>
        <v>0</v>
      </c>
      <c r="AT32" s="123" cm="1">
        <f t="array" ref="AT32">CHOOSE($H32,SUMPRODUCT($O33:$O$75*AT33:AT$75*($E33:$E$75=$D32)),IF(ISNUMBER(iData!AM32),100*ABS($G32-(iData!AM32-$K32)/$M32),0),IF(ISNUMBER(iData!AM32),100*ABS($G32-(iData!AM32-$I32)/$M32),0),IF(iData!AM32&gt;tblIndicators!$AI28,100,IF(ISNUMBER(iData!AM32),100*ABS($G32-(iData!AM32-$I32)/$M32),0)),IF(iData!AM32&lt;0,100,IF(ISNUMBER(iData!AM32),100*ABS($G32-(iData!AM32-$I32)/$M32),0)))</f>
        <v>50</v>
      </c>
      <c r="AU32" s="123" cm="1">
        <f t="array" ref="AU32">CHOOSE($H32,SUMPRODUCT($O33:$O$75*AU33:AU$75*($E33:$E$75=$D32)),IF(ISNUMBER(iData!AN32),100*ABS($G32-(iData!AN32-$K32)/$M32),0),IF(ISNUMBER(iData!AN32),100*ABS($G32-(iData!AN32-$I32)/$M32),0),IF(iData!AN32&gt;tblIndicators!$AI28,100,IF(ISNUMBER(iData!AN32),100*ABS($G32-(iData!AN32-$I32)/$M32),0)),IF(iData!AN32&lt;0,100,IF(ISNUMBER(iData!AN32),100*ABS($G32-(iData!AN32-$I32)/$M32),0)))</f>
        <v>50</v>
      </c>
      <c r="AV32" s="367"/>
      <c r="AW32" s="368"/>
      <c r="AX32" s="14"/>
      <c r="AY32" s="871">
        <f t="shared" si="40"/>
        <v>100</v>
      </c>
      <c r="AZ32" s="871">
        <f t="shared" si="41"/>
        <v>50</v>
      </c>
      <c r="BA32" s="871">
        <f t="shared" si="42"/>
        <v>50</v>
      </c>
      <c r="BB32" s="871">
        <f t="shared" si="43"/>
        <v>100</v>
      </c>
      <c r="BC32" s="871">
        <f t="shared" si="44"/>
        <v>100</v>
      </c>
      <c r="BD32" s="871">
        <f t="shared" si="45"/>
        <v>50</v>
      </c>
      <c r="BE32" s="871">
        <f t="shared" si="46"/>
        <v>50</v>
      </c>
      <c r="BF32" s="871">
        <f t="shared" si="47"/>
        <v>50</v>
      </c>
      <c r="BG32" s="871">
        <f t="shared" si="48"/>
        <v>50</v>
      </c>
      <c r="BH32" s="871">
        <f t="shared" si="49"/>
        <v>100</v>
      </c>
      <c r="BI32" s="871">
        <f t="shared" si="50"/>
        <v>100</v>
      </c>
      <c r="BJ32" s="871">
        <f t="shared" si="51"/>
        <v>100</v>
      </c>
      <c r="BK32" s="871">
        <f t="shared" si="52"/>
        <v>50</v>
      </c>
      <c r="BL32" s="871">
        <f t="shared" si="53"/>
        <v>100</v>
      </c>
      <c r="BM32" s="871">
        <f t="shared" si="54"/>
        <v>100</v>
      </c>
      <c r="BN32" s="871">
        <f t="shared" si="55"/>
        <v>100</v>
      </c>
      <c r="BO32" s="871">
        <f t="shared" si="56"/>
        <v>50</v>
      </c>
      <c r="BP32" s="871">
        <f t="shared" si="57"/>
        <v>50</v>
      </c>
      <c r="BQ32" s="871">
        <f t="shared" si="58"/>
        <v>0</v>
      </c>
      <c r="BR32" s="871">
        <f t="shared" si="59"/>
        <v>50</v>
      </c>
      <c r="BS32" s="871">
        <f t="shared" si="60"/>
        <v>100</v>
      </c>
      <c r="BT32" s="871">
        <f t="shared" si="61"/>
        <v>100</v>
      </c>
      <c r="BU32" s="871">
        <f t="shared" si="62"/>
        <v>0</v>
      </c>
      <c r="BV32" s="871">
        <f t="shared" si="63"/>
        <v>100</v>
      </c>
      <c r="BW32" s="871">
        <f t="shared" si="64"/>
        <v>100</v>
      </c>
      <c r="BX32" s="871">
        <f t="shared" si="65"/>
        <v>100</v>
      </c>
      <c r="BY32" s="871">
        <f t="shared" si="66"/>
        <v>100</v>
      </c>
      <c r="BZ32" s="871">
        <f t="shared" si="67"/>
        <v>0</v>
      </c>
      <c r="CA32" s="871">
        <f t="shared" si="68"/>
        <v>50</v>
      </c>
      <c r="CB32" s="871">
        <f t="shared" si="69"/>
        <v>50</v>
      </c>
      <c r="CD32" s="304">
        <f t="shared" ca="1" si="103"/>
        <v>70</v>
      </c>
      <c r="CE32" s="304">
        <f t="shared" ca="1" si="103"/>
        <v>70</v>
      </c>
      <c r="CF32" s="304">
        <f t="shared" ca="1" si="103"/>
        <v>75</v>
      </c>
      <c r="CG32" s="302">
        <f t="shared" ca="1" si="103"/>
        <v>85</v>
      </c>
      <c r="CH32" s="302">
        <f t="shared" ca="1" si="103"/>
        <v>33.299999999999997</v>
      </c>
      <c r="CI32" s="302">
        <f t="shared" ca="1" si="103"/>
        <v>100</v>
      </c>
      <c r="CJ32" s="302">
        <f t="shared" ca="1" si="103"/>
        <v>37.5</v>
      </c>
      <c r="CK32" s="302">
        <f t="shared" ca="1" si="103"/>
        <v>33.299999999999997</v>
      </c>
      <c r="CL32" s="302">
        <f t="shared" ca="1" si="103"/>
        <v>58.3</v>
      </c>
      <c r="CM32" s="302">
        <f t="shared" ca="1" si="103"/>
        <v>78.599999999999994</v>
      </c>
      <c r="CN32" s="302">
        <f t="shared" ca="1" si="101"/>
        <v>81.3</v>
      </c>
      <c r="CO32" s="302">
        <f t="shared" ca="1" si="101"/>
        <v>72.2</v>
      </c>
      <c r="CP32" s="302">
        <f t="shared" ca="1" si="101"/>
        <v>75</v>
      </c>
      <c r="CQ32" s="302">
        <f t="shared" ca="1" si="101"/>
        <v>55.6</v>
      </c>
    </row>
    <row r="33" spans="1:95" s="124" customFormat="1" ht="27.75" customHeight="1" thickBot="1">
      <c r="A33" s="118"/>
      <c r="B33" s="119">
        <f>tblIndicators!A29</f>
        <v>28</v>
      </c>
      <c r="C33" s="119">
        <f>tblIndicators!B29</f>
        <v>0</v>
      </c>
      <c r="D33" s="119" t="str">
        <f>tblIndicators!E29</f>
        <v>SERV2_4</v>
      </c>
      <c r="E33" s="119" t="str">
        <f>tblIndicators!F29</f>
        <v>SERV</v>
      </c>
      <c r="F33" s="119">
        <f>tblIndicators!G29</f>
        <v>2</v>
      </c>
      <c r="G33" s="119">
        <f>tblIndicators!AF29</f>
        <v>0</v>
      </c>
      <c r="H33" s="119">
        <f>tblIndicators!AG29</f>
        <v>1</v>
      </c>
      <c r="I33" s="120">
        <f>tblIndicators!AH29</f>
        <v>0</v>
      </c>
      <c r="J33" s="119">
        <f>tblIndicators!AI29</f>
        <v>0</v>
      </c>
      <c r="K33" s="119">
        <f t="array" ref="K33">MIN(IF(ISNUMBER(iData!K33:AN33),iData!K33:AN33))</f>
        <v>0</v>
      </c>
      <c r="L33" s="121">
        <f t="array" ref="L33">MAX(IF(ISNUMBER(iData!K33:AN33),iData!K33:AN33))</f>
        <v>0</v>
      </c>
      <c r="M33" s="51" t="str">
        <f t="shared" si="7"/>
        <v>-</v>
      </c>
      <c r="N33" s="122" t="str">
        <f>REPT(" ",F33)&amp;tblIndicators!AM29</f>
        <v xml:space="preserve">  2.4) Healthcare</v>
      </c>
      <c r="O33" s="381">
        <f>tblIndicators!AR29</f>
        <v>0.15384615384615385</v>
      </c>
      <c r="P33" s="381"/>
      <c r="Q33" s="323"/>
      <c r="R33" s="123" cm="1">
        <f t="array" ref="R33">CHOOSE($H33,SUMPRODUCT($O34:$O$75*R34:R$75*($E34:$E$75=$D33)),IF(ISNUMBER(iData!K33),100*ABS($G33-(iData!K33-$K33)/$M33),0),IF(ISNUMBER(iData!K33),100*ABS($G33-(iData!K33-$I33)/$M33),0),IF(iData!K33&gt;tblIndicators!$AI29,100,IF(ISNUMBER(iData!K33),100*ABS($G33-(iData!K33-$I33)/$M33),0)),IF(iData!K33&lt;0,100,IF(ISNUMBER(iData!K33),100*ABS($G33-(iData!K33-$I33)/$M33),0)))</f>
        <v>91.552128729466972</v>
      </c>
      <c r="S33" s="123" cm="1">
        <f t="array" ref="S33">CHOOSE($H33,SUMPRODUCT($O34:$O$75*S34:S$75*($E34:$E$75=$D33)),IF(ISNUMBER(iData!L33),100*ABS($G33-(iData!L33-$K33)/$M33),0),IF(ISNUMBER(iData!L33),100*ABS($G33-(iData!L33-$I33)/$M33),0),IF(iData!L33&gt;tblIndicators!$AI29,100,IF(ISNUMBER(iData!L33),100*ABS($G33-(iData!L33-$I33)/$M33),0)),IF(iData!L33&lt;0,100,IF(ISNUMBER(iData!L33),100*ABS($G33-(iData!L33-$I33)/$M33),0)))</f>
        <v>54.106604089842442</v>
      </c>
      <c r="T33" s="123" cm="1">
        <f t="array" ref="T33">CHOOSE($H33,SUMPRODUCT($O34:$O$75*T34:T$75*($E34:$E$75=$D33)),IF(ISNUMBER(iData!M33),100*ABS($G33-(iData!M33-$K33)/$M33),0),IF(ISNUMBER(iData!M33),100*ABS($G33-(iData!M33-$I33)/$M33),0),IF(iData!M33&gt;tblIndicators!$AI29,100,IF(ISNUMBER(iData!M33),100*ABS($G33-(iData!M33-$I33)/$M33),0)),IF(iData!M33&lt;0,100,IF(ISNUMBER(iData!M33),100*ABS($G33-(iData!M33-$I33)/$M33),0)))</f>
        <v>59.453570231310756</v>
      </c>
      <c r="U33" s="123" cm="1">
        <f t="array" ref="U33">CHOOSE($H33,SUMPRODUCT($O34:$O$75*U34:U$75*($E34:$E$75=$D33)),IF(ISNUMBER(iData!N33),100*ABS($G33-(iData!N33-$K33)/$M33),0),IF(ISNUMBER(iData!N33),100*ABS($G33-(iData!N33-$I33)/$M33),0),IF(iData!N33&gt;tblIndicators!$AI29,100,IF(ISNUMBER(iData!N33),100*ABS($G33-(iData!N33-$I33)/$M33),0)),IF(iData!N33&lt;0,100,IF(ISNUMBER(iData!N33),100*ABS($G33-(iData!N33-$I33)/$M33),0)))</f>
        <v>96.98290311766678</v>
      </c>
      <c r="V33" s="123" cm="1">
        <f t="array" ref="V33">CHOOSE($H33,SUMPRODUCT($O34:$O$75*V34:V$75*($E34:$E$75=$D33)),IF(ISNUMBER(iData!O33),100*ABS($G33-(iData!O33-$K33)/$M33),0),IF(ISNUMBER(iData!O33),100*ABS($G33-(iData!O33-$I33)/$M33),0),IF(iData!O33&gt;tblIndicators!$AI29,100,IF(ISNUMBER(iData!O33),100*ABS($G33-(iData!O33-$I33)/$M33),0)),IF(iData!O33&lt;0,100,IF(ISNUMBER(iData!O33),100*ABS($G33-(iData!O33-$I33)/$M33),0)))</f>
        <v>97.787462286288971</v>
      </c>
      <c r="W33" s="123" cm="1">
        <f t="array" ref="W33">CHOOSE($H33,SUMPRODUCT($O34:$O$75*W34:W$75*($E34:$E$75=$D33)),IF(ISNUMBER(iData!P33),100*ABS($G33-(iData!P33-$K33)/$M33),0),IF(ISNUMBER(iData!P33),100*ABS($G33-(iData!P33-$I33)/$M33),0),IF(iData!P33&gt;tblIndicators!$AI29,100,IF(ISNUMBER(iData!P33),100*ABS($G33-(iData!P33-$I33)/$M33),0)),IF(iData!P33&lt;0,100,IF(ISNUMBER(iData!P33),100*ABS($G33-(iData!P33-$I33)/$M33),0)))</f>
        <v>68.30372108615488</v>
      </c>
      <c r="X33" s="123" cm="1">
        <f t="array" ref="X33">CHOOSE($H33,SUMPRODUCT($O34:$O$75*X34:X$75*($E34:$E$75=$D33)),IF(ISNUMBER(iData!Q33),100*ABS($G33-(iData!Q33-$K33)/$M33),0),IF(ISNUMBER(iData!Q33),100*ABS($G33-(iData!Q33-$I33)/$M33),0),IF(iData!Q33&gt;tblIndicators!$AI29,100,IF(ISNUMBER(iData!Q33),100*ABS($G33-(iData!Q33-$I33)/$M33),0)),IF(iData!Q33&lt;0,100,IF(ISNUMBER(iData!Q33),100*ABS($G33-(iData!Q33-$I33)/$M33),0)))</f>
        <v>80.388870264834054</v>
      </c>
      <c r="Y33" s="123" cm="1">
        <f t="array" ref="Y33">CHOOSE($H33,SUMPRODUCT($O34:$O$75*Y34:Y$75*($E34:$E$75=$D33)),IF(ISNUMBER(iData!R33),100*ABS($G33-(iData!R33-$K33)/$M33),0),IF(ISNUMBER(iData!R33),100*ABS($G33-(iData!R33-$I33)/$M33),0),IF(iData!R33&gt;tblIndicators!$AI29,100,IF(ISNUMBER(iData!R33),100*ABS($G33-(iData!R33-$I33)/$M33),0)),IF(iData!R33&lt;0,100,IF(ISNUMBER(iData!R33),100*ABS($G33-(iData!R33-$I33)/$M33),0)))</f>
        <v>92.155548105933619</v>
      </c>
      <c r="Z33" s="123" cm="1">
        <f t="array" ref="Z33">CHOOSE($H33,SUMPRODUCT($O34:$O$75*Z34:Z$75*($E34:$E$75=$D33)),IF(ISNUMBER(iData!S33),100*ABS($G33-(iData!S33-$K33)/$M33),0),IF(ISNUMBER(iData!S33),100*ABS($G33-(iData!S33-$I33)/$M33),0),IF(iData!S33&gt;tblIndicators!$AI29,100,IF(ISNUMBER(iData!S33),100*ABS($G33-(iData!S33-$I33)/$M33),0)),IF(iData!S33&lt;0,100,IF(ISNUMBER(iData!S33),100*ABS($G33-(iData!S33-$I33)/$M33),0)))</f>
        <v>73.248407643312092</v>
      </c>
      <c r="AA33" s="123" cm="1">
        <f t="array" ref="AA33">CHOOSE($H33,SUMPRODUCT($O34:$O$75*AA34:AA$75*($E34:$E$75=$D33)),IF(ISNUMBER(iData!T33),100*ABS($G33-(iData!T33-$K33)/$M33),0),IF(ISNUMBER(iData!T33),100*ABS($G33-(iData!T33-$I33)/$M33),0),IF(iData!T33&gt;tblIndicators!$AI29,100,IF(ISNUMBER(iData!T33),100*ABS($G33-(iData!T33-$I33)/$M33),0)),IF(iData!T33&lt;0,100,IF(ISNUMBER(iData!T33),100*ABS($G33-(iData!T33-$I33)/$M33),0)))</f>
        <v>81.578947368421055</v>
      </c>
      <c r="AB33" s="123" cm="1">
        <f t="array" ref="AB33">CHOOSE($H33,SUMPRODUCT($O34:$O$75*AB34:AB$75*($E34:$E$75=$D33)),IF(ISNUMBER(iData!U33),100*ABS($G33-(iData!U33-$K33)/$M33),0),IF(ISNUMBER(iData!U33),100*ABS($G33-(iData!U33-$I33)/$M33),0),IF(iData!U33&gt;tblIndicators!$AI29,100,IF(ISNUMBER(iData!U33),100*ABS($G33-(iData!U33-$I33)/$M33),0)),IF(iData!U33&lt;0,100,IF(ISNUMBER(iData!U33),100*ABS($G33-(iData!U33-$I33)/$M33),0)))</f>
        <v>50</v>
      </c>
      <c r="AC33" s="123" cm="1">
        <f t="array" ref="AC33">CHOOSE($H33,SUMPRODUCT($O34:$O$75*AC34:AC$75*($E34:$E$75=$D33)),IF(ISNUMBER(iData!V33),100*ABS($G33-(iData!V33-$K33)/$M33),0),IF(ISNUMBER(iData!V33),100*ABS($G33-(iData!V33-$I33)/$M33),0),IF(iData!V33&gt;tblIndicators!$AI29,100,IF(ISNUMBER(iData!V33),100*ABS($G33-(iData!V33-$I33)/$M33),0)),IF(iData!V33&lt;0,100,IF(ISNUMBER(iData!V33),100*ABS($G33-(iData!V33-$I33)/$M33),0)))</f>
        <v>77.153871940998997</v>
      </c>
      <c r="AD33" s="123" cm="1">
        <f t="array" ref="AD33">CHOOSE($H33,SUMPRODUCT($O34:$O$75*AD34:AD$75*($E34:$E$75=$D33)),IF(ISNUMBER(iData!W33),100*ABS($G33-(iData!W33-$K33)/$M33),0),IF(ISNUMBER(iData!W33),100*ABS($G33-(iData!W33-$I33)/$M33),0),IF(iData!W33&gt;tblIndicators!$AI29,100,IF(ISNUMBER(iData!W33),100*ABS($G33-(iData!W33-$I33)/$M33),0)),IF(iData!W33&lt;0,100,IF(ISNUMBER(iData!W33),100*ABS($G33-(iData!W33-$I33)/$M33),0)))</f>
        <v>42.641635936976201</v>
      </c>
      <c r="AE33" s="123" cm="1">
        <f t="array" ref="AE33">CHOOSE($H33,SUMPRODUCT($O34:$O$75*AE34:AE$75*($E34:$E$75=$D33)),IF(ISNUMBER(iData!X33),100*ABS($G33-(iData!X33-$K33)/$M33),0),IF(ISNUMBER(iData!X33),100*ABS($G33-(iData!X33-$I33)/$M33),0),IF(iData!X33&gt;tblIndicators!$AI29,100,IF(ISNUMBER(iData!X33),100*ABS($G33-(iData!X33-$I33)/$M33),0)),IF(iData!X33&lt;0,100,IF(ISNUMBER(iData!X33),100*ABS($G33-(iData!X33-$I33)/$M33),0)))</f>
        <v>79.366409654710012</v>
      </c>
      <c r="AF33" s="123" cm="1">
        <f t="array" ref="AF33">CHOOSE($H33,SUMPRODUCT($O34:$O$75*AF34:AF$75*($E34:$E$75=$D33)),IF(ISNUMBER(iData!Y33),100*ABS($G33-(iData!Y33-$K33)/$M33),0),IF(ISNUMBER(iData!Y33),100*ABS($G33-(iData!Y33-$I33)/$M33),0),IF(iData!Y33&gt;tblIndicators!$AI29,100,IF(ISNUMBER(iData!Y33),100*ABS($G33-(iData!Y33-$I33)/$M33),0)),IF(iData!Y33&lt;0,100,IF(ISNUMBER(iData!Y33),100*ABS($G33-(iData!Y33-$I33)/$M33),0)))</f>
        <v>91.753268521622516</v>
      </c>
      <c r="AG33" s="123" cm="1">
        <f t="array" ref="AG33">CHOOSE($H33,SUMPRODUCT($O34:$O$75*AG34:AG$75*($E34:$E$75=$D33)),IF(ISNUMBER(iData!Z33),100*ABS($G33-(iData!Z33-$K33)/$M33),0),IF(ISNUMBER(iData!Z33),100*ABS($G33-(iData!Z33-$I33)/$M33),0),IF(iData!Z33&gt;tblIndicators!$AI29,100,IF(ISNUMBER(iData!Z33),100*ABS($G33-(iData!Z33-$I33)/$M33),0)),IF(iData!Z33&lt;0,100,IF(ISNUMBER(iData!Z33),100*ABS($G33-(iData!Z33-$I33)/$M33),0)))</f>
        <v>75.662085149178679</v>
      </c>
      <c r="AH33" s="123" cm="1">
        <f t="array" ref="AH33">CHOOSE($H33,SUMPRODUCT($O34:$O$75*AH34:AH$75*($E34:$E$75=$D33)),IF(ISNUMBER(iData!AA33),100*ABS($G33-(iData!AA33-$K33)/$M33),0),IF(ISNUMBER(iData!AA33),100*ABS($G33-(iData!AA33-$I33)/$M33),0),IF(iData!AA33&gt;tblIndicators!$AI29,100,IF(ISNUMBER(iData!AA33),100*ABS($G33-(iData!AA33-$I33)/$M33),0)),IF(iData!AA33&lt;0,100,IF(ISNUMBER(iData!AA33),100*ABS($G33-(iData!AA33-$I33)/$M33),0)))</f>
        <v>59.453570231310756</v>
      </c>
      <c r="AI33" s="123" cm="1">
        <f t="array" ref="AI33">CHOOSE($H33,SUMPRODUCT($O34:$O$75*AI34:AI$75*($E34:$E$75=$D33)),IF(ISNUMBER(iData!AB33),100*ABS($G33-(iData!AB33-$K33)/$M33),0),IF(ISNUMBER(iData!AB33),100*ABS($G33-(iData!AB33-$I33)/$M33),0),IF(iData!AB33&gt;tblIndicators!$AI29,100,IF(ISNUMBER(iData!AB33),100*ABS($G33-(iData!AB33-$I33)/$M33),0)),IF(iData!AB33&lt;0,100,IF(ISNUMBER(iData!AB33),100*ABS($G33-(iData!AB33-$I33)/$M33),0)))</f>
        <v>26.667784109956415</v>
      </c>
      <c r="AJ33" s="123" cm="1">
        <f t="array" ref="AJ33">CHOOSE($H33,SUMPRODUCT($O34:$O$75*AJ34:AJ$75*($E34:$E$75=$D33)),IF(ISNUMBER(iData!AC33),100*ABS($G33-(iData!AC33-$K33)/$M33),0),IF(ISNUMBER(iData!AC33),100*ABS($G33-(iData!AC33-$I33)/$M33),0),IF(iData!AC33&gt;tblIndicators!$AI29,100,IF(ISNUMBER(iData!AC33),100*ABS($G33-(iData!AC33-$I33)/$M33),0)),IF(iData!AC33&lt;0,100,IF(ISNUMBER(iData!AC33),100*ABS($G33-(iData!AC33-$I33)/$M33),0)))</f>
        <v>81.377807576265496</v>
      </c>
      <c r="AK33" s="123" cm="1">
        <f t="array" ref="AK33">CHOOSE($H33,SUMPRODUCT($O34:$O$75*AK34:AK$75*($E34:$E$75=$D33)),IF(ISNUMBER(iData!AD33),100*ABS($G33-(iData!AD33-$K33)/$M33),0),IF(ISNUMBER(iData!AD33),100*ABS($G33-(iData!AD33-$I33)/$M33),0),IF(iData!AD33&gt;tblIndicators!$AI29,100,IF(ISNUMBER(iData!AD33),100*ABS($G33-(iData!AD33-$I33)/$M33),0)),IF(iData!AD33&lt;0,100,IF(ISNUMBER(iData!AD33),100*ABS($G33-(iData!AD33-$I33)/$M33),0)))</f>
        <v>94.166946027489104</v>
      </c>
      <c r="AL33" s="123" cm="1">
        <f t="array" ref="AL33">CHOOSE($H33,SUMPRODUCT($O34:$O$75*AL34:AL$75*($E34:$E$75=$D33)),IF(ISNUMBER(iData!AE33),100*ABS($G33-(iData!AE33-$K33)/$M33),0),IF(ISNUMBER(iData!AE33),100*ABS($G33-(iData!AE33-$I33)/$M33),0),IF(iData!AE33&gt;tblIndicators!$AI29,100,IF(ISNUMBER(iData!AE33),100*ABS($G33-(iData!AE33-$I33)/$M33),0)),IF(iData!AE33&lt;0,100,IF(ISNUMBER(iData!AE33),100*ABS($G33-(iData!AE33-$I33)/$M33),0)))</f>
        <v>75.947033188065703</v>
      </c>
      <c r="AM33" s="123" cm="1">
        <f t="array" ref="AM33">CHOOSE($H33,SUMPRODUCT($O34:$O$75*AM34:AM$75*($E34:$E$75=$D33)),IF(ISNUMBER(iData!AF33),100*ABS($G33-(iData!AF33-$K33)/$M33),0),IF(ISNUMBER(iData!AF33),100*ABS($G33-(iData!AF33-$I33)/$M33),0),IF(iData!AF33&gt;tblIndicators!$AI29,100,IF(ISNUMBER(iData!AF33),100*ABS($G33-(iData!AF33-$I33)/$M33),0)),IF(iData!AF33&lt;0,100,IF(ISNUMBER(iData!AF33),100*ABS($G33-(iData!AF33-$I33)/$M33),0)))</f>
        <v>72.846128059001003</v>
      </c>
      <c r="AN33" s="123" cm="1">
        <f t="array" ref="AN33">CHOOSE($H33,SUMPRODUCT($O34:$O$75*AN34:AN$75*($E34:$E$75=$D33)),IF(ISNUMBER(iData!AG33),100*ABS($G33-(iData!AG33-$K33)/$M33),0),IF(ISNUMBER(iData!AG33),100*ABS($G33-(iData!AG33-$I33)/$M33),0),IF(iData!AG33&gt;tblIndicators!$AI29,100,IF(ISNUMBER(iData!AG33),100*ABS($G33-(iData!AG33-$I33)/$M33),0)),IF(iData!AG33&lt;0,100,IF(ISNUMBER(iData!AG33),100*ABS($G33-(iData!AG33-$I33)/$M33),0)))</f>
        <v>44.48541736506872</v>
      </c>
      <c r="AO33" s="123" cm="1">
        <f t="array" ref="AO33">CHOOSE($H33,SUMPRODUCT($O34:$O$75*AO34:AO$75*($E34:$E$75=$D33)),IF(ISNUMBER(iData!AH33),100*ABS($G33-(iData!AH33-$K33)/$M33),0),IF(ISNUMBER(iData!AH33),100*ABS($G33-(iData!AH33-$I33)/$M33),0),IF(iData!AH33&gt;tblIndicators!$AI29,100,IF(ISNUMBER(iData!AH33),100*ABS($G33-(iData!AH33-$I33)/$M33),0)),IF(iData!AH33&lt;0,100,IF(ISNUMBER(iData!AH33),100*ABS($G33-(iData!AH33-$I33)/$M33),0)))</f>
        <v>43.881997988602073</v>
      </c>
      <c r="AP33" s="123" cm="1">
        <f t="array" ref="AP33">CHOOSE($H33,SUMPRODUCT($O34:$O$75*AP34:AP$75*($E34:$E$75=$D33)),IF(ISNUMBER(iData!AI33),100*ABS($G33-(iData!AI33-$K33)/$M33),0),IF(ISNUMBER(iData!AI33),100*ABS($G33-(iData!AI33-$I33)/$M33),0),IF(iData!AI33&gt;tblIndicators!$AI29,100,IF(ISNUMBER(iData!AI33),100*ABS($G33-(iData!AI33-$I33)/$M33),0)),IF(iData!AI33&lt;0,100,IF(ISNUMBER(iData!AI33),100*ABS($G33-(iData!AI33-$I33)/$M33),0)))</f>
        <v>75.947033188065703</v>
      </c>
      <c r="AQ33" s="123" cm="1">
        <f t="array" ref="AQ33">CHOOSE($H33,SUMPRODUCT($O34:$O$75*AQ34:AQ$75*($E34:$E$75=$D33)),IF(ISNUMBER(iData!AJ33),100*ABS($G33-(iData!AJ33-$K33)/$M33),0),IF(ISNUMBER(iData!AJ33),100*ABS($G33-(iData!AJ33-$I33)/$M33),0),IF(iData!AJ33&gt;tblIndicators!$AI29,100,IF(ISNUMBER(iData!AJ33),100*ABS($G33-(iData!AJ33-$I33)/$M33),0)),IF(iData!AJ33&lt;0,100,IF(ISNUMBER(iData!AJ33),100*ABS($G33-(iData!AJ33-$I33)/$M33),0)))</f>
        <v>91.954408313778075</v>
      </c>
      <c r="AR33" s="123" cm="1">
        <f t="array" ref="AR33">CHOOSE($H33,SUMPRODUCT($O34:$O$75*AR34:AR$75*($E34:$E$75=$D33)),IF(ISNUMBER(iData!AK33),100*ABS($G33-(iData!AK33-$K33)/$M33),0),IF(ISNUMBER(iData!AK33),100*ABS($G33-(iData!AK33-$I33)/$M33),0),IF(iData!AK33&gt;tblIndicators!$AI29,100,IF(ISNUMBER(iData!AK33),100*ABS($G33-(iData!AK33-$I33)/$M33),0)),IF(iData!AK33&lt;0,100,IF(ISNUMBER(iData!AK33),100*ABS($G33-(iData!AK33-$I33)/$M33),0)))</f>
        <v>51.005698960777735</v>
      </c>
      <c r="AS33" s="123" cm="1">
        <f t="array" ref="AS33">CHOOSE($H33,SUMPRODUCT($O34:$O$75*AS34:AS$75*($E34:$E$75=$D33)),IF(ISNUMBER(iData!AL33),100*ABS($G33-(iData!AL33-$K33)/$M33),0),IF(ISNUMBER(iData!AL33),100*ABS($G33-(iData!AL33-$I33)/$M33),0),IF(iData!AL33&gt;tblIndicators!$AI29,100,IF(ISNUMBER(iData!AL33),100*ABS($G33-(iData!AL33-$I33)/$M33),0)),IF(iData!AL33&lt;0,100,IF(ISNUMBER(iData!AL33),100*ABS($G33-(iData!AL33-$I33)/$M33),0)))</f>
        <v>70.834730137445518</v>
      </c>
      <c r="AT33" s="123" cm="1">
        <f t="array" ref="AT33">CHOOSE($H33,SUMPRODUCT($O34:$O$75*AT34:AT$75*($E34:$E$75=$D33)),IF(ISNUMBER(iData!AM33),100*ABS($G33-(iData!AM33-$K33)/$M33),0),IF(ISNUMBER(iData!AM33),100*ABS($G33-(iData!AM33-$I33)/$M33),0),IF(iData!AM33&gt;tblIndicators!$AI29,100,IF(ISNUMBER(iData!AM33),100*ABS($G33-(iData!AM33-$I33)/$M33),0)),IF(iData!AM33&lt;0,100,IF(ISNUMBER(iData!AM33),100*ABS($G33-(iData!AM33-$I33)/$M33),0)))</f>
        <v>75.460945357023121</v>
      </c>
      <c r="AU33" s="123" cm="1">
        <f t="array" ref="AU33">CHOOSE($H33,SUMPRODUCT($O34:$O$75*AU34:AU$75*($E34:$E$75=$D33)),IF(ISNUMBER(iData!AN33),100*ABS($G33-(iData!AN33-$K33)/$M33),0),IF(ISNUMBER(iData!AN33),100*ABS($G33-(iData!AN33-$I33)/$M33),0),IF(iData!AN33&gt;tblIndicators!$AI29,100,IF(ISNUMBER(iData!AN33),100*ABS($G33-(iData!AN33-$I33)/$M33),0)),IF(iData!AN33&lt;0,100,IF(ISNUMBER(iData!AN33),100*ABS($G33-(iData!AN33-$I33)/$M33),0)))</f>
        <v>72.846128059001003</v>
      </c>
      <c r="AV33" s="367"/>
      <c r="AW33" s="368"/>
      <c r="AX33" s="14"/>
      <c r="AY33" s="871">
        <f t="shared" si="40"/>
        <v>91.6</v>
      </c>
      <c r="AZ33" s="871">
        <f t="shared" si="41"/>
        <v>54.1</v>
      </c>
      <c r="BA33" s="871">
        <f t="shared" si="42"/>
        <v>59.5</v>
      </c>
      <c r="BB33" s="871">
        <f t="shared" si="43"/>
        <v>97</v>
      </c>
      <c r="BC33" s="871">
        <f t="shared" si="44"/>
        <v>97.8</v>
      </c>
      <c r="BD33" s="871">
        <f t="shared" si="45"/>
        <v>68.3</v>
      </c>
      <c r="BE33" s="871">
        <f t="shared" si="46"/>
        <v>80.400000000000006</v>
      </c>
      <c r="BF33" s="871">
        <f t="shared" si="47"/>
        <v>92.2</v>
      </c>
      <c r="BG33" s="871">
        <f t="shared" si="48"/>
        <v>73.2</v>
      </c>
      <c r="BH33" s="871">
        <f t="shared" si="49"/>
        <v>81.599999999999994</v>
      </c>
      <c r="BI33" s="871">
        <f t="shared" si="50"/>
        <v>50</v>
      </c>
      <c r="BJ33" s="871">
        <f t="shared" si="51"/>
        <v>77.2</v>
      </c>
      <c r="BK33" s="871">
        <f t="shared" si="52"/>
        <v>42.6</v>
      </c>
      <c r="BL33" s="871">
        <f t="shared" si="53"/>
        <v>79.400000000000006</v>
      </c>
      <c r="BM33" s="871">
        <f t="shared" si="54"/>
        <v>91.8</v>
      </c>
      <c r="BN33" s="871">
        <f t="shared" si="55"/>
        <v>75.7</v>
      </c>
      <c r="BO33" s="871">
        <f t="shared" si="56"/>
        <v>59.5</v>
      </c>
      <c r="BP33" s="871">
        <f t="shared" si="57"/>
        <v>26.7</v>
      </c>
      <c r="BQ33" s="871">
        <f t="shared" si="58"/>
        <v>81.400000000000006</v>
      </c>
      <c r="BR33" s="871">
        <f t="shared" si="59"/>
        <v>94.2</v>
      </c>
      <c r="BS33" s="871">
        <f t="shared" si="60"/>
        <v>75.900000000000006</v>
      </c>
      <c r="BT33" s="871">
        <f t="shared" si="61"/>
        <v>72.8</v>
      </c>
      <c r="BU33" s="871">
        <f t="shared" si="62"/>
        <v>44.5</v>
      </c>
      <c r="BV33" s="871">
        <f t="shared" si="63"/>
        <v>43.9</v>
      </c>
      <c r="BW33" s="871">
        <f t="shared" si="64"/>
        <v>75.900000000000006</v>
      </c>
      <c r="BX33" s="871">
        <f t="shared" si="65"/>
        <v>92</v>
      </c>
      <c r="BY33" s="871">
        <f t="shared" si="66"/>
        <v>51</v>
      </c>
      <c r="BZ33" s="871">
        <f t="shared" si="67"/>
        <v>70.8</v>
      </c>
      <c r="CA33" s="871">
        <f t="shared" si="68"/>
        <v>75.5</v>
      </c>
      <c r="CB33" s="871">
        <f t="shared" si="69"/>
        <v>72.8</v>
      </c>
      <c r="CD33" s="304">
        <f t="shared" ca="1" si="103"/>
        <v>71.599999999999994</v>
      </c>
      <c r="CE33" s="304">
        <f t="shared" ca="1" si="103"/>
        <v>71.599999999999994</v>
      </c>
      <c r="CF33" s="304">
        <f t="shared" ca="1" si="103"/>
        <v>67.900000000000006</v>
      </c>
      <c r="CG33" s="302">
        <f t="shared" ca="1" si="103"/>
        <v>78.8</v>
      </c>
      <c r="CH33" s="302">
        <f t="shared" ca="1" si="103"/>
        <v>50.5</v>
      </c>
      <c r="CI33" s="302">
        <f t="shared" ca="1" si="103"/>
        <v>81.599999999999994</v>
      </c>
      <c r="CJ33" s="302">
        <f t="shared" ca="1" si="103"/>
        <v>78.400000000000006</v>
      </c>
      <c r="CK33" s="302">
        <f t="shared" ca="1" si="103"/>
        <v>61.2</v>
      </c>
      <c r="CL33" s="302">
        <f t="shared" ca="1" si="103"/>
        <v>64.7</v>
      </c>
      <c r="CM33" s="302">
        <f t="shared" ca="1" si="103"/>
        <v>75.099999999999994</v>
      </c>
      <c r="CN33" s="302">
        <f t="shared" ca="1" si="101"/>
        <v>75.900000000000006</v>
      </c>
      <c r="CO33" s="302">
        <f t="shared" ca="1" si="101"/>
        <v>77</v>
      </c>
      <c r="CP33" s="302">
        <f t="shared" ca="1" si="101"/>
        <v>71.7</v>
      </c>
      <c r="CQ33" s="302">
        <f t="shared" ca="1" si="101"/>
        <v>62.5</v>
      </c>
    </row>
    <row r="34" spans="1:95" s="124" customFormat="1" ht="27.75" customHeight="1" thickBot="1">
      <c r="A34" s="118"/>
      <c r="B34" s="119">
        <f>tblIndicators!A30</f>
        <v>29</v>
      </c>
      <c r="C34" s="119">
        <f>tblIndicators!B30</f>
        <v>0</v>
      </c>
      <c r="D34" s="119" t="str">
        <f>tblIndicators!E30</f>
        <v>SERV2_4_1</v>
      </c>
      <c r="E34" s="119" t="str">
        <f>tblIndicators!F30</f>
        <v>SERV2_4</v>
      </c>
      <c r="F34" s="119">
        <f>tblIndicators!G30</f>
        <v>3</v>
      </c>
      <c r="G34" s="119">
        <f>tblIndicators!AF30</f>
        <v>0</v>
      </c>
      <c r="H34" s="119">
        <f>tblIndicators!AG30</f>
        <v>2</v>
      </c>
      <c r="I34" s="120">
        <f>tblIndicators!AH30</f>
        <v>0</v>
      </c>
      <c r="J34" s="119">
        <f>tblIndicators!AI30</f>
        <v>0</v>
      </c>
      <c r="K34" s="119">
        <f t="array" ref="K34">MIN(IF(ISNUMBER(iData!K34:AN34),iData!K34:AN34))</f>
        <v>0.43</v>
      </c>
      <c r="L34" s="121">
        <f t="array" ref="L34">MAX(IF(ISNUMBER(iData!K34:AN34),iData!K34:AN34))</f>
        <v>2</v>
      </c>
      <c r="M34" s="51">
        <f t="shared" si="7"/>
        <v>1.57</v>
      </c>
      <c r="N34" s="122" t="str">
        <f>REPT(" ",F34)&amp;tblIndicators!AM30</f>
        <v xml:space="preserve">   2.4.1) Telehealth &amp; telemedicine</v>
      </c>
      <c r="O34" s="381">
        <f>tblIndicators!AR30</f>
        <v>0.31578947368421051</v>
      </c>
      <c r="P34" s="381"/>
      <c r="Q34" s="323"/>
      <c r="R34" s="123" cm="1">
        <f t="array" ref="R34">CHOOSE($H34,SUMPRODUCT($O35:$O$75*R35:R$75*($E35:$E$75=$D34)),IF(ISNUMBER(iData!K34),100*ABS($G34-(iData!K34-$K34)/$M34),0),IF(ISNUMBER(iData!K34),100*ABS($G34-(iData!K34-$I34)/$M34),0),IF(iData!K34&gt;tblIndicators!$AI30,100,IF(ISNUMBER(iData!K34),100*ABS($G34-(iData!K34-$I34)/$M34),0)),IF(iData!K34&lt;0,100,IF(ISNUMBER(iData!K34),100*ABS($G34-(iData!K34-$I34)/$M34),0)))</f>
        <v>73.248407643312106</v>
      </c>
      <c r="S34" s="123" cm="1">
        <f t="array" ref="S34">CHOOSE($H34,SUMPRODUCT($O35:$O$75*S35:S$75*($E35:$E$75=$D34)),IF(ISNUMBER(iData!L34),100*ABS($G34-(iData!L34-$K34)/$M34),0),IF(ISNUMBER(iData!L34),100*ABS($G34-(iData!L34-$I34)/$M34),0),IF(iData!L34&gt;tblIndicators!$AI30,100,IF(ISNUMBER(iData!L34),100*ABS($G34-(iData!L34-$I34)/$M34),0)),IF(iData!L34&lt;0,100,IF(ISNUMBER(iData!L34),100*ABS($G34-(iData!L34-$I34)/$M34),0)))</f>
        <v>71.337579617834407</v>
      </c>
      <c r="T34" s="123" cm="1">
        <f t="array" ref="T34">CHOOSE($H34,SUMPRODUCT($O35:$O$75*T35:T$75*($E35:$E$75=$D34)),IF(ISNUMBER(iData!M34),100*ABS($G34-(iData!M34-$K34)/$M34),0),IF(ISNUMBER(iData!M34),100*ABS($G34-(iData!M34-$I34)/$M34),0),IF(iData!M34&gt;tblIndicators!$AI30,100,IF(ISNUMBER(iData!M34),100*ABS($G34-(iData!M34-$I34)/$M34),0)),IF(iData!M34&lt;0,100,IF(ISNUMBER(iData!M34),100*ABS($G34-(iData!M34-$I34)/$M34),0)))</f>
        <v>29.936305732484076</v>
      </c>
      <c r="U34" s="123" cm="1">
        <f t="array" ref="U34">CHOOSE($H34,SUMPRODUCT($O35:$O$75*U35:U$75*($E35:$E$75=$D34)),IF(ISNUMBER(iData!N34),100*ABS($G34-(iData!N34-$K34)/$M34),0),IF(ISNUMBER(iData!N34),100*ABS($G34-(iData!N34-$I34)/$M34),0),IF(iData!N34&gt;tblIndicators!$AI30,100,IF(ISNUMBER(iData!N34),100*ABS($G34-(iData!N34-$I34)/$M34),0)),IF(iData!N34&lt;0,100,IF(ISNUMBER(iData!N34),100*ABS($G34-(iData!N34-$I34)/$M34),0)))</f>
        <v>90.445859872611464</v>
      </c>
      <c r="V34" s="123" cm="1">
        <f t="array" ref="V34">CHOOSE($H34,SUMPRODUCT($O35:$O$75*V35:V$75*($E35:$E$75=$D34)),IF(ISNUMBER(iData!O34),100*ABS($G34-(iData!O34-$K34)/$M34),0),IF(ISNUMBER(iData!O34),100*ABS($G34-(iData!O34-$I34)/$M34),0),IF(iData!O34&gt;tblIndicators!$AI30,100,IF(ISNUMBER(iData!O34),100*ABS($G34-(iData!O34-$I34)/$M34),0)),IF(iData!O34&lt;0,100,IF(ISNUMBER(iData!O34),100*ABS($G34-(iData!O34-$I34)/$M34),0)))</f>
        <v>92.993630573248396</v>
      </c>
      <c r="W34" s="123" cm="1">
        <f t="array" ref="W34">CHOOSE($H34,SUMPRODUCT($O35:$O$75*W35:W$75*($E35:$E$75=$D34)),IF(ISNUMBER(iData!P34),100*ABS($G34-(iData!P34-$K34)/$M34),0),IF(ISNUMBER(iData!P34),100*ABS($G34-(iData!P34-$I34)/$M34),0),IF(iData!P34&gt;tblIndicators!$AI30,100,IF(ISNUMBER(iData!P34),100*ABS($G34-(iData!P34-$I34)/$M34),0)),IF(iData!P34&lt;0,100,IF(ISNUMBER(iData!P34),100*ABS($G34-(iData!P34-$I34)/$M34),0)))</f>
        <v>57.961783439490453</v>
      </c>
      <c r="X34" s="123" cm="1">
        <f t="array" ref="X34">CHOOSE($H34,SUMPRODUCT($O35:$O$75*X35:X$75*($E35:$E$75=$D34)),IF(ISNUMBER(iData!Q34),100*ABS($G34-(iData!Q34-$K34)/$M34),0),IF(ISNUMBER(iData!Q34),100*ABS($G34-(iData!Q34-$I34)/$M34),0),IF(iData!Q34&gt;tblIndicators!$AI30,100,IF(ISNUMBER(iData!Q34),100*ABS($G34-(iData!Q34-$I34)/$M34),0)),IF(iData!Q34&lt;0,100,IF(ISNUMBER(iData!Q34),100*ABS($G34-(iData!Q34-$I34)/$M34),0)))</f>
        <v>87.898089171974519</v>
      </c>
      <c r="Y34" s="123" cm="1">
        <f t="array" ref="Y34">CHOOSE($H34,SUMPRODUCT($O35:$O$75*Y35:Y$75*($E35:$E$75=$D34)),IF(ISNUMBER(iData!R34),100*ABS($G34-(iData!R34-$K34)/$M34),0),IF(ISNUMBER(iData!R34),100*ABS($G34-(iData!R34-$I34)/$M34),0),IF(iData!R34&gt;tblIndicators!$AI30,100,IF(ISNUMBER(iData!R34),100*ABS($G34-(iData!R34-$I34)/$M34),0)),IF(iData!R34&lt;0,100,IF(ISNUMBER(iData!R34),100*ABS($G34-(iData!R34-$I34)/$M34),0)))</f>
        <v>75.159235668789819</v>
      </c>
      <c r="Z34" s="123" cm="1">
        <f t="array" ref="Z34">CHOOSE($H34,SUMPRODUCT($O35:$O$75*Z35:Z$75*($E35:$E$75=$D34)),IF(ISNUMBER(iData!S34),100*ABS($G34-(iData!S34-$K34)/$M34),0),IF(ISNUMBER(iData!S34),100*ABS($G34-(iData!S34-$I34)/$M34),0),IF(iData!S34&gt;tblIndicators!$AI30,100,IF(ISNUMBER(iData!S34),100*ABS($G34-(iData!S34-$I34)/$M34),0)),IF(iData!S34&lt;0,100,IF(ISNUMBER(iData!S34),100*ABS($G34-(iData!S34-$I34)/$M34),0)))</f>
        <v>15.286624203821658</v>
      </c>
      <c r="AA34" s="123" cm="1">
        <f t="array" ref="AA34">CHOOSE($H34,SUMPRODUCT($O35:$O$75*AA35:AA$75*($E35:$E$75=$D34)),IF(ISNUMBER(iData!T34),100*ABS($G34-(iData!T34-$K34)/$M34),0),IF(ISNUMBER(iData!T34),100*ABS($G34-(iData!T34-$I34)/$M34),0),IF(iData!T34&gt;tblIndicators!$AI30,100,IF(ISNUMBER(iData!T34),100*ABS($G34-(iData!T34-$I34)/$M34),0)),IF(iData!T34&lt;0,100,IF(ISNUMBER(iData!T34),100*ABS($G34-(iData!T34-$I34)/$M34),0)))</f>
        <v>100</v>
      </c>
      <c r="AB34" s="123" cm="1">
        <f t="array" ref="AB34">CHOOSE($H34,SUMPRODUCT($O35:$O$75*AB35:AB$75*($E35:$E$75=$D34)),IF(ISNUMBER(iData!U34),100*ABS($G34-(iData!U34-$K34)/$M34),0),IF(ISNUMBER(iData!U34),100*ABS($G34-(iData!U34-$I34)/$M34),0),IF(iData!U34&gt;tblIndicators!$AI30,100,IF(ISNUMBER(iData!U34),100*ABS($G34-(iData!U34-$I34)/$M34),0)),IF(iData!U34&lt;0,100,IF(ISNUMBER(iData!U34),100*ABS($G34-(iData!U34-$I34)/$M34),0)))</f>
        <v>0</v>
      </c>
      <c r="AC34" s="123" cm="1">
        <f t="array" ref="AC34">CHOOSE($H34,SUMPRODUCT($O35:$O$75*AC35:AC$75*($E35:$E$75=$D34)),IF(ISNUMBER(iData!V34),100*ABS($G34-(iData!V34-$K34)/$M34),0),IF(ISNUMBER(iData!V34),100*ABS($G34-(iData!V34-$I34)/$M34),0),IF(iData!V34&gt;tblIndicators!$AI30,100,IF(ISNUMBER(iData!V34),100*ABS($G34-(iData!V34-$I34)/$M34),0)),IF(iData!V34&lt;0,100,IF(ISNUMBER(iData!V34),100*ABS($G34-(iData!V34-$I34)/$M34),0)))</f>
        <v>85.98726114649682</v>
      </c>
      <c r="AD34" s="123" cm="1">
        <f t="array" ref="AD34">CHOOSE($H34,SUMPRODUCT($O35:$O$75*AD35:AD$75*($E35:$E$75=$D34)),IF(ISNUMBER(iData!W34),100*ABS($G34-(iData!W34-$K34)/$M34),0),IF(ISNUMBER(iData!W34),100*ABS($G34-(iData!W34-$I34)/$M34),0),IF(iData!W34&gt;tblIndicators!$AI30,100,IF(ISNUMBER(iData!W34),100*ABS($G34-(iData!W34-$I34)/$M34),0)),IF(iData!W34&lt;0,100,IF(ISNUMBER(iData!W34),100*ABS($G34-(iData!W34-$I34)/$M34),0)))</f>
        <v>35.031847133757964</v>
      </c>
      <c r="AE34" s="123" cm="1">
        <f t="array" ref="AE34">CHOOSE($H34,SUMPRODUCT($O35:$O$75*AE35:AE$75*($E35:$E$75=$D34)),IF(ISNUMBER(iData!X34),100*ABS($G34-(iData!X34-$K34)/$M34),0),IF(ISNUMBER(iData!X34),100*ABS($G34-(iData!X34-$I34)/$M34),0),IF(iData!X34&gt;tblIndicators!$AI30,100,IF(ISNUMBER(iData!X34),100*ABS($G34-(iData!X34-$I34)/$M34),0)),IF(iData!X34&lt;0,100,IF(ISNUMBER(iData!X34),100*ABS($G34-(iData!X34-$I34)/$M34),0)))</f>
        <v>92.993630573248396</v>
      </c>
      <c r="AF34" s="123" cm="1">
        <f t="array" ref="AF34">CHOOSE($H34,SUMPRODUCT($O35:$O$75*AF35:AF$75*($E35:$E$75=$D34)),IF(ISNUMBER(iData!Y34),100*ABS($G34-(iData!Y34-$K34)/$M34),0),IF(ISNUMBER(iData!Y34),100*ABS($G34-(iData!Y34-$I34)/$M34),0),IF(iData!Y34&gt;tblIndicators!$AI30,100,IF(ISNUMBER(iData!Y34),100*ABS($G34-(iData!Y34-$I34)/$M34),0)),IF(iData!Y34&lt;0,100,IF(ISNUMBER(iData!Y34),100*ABS($G34-(iData!Y34-$I34)/$M34),0)))</f>
        <v>73.885350318471339</v>
      </c>
      <c r="AG34" s="123" cm="1">
        <f t="array" ref="AG34">CHOOSE($H34,SUMPRODUCT($O35:$O$75*AG35:AG$75*($E35:$E$75=$D34)),IF(ISNUMBER(iData!Z34),100*ABS($G34-(iData!Z34-$K34)/$M34),0),IF(ISNUMBER(iData!Z34),100*ABS($G34-(iData!Z34-$I34)/$M34),0),IF(iData!Z34&gt;tblIndicators!$AI30,100,IF(ISNUMBER(iData!Z34),100*ABS($G34-(iData!Z34-$I34)/$M34),0)),IF(iData!Z34&lt;0,100,IF(ISNUMBER(iData!Z34),100*ABS($G34-(iData!Z34-$I34)/$M34),0)))</f>
        <v>22.929936305732486</v>
      </c>
      <c r="AH34" s="123" cm="1">
        <f t="array" ref="AH34">CHOOSE($H34,SUMPRODUCT($O35:$O$75*AH35:AH$75*($E35:$E$75=$D34)),IF(ISNUMBER(iData!AA34),100*ABS($G34-(iData!AA34-$K34)/$M34),0),IF(ISNUMBER(iData!AA34),100*ABS($G34-(iData!AA34-$I34)/$M34),0),IF(iData!AA34&gt;tblIndicators!$AI30,100,IF(ISNUMBER(iData!AA34),100*ABS($G34-(iData!AA34-$I34)/$M34),0)),IF(iData!AA34&lt;0,100,IF(ISNUMBER(iData!AA34),100*ABS($G34-(iData!AA34-$I34)/$M34),0)))</f>
        <v>29.936305732484076</v>
      </c>
      <c r="AI34" s="123" cm="1">
        <f t="array" ref="AI34">CHOOSE($H34,SUMPRODUCT($O35:$O$75*AI35:AI$75*($E35:$E$75=$D34)),IF(ISNUMBER(iData!AB34),100*ABS($G34-(iData!AB34-$K34)/$M34),0),IF(ISNUMBER(iData!AB34),100*ABS($G34-(iData!AB34-$I34)/$M34),0),IF(iData!AB34&gt;tblIndicators!$AI30,100,IF(ISNUMBER(iData!AB34),100*ABS($G34-(iData!AB34-$I34)/$M34),0)),IF(iData!AB34&lt;0,100,IF(ISNUMBER(iData!AB34),100*ABS($G34-(iData!AB34-$I34)/$M34),0)))</f>
        <v>26.114649681528661</v>
      </c>
      <c r="AJ34" s="123" cm="1">
        <f t="array" ref="AJ34">CHOOSE($H34,SUMPRODUCT($O35:$O$75*AJ35:AJ$75*($E35:$E$75=$D34)),IF(ISNUMBER(iData!AC34),100*ABS($G34-(iData!AC34-$K34)/$M34),0),IF(ISNUMBER(iData!AC34),100*ABS($G34-(iData!AC34-$I34)/$M34),0),IF(iData!AC34&gt;tblIndicators!$AI30,100,IF(ISNUMBER(iData!AC34),100*ABS($G34-(iData!AC34-$I34)/$M34),0)),IF(iData!AC34&lt;0,100,IF(ISNUMBER(iData!AC34),100*ABS($G34-(iData!AC34-$I34)/$M34),0)))</f>
        <v>99.363057324840767</v>
      </c>
      <c r="AK34" s="123" cm="1">
        <f t="array" ref="AK34">CHOOSE($H34,SUMPRODUCT($O35:$O$75*AK35:AK$75*($E35:$E$75=$D34)),IF(ISNUMBER(iData!AD34),100*ABS($G34-(iData!AD34-$K34)/$M34),0),IF(ISNUMBER(iData!AD34),100*ABS($G34-(iData!AD34-$I34)/$M34),0),IF(iData!AD34&gt;tblIndicators!$AI30,100,IF(ISNUMBER(iData!AD34),100*ABS($G34-(iData!AD34-$I34)/$M34),0)),IF(iData!AD34&lt;0,100,IF(ISNUMBER(iData!AD34),100*ABS($G34-(iData!AD34-$I34)/$M34),0)))</f>
        <v>81.528662420382162</v>
      </c>
      <c r="AL34" s="123" cm="1">
        <f t="array" ref="AL34">CHOOSE($H34,SUMPRODUCT($O35:$O$75*AL35:AL$75*($E35:$E$75=$D34)),IF(ISNUMBER(iData!AE34),100*ABS($G34-(iData!AE34-$K34)/$M34),0),IF(ISNUMBER(iData!AE34),100*ABS($G34-(iData!AE34-$I34)/$M34),0),IF(iData!AE34&gt;tblIndicators!$AI30,100,IF(ISNUMBER(iData!AE34),100*ABS($G34-(iData!AE34-$I34)/$M34),0)),IF(iData!AE34&lt;0,100,IF(ISNUMBER(iData!AE34),100*ABS($G34-(iData!AE34-$I34)/$M34),0)))</f>
        <v>82.165605095541409</v>
      </c>
      <c r="AM34" s="123" cm="1">
        <f t="array" ref="AM34">CHOOSE($H34,SUMPRODUCT($O35:$O$75*AM35:AM$75*($E35:$E$75=$D34)),IF(ISNUMBER(iData!AF34),100*ABS($G34-(iData!AF34-$K34)/$M34),0),IF(ISNUMBER(iData!AF34),100*ABS($G34-(iData!AF34-$I34)/$M34),0),IF(iData!AF34&gt;tblIndicators!$AI30,100,IF(ISNUMBER(iData!AF34),100*ABS($G34-(iData!AF34-$I34)/$M34),0)),IF(iData!AF34&lt;0,100,IF(ISNUMBER(iData!AF34),100*ABS($G34-(iData!AF34-$I34)/$M34),0)))</f>
        <v>14.012738853503187</v>
      </c>
      <c r="AN34" s="123" cm="1">
        <f t="array" ref="AN34">CHOOSE($H34,SUMPRODUCT($O35:$O$75*AN35:AN$75*($E35:$E$75=$D34)),IF(ISNUMBER(iData!AG34),100*ABS($G34-(iData!AG34-$K34)/$M34),0),IF(ISNUMBER(iData!AG34),100*ABS($G34-(iData!AG34-$I34)/$M34),0),IF(iData!AG34&gt;tblIndicators!$AI30,100,IF(ISNUMBER(iData!AG34),100*ABS($G34-(iData!AG34-$I34)/$M34),0)),IF(iData!AG34&lt;0,100,IF(ISNUMBER(iData!AG34),100*ABS($G34-(iData!AG34-$I34)/$M34),0)))</f>
        <v>24.203821656050959</v>
      </c>
      <c r="AO34" s="123" cm="1">
        <f t="array" ref="AO34">CHOOSE($H34,SUMPRODUCT($O35:$O$75*AO35:AO$75*($E35:$E$75=$D34)),IF(ISNUMBER(iData!AH34),100*ABS($G34-(iData!AH34-$K34)/$M34),0),IF(ISNUMBER(iData!AH34),100*ABS($G34-(iData!AH34-$I34)/$M34),0),IF(iData!AH34&gt;tblIndicators!$AI30,100,IF(ISNUMBER(iData!AH34),100*ABS($G34-(iData!AH34-$I34)/$M34),0)),IF(iData!AH34&lt;0,100,IF(ISNUMBER(iData!AH34),100*ABS($G34-(iData!AH34-$I34)/$M34),0)))</f>
        <v>22.29299363057325</v>
      </c>
      <c r="AP34" s="123" cm="1">
        <f t="array" ref="AP34">CHOOSE($H34,SUMPRODUCT($O35:$O$75*AP35:AP$75*($E35:$E$75=$D34)),IF(ISNUMBER(iData!AI34),100*ABS($G34-(iData!AI34-$K34)/$M34),0),IF(ISNUMBER(iData!AI34),100*ABS($G34-(iData!AI34-$I34)/$M34),0),IF(iData!AI34&gt;tblIndicators!$AI30,100,IF(ISNUMBER(iData!AI34),100*ABS($G34-(iData!AI34-$I34)/$M34),0)),IF(iData!AI34&lt;0,100,IF(ISNUMBER(iData!AI34),100*ABS($G34-(iData!AI34-$I34)/$M34),0)))</f>
        <v>82.165605095541409</v>
      </c>
      <c r="AQ34" s="123" cm="1">
        <f t="array" ref="AQ34">CHOOSE($H34,SUMPRODUCT($O35:$O$75*AQ35:AQ$75*($E35:$E$75=$D34)),IF(ISNUMBER(iData!AJ34),100*ABS($G34-(iData!AJ34-$K34)/$M34),0),IF(ISNUMBER(iData!AJ34),100*ABS($G34-(iData!AJ34-$I34)/$M34),0),IF(iData!AJ34&gt;tblIndicators!$AI30,100,IF(ISNUMBER(iData!AJ34),100*ABS($G34-(iData!AJ34-$I34)/$M34),0)),IF(iData!AJ34&lt;0,100,IF(ISNUMBER(iData!AJ34),100*ABS($G34-(iData!AJ34-$I34)/$M34),0)))</f>
        <v>74.522292993630572</v>
      </c>
      <c r="AR34" s="123" cm="1">
        <f t="array" ref="AR34">CHOOSE($H34,SUMPRODUCT($O35:$O$75*AR35:AR$75*($E35:$E$75=$D34)),IF(ISNUMBER(iData!AK34),100*ABS($G34-(iData!AK34-$K34)/$M34),0),IF(ISNUMBER(iData!AK34),100*ABS($G34-(iData!AK34-$I34)/$M34),0),IF(iData!AK34&gt;tblIndicators!$AI30,100,IF(ISNUMBER(iData!AK34),100*ABS($G34-(iData!AK34-$I34)/$M34),0)),IF(iData!AK34&lt;0,100,IF(ISNUMBER(iData!AK34),100*ABS($G34-(iData!AK34-$I34)/$M34),0)))</f>
        <v>3.1847133757961776</v>
      </c>
      <c r="AS34" s="123" cm="1">
        <f t="array" ref="AS34">CHOOSE($H34,SUMPRODUCT($O35:$O$75*AS35:AS$75*($E35:$E$75=$D34)),IF(ISNUMBER(iData!AL34),100*ABS($G34-(iData!AL34-$K34)/$M34),0),IF(ISNUMBER(iData!AL34),100*ABS($G34-(iData!AL34-$I34)/$M34),0),IF(iData!AL34&gt;tblIndicators!$AI30,100,IF(ISNUMBER(iData!AL34),100*ABS($G34-(iData!AL34-$I34)/$M34),0)),IF(iData!AL34&lt;0,100,IF(ISNUMBER(iData!AL34),100*ABS($G34-(iData!AL34-$I34)/$M34),0)))</f>
        <v>7.6433121019108308</v>
      </c>
      <c r="AT34" s="123" cm="1">
        <f t="array" ref="AT34">CHOOSE($H34,SUMPRODUCT($O35:$O$75*AT35:AT$75*($E35:$E$75=$D34)),IF(ISNUMBER(iData!AM34),100*ABS($G34-(iData!AM34-$K34)/$M34),0),IF(ISNUMBER(iData!AM34),100*ABS($G34-(iData!AM34-$I34)/$M34),0),IF(iData!AM34&gt;tblIndicators!$AI30,100,IF(ISNUMBER(iData!AM34),100*ABS($G34-(iData!AM34-$I34)/$M34),0)),IF(iData!AM34&lt;0,100,IF(ISNUMBER(iData!AM34),100*ABS($G34-(iData!AM34-$I34)/$M34),0)))</f>
        <v>22.29299363057325</v>
      </c>
      <c r="AU34" s="123" cm="1">
        <f t="array" ref="AU34">CHOOSE($H34,SUMPRODUCT($O35:$O$75*AU35:AU$75*($E35:$E$75=$D34)),IF(ISNUMBER(iData!AN34),100*ABS($G34-(iData!AN34-$K34)/$M34),0),IF(ISNUMBER(iData!AN34),100*ABS($G34-(iData!AN34-$I34)/$M34),0),IF(iData!AN34&gt;tblIndicators!$AI30,100,IF(ISNUMBER(iData!AN34),100*ABS($G34-(iData!AN34-$I34)/$M34),0)),IF(iData!AN34&lt;0,100,IF(ISNUMBER(iData!AN34),100*ABS($G34-(iData!AN34-$I34)/$M34),0)))</f>
        <v>14.012738853503187</v>
      </c>
      <c r="AV34" s="367"/>
      <c r="AW34" s="368"/>
      <c r="AX34" s="14"/>
      <c r="AY34" s="871">
        <f t="shared" si="40"/>
        <v>73.2</v>
      </c>
      <c r="AZ34" s="871">
        <f t="shared" si="41"/>
        <v>71.3</v>
      </c>
      <c r="BA34" s="871">
        <f t="shared" si="42"/>
        <v>29.9</v>
      </c>
      <c r="BB34" s="871">
        <f t="shared" si="43"/>
        <v>90.4</v>
      </c>
      <c r="BC34" s="871">
        <f t="shared" si="44"/>
        <v>93</v>
      </c>
      <c r="BD34" s="871">
        <f t="shared" si="45"/>
        <v>58</v>
      </c>
      <c r="BE34" s="871">
        <f t="shared" si="46"/>
        <v>87.9</v>
      </c>
      <c r="BF34" s="871">
        <f t="shared" si="47"/>
        <v>75.2</v>
      </c>
      <c r="BG34" s="871">
        <f t="shared" si="48"/>
        <v>15.3</v>
      </c>
      <c r="BH34" s="871">
        <f t="shared" si="49"/>
        <v>100</v>
      </c>
      <c r="BI34" s="871">
        <f t="shared" si="50"/>
        <v>0</v>
      </c>
      <c r="BJ34" s="871">
        <f t="shared" si="51"/>
        <v>86</v>
      </c>
      <c r="BK34" s="871">
        <f t="shared" si="52"/>
        <v>35</v>
      </c>
      <c r="BL34" s="871">
        <f t="shared" si="53"/>
        <v>93</v>
      </c>
      <c r="BM34" s="871">
        <f t="shared" si="54"/>
        <v>73.900000000000006</v>
      </c>
      <c r="BN34" s="871">
        <f t="shared" si="55"/>
        <v>22.9</v>
      </c>
      <c r="BO34" s="871">
        <f t="shared" si="56"/>
        <v>29.9</v>
      </c>
      <c r="BP34" s="871">
        <f t="shared" si="57"/>
        <v>26.1</v>
      </c>
      <c r="BQ34" s="871">
        <f t="shared" si="58"/>
        <v>99.4</v>
      </c>
      <c r="BR34" s="871">
        <f t="shared" si="59"/>
        <v>81.5</v>
      </c>
      <c r="BS34" s="871">
        <f t="shared" si="60"/>
        <v>82.2</v>
      </c>
      <c r="BT34" s="871">
        <f t="shared" si="61"/>
        <v>14</v>
      </c>
      <c r="BU34" s="871">
        <f t="shared" si="62"/>
        <v>24.2</v>
      </c>
      <c r="BV34" s="871">
        <f t="shared" si="63"/>
        <v>22.3</v>
      </c>
      <c r="BW34" s="871">
        <f t="shared" si="64"/>
        <v>82.2</v>
      </c>
      <c r="BX34" s="871">
        <f t="shared" si="65"/>
        <v>74.5</v>
      </c>
      <c r="BY34" s="871">
        <f t="shared" si="66"/>
        <v>3.2</v>
      </c>
      <c r="BZ34" s="871">
        <f t="shared" si="67"/>
        <v>7.6</v>
      </c>
      <c r="CA34" s="871">
        <f t="shared" si="68"/>
        <v>22.3</v>
      </c>
      <c r="CB34" s="871">
        <f t="shared" si="69"/>
        <v>14</v>
      </c>
      <c r="CD34" s="304">
        <f t="shared" ca="1" si="103"/>
        <v>52.9</v>
      </c>
      <c r="CE34" s="304">
        <f t="shared" ca="1" si="103"/>
        <v>52.9</v>
      </c>
      <c r="CF34" s="304">
        <f t="shared" ca="1" si="103"/>
        <v>60</v>
      </c>
      <c r="CG34" s="302">
        <f t="shared" ca="1" si="103"/>
        <v>50.4</v>
      </c>
      <c r="CH34" s="302">
        <f t="shared" ca="1" si="103"/>
        <v>46.1</v>
      </c>
      <c r="CI34" s="302">
        <f t="shared" ca="1" si="103"/>
        <v>100</v>
      </c>
      <c r="CJ34" s="302">
        <f t="shared" ca="1" si="103"/>
        <v>31.7</v>
      </c>
      <c r="CK34" s="302">
        <f t="shared" ca="1" si="103"/>
        <v>54.8</v>
      </c>
      <c r="CL34" s="302">
        <f t="shared" ca="1" si="103"/>
        <v>59</v>
      </c>
      <c r="CM34" s="302">
        <f t="shared" ca="1" si="103"/>
        <v>51</v>
      </c>
      <c r="CN34" s="302">
        <f t="shared" ca="1" si="101"/>
        <v>52.8</v>
      </c>
      <c r="CO34" s="302">
        <f t="shared" ca="1" si="101"/>
        <v>53.1</v>
      </c>
      <c r="CP34" s="302">
        <f t="shared" ca="1" si="101"/>
        <v>54</v>
      </c>
      <c r="CQ34" s="302">
        <f t="shared" ca="1" si="101"/>
        <v>52.5</v>
      </c>
    </row>
    <row r="35" spans="1:95" s="124" customFormat="1" ht="27.75" customHeight="1" thickBot="1">
      <c r="A35" s="118"/>
      <c r="B35" s="119">
        <f>tblIndicators!A31</f>
        <v>30</v>
      </c>
      <c r="C35" s="119">
        <f>tblIndicators!B31</f>
        <v>0</v>
      </c>
      <c r="D35" s="119" t="str">
        <f>tblIndicators!E31</f>
        <v>SERV2_4_2</v>
      </c>
      <c r="E35" s="119" t="str">
        <f>tblIndicators!F31</f>
        <v>SERV2_4</v>
      </c>
      <c r="F35" s="119">
        <f>tblIndicators!G31</f>
        <v>3</v>
      </c>
      <c r="G35" s="119">
        <f>tblIndicators!AF31</f>
        <v>0</v>
      </c>
      <c r="H35" s="119">
        <f>tblIndicators!AG31</f>
        <v>3</v>
      </c>
      <c r="I35" s="120">
        <f>tblIndicators!AH31</f>
        <v>0</v>
      </c>
      <c r="J35" s="119">
        <f>tblIndicators!AI31</f>
        <v>2</v>
      </c>
      <c r="K35" s="119">
        <f t="array" ref="K35">MIN(IF(ISNUMBER(iData!K35:AN35),iData!K35:AN35))</f>
        <v>0</v>
      </c>
      <c r="L35" s="121">
        <f t="array" ref="L35">MAX(IF(ISNUMBER(iData!K35:AN35),iData!K35:AN35))</f>
        <v>2</v>
      </c>
      <c r="M35" s="51">
        <f t="shared" si="7"/>
        <v>2</v>
      </c>
      <c r="N35" s="122" t="str">
        <f>REPT(" ",F35)&amp;tblIndicators!AM31</f>
        <v xml:space="preserve">   2.4.2) Electronic health records</v>
      </c>
      <c r="O35" s="381">
        <f>tblIndicators!AR31</f>
        <v>0.36842105263157893</v>
      </c>
      <c r="P35" s="381"/>
      <c r="Q35" s="323"/>
      <c r="R35" s="123" cm="1">
        <f t="array" ref="R35">CHOOSE($H35,SUMPRODUCT($O36:$O$75*R36:R$75*($E36:$E$75=$D35)),IF(ISNUMBER(iData!K35),100*ABS($G35-(iData!K35-$K35)/$M35),0),IF(ISNUMBER(iData!K35),100*ABS($G35-(iData!K35-$I35)/$M35),0),IF(iData!K35&gt;tblIndicators!$AI31,100,IF(ISNUMBER(iData!K35),100*ABS($G35-(iData!K35-$I35)/$M35),0)),IF(iData!K35&lt;0,100,IF(ISNUMBER(iData!K35),100*ABS($G35-(iData!K35-$I35)/$M35),0)))</f>
        <v>100</v>
      </c>
      <c r="S35" s="123" cm="1">
        <f t="array" ref="S35">CHOOSE($H35,SUMPRODUCT($O36:$O$75*S36:S$75*($E36:$E$75=$D35)),IF(ISNUMBER(iData!L35),100*ABS($G35-(iData!L35-$K35)/$M35),0),IF(ISNUMBER(iData!L35),100*ABS($G35-(iData!L35-$I35)/$M35),0),IF(iData!L35&gt;tblIndicators!$AI31,100,IF(ISNUMBER(iData!L35),100*ABS($G35-(iData!L35-$I35)/$M35),0)),IF(iData!L35&lt;0,100,IF(ISNUMBER(iData!L35),100*ABS($G35-(iData!L35-$I35)/$M35),0)))</f>
        <v>0</v>
      </c>
      <c r="T35" s="123" cm="1">
        <f t="array" ref="T35">CHOOSE($H35,SUMPRODUCT($O36:$O$75*T36:T$75*($E36:$E$75=$D35)),IF(ISNUMBER(iData!M35),100*ABS($G35-(iData!M35-$K35)/$M35),0),IF(ISNUMBER(iData!M35),100*ABS($G35-(iData!M35-$I35)/$M35),0),IF(iData!M35&gt;tblIndicators!$AI31,100,IF(ISNUMBER(iData!M35),100*ABS($G35-(iData!M35-$I35)/$M35),0)),IF(iData!M35&lt;0,100,IF(ISNUMBER(iData!M35),100*ABS($G35-(iData!M35-$I35)/$M35),0)))</f>
        <v>50</v>
      </c>
      <c r="U35" s="123" cm="1">
        <f t="array" ref="U35">CHOOSE($H35,SUMPRODUCT($O36:$O$75*U36:U$75*($E36:$E$75=$D35)),IF(ISNUMBER(iData!N35),100*ABS($G35-(iData!N35-$K35)/$M35),0),IF(ISNUMBER(iData!N35),100*ABS($G35-(iData!N35-$I35)/$M35),0),IF(iData!N35&gt;tblIndicators!$AI31,100,IF(ISNUMBER(iData!N35),100*ABS($G35-(iData!N35-$I35)/$M35),0)),IF(iData!N35&lt;0,100,IF(ISNUMBER(iData!N35),100*ABS($G35-(iData!N35-$I35)/$M35),0)))</f>
        <v>100</v>
      </c>
      <c r="V35" s="123" cm="1">
        <f t="array" ref="V35">CHOOSE($H35,SUMPRODUCT($O36:$O$75*V36:V$75*($E36:$E$75=$D35)),IF(ISNUMBER(iData!O35),100*ABS($G35-(iData!O35-$K35)/$M35),0),IF(ISNUMBER(iData!O35),100*ABS($G35-(iData!O35-$I35)/$M35),0),IF(iData!O35&gt;tblIndicators!$AI31,100,IF(ISNUMBER(iData!O35),100*ABS($G35-(iData!O35-$I35)/$M35),0)),IF(iData!O35&lt;0,100,IF(ISNUMBER(iData!O35),100*ABS($G35-(iData!O35-$I35)/$M35),0)))</f>
        <v>100</v>
      </c>
      <c r="W35" s="123" cm="1">
        <f t="array" ref="W35">CHOOSE($H35,SUMPRODUCT($O36:$O$75*W36:W$75*($E36:$E$75=$D35)),IF(ISNUMBER(iData!P35),100*ABS($G35-(iData!P35-$K35)/$M35),0),IF(ISNUMBER(iData!P35),100*ABS($G35-(iData!P35-$I35)/$M35),0),IF(iData!P35&gt;tblIndicators!$AI31,100,IF(ISNUMBER(iData!P35),100*ABS($G35-(iData!P35-$I35)/$M35),0)),IF(iData!P35&lt;0,100,IF(ISNUMBER(iData!P35),100*ABS($G35-(iData!P35-$I35)/$M35),0)))</f>
        <v>50</v>
      </c>
      <c r="X35" s="123" cm="1">
        <f t="array" ref="X35">CHOOSE($H35,SUMPRODUCT($O36:$O$75*X36:X$75*($E36:$E$75=$D35)),IF(ISNUMBER(iData!Q35),100*ABS($G35-(iData!Q35-$K35)/$M35),0),IF(ISNUMBER(iData!Q35),100*ABS($G35-(iData!Q35-$I35)/$M35),0),IF(iData!Q35&gt;tblIndicators!$AI31,100,IF(ISNUMBER(iData!Q35),100*ABS($G35-(iData!Q35-$I35)/$M35),0)),IF(iData!Q35&lt;0,100,IF(ISNUMBER(iData!Q35),100*ABS($G35-(iData!Q35-$I35)/$M35),0)))</f>
        <v>100</v>
      </c>
      <c r="Y35" s="123" cm="1">
        <f t="array" ref="Y35">CHOOSE($H35,SUMPRODUCT($O36:$O$75*Y36:Y$75*($E36:$E$75=$D35)),IF(ISNUMBER(iData!R35),100*ABS($G35-(iData!R35-$K35)/$M35),0),IF(ISNUMBER(iData!R35),100*ABS($G35-(iData!R35-$I35)/$M35),0),IF(iData!R35&gt;tblIndicators!$AI31,100,IF(ISNUMBER(iData!R35),100*ABS($G35-(iData!R35-$I35)/$M35),0)),IF(iData!R35&lt;0,100,IF(ISNUMBER(iData!R35),100*ABS($G35-(iData!R35-$I35)/$M35),0)))</f>
        <v>100</v>
      </c>
      <c r="Z35" s="123" cm="1">
        <f t="array" ref="Z35">CHOOSE($H35,SUMPRODUCT($O36:$O$75*Z36:Z$75*($E36:$E$75=$D35)),IF(ISNUMBER(iData!S35),100*ABS($G35-(iData!S35-$K35)/$M35),0),IF(ISNUMBER(iData!S35),100*ABS($G35-(iData!S35-$I35)/$M35),0),IF(iData!S35&gt;tblIndicators!$AI31,100,IF(ISNUMBER(iData!S35),100*ABS($G35-(iData!S35-$I35)/$M35),0)),IF(iData!S35&lt;0,100,IF(ISNUMBER(iData!S35),100*ABS($G35-(iData!S35-$I35)/$M35),0)))</f>
        <v>100</v>
      </c>
      <c r="AA35" s="123" cm="1">
        <f t="array" ref="AA35">CHOOSE($H35,SUMPRODUCT($O36:$O$75*AA36:AA$75*($E36:$E$75=$D35)),IF(ISNUMBER(iData!T35),100*ABS($G35-(iData!T35-$K35)/$M35),0),IF(ISNUMBER(iData!T35),100*ABS($G35-(iData!T35-$I35)/$M35),0),IF(iData!T35&gt;tblIndicators!$AI31,100,IF(ISNUMBER(iData!T35),100*ABS($G35-(iData!T35-$I35)/$M35),0)),IF(iData!T35&lt;0,100,IF(ISNUMBER(iData!T35),100*ABS($G35-(iData!T35-$I35)/$M35),0)))</f>
        <v>50</v>
      </c>
      <c r="AB35" s="123" cm="1">
        <f t="array" ref="AB35">CHOOSE($H35,SUMPRODUCT($O36:$O$75*AB36:AB$75*($E36:$E$75=$D35)),IF(ISNUMBER(iData!U35),100*ABS($G35-(iData!U35-$K35)/$M35),0),IF(ISNUMBER(iData!U35),100*ABS($G35-(iData!U35-$I35)/$M35),0),IF(iData!U35&gt;tblIndicators!$AI31,100,IF(ISNUMBER(iData!U35),100*ABS($G35-(iData!U35-$I35)/$M35),0)),IF(iData!U35&lt;0,100,IF(ISNUMBER(iData!U35),100*ABS($G35-(iData!U35-$I35)/$M35),0)))</f>
        <v>50</v>
      </c>
      <c r="AC35" s="123" cm="1">
        <f t="array" ref="AC35">CHOOSE($H35,SUMPRODUCT($O36:$O$75*AC36:AC$75*($E36:$E$75=$D35)),IF(ISNUMBER(iData!V35),100*ABS($G35-(iData!V35-$K35)/$M35),0),IF(ISNUMBER(iData!V35),100*ABS($G35-(iData!V35-$I35)/$M35),0),IF(iData!V35&gt;tblIndicators!$AI31,100,IF(ISNUMBER(iData!V35),100*ABS($G35-(iData!V35-$I35)/$M35),0)),IF(iData!V35&lt;0,100,IF(ISNUMBER(iData!V35),100*ABS($G35-(iData!V35-$I35)/$M35),0)))</f>
        <v>50</v>
      </c>
      <c r="AD35" s="123" cm="1">
        <f t="array" ref="AD35">CHOOSE($H35,SUMPRODUCT($O36:$O$75*AD36:AD$75*($E36:$E$75=$D35)),IF(ISNUMBER(iData!W35),100*ABS($G35-(iData!W35-$K35)/$M35),0),IF(ISNUMBER(iData!W35),100*ABS($G35-(iData!W35-$I35)/$M35),0),IF(iData!W35&gt;tblIndicators!$AI31,100,IF(ISNUMBER(iData!W35),100*ABS($G35-(iData!W35-$I35)/$M35),0)),IF(iData!W35&lt;0,100,IF(ISNUMBER(iData!W35),100*ABS($G35-(iData!W35-$I35)/$M35),0)))</f>
        <v>0</v>
      </c>
      <c r="AE35" s="123" cm="1">
        <f t="array" ref="AE35">CHOOSE($H35,SUMPRODUCT($O36:$O$75*AE36:AE$75*($E36:$E$75=$D35)),IF(ISNUMBER(iData!X35),100*ABS($G35-(iData!X35-$K35)/$M35),0),IF(ISNUMBER(iData!X35),100*ABS($G35-(iData!X35-$I35)/$M35),0),IF(iData!X35&gt;tblIndicators!$AI31,100,IF(ISNUMBER(iData!X35),100*ABS($G35-(iData!X35-$I35)/$M35),0)),IF(iData!X35&lt;0,100,IF(ISNUMBER(iData!X35),100*ABS($G35-(iData!X35-$I35)/$M35),0)))</f>
        <v>50</v>
      </c>
      <c r="AF35" s="123" cm="1">
        <f t="array" ref="AF35">CHOOSE($H35,SUMPRODUCT($O36:$O$75*AF36:AF$75*($E36:$E$75=$D35)),IF(ISNUMBER(iData!Y35),100*ABS($G35-(iData!Y35-$K35)/$M35),0),IF(ISNUMBER(iData!Y35),100*ABS($G35-(iData!Y35-$I35)/$M35),0),IF(iData!Y35&gt;tblIndicators!$AI31,100,IF(ISNUMBER(iData!Y35),100*ABS($G35-(iData!Y35-$I35)/$M35),0)),IF(iData!Y35&lt;0,100,IF(ISNUMBER(iData!Y35),100*ABS($G35-(iData!Y35-$I35)/$M35),0)))</f>
        <v>100</v>
      </c>
      <c r="AG35" s="123" cm="1">
        <f t="array" ref="AG35">CHOOSE($H35,SUMPRODUCT($O36:$O$75*AG36:AG$75*($E36:$E$75=$D35)),IF(ISNUMBER(iData!Z35),100*ABS($G35-(iData!Z35-$K35)/$M35),0),IF(ISNUMBER(iData!Z35),100*ABS($G35-(iData!Z35-$I35)/$M35),0),IF(iData!Z35&gt;tblIndicators!$AI31,100,IF(ISNUMBER(iData!Z35),100*ABS($G35-(iData!Z35-$I35)/$M35),0)),IF(iData!Z35&lt;0,100,IF(ISNUMBER(iData!Z35),100*ABS($G35-(iData!Z35-$I35)/$M35),0)))</f>
        <v>100</v>
      </c>
      <c r="AH35" s="123" cm="1">
        <f t="array" ref="AH35">CHOOSE($H35,SUMPRODUCT($O36:$O$75*AH36:AH$75*($E36:$E$75=$D35)),IF(ISNUMBER(iData!AA35),100*ABS($G35-(iData!AA35-$K35)/$M35),0),IF(ISNUMBER(iData!AA35),100*ABS($G35-(iData!AA35-$I35)/$M35),0),IF(iData!AA35&gt;tblIndicators!$AI31,100,IF(ISNUMBER(iData!AA35),100*ABS($G35-(iData!AA35-$I35)/$M35),0)),IF(iData!AA35&lt;0,100,IF(ISNUMBER(iData!AA35),100*ABS($G35-(iData!AA35-$I35)/$M35),0)))</f>
        <v>50</v>
      </c>
      <c r="AI35" s="123" cm="1">
        <f t="array" ref="AI35">CHOOSE($H35,SUMPRODUCT($O36:$O$75*AI36:AI$75*($E36:$E$75=$D35)),IF(ISNUMBER(iData!AB35),100*ABS($G35-(iData!AB35-$K35)/$M35),0),IF(ISNUMBER(iData!AB35),100*ABS($G35-(iData!AB35-$I35)/$M35),0),IF(iData!AB35&gt;tblIndicators!$AI31,100,IF(ISNUMBER(iData!AB35),100*ABS($G35-(iData!AB35-$I35)/$M35),0)),IF(iData!AB35&lt;0,100,IF(ISNUMBER(iData!AB35),100*ABS($G35-(iData!AB35-$I35)/$M35),0)))</f>
        <v>50</v>
      </c>
      <c r="AJ35" s="123" cm="1">
        <f t="array" ref="AJ35">CHOOSE($H35,SUMPRODUCT($O36:$O$75*AJ36:AJ$75*($E36:$E$75=$D35)),IF(ISNUMBER(iData!AC35),100*ABS($G35-(iData!AC35-$K35)/$M35),0),IF(ISNUMBER(iData!AC35),100*ABS($G35-(iData!AC35-$I35)/$M35),0),IF(iData!AC35&gt;tblIndicators!$AI31,100,IF(ISNUMBER(iData!AC35),100*ABS($G35-(iData!AC35-$I35)/$M35),0)),IF(iData!AC35&lt;0,100,IF(ISNUMBER(iData!AC35),100*ABS($G35-(iData!AC35-$I35)/$M35),0)))</f>
        <v>50</v>
      </c>
      <c r="AK35" s="123" cm="1">
        <f t="array" ref="AK35">CHOOSE($H35,SUMPRODUCT($O36:$O$75*AK36:AK$75*($E36:$E$75=$D35)),IF(ISNUMBER(iData!AD35),100*ABS($G35-(iData!AD35-$K35)/$M35),0),IF(ISNUMBER(iData!AD35),100*ABS($G35-(iData!AD35-$I35)/$M35),0),IF(iData!AD35&gt;tblIndicators!$AI31,100,IF(ISNUMBER(iData!AD35),100*ABS($G35-(iData!AD35-$I35)/$M35),0)),IF(iData!AD35&lt;0,100,IF(ISNUMBER(iData!AD35),100*ABS($G35-(iData!AD35-$I35)/$M35),0)))</f>
        <v>100</v>
      </c>
      <c r="AL35" s="123" cm="1">
        <f t="array" ref="AL35">CHOOSE($H35,SUMPRODUCT($O36:$O$75*AL36:AL$75*($E36:$E$75=$D35)),IF(ISNUMBER(iData!AE35),100*ABS($G35-(iData!AE35-$K35)/$M35),0),IF(ISNUMBER(iData!AE35),100*ABS($G35-(iData!AE35-$I35)/$M35),0),IF(iData!AE35&gt;tblIndicators!$AI31,100,IF(ISNUMBER(iData!AE35),100*ABS($G35-(iData!AE35-$I35)/$M35),0)),IF(iData!AE35&lt;0,100,IF(ISNUMBER(iData!AE35),100*ABS($G35-(iData!AE35-$I35)/$M35),0)))</f>
        <v>50</v>
      </c>
      <c r="AM35" s="123" cm="1">
        <f t="array" ref="AM35">CHOOSE($H35,SUMPRODUCT($O36:$O$75*AM36:AM$75*($E36:$E$75=$D35)),IF(ISNUMBER(iData!AF35),100*ABS($G35-(iData!AF35-$K35)/$M35),0),IF(ISNUMBER(iData!AF35),100*ABS($G35-(iData!AF35-$I35)/$M35),0),IF(iData!AF35&gt;tblIndicators!$AI31,100,IF(ISNUMBER(iData!AF35),100*ABS($G35-(iData!AF35-$I35)/$M35),0)),IF(iData!AF35&lt;0,100,IF(ISNUMBER(iData!AF35),100*ABS($G35-(iData!AF35-$I35)/$M35),0)))</f>
        <v>100</v>
      </c>
      <c r="AN35" s="123" cm="1">
        <f t="array" ref="AN35">CHOOSE($H35,SUMPRODUCT($O36:$O$75*AN36:AN$75*($E36:$E$75=$D35)),IF(ISNUMBER(iData!AG35),100*ABS($G35-(iData!AG35-$K35)/$M35),0),IF(ISNUMBER(iData!AG35),100*ABS($G35-(iData!AG35-$I35)/$M35),0),IF(iData!AG35&gt;tblIndicators!$AI31,100,IF(ISNUMBER(iData!AG35),100*ABS($G35-(iData!AG35-$I35)/$M35),0)),IF(iData!AG35&lt;0,100,IF(ISNUMBER(iData!AG35),100*ABS($G35-(iData!AG35-$I35)/$M35),0)))</f>
        <v>100</v>
      </c>
      <c r="AO35" s="123" cm="1">
        <f t="array" ref="AO35">CHOOSE($H35,SUMPRODUCT($O36:$O$75*AO36:AO$75*($E36:$E$75=$D35)),IF(ISNUMBER(iData!AH35),100*ABS($G35-(iData!AH35-$K35)/$M35),0),IF(ISNUMBER(iData!AH35),100*ABS($G35-(iData!AH35-$I35)/$M35),0),IF(iData!AH35&gt;tblIndicators!$AI31,100,IF(ISNUMBER(iData!AH35),100*ABS($G35-(iData!AH35-$I35)/$M35),0)),IF(iData!AH35&lt;0,100,IF(ISNUMBER(iData!AH35),100*ABS($G35-(iData!AH35-$I35)/$M35),0)))</f>
        <v>100</v>
      </c>
      <c r="AP35" s="123" cm="1">
        <f t="array" ref="AP35">CHOOSE($H35,SUMPRODUCT($O36:$O$75*AP36:AP$75*($E36:$E$75=$D35)),IF(ISNUMBER(iData!AI35),100*ABS($G35-(iData!AI35-$K35)/$M35),0),IF(ISNUMBER(iData!AI35),100*ABS($G35-(iData!AI35-$I35)/$M35),0),IF(iData!AI35&gt;tblIndicators!$AI31,100,IF(ISNUMBER(iData!AI35),100*ABS($G35-(iData!AI35-$I35)/$M35),0)),IF(iData!AI35&lt;0,100,IF(ISNUMBER(iData!AI35),100*ABS($G35-(iData!AI35-$I35)/$M35),0)))</f>
        <v>50</v>
      </c>
      <c r="AQ35" s="123" cm="1">
        <f t="array" ref="AQ35">CHOOSE($H35,SUMPRODUCT($O36:$O$75*AQ36:AQ$75*($E36:$E$75=$D35)),IF(ISNUMBER(iData!AJ35),100*ABS($G35-(iData!AJ35-$K35)/$M35),0),IF(ISNUMBER(iData!AJ35),100*ABS($G35-(iData!AJ35-$I35)/$M35),0),IF(iData!AJ35&gt;tblIndicators!$AI31,100,IF(ISNUMBER(iData!AJ35),100*ABS($G35-(iData!AJ35-$I35)/$M35),0)),IF(iData!AJ35&lt;0,100,IF(ISNUMBER(iData!AJ35),100*ABS($G35-(iData!AJ35-$I35)/$M35),0)))</f>
        <v>100</v>
      </c>
      <c r="AR35" s="123" cm="1">
        <f t="array" ref="AR35">CHOOSE($H35,SUMPRODUCT($O36:$O$75*AR36:AR$75*($E36:$E$75=$D35)),IF(ISNUMBER(iData!AK35),100*ABS($G35-(iData!AK35-$K35)/$M35),0),IF(ISNUMBER(iData!AK35),100*ABS($G35-(iData!AK35-$I35)/$M35),0),IF(iData!AK35&gt;tblIndicators!$AI31,100,IF(ISNUMBER(iData!AK35),100*ABS($G35-(iData!AK35-$I35)/$M35),0)),IF(iData!AK35&lt;0,100,IF(ISNUMBER(iData!AK35),100*ABS($G35-(iData!AK35-$I35)/$M35),0)))</f>
        <v>50</v>
      </c>
      <c r="AS35" s="123" cm="1">
        <f t="array" ref="AS35">CHOOSE($H35,SUMPRODUCT($O36:$O$75*AS36:AS$75*($E36:$E$75=$D35)),IF(ISNUMBER(iData!AL35),100*ABS($G35-(iData!AL35-$K35)/$M35),0),IF(ISNUMBER(iData!AL35),100*ABS($G35-(iData!AL35-$I35)/$M35),0),IF(iData!AL35&gt;tblIndicators!$AI31,100,IF(ISNUMBER(iData!AL35),100*ABS($G35-(iData!AL35-$I35)/$M35),0)),IF(iData!AL35&lt;0,100,IF(ISNUMBER(iData!AL35),100*ABS($G35-(iData!AL35-$I35)/$M35),0)))</f>
        <v>100</v>
      </c>
      <c r="AT35" s="123" cm="1">
        <f t="array" ref="AT35">CHOOSE($H35,SUMPRODUCT($O36:$O$75*AT36:AT$75*($E36:$E$75=$D35)),IF(ISNUMBER(iData!AM35),100*ABS($G35-(iData!AM35-$K35)/$M35),0),IF(ISNUMBER(iData!AM35),100*ABS($G35-(iData!AM35-$I35)/$M35),0),IF(iData!AM35&gt;tblIndicators!$AI31,100,IF(ISNUMBER(iData!AM35),100*ABS($G35-(iData!AM35-$I35)/$M35),0)),IF(iData!AM35&lt;0,100,IF(ISNUMBER(iData!AM35),100*ABS($G35-(iData!AM35-$I35)/$M35),0)))</f>
        <v>100</v>
      </c>
      <c r="AU35" s="123" cm="1">
        <f t="array" ref="AU35">CHOOSE($H35,SUMPRODUCT($O36:$O$75*AU36:AU$75*($E36:$E$75=$D35)),IF(ISNUMBER(iData!AN35),100*ABS($G35-(iData!AN35-$K35)/$M35),0),IF(ISNUMBER(iData!AN35),100*ABS($G35-(iData!AN35-$I35)/$M35),0),IF(iData!AN35&gt;tblIndicators!$AI31,100,IF(ISNUMBER(iData!AN35),100*ABS($G35-(iData!AN35-$I35)/$M35),0)),IF(iData!AN35&lt;0,100,IF(ISNUMBER(iData!AN35),100*ABS($G35-(iData!AN35-$I35)/$M35),0)))</f>
        <v>100</v>
      </c>
      <c r="AV35" s="367"/>
      <c r="AW35" s="368"/>
      <c r="AX35" s="14"/>
      <c r="AY35" s="871">
        <f t="shared" si="40"/>
        <v>100</v>
      </c>
      <c r="AZ35" s="871">
        <f t="shared" si="41"/>
        <v>0</v>
      </c>
      <c r="BA35" s="871">
        <f t="shared" si="42"/>
        <v>50</v>
      </c>
      <c r="BB35" s="871">
        <f t="shared" si="43"/>
        <v>100</v>
      </c>
      <c r="BC35" s="871">
        <f t="shared" si="44"/>
        <v>100</v>
      </c>
      <c r="BD35" s="871">
        <f t="shared" si="45"/>
        <v>50</v>
      </c>
      <c r="BE35" s="871">
        <f t="shared" si="46"/>
        <v>100</v>
      </c>
      <c r="BF35" s="871">
        <f t="shared" si="47"/>
        <v>100</v>
      </c>
      <c r="BG35" s="871">
        <f t="shared" si="48"/>
        <v>100</v>
      </c>
      <c r="BH35" s="871">
        <f t="shared" si="49"/>
        <v>50</v>
      </c>
      <c r="BI35" s="871">
        <f t="shared" si="50"/>
        <v>50</v>
      </c>
      <c r="BJ35" s="871">
        <f t="shared" si="51"/>
        <v>50</v>
      </c>
      <c r="BK35" s="871">
        <f t="shared" si="52"/>
        <v>0</v>
      </c>
      <c r="BL35" s="871">
        <f t="shared" si="53"/>
        <v>50</v>
      </c>
      <c r="BM35" s="871">
        <f t="shared" si="54"/>
        <v>100</v>
      </c>
      <c r="BN35" s="871">
        <f t="shared" si="55"/>
        <v>100</v>
      </c>
      <c r="BO35" s="871">
        <f t="shared" si="56"/>
        <v>50</v>
      </c>
      <c r="BP35" s="871">
        <f t="shared" si="57"/>
        <v>50</v>
      </c>
      <c r="BQ35" s="871">
        <f t="shared" si="58"/>
        <v>50</v>
      </c>
      <c r="BR35" s="871">
        <f t="shared" si="59"/>
        <v>100</v>
      </c>
      <c r="BS35" s="871">
        <f t="shared" si="60"/>
        <v>50</v>
      </c>
      <c r="BT35" s="871">
        <f t="shared" si="61"/>
        <v>100</v>
      </c>
      <c r="BU35" s="871">
        <f t="shared" si="62"/>
        <v>100</v>
      </c>
      <c r="BV35" s="871">
        <f t="shared" si="63"/>
        <v>100</v>
      </c>
      <c r="BW35" s="871">
        <f t="shared" si="64"/>
        <v>50</v>
      </c>
      <c r="BX35" s="871">
        <f t="shared" si="65"/>
        <v>100</v>
      </c>
      <c r="BY35" s="871">
        <f t="shared" si="66"/>
        <v>50</v>
      </c>
      <c r="BZ35" s="871">
        <f t="shared" si="67"/>
        <v>100</v>
      </c>
      <c r="CA35" s="871">
        <f t="shared" si="68"/>
        <v>100</v>
      </c>
      <c r="CB35" s="871">
        <f t="shared" si="69"/>
        <v>100</v>
      </c>
      <c r="CD35" s="304">
        <f t="shared" ca="1" si="103"/>
        <v>73.3</v>
      </c>
      <c r="CE35" s="304">
        <f t="shared" ca="1" si="103"/>
        <v>73.3</v>
      </c>
      <c r="CF35" s="304">
        <f t="shared" ca="1" si="103"/>
        <v>54.2</v>
      </c>
      <c r="CG35" s="302">
        <f t="shared" ca="1" si="103"/>
        <v>85</v>
      </c>
      <c r="CH35" s="302">
        <f t="shared" ca="1" si="103"/>
        <v>83.3</v>
      </c>
      <c r="CI35" s="302">
        <f t="shared" ca="1" si="103"/>
        <v>50</v>
      </c>
      <c r="CJ35" s="302">
        <f t="shared" ca="1" si="103"/>
        <v>100</v>
      </c>
      <c r="CK35" s="302">
        <f t="shared" ca="1" si="103"/>
        <v>33.299999999999997</v>
      </c>
      <c r="CL35" s="302">
        <f t="shared" ca="1" si="103"/>
        <v>75</v>
      </c>
      <c r="CM35" s="302">
        <f t="shared" ca="1" si="103"/>
        <v>78.599999999999994</v>
      </c>
      <c r="CN35" s="302">
        <f t="shared" ca="1" si="101"/>
        <v>75</v>
      </c>
      <c r="CO35" s="302">
        <f t="shared" ca="1" si="101"/>
        <v>77.8</v>
      </c>
      <c r="CP35" s="302">
        <f t="shared" ca="1" si="101"/>
        <v>62.5</v>
      </c>
      <c r="CQ35" s="302">
        <f t="shared" ca="1" si="101"/>
        <v>72.2</v>
      </c>
    </row>
    <row r="36" spans="1:95" s="124" customFormat="1" ht="27.75" customHeight="1" thickBot="1">
      <c r="A36" s="118"/>
      <c r="B36" s="119">
        <f>tblIndicators!A32</f>
        <v>31</v>
      </c>
      <c r="C36" s="119">
        <f>tblIndicators!B32</f>
        <v>0</v>
      </c>
      <c r="D36" s="119" t="str">
        <f>tblIndicators!E32</f>
        <v>SERV2_4_3</v>
      </c>
      <c r="E36" s="119" t="str">
        <f>tblIndicators!F32</f>
        <v>SERV2_4</v>
      </c>
      <c r="F36" s="119">
        <f>tblIndicators!G32</f>
        <v>3</v>
      </c>
      <c r="G36" s="119">
        <f>tblIndicators!AF32</f>
        <v>0</v>
      </c>
      <c r="H36" s="119">
        <f>tblIndicators!AG32</f>
        <v>3</v>
      </c>
      <c r="I36" s="120">
        <f>tblIndicators!AH32</f>
        <v>0</v>
      </c>
      <c r="J36" s="119">
        <f>tblIndicators!AI32</f>
        <v>2</v>
      </c>
      <c r="K36" s="119">
        <f t="array" ref="K36">MIN(IF(ISNUMBER(iData!K36:AN36),iData!K36:AN36))</f>
        <v>0</v>
      </c>
      <c r="L36" s="121">
        <f t="array" ref="L36">MAX(IF(ISNUMBER(iData!K36:AN36),iData!K36:AN36))</f>
        <v>2</v>
      </c>
      <c r="M36" s="51">
        <f t="shared" si="7"/>
        <v>2</v>
      </c>
      <c r="N36" s="122" t="str">
        <f>REPT(" ",F36)&amp;tblIndicators!AM32</f>
        <v xml:space="preserve">   2.4.3) Pandemic-related applications</v>
      </c>
      <c r="O36" s="381">
        <f>tblIndicators!AR32</f>
        <v>0.31578947368421051</v>
      </c>
      <c r="P36" s="381"/>
      <c r="Q36" s="323"/>
      <c r="R36" s="123" cm="1">
        <f t="array" ref="R36">CHOOSE($H36,SUMPRODUCT($O37:$O$75*R37:R$75*($E37:$E$75=$D36)),IF(ISNUMBER(iData!K36),100*ABS($G36-(iData!K36-$K36)/$M36),0),IF(ISNUMBER(iData!K36),100*ABS($G36-(iData!K36-$I36)/$M36),0),IF(iData!K36&gt;tblIndicators!$AI32,100,IF(ISNUMBER(iData!K36),100*ABS($G36-(iData!K36-$I36)/$M36),0)),IF(iData!K36&lt;0,100,IF(ISNUMBER(iData!K36),100*ABS($G36-(iData!K36-$I36)/$M36),0)))</f>
        <v>100</v>
      </c>
      <c r="S36" s="123" cm="1">
        <f t="array" ref="S36">CHOOSE($H36,SUMPRODUCT($O37:$O$75*S37:S$75*($E37:$E$75=$D36)),IF(ISNUMBER(iData!L36),100*ABS($G36-(iData!L36-$K36)/$M36),0),IF(ISNUMBER(iData!L36),100*ABS($G36-(iData!L36-$I36)/$M36),0),IF(iData!L36&gt;tblIndicators!$AI32,100,IF(ISNUMBER(iData!L36),100*ABS($G36-(iData!L36-$I36)/$M36),0)),IF(iData!L36&lt;0,100,IF(ISNUMBER(iData!L36),100*ABS($G36-(iData!L36-$I36)/$M36),0)))</f>
        <v>100</v>
      </c>
      <c r="T36" s="123" cm="1">
        <f t="array" ref="T36">CHOOSE($H36,SUMPRODUCT($O37:$O$75*T37:T$75*($E37:$E$75=$D36)),IF(ISNUMBER(iData!M36),100*ABS($G36-(iData!M36-$K36)/$M36),0),IF(ISNUMBER(iData!M36),100*ABS($G36-(iData!M36-$I36)/$M36),0),IF(iData!M36&gt;tblIndicators!$AI32,100,IF(ISNUMBER(iData!M36),100*ABS($G36-(iData!M36-$I36)/$M36),0)),IF(iData!M36&lt;0,100,IF(ISNUMBER(iData!M36),100*ABS($G36-(iData!M36-$I36)/$M36),0)))</f>
        <v>100</v>
      </c>
      <c r="U36" s="123" cm="1">
        <f t="array" ref="U36">CHOOSE($H36,SUMPRODUCT($O37:$O$75*U37:U$75*($E37:$E$75=$D36)),IF(ISNUMBER(iData!N36),100*ABS($G36-(iData!N36-$K36)/$M36),0),IF(ISNUMBER(iData!N36),100*ABS($G36-(iData!N36-$I36)/$M36),0),IF(iData!N36&gt;tblIndicators!$AI32,100,IF(ISNUMBER(iData!N36),100*ABS($G36-(iData!N36-$I36)/$M36),0)),IF(iData!N36&lt;0,100,IF(ISNUMBER(iData!N36),100*ABS($G36-(iData!N36-$I36)/$M36),0)))</f>
        <v>100</v>
      </c>
      <c r="V36" s="123" cm="1">
        <f t="array" ref="V36">CHOOSE($H36,SUMPRODUCT($O37:$O$75*V37:V$75*($E37:$E$75=$D36)),IF(ISNUMBER(iData!O36),100*ABS($G36-(iData!O36-$K36)/$M36),0),IF(ISNUMBER(iData!O36),100*ABS($G36-(iData!O36-$I36)/$M36),0),IF(iData!O36&gt;tblIndicators!$AI32,100,IF(ISNUMBER(iData!O36),100*ABS($G36-(iData!O36-$I36)/$M36),0)),IF(iData!O36&lt;0,100,IF(ISNUMBER(iData!O36),100*ABS($G36-(iData!O36-$I36)/$M36),0)))</f>
        <v>100</v>
      </c>
      <c r="W36" s="123" cm="1">
        <f t="array" ref="W36">CHOOSE($H36,SUMPRODUCT($O37:$O$75*W37:W$75*($E37:$E$75=$D36)),IF(ISNUMBER(iData!P36),100*ABS($G36-(iData!P36-$K36)/$M36),0),IF(ISNUMBER(iData!P36),100*ABS($G36-(iData!P36-$I36)/$M36),0),IF(iData!P36&gt;tblIndicators!$AI32,100,IF(ISNUMBER(iData!P36),100*ABS($G36-(iData!P36-$I36)/$M36),0)),IF(iData!P36&lt;0,100,IF(ISNUMBER(iData!P36),100*ABS($G36-(iData!P36-$I36)/$M36),0)))</f>
        <v>100</v>
      </c>
      <c r="X36" s="123" cm="1">
        <f t="array" ref="X36">CHOOSE($H36,SUMPRODUCT($O37:$O$75*X37:X$75*($E37:$E$75=$D36)),IF(ISNUMBER(iData!Q36),100*ABS($G36-(iData!Q36-$K36)/$M36),0),IF(ISNUMBER(iData!Q36),100*ABS($G36-(iData!Q36-$I36)/$M36),0),IF(iData!Q36&gt;tblIndicators!$AI32,100,IF(ISNUMBER(iData!Q36),100*ABS($G36-(iData!Q36-$I36)/$M36),0)),IF(iData!Q36&lt;0,100,IF(ISNUMBER(iData!Q36),100*ABS($G36-(iData!Q36-$I36)/$M36),0)))</f>
        <v>50</v>
      </c>
      <c r="Y36" s="123" cm="1">
        <f t="array" ref="Y36">CHOOSE($H36,SUMPRODUCT($O37:$O$75*Y37:Y$75*($E37:$E$75=$D36)),IF(ISNUMBER(iData!R36),100*ABS($G36-(iData!R36-$K36)/$M36),0),IF(ISNUMBER(iData!R36),100*ABS($G36-(iData!R36-$I36)/$M36),0),IF(iData!R36&gt;tblIndicators!$AI32,100,IF(ISNUMBER(iData!R36),100*ABS($G36-(iData!R36-$I36)/$M36),0)),IF(iData!R36&lt;0,100,IF(ISNUMBER(iData!R36),100*ABS($G36-(iData!R36-$I36)/$M36),0)))</f>
        <v>100</v>
      </c>
      <c r="Z36" s="123" cm="1">
        <f t="array" ref="Z36">CHOOSE($H36,SUMPRODUCT($O37:$O$75*Z37:Z$75*($E37:$E$75=$D36)),IF(ISNUMBER(iData!S36),100*ABS($G36-(iData!S36-$K36)/$M36),0),IF(ISNUMBER(iData!S36),100*ABS($G36-(iData!S36-$I36)/$M36),0),IF(iData!S36&gt;tblIndicators!$AI32,100,IF(ISNUMBER(iData!S36),100*ABS($G36-(iData!S36-$I36)/$M36),0)),IF(iData!S36&lt;0,100,IF(ISNUMBER(iData!S36),100*ABS($G36-(iData!S36-$I36)/$M36),0)))</f>
        <v>100</v>
      </c>
      <c r="AA36" s="123" cm="1">
        <f t="array" ref="AA36">CHOOSE($H36,SUMPRODUCT($O37:$O$75*AA37:AA$75*($E37:$E$75=$D36)),IF(ISNUMBER(iData!T36),100*ABS($G36-(iData!T36-$K36)/$M36),0),IF(ISNUMBER(iData!T36),100*ABS($G36-(iData!T36-$I36)/$M36),0),IF(iData!T36&gt;tblIndicators!$AI32,100,IF(ISNUMBER(iData!T36),100*ABS($G36-(iData!T36-$I36)/$M36),0)),IF(iData!T36&lt;0,100,IF(ISNUMBER(iData!T36),100*ABS($G36-(iData!T36-$I36)/$M36),0)))</f>
        <v>100</v>
      </c>
      <c r="AB36" s="123" cm="1">
        <f t="array" ref="AB36">CHOOSE($H36,SUMPRODUCT($O37:$O$75*AB37:AB$75*($E37:$E$75=$D36)),IF(ISNUMBER(iData!U36),100*ABS($G36-(iData!U36-$K36)/$M36),0),IF(ISNUMBER(iData!U36),100*ABS($G36-(iData!U36-$I36)/$M36),0),IF(iData!U36&gt;tblIndicators!$AI32,100,IF(ISNUMBER(iData!U36),100*ABS($G36-(iData!U36-$I36)/$M36),0)),IF(iData!U36&lt;0,100,IF(ISNUMBER(iData!U36),100*ABS($G36-(iData!U36-$I36)/$M36),0)))</f>
        <v>100</v>
      </c>
      <c r="AC36" s="123" cm="1">
        <f t="array" ref="AC36">CHOOSE($H36,SUMPRODUCT($O37:$O$75*AC37:AC$75*($E37:$E$75=$D36)),IF(ISNUMBER(iData!V36),100*ABS($G36-(iData!V36-$K36)/$M36),0),IF(ISNUMBER(iData!V36),100*ABS($G36-(iData!V36-$I36)/$M36),0),IF(iData!V36&gt;tblIndicators!$AI32,100,IF(ISNUMBER(iData!V36),100*ABS($G36-(iData!V36-$I36)/$M36),0)),IF(iData!V36&lt;0,100,IF(ISNUMBER(iData!V36),100*ABS($G36-(iData!V36-$I36)/$M36),0)))</f>
        <v>100</v>
      </c>
      <c r="AD36" s="123" cm="1">
        <f t="array" ref="AD36">CHOOSE($H36,SUMPRODUCT($O37:$O$75*AD37:AD$75*($E37:$E$75=$D36)),IF(ISNUMBER(iData!W36),100*ABS($G36-(iData!W36-$K36)/$M36),0),IF(ISNUMBER(iData!W36),100*ABS($G36-(iData!W36-$I36)/$M36),0),IF(iData!W36&gt;tblIndicators!$AI32,100,IF(ISNUMBER(iData!W36),100*ABS($G36-(iData!W36-$I36)/$M36),0)),IF(iData!W36&lt;0,100,IF(ISNUMBER(iData!W36),100*ABS($G36-(iData!W36-$I36)/$M36),0)))</f>
        <v>100</v>
      </c>
      <c r="AE36" s="123" cm="1">
        <f t="array" ref="AE36">CHOOSE($H36,SUMPRODUCT($O37:$O$75*AE37:AE$75*($E37:$E$75=$D36)),IF(ISNUMBER(iData!X36),100*ABS($G36-(iData!X36-$K36)/$M36),0),IF(ISNUMBER(iData!X36),100*ABS($G36-(iData!X36-$I36)/$M36),0),IF(iData!X36&gt;tblIndicators!$AI32,100,IF(ISNUMBER(iData!X36),100*ABS($G36-(iData!X36-$I36)/$M36),0)),IF(iData!X36&lt;0,100,IF(ISNUMBER(iData!X36),100*ABS($G36-(iData!X36-$I36)/$M36),0)))</f>
        <v>100</v>
      </c>
      <c r="AF36" s="123" cm="1">
        <f t="array" ref="AF36">CHOOSE($H36,SUMPRODUCT($O37:$O$75*AF37:AF$75*($E37:$E$75=$D36)),IF(ISNUMBER(iData!Y36),100*ABS($G36-(iData!Y36-$K36)/$M36),0),IF(ISNUMBER(iData!Y36),100*ABS($G36-(iData!Y36-$I36)/$M36),0),IF(iData!Y36&gt;tblIndicators!$AI32,100,IF(ISNUMBER(iData!Y36),100*ABS($G36-(iData!Y36-$I36)/$M36),0)),IF(iData!Y36&lt;0,100,IF(ISNUMBER(iData!Y36),100*ABS($G36-(iData!Y36-$I36)/$M36),0)))</f>
        <v>100</v>
      </c>
      <c r="AG36" s="123" cm="1">
        <f t="array" ref="AG36">CHOOSE($H36,SUMPRODUCT($O37:$O$75*AG37:AG$75*($E37:$E$75=$D36)),IF(ISNUMBER(iData!Z36),100*ABS($G36-(iData!Z36-$K36)/$M36),0),IF(ISNUMBER(iData!Z36),100*ABS($G36-(iData!Z36-$I36)/$M36),0),IF(iData!Z36&gt;tblIndicators!$AI32,100,IF(ISNUMBER(iData!Z36),100*ABS($G36-(iData!Z36-$I36)/$M36),0)),IF(iData!Z36&lt;0,100,IF(ISNUMBER(iData!Z36),100*ABS($G36-(iData!Z36-$I36)/$M36),0)))</f>
        <v>100</v>
      </c>
      <c r="AH36" s="123" cm="1">
        <f t="array" ref="AH36">CHOOSE($H36,SUMPRODUCT($O37:$O$75*AH37:AH$75*($E37:$E$75=$D36)),IF(ISNUMBER(iData!AA36),100*ABS($G36-(iData!AA36-$K36)/$M36),0),IF(ISNUMBER(iData!AA36),100*ABS($G36-(iData!AA36-$I36)/$M36),0),IF(iData!AA36&gt;tblIndicators!$AI32,100,IF(ISNUMBER(iData!AA36),100*ABS($G36-(iData!AA36-$I36)/$M36),0)),IF(iData!AA36&lt;0,100,IF(ISNUMBER(iData!AA36),100*ABS($G36-(iData!AA36-$I36)/$M36),0)))</f>
        <v>100</v>
      </c>
      <c r="AI36" s="123" cm="1">
        <f t="array" ref="AI36">CHOOSE($H36,SUMPRODUCT($O37:$O$75*AI37:AI$75*($E37:$E$75=$D36)),IF(ISNUMBER(iData!AB36),100*ABS($G36-(iData!AB36-$K36)/$M36),0),IF(ISNUMBER(iData!AB36),100*ABS($G36-(iData!AB36-$I36)/$M36),0),IF(iData!AB36&gt;tblIndicators!$AI32,100,IF(ISNUMBER(iData!AB36),100*ABS($G36-(iData!AB36-$I36)/$M36),0)),IF(iData!AB36&lt;0,100,IF(ISNUMBER(iData!AB36),100*ABS($G36-(iData!AB36-$I36)/$M36),0)))</f>
        <v>0</v>
      </c>
      <c r="AJ36" s="123" cm="1">
        <f t="array" ref="AJ36">CHOOSE($H36,SUMPRODUCT($O37:$O$75*AJ37:AJ$75*($E37:$E$75=$D36)),IF(ISNUMBER(iData!AC36),100*ABS($G36-(iData!AC36-$K36)/$M36),0),IF(ISNUMBER(iData!AC36),100*ABS($G36-(iData!AC36-$I36)/$M36),0),IF(iData!AC36&gt;tblIndicators!$AI32,100,IF(ISNUMBER(iData!AC36),100*ABS($G36-(iData!AC36-$I36)/$M36),0)),IF(iData!AC36&lt;0,100,IF(ISNUMBER(iData!AC36),100*ABS($G36-(iData!AC36-$I36)/$M36),0)))</f>
        <v>100</v>
      </c>
      <c r="AK36" s="123" cm="1">
        <f t="array" ref="AK36">CHOOSE($H36,SUMPRODUCT($O37:$O$75*AK37:AK$75*($E37:$E$75=$D36)),IF(ISNUMBER(iData!AD36),100*ABS($G36-(iData!AD36-$K36)/$M36),0),IF(ISNUMBER(iData!AD36),100*ABS($G36-(iData!AD36-$I36)/$M36),0),IF(iData!AD36&gt;tblIndicators!$AI32,100,IF(ISNUMBER(iData!AD36),100*ABS($G36-(iData!AD36-$I36)/$M36),0)),IF(iData!AD36&lt;0,100,IF(ISNUMBER(iData!AD36),100*ABS($G36-(iData!AD36-$I36)/$M36),0)))</f>
        <v>100</v>
      </c>
      <c r="AL36" s="123" cm="1">
        <f t="array" ref="AL36">CHOOSE($H36,SUMPRODUCT($O37:$O$75*AL37:AL$75*($E37:$E$75=$D36)),IF(ISNUMBER(iData!AE36),100*ABS($G36-(iData!AE36-$K36)/$M36),0),IF(ISNUMBER(iData!AE36),100*ABS($G36-(iData!AE36-$I36)/$M36),0),IF(iData!AE36&gt;tblIndicators!$AI32,100,IF(ISNUMBER(iData!AE36),100*ABS($G36-(iData!AE36-$I36)/$M36),0)),IF(iData!AE36&lt;0,100,IF(ISNUMBER(iData!AE36),100*ABS($G36-(iData!AE36-$I36)/$M36),0)))</f>
        <v>100</v>
      </c>
      <c r="AM36" s="123" cm="1">
        <f t="array" ref="AM36">CHOOSE($H36,SUMPRODUCT($O37:$O$75*AM37:AM$75*($E37:$E$75=$D36)),IF(ISNUMBER(iData!AF36),100*ABS($G36-(iData!AF36-$K36)/$M36),0),IF(ISNUMBER(iData!AF36),100*ABS($G36-(iData!AF36-$I36)/$M36),0),IF(iData!AF36&gt;tblIndicators!$AI32,100,IF(ISNUMBER(iData!AF36),100*ABS($G36-(iData!AF36-$I36)/$M36),0)),IF(iData!AF36&lt;0,100,IF(ISNUMBER(iData!AF36),100*ABS($G36-(iData!AF36-$I36)/$M36),0)))</f>
        <v>100</v>
      </c>
      <c r="AN36" s="123" cm="1">
        <f t="array" ref="AN36">CHOOSE($H36,SUMPRODUCT($O37:$O$75*AN37:AN$75*($E37:$E$75=$D36)),IF(ISNUMBER(iData!AG36),100*ABS($G36-(iData!AG36-$K36)/$M36),0),IF(ISNUMBER(iData!AG36),100*ABS($G36-(iData!AG36-$I36)/$M36),0),IF(iData!AG36&gt;tblIndicators!$AI32,100,IF(ISNUMBER(iData!AG36),100*ABS($G36-(iData!AG36-$I36)/$M36),0)),IF(iData!AG36&lt;0,100,IF(ISNUMBER(iData!AG36),100*ABS($G36-(iData!AG36-$I36)/$M36),0)))</f>
        <v>0</v>
      </c>
      <c r="AO36" s="123" cm="1">
        <f t="array" ref="AO36">CHOOSE($H36,SUMPRODUCT($O37:$O$75*AO37:AO$75*($E37:$E$75=$D36)),IF(ISNUMBER(iData!AH36),100*ABS($G36-(iData!AH36-$K36)/$M36),0),IF(ISNUMBER(iData!AH36),100*ABS($G36-(iData!AH36-$I36)/$M36),0),IF(iData!AH36&gt;tblIndicators!$AI32,100,IF(ISNUMBER(iData!AH36),100*ABS($G36-(iData!AH36-$I36)/$M36),0)),IF(iData!AH36&lt;0,100,IF(ISNUMBER(iData!AH36),100*ABS($G36-(iData!AH36-$I36)/$M36),0)))</f>
        <v>0</v>
      </c>
      <c r="AP36" s="123" cm="1">
        <f t="array" ref="AP36">CHOOSE($H36,SUMPRODUCT($O37:$O$75*AP37:AP$75*($E37:$E$75=$D36)),IF(ISNUMBER(iData!AI36),100*ABS($G36-(iData!AI36-$K36)/$M36),0),IF(ISNUMBER(iData!AI36),100*ABS($G36-(iData!AI36-$I36)/$M36),0),IF(iData!AI36&gt;tblIndicators!$AI32,100,IF(ISNUMBER(iData!AI36),100*ABS($G36-(iData!AI36-$I36)/$M36),0)),IF(iData!AI36&lt;0,100,IF(ISNUMBER(iData!AI36),100*ABS($G36-(iData!AI36-$I36)/$M36),0)))</f>
        <v>100</v>
      </c>
      <c r="AQ36" s="123" cm="1">
        <f t="array" ref="AQ36">CHOOSE($H36,SUMPRODUCT($O37:$O$75*AQ37:AQ$75*($E37:$E$75=$D36)),IF(ISNUMBER(iData!AJ36),100*ABS($G36-(iData!AJ36-$K36)/$M36),0),IF(ISNUMBER(iData!AJ36),100*ABS($G36-(iData!AJ36-$I36)/$M36),0),IF(iData!AJ36&gt;tblIndicators!$AI32,100,IF(ISNUMBER(iData!AJ36),100*ABS($G36-(iData!AJ36-$I36)/$M36),0)),IF(iData!AJ36&lt;0,100,IF(ISNUMBER(iData!AJ36),100*ABS($G36-(iData!AJ36-$I36)/$M36),0)))</f>
        <v>100</v>
      </c>
      <c r="AR36" s="123" cm="1">
        <f t="array" ref="AR36">CHOOSE($H36,SUMPRODUCT($O37:$O$75*AR37:AR$75*($E37:$E$75=$D36)),IF(ISNUMBER(iData!AK36),100*ABS($G36-(iData!AK36-$K36)/$M36),0),IF(ISNUMBER(iData!AK36),100*ABS($G36-(iData!AK36-$I36)/$M36),0),IF(iData!AK36&gt;tblIndicators!$AI32,100,IF(ISNUMBER(iData!AK36),100*ABS($G36-(iData!AK36-$I36)/$M36),0)),IF(iData!AK36&lt;0,100,IF(ISNUMBER(iData!AK36),100*ABS($G36-(iData!AK36-$I36)/$M36),0)))</f>
        <v>100</v>
      </c>
      <c r="AS36" s="123" cm="1">
        <f t="array" ref="AS36">CHOOSE($H36,SUMPRODUCT($O37:$O$75*AS37:AS$75*($E37:$E$75=$D36)),IF(ISNUMBER(iData!AL36),100*ABS($G36-(iData!AL36-$K36)/$M36),0),IF(ISNUMBER(iData!AL36),100*ABS($G36-(iData!AL36-$I36)/$M36),0),IF(iData!AL36&gt;tblIndicators!$AI32,100,IF(ISNUMBER(iData!AL36),100*ABS($G36-(iData!AL36-$I36)/$M36),0)),IF(iData!AL36&lt;0,100,IF(ISNUMBER(iData!AL36),100*ABS($G36-(iData!AL36-$I36)/$M36),0)))</f>
        <v>100</v>
      </c>
      <c r="AT36" s="123" cm="1">
        <f t="array" ref="AT36">CHOOSE($H36,SUMPRODUCT($O37:$O$75*AT37:AT$75*($E37:$E$75=$D36)),IF(ISNUMBER(iData!AM36),100*ABS($G36-(iData!AM36-$K36)/$M36),0),IF(ISNUMBER(iData!AM36),100*ABS($G36-(iData!AM36-$I36)/$M36),0),IF(iData!AM36&gt;tblIndicators!$AI32,100,IF(ISNUMBER(iData!AM36),100*ABS($G36-(iData!AM36-$I36)/$M36),0)),IF(iData!AM36&lt;0,100,IF(ISNUMBER(iData!AM36),100*ABS($G36-(iData!AM36-$I36)/$M36),0)))</f>
        <v>100</v>
      </c>
      <c r="AU36" s="123" cm="1">
        <f t="array" ref="AU36">CHOOSE($H36,SUMPRODUCT($O37:$O$75*AU37:AU$75*($E37:$E$75=$D36)),IF(ISNUMBER(iData!AN36),100*ABS($G36-(iData!AN36-$K36)/$M36),0),IF(ISNUMBER(iData!AN36),100*ABS($G36-(iData!AN36-$I36)/$M36),0),IF(iData!AN36&gt;tblIndicators!$AI32,100,IF(ISNUMBER(iData!AN36),100*ABS($G36-(iData!AN36-$I36)/$M36),0)),IF(iData!AN36&lt;0,100,IF(ISNUMBER(iData!AN36),100*ABS($G36-(iData!AN36-$I36)/$M36),0)))</f>
        <v>100</v>
      </c>
      <c r="AV36" s="367"/>
      <c r="AW36" s="368"/>
      <c r="AX36" s="14"/>
      <c r="AY36" s="871">
        <f t="shared" si="40"/>
        <v>100</v>
      </c>
      <c r="AZ36" s="871">
        <f t="shared" si="41"/>
        <v>100</v>
      </c>
      <c r="BA36" s="871">
        <f t="shared" si="42"/>
        <v>100</v>
      </c>
      <c r="BB36" s="871">
        <f t="shared" si="43"/>
        <v>100</v>
      </c>
      <c r="BC36" s="871">
        <f t="shared" si="44"/>
        <v>100</v>
      </c>
      <c r="BD36" s="871">
        <f t="shared" si="45"/>
        <v>100</v>
      </c>
      <c r="BE36" s="871">
        <f t="shared" si="46"/>
        <v>50</v>
      </c>
      <c r="BF36" s="871">
        <f t="shared" si="47"/>
        <v>100</v>
      </c>
      <c r="BG36" s="871">
        <f t="shared" si="48"/>
        <v>100</v>
      </c>
      <c r="BH36" s="871">
        <f t="shared" si="49"/>
        <v>100</v>
      </c>
      <c r="BI36" s="871">
        <f t="shared" si="50"/>
        <v>100</v>
      </c>
      <c r="BJ36" s="871">
        <f t="shared" si="51"/>
        <v>100</v>
      </c>
      <c r="BK36" s="871">
        <f t="shared" si="52"/>
        <v>100</v>
      </c>
      <c r="BL36" s="871">
        <f t="shared" si="53"/>
        <v>100</v>
      </c>
      <c r="BM36" s="871">
        <f t="shared" si="54"/>
        <v>100</v>
      </c>
      <c r="BN36" s="871">
        <f t="shared" si="55"/>
        <v>100</v>
      </c>
      <c r="BO36" s="871">
        <f t="shared" si="56"/>
        <v>100</v>
      </c>
      <c r="BP36" s="871">
        <f t="shared" si="57"/>
        <v>0</v>
      </c>
      <c r="BQ36" s="871">
        <f t="shared" si="58"/>
        <v>100</v>
      </c>
      <c r="BR36" s="871">
        <f t="shared" si="59"/>
        <v>100</v>
      </c>
      <c r="BS36" s="871">
        <f t="shared" si="60"/>
        <v>100</v>
      </c>
      <c r="BT36" s="871">
        <f t="shared" si="61"/>
        <v>100</v>
      </c>
      <c r="BU36" s="871">
        <f t="shared" si="62"/>
        <v>0</v>
      </c>
      <c r="BV36" s="871">
        <f t="shared" si="63"/>
        <v>0</v>
      </c>
      <c r="BW36" s="871">
        <f t="shared" si="64"/>
        <v>100</v>
      </c>
      <c r="BX36" s="871">
        <f t="shared" si="65"/>
        <v>100</v>
      </c>
      <c r="BY36" s="871">
        <f t="shared" si="66"/>
        <v>100</v>
      </c>
      <c r="BZ36" s="871">
        <f t="shared" si="67"/>
        <v>100</v>
      </c>
      <c r="CA36" s="871">
        <f t="shared" si="68"/>
        <v>100</v>
      </c>
      <c r="CB36" s="871">
        <f t="shared" si="69"/>
        <v>100</v>
      </c>
      <c r="CD36" s="304">
        <f t="shared" ca="1" si="103"/>
        <v>88.3</v>
      </c>
      <c r="CE36" s="304">
        <f t="shared" ca="1" si="103"/>
        <v>88.3</v>
      </c>
      <c r="CF36" s="304">
        <f t="shared" ca="1" si="103"/>
        <v>91.7</v>
      </c>
      <c r="CG36" s="302">
        <f t="shared" ca="1" si="103"/>
        <v>100</v>
      </c>
      <c r="CH36" s="302">
        <f t="shared" ca="1" si="103"/>
        <v>16.7</v>
      </c>
      <c r="CI36" s="302">
        <f t="shared" ca="1" si="103"/>
        <v>100</v>
      </c>
      <c r="CJ36" s="302">
        <f t="shared" ca="1" si="103"/>
        <v>100</v>
      </c>
      <c r="CK36" s="302">
        <f t="shared" ca="1" si="103"/>
        <v>100</v>
      </c>
      <c r="CL36" s="302">
        <f t="shared" ca="1" si="103"/>
        <v>58.3</v>
      </c>
      <c r="CM36" s="302">
        <f t="shared" ca="1" si="103"/>
        <v>95.2</v>
      </c>
      <c r="CN36" s="302">
        <f t="shared" ca="1" si="101"/>
        <v>100</v>
      </c>
      <c r="CO36" s="302">
        <f t="shared" ca="1" si="101"/>
        <v>100</v>
      </c>
      <c r="CP36" s="302">
        <f t="shared" ca="1" si="101"/>
        <v>100</v>
      </c>
      <c r="CQ36" s="302">
        <f t="shared" ca="1" si="101"/>
        <v>61.1</v>
      </c>
    </row>
    <row r="37" spans="1:95" s="124" customFormat="1" ht="27.75" customHeight="1" thickBot="1">
      <c r="A37" s="118"/>
      <c r="B37" s="119">
        <f>tblIndicators!A33</f>
        <v>32</v>
      </c>
      <c r="C37" s="119">
        <f>tblIndicators!B33</f>
        <v>0</v>
      </c>
      <c r="D37" s="119" t="str">
        <f>tblIndicators!E33</f>
        <v>SERV2_5</v>
      </c>
      <c r="E37" s="119" t="str">
        <f>tblIndicators!F33</f>
        <v>SERV</v>
      </c>
      <c r="F37" s="119">
        <f>tblIndicators!G33</f>
        <v>2</v>
      </c>
      <c r="G37" s="119">
        <f>tblIndicators!AF33</f>
        <v>0</v>
      </c>
      <c r="H37" s="119">
        <f>tblIndicators!AG33</f>
        <v>1</v>
      </c>
      <c r="I37" s="120">
        <f>tblIndicators!AH33</f>
        <v>0</v>
      </c>
      <c r="J37" s="119">
        <f>tblIndicators!AI33</f>
        <v>0</v>
      </c>
      <c r="K37" s="119">
        <f t="array" ref="K37">MIN(IF(ISNUMBER(iData!K37:AN37),iData!K37:AN37))</f>
        <v>0</v>
      </c>
      <c r="L37" s="121">
        <f t="array" ref="L37">MAX(IF(ISNUMBER(iData!K37:AN37),iData!K37:AN37))</f>
        <v>0</v>
      </c>
      <c r="M37" s="51" t="str">
        <f t="shared" si="7"/>
        <v>-</v>
      </c>
      <c r="N37" s="122" t="str">
        <f>REPT(" ",F37)&amp;tblIndicators!AM33</f>
        <v xml:space="preserve">  2.5) Education</v>
      </c>
      <c r="O37" s="381">
        <f>tblIndicators!AR33</f>
        <v>0.15384615384615385</v>
      </c>
      <c r="P37" s="381"/>
      <c r="Q37" s="323"/>
      <c r="R37" s="123" cm="1">
        <f t="array" ref="R37">CHOOSE($H37,SUMPRODUCT($O38:$O$75*R38:R$75*($E38:$E$75=$D37)),IF(ISNUMBER(iData!K37),100*ABS($G37-(iData!K37-$K37)/$M37),0),IF(ISNUMBER(iData!K37),100*ABS($G37-(iData!K37-$I37)/$M37),0),IF(iData!K37&gt;tblIndicators!$AI33,100,IF(ISNUMBER(iData!K37),100*ABS($G37-(iData!K37-$I37)/$M37),0)),IF(iData!K37&lt;0,100,IF(ISNUMBER(iData!K37),100*ABS($G37-(iData!K37-$I37)/$M37),0)))</f>
        <v>100</v>
      </c>
      <c r="S37" s="123" cm="1">
        <f t="array" ref="S37">CHOOSE($H37,SUMPRODUCT($O38:$O$75*S38:S$75*($E38:$E$75=$D37)),IF(ISNUMBER(iData!L37),100*ABS($G37-(iData!L37-$K37)/$M37),0),IF(ISNUMBER(iData!L37),100*ABS($G37-(iData!L37-$I37)/$M37),0),IF(iData!L37&gt;tblIndicators!$AI33,100,IF(ISNUMBER(iData!L37),100*ABS($G37-(iData!L37-$I37)/$M37),0)),IF(iData!L37&lt;0,100,IF(ISNUMBER(iData!L37),100*ABS($G37-(iData!L37-$I37)/$M37),0)))</f>
        <v>50</v>
      </c>
      <c r="T37" s="123" cm="1">
        <f t="array" ref="T37">CHOOSE($H37,SUMPRODUCT($O38:$O$75*T38:T$75*($E38:$E$75=$D37)),IF(ISNUMBER(iData!M37),100*ABS($G37-(iData!M37-$K37)/$M37),0),IF(ISNUMBER(iData!M37),100*ABS($G37-(iData!M37-$I37)/$M37),0),IF(iData!M37&gt;tblIndicators!$AI33,100,IF(ISNUMBER(iData!M37),100*ABS($G37-(iData!M37-$I37)/$M37),0)),IF(iData!M37&lt;0,100,IF(ISNUMBER(iData!M37),100*ABS($G37-(iData!M37-$I37)/$M37),0)))</f>
        <v>50</v>
      </c>
      <c r="U37" s="123" cm="1">
        <f t="array" ref="U37">CHOOSE($H37,SUMPRODUCT($O38:$O$75*U38:U$75*($E38:$E$75=$D37)),IF(ISNUMBER(iData!N37),100*ABS($G37-(iData!N37-$K37)/$M37),0),IF(ISNUMBER(iData!N37),100*ABS($G37-(iData!N37-$I37)/$M37),0),IF(iData!N37&gt;tblIndicators!$AI33,100,IF(ISNUMBER(iData!N37),100*ABS($G37-(iData!N37-$I37)/$M37),0)),IF(iData!N37&lt;0,100,IF(ISNUMBER(iData!N37),100*ABS($G37-(iData!N37-$I37)/$M37),0)))</f>
        <v>100</v>
      </c>
      <c r="V37" s="123" cm="1">
        <f t="array" ref="V37">CHOOSE($H37,SUMPRODUCT($O38:$O$75*V38:V$75*($E38:$E$75=$D37)),IF(ISNUMBER(iData!O37),100*ABS($G37-(iData!O37-$K37)/$M37),0),IF(ISNUMBER(iData!O37),100*ABS($G37-(iData!O37-$I37)/$M37),0),IF(iData!O37&gt;tblIndicators!$AI33,100,IF(ISNUMBER(iData!O37),100*ABS($G37-(iData!O37-$I37)/$M37),0)),IF(iData!O37&lt;0,100,IF(ISNUMBER(iData!O37),100*ABS($G37-(iData!O37-$I37)/$M37),0)))</f>
        <v>50</v>
      </c>
      <c r="W37" s="123" cm="1">
        <f t="array" ref="W37">CHOOSE($H37,SUMPRODUCT($O38:$O$75*W38:W$75*($E38:$E$75=$D37)),IF(ISNUMBER(iData!P37),100*ABS($G37-(iData!P37-$K37)/$M37),0),IF(ISNUMBER(iData!P37),100*ABS($G37-(iData!P37-$I37)/$M37),0),IF(iData!P37&gt;tblIndicators!$AI33,100,IF(ISNUMBER(iData!P37),100*ABS($G37-(iData!P37-$I37)/$M37),0)),IF(iData!P37&lt;0,100,IF(ISNUMBER(iData!P37),100*ABS($G37-(iData!P37-$I37)/$M37),0)))</f>
        <v>100</v>
      </c>
      <c r="X37" s="123" cm="1">
        <f t="array" ref="X37">CHOOSE($H37,SUMPRODUCT($O38:$O$75*X38:X$75*($E38:$E$75=$D37)),IF(ISNUMBER(iData!Q37),100*ABS($G37-(iData!Q37-$K37)/$M37),0),IF(ISNUMBER(iData!Q37),100*ABS($G37-(iData!Q37-$I37)/$M37),0),IF(iData!Q37&gt;tblIndicators!$AI33,100,IF(ISNUMBER(iData!Q37),100*ABS($G37-(iData!Q37-$I37)/$M37),0)),IF(iData!Q37&lt;0,100,IF(ISNUMBER(iData!Q37),100*ABS($G37-(iData!Q37-$I37)/$M37),0)))</f>
        <v>0</v>
      </c>
      <c r="Y37" s="123" cm="1">
        <f t="array" ref="Y37">CHOOSE($H37,SUMPRODUCT($O38:$O$75*Y38:Y$75*($E38:$E$75=$D37)),IF(ISNUMBER(iData!R37),100*ABS($G37-(iData!R37-$K37)/$M37),0),IF(ISNUMBER(iData!R37),100*ABS($G37-(iData!R37-$I37)/$M37),0),IF(iData!R37&gt;tblIndicators!$AI33,100,IF(ISNUMBER(iData!R37),100*ABS($G37-(iData!R37-$I37)/$M37),0)),IF(iData!R37&lt;0,100,IF(ISNUMBER(iData!R37),100*ABS($G37-(iData!R37-$I37)/$M37),0)))</f>
        <v>100</v>
      </c>
      <c r="Z37" s="123" cm="1">
        <f t="array" ref="Z37">CHOOSE($H37,SUMPRODUCT($O38:$O$75*Z38:Z$75*($E38:$E$75=$D37)),IF(ISNUMBER(iData!S37),100*ABS($G37-(iData!S37-$K37)/$M37),0),IF(ISNUMBER(iData!S37),100*ABS($G37-(iData!S37-$I37)/$M37),0),IF(iData!S37&gt;tblIndicators!$AI33,100,IF(ISNUMBER(iData!S37),100*ABS($G37-(iData!S37-$I37)/$M37),0)),IF(iData!S37&lt;0,100,IF(ISNUMBER(iData!S37),100*ABS($G37-(iData!S37-$I37)/$M37),0)))</f>
        <v>100</v>
      </c>
      <c r="AA37" s="123" cm="1">
        <f t="array" ref="AA37">CHOOSE($H37,SUMPRODUCT($O38:$O$75*AA38:AA$75*($E38:$E$75=$D37)),IF(ISNUMBER(iData!T37),100*ABS($G37-(iData!T37-$K37)/$M37),0),IF(ISNUMBER(iData!T37),100*ABS($G37-(iData!T37-$I37)/$M37),0),IF(iData!T37&gt;tblIndicators!$AI33,100,IF(ISNUMBER(iData!T37),100*ABS($G37-(iData!T37-$I37)/$M37),0)),IF(iData!T37&lt;0,100,IF(ISNUMBER(iData!T37),100*ABS($G37-(iData!T37-$I37)/$M37),0)))</f>
        <v>50</v>
      </c>
      <c r="AB37" s="123" cm="1">
        <f t="array" ref="AB37">CHOOSE($H37,SUMPRODUCT($O38:$O$75*AB38:AB$75*($E38:$E$75=$D37)),IF(ISNUMBER(iData!U37),100*ABS($G37-(iData!U37-$K37)/$M37),0),IF(ISNUMBER(iData!U37),100*ABS($G37-(iData!U37-$I37)/$M37),0),IF(iData!U37&gt;tblIndicators!$AI33,100,IF(ISNUMBER(iData!U37),100*ABS($G37-(iData!U37-$I37)/$M37),0)),IF(iData!U37&lt;0,100,IF(ISNUMBER(iData!U37),100*ABS($G37-(iData!U37-$I37)/$M37),0)))</f>
        <v>100</v>
      </c>
      <c r="AC37" s="123" cm="1">
        <f t="array" ref="AC37">CHOOSE($H37,SUMPRODUCT($O38:$O$75*AC38:AC$75*($E38:$E$75=$D37)),IF(ISNUMBER(iData!V37),100*ABS($G37-(iData!V37-$K37)/$M37),0),IF(ISNUMBER(iData!V37),100*ABS($G37-(iData!V37-$I37)/$M37),0),IF(iData!V37&gt;tblIndicators!$AI33,100,IF(ISNUMBER(iData!V37),100*ABS($G37-(iData!V37-$I37)/$M37),0)),IF(iData!V37&lt;0,100,IF(ISNUMBER(iData!V37),100*ABS($G37-(iData!V37-$I37)/$M37),0)))</f>
        <v>100</v>
      </c>
      <c r="AD37" s="123" cm="1">
        <f t="array" ref="AD37">CHOOSE($H37,SUMPRODUCT($O38:$O$75*AD38:AD$75*($E38:$E$75=$D37)),IF(ISNUMBER(iData!W37),100*ABS($G37-(iData!W37-$K37)/$M37),0),IF(ISNUMBER(iData!W37),100*ABS($G37-(iData!W37-$I37)/$M37),0),IF(iData!W37&gt;tblIndicators!$AI33,100,IF(ISNUMBER(iData!W37),100*ABS($G37-(iData!W37-$I37)/$M37),0)),IF(iData!W37&lt;0,100,IF(ISNUMBER(iData!W37),100*ABS($G37-(iData!W37-$I37)/$M37),0)))</f>
        <v>0</v>
      </c>
      <c r="AE37" s="123" cm="1">
        <f t="array" ref="AE37">CHOOSE($H37,SUMPRODUCT($O38:$O$75*AE38:AE$75*($E38:$E$75=$D37)),IF(ISNUMBER(iData!X37),100*ABS($G37-(iData!X37-$K37)/$M37),0),IF(ISNUMBER(iData!X37),100*ABS($G37-(iData!X37-$I37)/$M37),0),IF(iData!X37&gt;tblIndicators!$AI33,100,IF(ISNUMBER(iData!X37),100*ABS($G37-(iData!X37-$I37)/$M37),0)),IF(iData!X37&lt;0,100,IF(ISNUMBER(iData!X37),100*ABS($G37-(iData!X37-$I37)/$M37),0)))</f>
        <v>50</v>
      </c>
      <c r="AF37" s="123" cm="1">
        <f t="array" ref="AF37">CHOOSE($H37,SUMPRODUCT($O38:$O$75*AF38:AF$75*($E38:$E$75=$D37)),IF(ISNUMBER(iData!Y37),100*ABS($G37-(iData!Y37-$K37)/$M37),0),IF(ISNUMBER(iData!Y37),100*ABS($G37-(iData!Y37-$I37)/$M37),0),IF(iData!Y37&gt;tblIndicators!$AI33,100,IF(ISNUMBER(iData!Y37),100*ABS($G37-(iData!Y37-$I37)/$M37),0)),IF(iData!Y37&lt;0,100,IF(ISNUMBER(iData!Y37),100*ABS($G37-(iData!Y37-$I37)/$M37),0)))</f>
        <v>100</v>
      </c>
      <c r="AG37" s="123" cm="1">
        <f t="array" ref="AG37">CHOOSE($H37,SUMPRODUCT($O38:$O$75*AG38:AG$75*($E38:$E$75=$D37)),IF(ISNUMBER(iData!Z37),100*ABS($G37-(iData!Z37-$K37)/$M37),0),IF(ISNUMBER(iData!Z37),100*ABS($G37-(iData!Z37-$I37)/$M37),0),IF(iData!Z37&gt;tblIndicators!$AI33,100,IF(ISNUMBER(iData!Z37),100*ABS($G37-(iData!Z37-$I37)/$M37),0)),IF(iData!Z37&lt;0,100,IF(ISNUMBER(iData!Z37),100*ABS($G37-(iData!Z37-$I37)/$M37),0)))</f>
        <v>100</v>
      </c>
      <c r="AH37" s="123" cm="1">
        <f t="array" ref="AH37">CHOOSE($H37,SUMPRODUCT($O38:$O$75*AH38:AH$75*($E38:$E$75=$D37)),IF(ISNUMBER(iData!AA37),100*ABS($G37-(iData!AA37-$K37)/$M37),0),IF(ISNUMBER(iData!AA37),100*ABS($G37-(iData!AA37-$I37)/$M37),0),IF(iData!AA37&gt;tblIndicators!$AI33,100,IF(ISNUMBER(iData!AA37),100*ABS($G37-(iData!AA37-$I37)/$M37),0)),IF(iData!AA37&lt;0,100,IF(ISNUMBER(iData!AA37),100*ABS($G37-(iData!AA37-$I37)/$M37),0)))</f>
        <v>50</v>
      </c>
      <c r="AI37" s="123" cm="1">
        <f t="array" ref="AI37">CHOOSE($H37,SUMPRODUCT($O38:$O$75*AI38:AI$75*($E38:$E$75=$D37)),IF(ISNUMBER(iData!AB37),100*ABS($G37-(iData!AB37-$K37)/$M37),0),IF(ISNUMBER(iData!AB37),100*ABS($G37-(iData!AB37-$I37)/$M37),0),IF(iData!AB37&gt;tblIndicators!$AI33,100,IF(ISNUMBER(iData!AB37),100*ABS($G37-(iData!AB37-$I37)/$M37),0)),IF(iData!AB37&lt;0,100,IF(ISNUMBER(iData!AB37),100*ABS($G37-(iData!AB37-$I37)/$M37),0)))</f>
        <v>50</v>
      </c>
      <c r="AJ37" s="123" cm="1">
        <f t="array" ref="AJ37">CHOOSE($H37,SUMPRODUCT($O38:$O$75*AJ38:AJ$75*($E38:$E$75=$D37)),IF(ISNUMBER(iData!AC37),100*ABS($G37-(iData!AC37-$K37)/$M37),0),IF(ISNUMBER(iData!AC37),100*ABS($G37-(iData!AC37-$I37)/$M37),0),IF(iData!AC37&gt;tblIndicators!$AI33,100,IF(ISNUMBER(iData!AC37),100*ABS($G37-(iData!AC37-$I37)/$M37),0)),IF(iData!AC37&lt;0,100,IF(ISNUMBER(iData!AC37),100*ABS($G37-(iData!AC37-$I37)/$M37),0)))</f>
        <v>50</v>
      </c>
      <c r="AK37" s="123" cm="1">
        <f t="array" ref="AK37">CHOOSE($H37,SUMPRODUCT($O38:$O$75*AK38:AK$75*($E38:$E$75=$D37)),IF(ISNUMBER(iData!AD37),100*ABS($G37-(iData!AD37-$K37)/$M37),0),IF(ISNUMBER(iData!AD37),100*ABS($G37-(iData!AD37-$I37)/$M37),0),IF(iData!AD37&gt;tblIndicators!$AI33,100,IF(ISNUMBER(iData!AD37),100*ABS($G37-(iData!AD37-$I37)/$M37),0)),IF(iData!AD37&lt;0,100,IF(ISNUMBER(iData!AD37),100*ABS($G37-(iData!AD37-$I37)/$M37),0)))</f>
        <v>100</v>
      </c>
      <c r="AL37" s="123" cm="1">
        <f t="array" ref="AL37">CHOOSE($H37,SUMPRODUCT($O38:$O$75*AL38:AL$75*($E38:$E$75=$D37)),IF(ISNUMBER(iData!AE37),100*ABS($G37-(iData!AE37-$K37)/$M37),0),IF(ISNUMBER(iData!AE37),100*ABS($G37-(iData!AE37-$I37)/$M37),0),IF(iData!AE37&gt;tblIndicators!$AI33,100,IF(ISNUMBER(iData!AE37),100*ABS($G37-(iData!AE37-$I37)/$M37),0)),IF(iData!AE37&lt;0,100,IF(ISNUMBER(iData!AE37),100*ABS($G37-(iData!AE37-$I37)/$M37),0)))</f>
        <v>50</v>
      </c>
      <c r="AM37" s="123" cm="1">
        <f t="array" ref="AM37">CHOOSE($H37,SUMPRODUCT($O38:$O$75*AM38:AM$75*($E38:$E$75=$D37)),IF(ISNUMBER(iData!AF37),100*ABS($G37-(iData!AF37-$K37)/$M37),0),IF(ISNUMBER(iData!AF37),100*ABS($G37-(iData!AF37-$I37)/$M37),0),IF(iData!AF37&gt;tblIndicators!$AI33,100,IF(ISNUMBER(iData!AF37),100*ABS($G37-(iData!AF37-$I37)/$M37),0)),IF(iData!AF37&lt;0,100,IF(ISNUMBER(iData!AF37),100*ABS($G37-(iData!AF37-$I37)/$M37),0)))</f>
        <v>100</v>
      </c>
      <c r="AN37" s="123" cm="1">
        <f t="array" ref="AN37">CHOOSE($H37,SUMPRODUCT($O38:$O$75*AN38:AN$75*($E38:$E$75=$D37)),IF(ISNUMBER(iData!AG37),100*ABS($G37-(iData!AG37-$K37)/$M37),0),IF(ISNUMBER(iData!AG37),100*ABS($G37-(iData!AG37-$I37)/$M37),0),IF(iData!AG37&gt;tblIndicators!$AI33,100,IF(ISNUMBER(iData!AG37),100*ABS($G37-(iData!AG37-$I37)/$M37),0)),IF(iData!AG37&lt;0,100,IF(ISNUMBER(iData!AG37),100*ABS($G37-(iData!AG37-$I37)/$M37),0)))</f>
        <v>50</v>
      </c>
      <c r="AO37" s="123" cm="1">
        <f t="array" ref="AO37">CHOOSE($H37,SUMPRODUCT($O38:$O$75*AO38:AO$75*($E38:$E$75=$D37)),IF(ISNUMBER(iData!AH37),100*ABS($G37-(iData!AH37-$K37)/$M37),0),IF(ISNUMBER(iData!AH37),100*ABS($G37-(iData!AH37-$I37)/$M37),0),IF(iData!AH37&gt;tblIndicators!$AI33,100,IF(ISNUMBER(iData!AH37),100*ABS($G37-(iData!AH37-$I37)/$M37),0)),IF(iData!AH37&lt;0,100,IF(ISNUMBER(iData!AH37),100*ABS($G37-(iData!AH37-$I37)/$M37),0)))</f>
        <v>50</v>
      </c>
      <c r="AP37" s="123" cm="1">
        <f t="array" ref="AP37">CHOOSE($H37,SUMPRODUCT($O38:$O$75*AP38:AP$75*($E38:$E$75=$D37)),IF(ISNUMBER(iData!AI37),100*ABS($G37-(iData!AI37-$K37)/$M37),0),IF(ISNUMBER(iData!AI37),100*ABS($G37-(iData!AI37-$I37)/$M37),0),IF(iData!AI37&gt;tblIndicators!$AI33,100,IF(ISNUMBER(iData!AI37),100*ABS($G37-(iData!AI37-$I37)/$M37),0)),IF(iData!AI37&lt;0,100,IF(ISNUMBER(iData!AI37),100*ABS($G37-(iData!AI37-$I37)/$M37),0)))</f>
        <v>100</v>
      </c>
      <c r="AQ37" s="123" cm="1">
        <f t="array" ref="AQ37">CHOOSE($H37,SUMPRODUCT($O38:$O$75*AQ38:AQ$75*($E38:$E$75=$D37)),IF(ISNUMBER(iData!AJ37),100*ABS($G37-(iData!AJ37-$K37)/$M37),0),IF(ISNUMBER(iData!AJ37),100*ABS($G37-(iData!AJ37-$I37)/$M37),0),IF(iData!AJ37&gt;tblIndicators!$AI33,100,IF(ISNUMBER(iData!AJ37),100*ABS($G37-(iData!AJ37-$I37)/$M37),0)),IF(iData!AJ37&lt;0,100,IF(ISNUMBER(iData!AJ37),100*ABS($G37-(iData!AJ37-$I37)/$M37),0)))</f>
        <v>100</v>
      </c>
      <c r="AR37" s="123" cm="1">
        <f t="array" ref="AR37">CHOOSE($H37,SUMPRODUCT($O38:$O$75*AR38:AR$75*($E38:$E$75=$D37)),IF(ISNUMBER(iData!AK37),100*ABS($G37-(iData!AK37-$K37)/$M37),0),IF(ISNUMBER(iData!AK37),100*ABS($G37-(iData!AK37-$I37)/$M37),0),IF(iData!AK37&gt;tblIndicators!$AI33,100,IF(ISNUMBER(iData!AK37),100*ABS($G37-(iData!AK37-$I37)/$M37),0)),IF(iData!AK37&lt;0,100,IF(ISNUMBER(iData!AK37),100*ABS($G37-(iData!AK37-$I37)/$M37),0)))</f>
        <v>100</v>
      </c>
      <c r="AS37" s="123" cm="1">
        <f t="array" ref="AS37">CHOOSE($H37,SUMPRODUCT($O38:$O$75*AS38:AS$75*($E38:$E$75=$D37)),IF(ISNUMBER(iData!AL37),100*ABS($G37-(iData!AL37-$K37)/$M37),0),IF(ISNUMBER(iData!AL37),100*ABS($G37-(iData!AL37-$I37)/$M37),0),IF(iData!AL37&gt;tblIndicators!$AI33,100,IF(ISNUMBER(iData!AL37),100*ABS($G37-(iData!AL37-$I37)/$M37),0)),IF(iData!AL37&lt;0,100,IF(ISNUMBER(iData!AL37),100*ABS($G37-(iData!AL37-$I37)/$M37),0)))</f>
        <v>100</v>
      </c>
      <c r="AT37" s="123" cm="1">
        <f t="array" ref="AT37">CHOOSE($H37,SUMPRODUCT($O38:$O$75*AT38:AT$75*($E38:$E$75=$D37)),IF(ISNUMBER(iData!AM37),100*ABS($G37-(iData!AM37-$K37)/$M37),0),IF(ISNUMBER(iData!AM37),100*ABS($G37-(iData!AM37-$I37)/$M37),0),IF(iData!AM37&gt;tblIndicators!$AI33,100,IF(ISNUMBER(iData!AM37),100*ABS($G37-(iData!AM37-$I37)/$M37),0)),IF(iData!AM37&lt;0,100,IF(ISNUMBER(iData!AM37),100*ABS($G37-(iData!AM37-$I37)/$M37),0)))</f>
        <v>100</v>
      </c>
      <c r="AU37" s="123" cm="1">
        <f t="array" ref="AU37">CHOOSE($H37,SUMPRODUCT($O38:$O$75*AU38:AU$75*($E38:$E$75=$D37)),IF(ISNUMBER(iData!AN37),100*ABS($G37-(iData!AN37-$K37)/$M37),0),IF(ISNUMBER(iData!AN37),100*ABS($G37-(iData!AN37-$I37)/$M37),0),IF(iData!AN37&gt;tblIndicators!$AI33,100,IF(ISNUMBER(iData!AN37),100*ABS($G37-(iData!AN37-$I37)/$M37),0)),IF(iData!AN37&lt;0,100,IF(ISNUMBER(iData!AN37),100*ABS($G37-(iData!AN37-$I37)/$M37),0)))</f>
        <v>50</v>
      </c>
      <c r="AV37" s="367"/>
      <c r="AW37" s="368"/>
      <c r="AX37" s="14"/>
      <c r="AY37" s="871">
        <f t="shared" si="40"/>
        <v>100</v>
      </c>
      <c r="AZ37" s="871">
        <f t="shared" si="41"/>
        <v>50</v>
      </c>
      <c r="BA37" s="871">
        <f t="shared" si="42"/>
        <v>50</v>
      </c>
      <c r="BB37" s="871">
        <f t="shared" si="43"/>
        <v>100</v>
      </c>
      <c r="BC37" s="871">
        <f t="shared" si="44"/>
        <v>50</v>
      </c>
      <c r="BD37" s="871">
        <f t="shared" si="45"/>
        <v>100</v>
      </c>
      <c r="BE37" s="871">
        <f t="shared" si="46"/>
        <v>0</v>
      </c>
      <c r="BF37" s="871">
        <f t="shared" si="47"/>
        <v>100</v>
      </c>
      <c r="BG37" s="871">
        <f t="shared" si="48"/>
        <v>100</v>
      </c>
      <c r="BH37" s="871">
        <f t="shared" si="49"/>
        <v>50</v>
      </c>
      <c r="BI37" s="871">
        <f t="shared" si="50"/>
        <v>100</v>
      </c>
      <c r="BJ37" s="871">
        <f t="shared" si="51"/>
        <v>100</v>
      </c>
      <c r="BK37" s="871">
        <f t="shared" si="52"/>
        <v>0</v>
      </c>
      <c r="BL37" s="871">
        <f t="shared" si="53"/>
        <v>50</v>
      </c>
      <c r="BM37" s="871">
        <f t="shared" si="54"/>
        <v>100</v>
      </c>
      <c r="BN37" s="871">
        <f t="shared" si="55"/>
        <v>100</v>
      </c>
      <c r="BO37" s="871">
        <f t="shared" si="56"/>
        <v>50</v>
      </c>
      <c r="BP37" s="871">
        <f t="shared" si="57"/>
        <v>50</v>
      </c>
      <c r="BQ37" s="871">
        <f t="shared" si="58"/>
        <v>50</v>
      </c>
      <c r="BR37" s="871">
        <f t="shared" si="59"/>
        <v>100</v>
      </c>
      <c r="BS37" s="871">
        <f t="shared" si="60"/>
        <v>50</v>
      </c>
      <c r="BT37" s="871">
        <f t="shared" si="61"/>
        <v>100</v>
      </c>
      <c r="BU37" s="871">
        <f t="shared" si="62"/>
        <v>50</v>
      </c>
      <c r="BV37" s="871">
        <f t="shared" si="63"/>
        <v>50</v>
      </c>
      <c r="BW37" s="871">
        <f t="shared" si="64"/>
        <v>100</v>
      </c>
      <c r="BX37" s="871">
        <f t="shared" si="65"/>
        <v>100</v>
      </c>
      <c r="BY37" s="871">
        <f t="shared" si="66"/>
        <v>100</v>
      </c>
      <c r="BZ37" s="871">
        <f t="shared" si="67"/>
        <v>100</v>
      </c>
      <c r="CA37" s="871">
        <f t="shared" si="68"/>
        <v>100</v>
      </c>
      <c r="CB37" s="871">
        <f t="shared" si="69"/>
        <v>50</v>
      </c>
      <c r="CD37" s="304">
        <f t="shared" ca="1" si="103"/>
        <v>73.3</v>
      </c>
      <c r="CE37" s="304">
        <f t="shared" ca="1" si="103"/>
        <v>73.3</v>
      </c>
      <c r="CF37" s="304">
        <f t="shared" ca="1" si="103"/>
        <v>62.5</v>
      </c>
      <c r="CG37" s="302">
        <f t="shared" ca="1" si="103"/>
        <v>90</v>
      </c>
      <c r="CH37" s="302">
        <f t="shared" ca="1" si="103"/>
        <v>33.299999999999997</v>
      </c>
      <c r="CI37" s="302">
        <f t="shared" ca="1" si="103"/>
        <v>50</v>
      </c>
      <c r="CJ37" s="302">
        <f t="shared" ca="1" si="103"/>
        <v>100</v>
      </c>
      <c r="CK37" s="302">
        <f t="shared" ca="1" si="103"/>
        <v>33.299999999999997</v>
      </c>
      <c r="CL37" s="302">
        <f t="shared" ca="1" si="103"/>
        <v>41.7</v>
      </c>
      <c r="CM37" s="302">
        <f t="shared" ca="1" si="103"/>
        <v>88.1</v>
      </c>
      <c r="CN37" s="302">
        <f t="shared" ca="1" si="101"/>
        <v>81.3</v>
      </c>
      <c r="CO37" s="302">
        <f t="shared" ca="1" si="101"/>
        <v>94.4</v>
      </c>
      <c r="CP37" s="302">
        <f t="shared" ca="1" si="101"/>
        <v>62.5</v>
      </c>
      <c r="CQ37" s="302">
        <f t="shared" ca="1" si="101"/>
        <v>50</v>
      </c>
    </row>
    <row r="38" spans="1:95" s="124" customFormat="1" ht="27.75" customHeight="1" thickBot="1">
      <c r="A38" s="118"/>
      <c r="B38" s="119">
        <f>tblIndicators!A34</f>
        <v>33</v>
      </c>
      <c r="C38" s="119">
        <f>tblIndicators!B34</f>
        <v>0</v>
      </c>
      <c r="D38" s="119" t="str">
        <f>tblIndicators!E34</f>
        <v>SERV2_5_1</v>
      </c>
      <c r="E38" s="119" t="str">
        <f>tblIndicators!F34</f>
        <v>SERV2_5</v>
      </c>
      <c r="F38" s="119">
        <f>tblIndicators!G34</f>
        <v>3</v>
      </c>
      <c r="G38" s="119">
        <f>tblIndicators!AF34</f>
        <v>0</v>
      </c>
      <c r="H38" s="119">
        <f>tblIndicators!AG34</f>
        <v>3</v>
      </c>
      <c r="I38" s="120">
        <f>tblIndicators!AH34</f>
        <v>0</v>
      </c>
      <c r="J38" s="119">
        <f>tblIndicators!AI34</f>
        <v>2</v>
      </c>
      <c r="K38" s="119">
        <f t="array" ref="K38">MIN(IF(ISNUMBER(iData!K38:AN38),iData!K38:AN38))</f>
        <v>0</v>
      </c>
      <c r="L38" s="121">
        <f t="array" ref="L38">MAX(IF(ISNUMBER(iData!K38:AN38),iData!K38:AN38))</f>
        <v>2</v>
      </c>
      <c r="M38" s="51">
        <f t="shared" si="7"/>
        <v>2</v>
      </c>
      <c r="N38" s="122" t="str">
        <f>REPT(" ",F38)&amp;tblIndicators!AM34</f>
        <v xml:space="preserve">   2.5.1) Digital education</v>
      </c>
      <c r="O38" s="381">
        <f>tblIndicators!AR34</f>
        <v>1</v>
      </c>
      <c r="P38" s="381"/>
      <c r="Q38" s="323"/>
      <c r="R38" s="123" cm="1">
        <f t="array" ref="R38">CHOOSE($H38,SUMPRODUCT($O39:$O$75*R39:R$75*($E39:$E$75=$D38)),IF(ISNUMBER(iData!K38),100*ABS($G38-(iData!K38-$K38)/$M38),0),IF(ISNUMBER(iData!K38),100*ABS($G38-(iData!K38-$I38)/$M38),0),IF(iData!K38&gt;tblIndicators!$AI34,100,IF(ISNUMBER(iData!K38),100*ABS($G38-(iData!K38-$I38)/$M38),0)),IF(iData!K38&lt;0,100,IF(ISNUMBER(iData!K38),100*ABS($G38-(iData!K38-$I38)/$M38),0)))</f>
        <v>100</v>
      </c>
      <c r="S38" s="123" cm="1">
        <f t="array" ref="S38">CHOOSE($H38,SUMPRODUCT($O39:$O$75*S39:S$75*($E39:$E$75=$D38)),IF(ISNUMBER(iData!L38),100*ABS($G38-(iData!L38-$K38)/$M38),0),IF(ISNUMBER(iData!L38),100*ABS($G38-(iData!L38-$I38)/$M38),0),IF(iData!L38&gt;tblIndicators!$AI34,100,IF(ISNUMBER(iData!L38),100*ABS($G38-(iData!L38-$I38)/$M38),0)),IF(iData!L38&lt;0,100,IF(ISNUMBER(iData!L38),100*ABS($G38-(iData!L38-$I38)/$M38),0)))</f>
        <v>50</v>
      </c>
      <c r="T38" s="123" cm="1">
        <f t="array" ref="T38">CHOOSE($H38,SUMPRODUCT($O39:$O$75*T39:T$75*($E39:$E$75=$D38)),IF(ISNUMBER(iData!M38),100*ABS($G38-(iData!M38-$K38)/$M38),0),IF(ISNUMBER(iData!M38),100*ABS($G38-(iData!M38-$I38)/$M38),0),IF(iData!M38&gt;tblIndicators!$AI34,100,IF(ISNUMBER(iData!M38),100*ABS($G38-(iData!M38-$I38)/$M38),0)),IF(iData!M38&lt;0,100,IF(ISNUMBER(iData!M38),100*ABS($G38-(iData!M38-$I38)/$M38),0)))</f>
        <v>50</v>
      </c>
      <c r="U38" s="123" cm="1">
        <f t="array" ref="U38">CHOOSE($H38,SUMPRODUCT($O39:$O$75*U39:U$75*($E39:$E$75=$D38)),IF(ISNUMBER(iData!N38),100*ABS($G38-(iData!N38-$K38)/$M38),0),IF(ISNUMBER(iData!N38),100*ABS($G38-(iData!N38-$I38)/$M38),0),IF(iData!N38&gt;tblIndicators!$AI34,100,IF(ISNUMBER(iData!N38),100*ABS($G38-(iData!N38-$I38)/$M38),0)),IF(iData!N38&lt;0,100,IF(ISNUMBER(iData!N38),100*ABS($G38-(iData!N38-$I38)/$M38),0)))</f>
        <v>100</v>
      </c>
      <c r="V38" s="123" cm="1">
        <f t="array" ref="V38">CHOOSE($H38,SUMPRODUCT($O39:$O$75*V39:V$75*($E39:$E$75=$D38)),IF(ISNUMBER(iData!O38),100*ABS($G38-(iData!O38-$K38)/$M38),0),IF(ISNUMBER(iData!O38),100*ABS($G38-(iData!O38-$I38)/$M38),0),IF(iData!O38&gt;tblIndicators!$AI34,100,IF(ISNUMBER(iData!O38),100*ABS($G38-(iData!O38-$I38)/$M38),0)),IF(iData!O38&lt;0,100,IF(ISNUMBER(iData!O38),100*ABS($G38-(iData!O38-$I38)/$M38),0)))</f>
        <v>50</v>
      </c>
      <c r="W38" s="123" cm="1">
        <f t="array" ref="W38">CHOOSE($H38,SUMPRODUCT($O39:$O$75*W39:W$75*($E39:$E$75=$D38)),IF(ISNUMBER(iData!P38),100*ABS($G38-(iData!P38-$K38)/$M38),0),IF(ISNUMBER(iData!P38),100*ABS($G38-(iData!P38-$I38)/$M38),0),IF(iData!P38&gt;tblIndicators!$AI34,100,IF(ISNUMBER(iData!P38),100*ABS($G38-(iData!P38-$I38)/$M38),0)),IF(iData!P38&lt;0,100,IF(ISNUMBER(iData!P38),100*ABS($G38-(iData!P38-$I38)/$M38),0)))</f>
        <v>100</v>
      </c>
      <c r="X38" s="123" cm="1">
        <f t="array" ref="X38">CHOOSE($H38,SUMPRODUCT($O39:$O$75*X39:X$75*($E39:$E$75=$D38)),IF(ISNUMBER(iData!Q38),100*ABS($G38-(iData!Q38-$K38)/$M38),0),IF(ISNUMBER(iData!Q38),100*ABS($G38-(iData!Q38-$I38)/$M38),0),IF(iData!Q38&gt;tblIndicators!$AI34,100,IF(ISNUMBER(iData!Q38),100*ABS($G38-(iData!Q38-$I38)/$M38),0)),IF(iData!Q38&lt;0,100,IF(ISNUMBER(iData!Q38),100*ABS($G38-(iData!Q38-$I38)/$M38),0)))</f>
        <v>0</v>
      </c>
      <c r="Y38" s="123" cm="1">
        <f t="array" ref="Y38">CHOOSE($H38,SUMPRODUCT($O39:$O$75*Y39:Y$75*($E39:$E$75=$D38)),IF(ISNUMBER(iData!R38),100*ABS($G38-(iData!R38-$K38)/$M38),0),IF(ISNUMBER(iData!R38),100*ABS($G38-(iData!R38-$I38)/$M38),0),IF(iData!R38&gt;tblIndicators!$AI34,100,IF(ISNUMBER(iData!R38),100*ABS($G38-(iData!R38-$I38)/$M38),0)),IF(iData!R38&lt;0,100,IF(ISNUMBER(iData!R38),100*ABS($G38-(iData!R38-$I38)/$M38),0)))</f>
        <v>100</v>
      </c>
      <c r="Z38" s="123" cm="1">
        <f t="array" ref="Z38">CHOOSE($H38,SUMPRODUCT($O39:$O$75*Z39:Z$75*($E39:$E$75=$D38)),IF(ISNUMBER(iData!S38),100*ABS($G38-(iData!S38-$K38)/$M38),0),IF(ISNUMBER(iData!S38),100*ABS($G38-(iData!S38-$I38)/$M38),0),IF(iData!S38&gt;tblIndicators!$AI34,100,IF(ISNUMBER(iData!S38),100*ABS($G38-(iData!S38-$I38)/$M38),0)),IF(iData!S38&lt;0,100,IF(ISNUMBER(iData!S38),100*ABS($G38-(iData!S38-$I38)/$M38),0)))</f>
        <v>100</v>
      </c>
      <c r="AA38" s="123" cm="1">
        <f t="array" ref="AA38">CHOOSE($H38,SUMPRODUCT($O39:$O$75*AA39:AA$75*($E39:$E$75=$D38)),IF(ISNUMBER(iData!T38),100*ABS($G38-(iData!T38-$K38)/$M38),0),IF(ISNUMBER(iData!T38),100*ABS($G38-(iData!T38-$I38)/$M38),0),IF(iData!T38&gt;tblIndicators!$AI34,100,IF(ISNUMBER(iData!T38),100*ABS($G38-(iData!T38-$I38)/$M38),0)),IF(iData!T38&lt;0,100,IF(ISNUMBER(iData!T38),100*ABS($G38-(iData!T38-$I38)/$M38),0)))</f>
        <v>50</v>
      </c>
      <c r="AB38" s="123" cm="1">
        <f t="array" ref="AB38">CHOOSE($H38,SUMPRODUCT($O39:$O$75*AB39:AB$75*($E39:$E$75=$D38)),IF(ISNUMBER(iData!U38),100*ABS($G38-(iData!U38-$K38)/$M38),0),IF(ISNUMBER(iData!U38),100*ABS($G38-(iData!U38-$I38)/$M38),0),IF(iData!U38&gt;tblIndicators!$AI34,100,IF(ISNUMBER(iData!U38),100*ABS($G38-(iData!U38-$I38)/$M38),0)),IF(iData!U38&lt;0,100,IF(ISNUMBER(iData!U38),100*ABS($G38-(iData!U38-$I38)/$M38),0)))</f>
        <v>100</v>
      </c>
      <c r="AC38" s="123" cm="1">
        <f t="array" ref="AC38">CHOOSE($H38,SUMPRODUCT($O39:$O$75*AC39:AC$75*($E39:$E$75=$D38)),IF(ISNUMBER(iData!V38),100*ABS($G38-(iData!V38-$K38)/$M38),0),IF(ISNUMBER(iData!V38),100*ABS($G38-(iData!V38-$I38)/$M38),0),IF(iData!V38&gt;tblIndicators!$AI34,100,IF(ISNUMBER(iData!V38),100*ABS($G38-(iData!V38-$I38)/$M38),0)),IF(iData!V38&lt;0,100,IF(ISNUMBER(iData!V38),100*ABS($G38-(iData!V38-$I38)/$M38),0)))</f>
        <v>100</v>
      </c>
      <c r="AD38" s="123" cm="1">
        <f t="array" ref="AD38">CHOOSE($H38,SUMPRODUCT($O39:$O$75*AD39:AD$75*($E39:$E$75=$D38)),IF(ISNUMBER(iData!W38),100*ABS($G38-(iData!W38-$K38)/$M38),0),IF(ISNUMBER(iData!W38),100*ABS($G38-(iData!W38-$I38)/$M38),0),IF(iData!W38&gt;tblIndicators!$AI34,100,IF(ISNUMBER(iData!W38),100*ABS($G38-(iData!W38-$I38)/$M38),0)),IF(iData!W38&lt;0,100,IF(ISNUMBER(iData!W38),100*ABS($G38-(iData!W38-$I38)/$M38),0)))</f>
        <v>0</v>
      </c>
      <c r="AE38" s="123" cm="1">
        <f t="array" ref="AE38">CHOOSE($H38,SUMPRODUCT($O39:$O$75*AE39:AE$75*($E39:$E$75=$D38)),IF(ISNUMBER(iData!X38),100*ABS($G38-(iData!X38-$K38)/$M38),0),IF(ISNUMBER(iData!X38),100*ABS($G38-(iData!X38-$I38)/$M38),0),IF(iData!X38&gt;tblIndicators!$AI34,100,IF(ISNUMBER(iData!X38),100*ABS($G38-(iData!X38-$I38)/$M38),0)),IF(iData!X38&lt;0,100,IF(ISNUMBER(iData!X38),100*ABS($G38-(iData!X38-$I38)/$M38),0)))</f>
        <v>50</v>
      </c>
      <c r="AF38" s="123" cm="1">
        <f t="array" ref="AF38">CHOOSE($H38,SUMPRODUCT($O39:$O$75*AF39:AF$75*($E39:$E$75=$D38)),IF(ISNUMBER(iData!Y38),100*ABS($G38-(iData!Y38-$K38)/$M38),0),IF(ISNUMBER(iData!Y38),100*ABS($G38-(iData!Y38-$I38)/$M38),0),IF(iData!Y38&gt;tblIndicators!$AI34,100,IF(ISNUMBER(iData!Y38),100*ABS($G38-(iData!Y38-$I38)/$M38),0)),IF(iData!Y38&lt;0,100,IF(ISNUMBER(iData!Y38),100*ABS($G38-(iData!Y38-$I38)/$M38),0)))</f>
        <v>100</v>
      </c>
      <c r="AG38" s="123" cm="1">
        <f t="array" ref="AG38">CHOOSE($H38,SUMPRODUCT($O39:$O$75*AG39:AG$75*($E39:$E$75=$D38)),IF(ISNUMBER(iData!Z38),100*ABS($G38-(iData!Z38-$K38)/$M38),0),IF(ISNUMBER(iData!Z38),100*ABS($G38-(iData!Z38-$I38)/$M38),0),IF(iData!Z38&gt;tblIndicators!$AI34,100,IF(ISNUMBER(iData!Z38),100*ABS($G38-(iData!Z38-$I38)/$M38),0)),IF(iData!Z38&lt;0,100,IF(ISNUMBER(iData!Z38),100*ABS($G38-(iData!Z38-$I38)/$M38),0)))</f>
        <v>100</v>
      </c>
      <c r="AH38" s="123" cm="1">
        <f t="array" ref="AH38">CHOOSE($H38,SUMPRODUCT($O39:$O$75*AH39:AH$75*($E39:$E$75=$D38)),IF(ISNUMBER(iData!AA38),100*ABS($G38-(iData!AA38-$K38)/$M38),0),IF(ISNUMBER(iData!AA38),100*ABS($G38-(iData!AA38-$I38)/$M38),0),IF(iData!AA38&gt;tblIndicators!$AI34,100,IF(ISNUMBER(iData!AA38),100*ABS($G38-(iData!AA38-$I38)/$M38),0)),IF(iData!AA38&lt;0,100,IF(ISNUMBER(iData!AA38),100*ABS($G38-(iData!AA38-$I38)/$M38),0)))</f>
        <v>50</v>
      </c>
      <c r="AI38" s="123" cm="1">
        <f t="array" ref="AI38">CHOOSE($H38,SUMPRODUCT($O39:$O$75*AI39:AI$75*($E39:$E$75=$D38)),IF(ISNUMBER(iData!AB38),100*ABS($G38-(iData!AB38-$K38)/$M38),0),IF(ISNUMBER(iData!AB38),100*ABS($G38-(iData!AB38-$I38)/$M38),0),IF(iData!AB38&gt;tblIndicators!$AI34,100,IF(ISNUMBER(iData!AB38),100*ABS($G38-(iData!AB38-$I38)/$M38),0)),IF(iData!AB38&lt;0,100,IF(ISNUMBER(iData!AB38),100*ABS($G38-(iData!AB38-$I38)/$M38),0)))</f>
        <v>50</v>
      </c>
      <c r="AJ38" s="123" cm="1">
        <f t="array" ref="AJ38">CHOOSE($H38,SUMPRODUCT($O39:$O$75*AJ39:AJ$75*($E39:$E$75=$D38)),IF(ISNUMBER(iData!AC38),100*ABS($G38-(iData!AC38-$K38)/$M38),0),IF(ISNUMBER(iData!AC38),100*ABS($G38-(iData!AC38-$I38)/$M38),0),IF(iData!AC38&gt;tblIndicators!$AI34,100,IF(ISNUMBER(iData!AC38),100*ABS($G38-(iData!AC38-$I38)/$M38),0)),IF(iData!AC38&lt;0,100,IF(ISNUMBER(iData!AC38),100*ABS($G38-(iData!AC38-$I38)/$M38),0)))</f>
        <v>50</v>
      </c>
      <c r="AK38" s="123" cm="1">
        <f t="array" ref="AK38">CHOOSE($H38,SUMPRODUCT($O39:$O$75*AK39:AK$75*($E39:$E$75=$D38)),IF(ISNUMBER(iData!AD38),100*ABS($G38-(iData!AD38-$K38)/$M38),0),IF(ISNUMBER(iData!AD38),100*ABS($G38-(iData!AD38-$I38)/$M38),0),IF(iData!AD38&gt;tblIndicators!$AI34,100,IF(ISNUMBER(iData!AD38),100*ABS($G38-(iData!AD38-$I38)/$M38),0)),IF(iData!AD38&lt;0,100,IF(ISNUMBER(iData!AD38),100*ABS($G38-(iData!AD38-$I38)/$M38),0)))</f>
        <v>100</v>
      </c>
      <c r="AL38" s="123" cm="1">
        <f t="array" ref="AL38">CHOOSE($H38,SUMPRODUCT($O39:$O$75*AL39:AL$75*($E39:$E$75=$D38)),IF(ISNUMBER(iData!AE38),100*ABS($G38-(iData!AE38-$K38)/$M38),0),IF(ISNUMBER(iData!AE38),100*ABS($G38-(iData!AE38-$I38)/$M38),0),IF(iData!AE38&gt;tblIndicators!$AI34,100,IF(ISNUMBER(iData!AE38),100*ABS($G38-(iData!AE38-$I38)/$M38),0)),IF(iData!AE38&lt;0,100,IF(ISNUMBER(iData!AE38),100*ABS($G38-(iData!AE38-$I38)/$M38),0)))</f>
        <v>50</v>
      </c>
      <c r="AM38" s="123" cm="1">
        <f t="array" ref="AM38">CHOOSE($H38,SUMPRODUCT($O39:$O$75*AM39:AM$75*($E39:$E$75=$D38)),IF(ISNUMBER(iData!AF38),100*ABS($G38-(iData!AF38-$K38)/$M38),0),IF(ISNUMBER(iData!AF38),100*ABS($G38-(iData!AF38-$I38)/$M38),0),IF(iData!AF38&gt;tblIndicators!$AI34,100,IF(ISNUMBER(iData!AF38),100*ABS($G38-(iData!AF38-$I38)/$M38),0)),IF(iData!AF38&lt;0,100,IF(ISNUMBER(iData!AF38),100*ABS($G38-(iData!AF38-$I38)/$M38),0)))</f>
        <v>100</v>
      </c>
      <c r="AN38" s="123" cm="1">
        <f t="array" ref="AN38">CHOOSE($H38,SUMPRODUCT($O39:$O$75*AN39:AN$75*($E39:$E$75=$D38)),IF(ISNUMBER(iData!AG38),100*ABS($G38-(iData!AG38-$K38)/$M38),0),IF(ISNUMBER(iData!AG38),100*ABS($G38-(iData!AG38-$I38)/$M38),0),IF(iData!AG38&gt;tblIndicators!$AI34,100,IF(ISNUMBER(iData!AG38),100*ABS($G38-(iData!AG38-$I38)/$M38),0)),IF(iData!AG38&lt;0,100,IF(ISNUMBER(iData!AG38),100*ABS($G38-(iData!AG38-$I38)/$M38),0)))</f>
        <v>50</v>
      </c>
      <c r="AO38" s="123" cm="1">
        <f t="array" ref="AO38">CHOOSE($H38,SUMPRODUCT($O39:$O$75*AO39:AO$75*($E39:$E$75=$D38)),IF(ISNUMBER(iData!AH38),100*ABS($G38-(iData!AH38-$K38)/$M38),0),IF(ISNUMBER(iData!AH38),100*ABS($G38-(iData!AH38-$I38)/$M38),0),IF(iData!AH38&gt;tblIndicators!$AI34,100,IF(ISNUMBER(iData!AH38),100*ABS($G38-(iData!AH38-$I38)/$M38),0)),IF(iData!AH38&lt;0,100,IF(ISNUMBER(iData!AH38),100*ABS($G38-(iData!AH38-$I38)/$M38),0)))</f>
        <v>50</v>
      </c>
      <c r="AP38" s="123" cm="1">
        <f t="array" ref="AP38">CHOOSE($H38,SUMPRODUCT($O39:$O$75*AP39:AP$75*($E39:$E$75=$D38)),IF(ISNUMBER(iData!AI38),100*ABS($G38-(iData!AI38-$K38)/$M38),0),IF(ISNUMBER(iData!AI38),100*ABS($G38-(iData!AI38-$I38)/$M38),0),IF(iData!AI38&gt;tblIndicators!$AI34,100,IF(ISNUMBER(iData!AI38),100*ABS($G38-(iData!AI38-$I38)/$M38),0)),IF(iData!AI38&lt;0,100,IF(ISNUMBER(iData!AI38),100*ABS($G38-(iData!AI38-$I38)/$M38),0)))</f>
        <v>100</v>
      </c>
      <c r="AQ38" s="123" cm="1">
        <f t="array" ref="AQ38">CHOOSE($H38,SUMPRODUCT($O39:$O$75*AQ39:AQ$75*($E39:$E$75=$D38)),IF(ISNUMBER(iData!AJ38),100*ABS($G38-(iData!AJ38-$K38)/$M38),0),IF(ISNUMBER(iData!AJ38),100*ABS($G38-(iData!AJ38-$I38)/$M38),0),IF(iData!AJ38&gt;tblIndicators!$AI34,100,IF(ISNUMBER(iData!AJ38),100*ABS($G38-(iData!AJ38-$I38)/$M38),0)),IF(iData!AJ38&lt;0,100,IF(ISNUMBER(iData!AJ38),100*ABS($G38-(iData!AJ38-$I38)/$M38),0)))</f>
        <v>100</v>
      </c>
      <c r="AR38" s="123" cm="1">
        <f t="array" ref="AR38">CHOOSE($H38,SUMPRODUCT($O39:$O$75*AR39:AR$75*($E39:$E$75=$D38)),IF(ISNUMBER(iData!AK38),100*ABS($G38-(iData!AK38-$K38)/$M38),0),IF(ISNUMBER(iData!AK38),100*ABS($G38-(iData!AK38-$I38)/$M38),0),IF(iData!AK38&gt;tblIndicators!$AI34,100,IF(ISNUMBER(iData!AK38),100*ABS($G38-(iData!AK38-$I38)/$M38),0)),IF(iData!AK38&lt;0,100,IF(ISNUMBER(iData!AK38),100*ABS($G38-(iData!AK38-$I38)/$M38),0)))</f>
        <v>100</v>
      </c>
      <c r="AS38" s="123" cm="1">
        <f t="array" ref="AS38">CHOOSE($H38,SUMPRODUCT($O39:$O$75*AS39:AS$75*($E39:$E$75=$D38)),IF(ISNUMBER(iData!AL38),100*ABS($G38-(iData!AL38-$K38)/$M38),0),IF(ISNUMBER(iData!AL38),100*ABS($G38-(iData!AL38-$I38)/$M38),0),IF(iData!AL38&gt;tblIndicators!$AI34,100,IF(ISNUMBER(iData!AL38),100*ABS($G38-(iData!AL38-$I38)/$M38),0)),IF(iData!AL38&lt;0,100,IF(ISNUMBER(iData!AL38),100*ABS($G38-(iData!AL38-$I38)/$M38),0)))</f>
        <v>100</v>
      </c>
      <c r="AT38" s="123" cm="1">
        <f t="array" ref="AT38">CHOOSE($H38,SUMPRODUCT($O39:$O$75*AT39:AT$75*($E39:$E$75=$D38)),IF(ISNUMBER(iData!AM38),100*ABS($G38-(iData!AM38-$K38)/$M38),0),IF(ISNUMBER(iData!AM38),100*ABS($G38-(iData!AM38-$I38)/$M38),0),IF(iData!AM38&gt;tblIndicators!$AI34,100,IF(ISNUMBER(iData!AM38),100*ABS($G38-(iData!AM38-$I38)/$M38),0)),IF(iData!AM38&lt;0,100,IF(ISNUMBER(iData!AM38),100*ABS($G38-(iData!AM38-$I38)/$M38),0)))</f>
        <v>100</v>
      </c>
      <c r="AU38" s="123" cm="1">
        <f t="array" ref="AU38">CHOOSE($H38,SUMPRODUCT($O39:$O$75*AU39:AU$75*($E39:$E$75=$D38)),IF(ISNUMBER(iData!AN38),100*ABS($G38-(iData!AN38-$K38)/$M38),0),IF(ISNUMBER(iData!AN38),100*ABS($G38-(iData!AN38-$I38)/$M38),0),IF(iData!AN38&gt;tblIndicators!$AI34,100,IF(ISNUMBER(iData!AN38),100*ABS($G38-(iData!AN38-$I38)/$M38),0)),IF(iData!AN38&lt;0,100,IF(ISNUMBER(iData!AN38),100*ABS($G38-(iData!AN38-$I38)/$M38),0)))</f>
        <v>50</v>
      </c>
      <c r="AV38" s="367"/>
      <c r="AW38" s="368"/>
      <c r="AX38" s="14"/>
      <c r="AY38" s="871">
        <f t="shared" si="40"/>
        <v>100</v>
      </c>
      <c r="AZ38" s="871">
        <f t="shared" si="41"/>
        <v>50</v>
      </c>
      <c r="BA38" s="871">
        <f t="shared" si="42"/>
        <v>50</v>
      </c>
      <c r="BB38" s="871">
        <f t="shared" si="43"/>
        <v>100</v>
      </c>
      <c r="BC38" s="871">
        <f t="shared" si="44"/>
        <v>50</v>
      </c>
      <c r="BD38" s="871">
        <f t="shared" si="45"/>
        <v>100</v>
      </c>
      <c r="BE38" s="871">
        <f t="shared" si="46"/>
        <v>0</v>
      </c>
      <c r="BF38" s="871">
        <f t="shared" si="47"/>
        <v>100</v>
      </c>
      <c r="BG38" s="871">
        <f t="shared" si="48"/>
        <v>100</v>
      </c>
      <c r="BH38" s="871">
        <f t="shared" si="49"/>
        <v>50</v>
      </c>
      <c r="BI38" s="871">
        <f t="shared" si="50"/>
        <v>100</v>
      </c>
      <c r="BJ38" s="871">
        <f t="shared" si="51"/>
        <v>100</v>
      </c>
      <c r="BK38" s="871">
        <f t="shared" si="52"/>
        <v>0</v>
      </c>
      <c r="BL38" s="871">
        <f t="shared" si="53"/>
        <v>50</v>
      </c>
      <c r="BM38" s="871">
        <f t="shared" si="54"/>
        <v>100</v>
      </c>
      <c r="BN38" s="871">
        <f t="shared" si="55"/>
        <v>100</v>
      </c>
      <c r="BO38" s="871">
        <f t="shared" si="56"/>
        <v>50</v>
      </c>
      <c r="BP38" s="871">
        <f t="shared" si="57"/>
        <v>50</v>
      </c>
      <c r="BQ38" s="871">
        <f t="shared" si="58"/>
        <v>50</v>
      </c>
      <c r="BR38" s="871">
        <f t="shared" si="59"/>
        <v>100</v>
      </c>
      <c r="BS38" s="871">
        <f t="shared" si="60"/>
        <v>50</v>
      </c>
      <c r="BT38" s="871">
        <f t="shared" si="61"/>
        <v>100</v>
      </c>
      <c r="BU38" s="871">
        <f t="shared" si="62"/>
        <v>50</v>
      </c>
      <c r="BV38" s="871">
        <f t="shared" si="63"/>
        <v>50</v>
      </c>
      <c r="BW38" s="871">
        <f t="shared" si="64"/>
        <v>100</v>
      </c>
      <c r="BX38" s="871">
        <f t="shared" si="65"/>
        <v>100</v>
      </c>
      <c r="BY38" s="871">
        <f t="shared" si="66"/>
        <v>100</v>
      </c>
      <c r="BZ38" s="871">
        <f t="shared" si="67"/>
        <v>100</v>
      </c>
      <c r="CA38" s="871">
        <f t="shared" si="68"/>
        <v>100</v>
      </c>
      <c r="CB38" s="871">
        <f t="shared" si="69"/>
        <v>50</v>
      </c>
      <c r="CD38" s="304">
        <f t="shared" ca="1" si="103"/>
        <v>73.3</v>
      </c>
      <c r="CE38" s="304">
        <f t="shared" ca="1" si="103"/>
        <v>73.3</v>
      </c>
      <c r="CF38" s="304">
        <f t="shared" ca="1" si="103"/>
        <v>62.5</v>
      </c>
      <c r="CG38" s="302">
        <f t="shared" ca="1" si="103"/>
        <v>90</v>
      </c>
      <c r="CH38" s="302">
        <f t="shared" ca="1" si="103"/>
        <v>33.299999999999997</v>
      </c>
      <c r="CI38" s="302">
        <f t="shared" ca="1" si="103"/>
        <v>50</v>
      </c>
      <c r="CJ38" s="302">
        <f t="shared" ca="1" si="103"/>
        <v>100</v>
      </c>
      <c r="CK38" s="302">
        <f t="shared" ca="1" si="103"/>
        <v>33.299999999999997</v>
      </c>
      <c r="CL38" s="302">
        <f t="shared" ca="1" si="103"/>
        <v>41.7</v>
      </c>
      <c r="CM38" s="302">
        <f t="shared" ca="1" si="103"/>
        <v>88.1</v>
      </c>
      <c r="CN38" s="302">
        <f t="shared" ca="1" si="101"/>
        <v>81.3</v>
      </c>
      <c r="CO38" s="302">
        <f t="shared" ca="1" si="101"/>
        <v>94.4</v>
      </c>
      <c r="CP38" s="302">
        <f t="shared" ca="1" si="101"/>
        <v>62.5</v>
      </c>
      <c r="CQ38" s="302">
        <f t="shared" ca="1" si="101"/>
        <v>50</v>
      </c>
    </row>
    <row r="39" spans="1:95" s="124" customFormat="1" ht="27.75" customHeight="1" thickBot="1">
      <c r="A39" s="118"/>
      <c r="B39" s="119">
        <f>tblIndicators!A35</f>
        <v>34</v>
      </c>
      <c r="C39" s="119">
        <f>tblIndicators!B35</f>
        <v>0</v>
      </c>
      <c r="D39" s="119" t="str">
        <f>tblIndicators!E35</f>
        <v>SERV2_6</v>
      </c>
      <c r="E39" s="119" t="str">
        <f>tblIndicators!F35</f>
        <v>SERV</v>
      </c>
      <c r="F39" s="119">
        <f>tblIndicators!G35</f>
        <v>2</v>
      </c>
      <c r="G39" s="119">
        <f>tblIndicators!AF35</f>
        <v>0</v>
      </c>
      <c r="H39" s="119">
        <f>tblIndicators!AG35</f>
        <v>1</v>
      </c>
      <c r="I39" s="120">
        <f>tblIndicators!AH35</f>
        <v>0</v>
      </c>
      <c r="J39" s="119">
        <f>tblIndicators!AI35</f>
        <v>0</v>
      </c>
      <c r="K39" s="119">
        <f t="array" ref="K39">MIN(IF(ISNUMBER(iData!K39:AN39),iData!K39:AN39))</f>
        <v>0</v>
      </c>
      <c r="L39" s="121">
        <f t="array" ref="L39">MAX(IF(ISNUMBER(iData!K39:AN39),iData!K39:AN39))</f>
        <v>0</v>
      </c>
      <c r="M39" s="51" t="str">
        <f t="shared" si="7"/>
        <v>-</v>
      </c>
      <c r="N39" s="122" t="str">
        <f>REPT(" ",F39)&amp;tblIndicators!AM35</f>
        <v xml:space="preserve">  2.6) Retail and hospitality</v>
      </c>
      <c r="O39" s="381">
        <f>tblIndicators!AR35</f>
        <v>0.15384615384615385</v>
      </c>
      <c r="P39" s="381"/>
      <c r="Q39" s="323"/>
      <c r="R39" s="123" cm="1">
        <f t="array" ref="R39">CHOOSE($H39,SUMPRODUCT($O40:$O$75*R40:R$75*($E40:$E$75=$D39)),IF(ISNUMBER(iData!K39),100*ABS($G39-(iData!K39-$K39)/$M39),0),IF(ISNUMBER(iData!K39),100*ABS($G39-(iData!K39-$I39)/$M39),0),IF(iData!K39&gt;tblIndicators!$AI35,100,IF(ISNUMBER(iData!K39),100*ABS($G39-(iData!K39-$I39)/$M39),0)),IF(iData!K39&lt;0,100,IF(ISNUMBER(iData!K39),100*ABS($G39-(iData!K39-$I39)/$M39),0)))</f>
        <v>40.267121341290135</v>
      </c>
      <c r="S39" s="123" cm="1">
        <f t="array" ref="S39">CHOOSE($H39,SUMPRODUCT($O40:$O$75*S40:S$75*($E40:$E$75=$D39)),IF(ISNUMBER(iData!L39),100*ABS($G39-(iData!L39-$K39)/$M39),0),IF(ISNUMBER(iData!L39),100*ABS($G39-(iData!L39-$I39)/$M39),0),IF(iData!L39&gt;tblIndicators!$AI35,100,IF(ISNUMBER(iData!L39),100*ABS($G39-(iData!L39-$I39)/$M39),0)),IF(iData!L39&lt;0,100,IF(ISNUMBER(iData!L39),100*ABS($G39-(iData!L39-$I39)/$M39),0)))</f>
        <v>19.210002841716392</v>
      </c>
      <c r="T39" s="123" cm="1">
        <f t="array" ref="T39">CHOOSE($H39,SUMPRODUCT($O40:$O$75*T40:T$75*($E40:$E$75=$D39)),IF(ISNUMBER(iData!M39),100*ABS($G39-(iData!M39-$K39)/$M39),0),IF(ISNUMBER(iData!M39),100*ABS($G39-(iData!M39-$I39)/$M39),0),IF(iData!M39&gt;tblIndicators!$AI35,100,IF(ISNUMBER(iData!M39),100*ABS($G39-(iData!M39-$I39)/$M39),0)),IF(iData!M39&lt;0,100,IF(ISNUMBER(iData!M39),100*ABS($G39-(iData!M39-$I39)/$M39),0)))</f>
        <v>76.726342710997443</v>
      </c>
      <c r="U39" s="123" cm="1">
        <f t="array" ref="U39">CHOOSE($H39,SUMPRODUCT($O40:$O$75*U40:U$75*($E40:$E$75=$D39)),IF(ISNUMBER(iData!N39),100*ABS($G39-(iData!N39-$K39)/$M39),0),IF(ISNUMBER(iData!N39),100*ABS($G39-(iData!N39-$I39)/$M39),0),IF(iData!N39&gt;tblIndicators!$AI35,100,IF(ISNUMBER(iData!N39),100*ABS($G39-(iData!N39-$I39)/$M39),0)),IF(iData!N39&lt;0,100,IF(ISNUMBER(iData!N39),100*ABS($G39-(iData!N39-$I39)/$M39),0)))</f>
        <v>28.445581131003124</v>
      </c>
      <c r="V39" s="123" cm="1">
        <f t="array" ref="V39">CHOOSE($H39,SUMPRODUCT($O40:$O$75*V40:V$75*($E40:$E$75=$D39)),IF(ISNUMBER(iData!O39),100*ABS($G39-(iData!O39-$K39)/$M39),0),IF(ISNUMBER(iData!O39),100*ABS($G39-(iData!O39-$I39)/$M39),0),IF(iData!O39&gt;tblIndicators!$AI35,100,IF(ISNUMBER(iData!O39),100*ABS($G39-(iData!O39-$I39)/$M39),0)),IF(iData!O39&lt;0,100,IF(ISNUMBER(iData!O39),100*ABS($G39-(iData!O39-$I39)/$M39),0)))</f>
        <v>25.490196078431371</v>
      </c>
      <c r="W39" s="123" cm="1">
        <f t="array" ref="W39">CHOOSE($H39,SUMPRODUCT($O40:$O$75*W40:W$75*($E40:$E$75=$D39)),IF(ISNUMBER(iData!P39),100*ABS($G39-(iData!P39-$K39)/$M39),0),IF(ISNUMBER(iData!P39),100*ABS($G39-(iData!P39-$I39)/$M39),0),IF(iData!P39&gt;tblIndicators!$AI35,100,IF(ISNUMBER(iData!P39),100*ABS($G39-(iData!P39-$I39)/$M39),0)),IF(iData!P39&lt;0,100,IF(ISNUMBER(iData!P39),100*ABS($G39-(iData!P39-$I39)/$M39),0)))</f>
        <v>72.293265132139808</v>
      </c>
      <c r="X39" s="123" cm="1">
        <f t="array" ref="X39">CHOOSE($H39,SUMPRODUCT($O40:$O$75*X40:X$75*($E40:$E$75=$D39)),IF(ISNUMBER(iData!Q39),100*ABS($G39-(iData!Q39-$K39)/$M39),0),IF(ISNUMBER(iData!Q39),100*ABS($G39-(iData!Q39-$I39)/$M39),0),IF(iData!Q39&gt;tblIndicators!$AI35,100,IF(ISNUMBER(iData!Q39),100*ABS($G39-(iData!Q39-$I39)/$M39),0)),IF(iData!Q39&lt;0,100,IF(ISNUMBER(iData!Q39),100*ABS($G39-(iData!Q39-$I39)/$M39),0)))</f>
        <v>22.904234157431084</v>
      </c>
      <c r="Y39" s="123" cm="1">
        <f t="array" ref="Y39">CHOOSE($H39,SUMPRODUCT($O40:$O$75*Y40:Y$75*($E40:$E$75=$D39)),IF(ISNUMBER(iData!R39),100*ABS($G39-(iData!R39-$K39)/$M39),0),IF(ISNUMBER(iData!R39),100*ABS($G39-(iData!R39-$I39)/$M39),0),IF(iData!R39&gt;tblIndicators!$AI35,100,IF(ISNUMBER(iData!R39),100*ABS($G39-(iData!R39-$I39)/$M39),0)),IF(iData!R39&lt;0,100,IF(ISNUMBER(iData!R39),100*ABS($G39-(iData!R39-$I39)/$M39),0)))</f>
        <v>100</v>
      </c>
      <c r="Z39" s="123" cm="1">
        <f t="array" ref="Z39">CHOOSE($H39,SUMPRODUCT($O40:$O$75*Z40:Z$75*($E40:$E$75=$D39)),IF(ISNUMBER(iData!S39),100*ABS($G39-(iData!S39-$K39)/$M39),0),IF(ISNUMBER(iData!S39),100*ABS($G39-(iData!S39-$I39)/$M39),0),IF(iData!S39&gt;tblIndicators!$AI35,100,IF(ISNUMBER(iData!S39),100*ABS($G39-(iData!S39-$I39)/$M39),0)),IF(iData!S39&lt;0,100,IF(ISNUMBER(iData!S39),100*ABS($G39-(iData!S39-$I39)/$M39),0)))</f>
        <v>29.184427394146066</v>
      </c>
      <c r="AA39" s="123" cm="1">
        <f t="array" ref="AA39">CHOOSE($H39,SUMPRODUCT($O40:$O$75*AA40:AA$75*($E40:$E$75=$D39)),IF(ISNUMBER(iData!T39),100*ABS($G39-(iData!T39-$K39)/$M39),0),IF(ISNUMBER(iData!T39),100*ABS($G39-(iData!T39-$I39)/$M39),0),IF(iData!T39&gt;tblIndicators!$AI35,100,IF(ISNUMBER(iData!T39),100*ABS($G39-(iData!T39-$I39)/$M39),0)),IF(iData!T39&lt;0,100,IF(ISNUMBER(iData!T39),100*ABS($G39-(iData!T39-$I39)/$M39),0)))</f>
        <v>56.408070474566642</v>
      </c>
      <c r="AB39" s="123" cm="1">
        <f t="array" ref="AB39">CHOOSE($H39,SUMPRODUCT($O40:$O$75*AB40:AB$75*($E40:$E$75=$D39)),IF(ISNUMBER(iData!U39),100*ABS($G39-(iData!U39-$K39)/$M39),0),IF(ISNUMBER(iData!U39),100*ABS($G39-(iData!U39-$I39)/$M39),0),IF(iData!U39&gt;tblIndicators!$AI35,100,IF(ISNUMBER(iData!U39),100*ABS($G39-(iData!U39-$I39)/$M39),0)),IF(iData!U39&lt;0,100,IF(ISNUMBER(iData!U39),100*ABS($G39-(iData!U39-$I39)/$M39),0)))</f>
        <v>28.81500426257459</v>
      </c>
      <c r="AC39" s="123" cm="1">
        <f t="array" ref="AC39">CHOOSE($H39,SUMPRODUCT($O40:$O$75*AC40:AC$75*($E40:$E$75=$D39)),IF(ISNUMBER(iData!V39),100*ABS($G39-(iData!V39-$K39)/$M39),0),IF(ISNUMBER(iData!V39),100*ABS($G39-(iData!V39-$I39)/$M39),0),IF(iData!V39&gt;tblIndicators!$AI35,100,IF(ISNUMBER(iData!V39),100*ABS($G39-(iData!V39-$I39)/$M39),0)),IF(iData!V39&lt;0,100,IF(ISNUMBER(iData!V39),100*ABS($G39-(iData!V39-$I39)/$M39),0)))</f>
        <v>26.229042341574306</v>
      </c>
      <c r="AD39" s="123" cm="1">
        <f t="array" ref="AD39">CHOOSE($H39,SUMPRODUCT($O40:$O$75*AD40:AD$75*($E40:$E$75=$D39)),IF(ISNUMBER(iData!W39),100*ABS($G39-(iData!W39-$K39)/$M39),0),IF(ISNUMBER(iData!W39),100*ABS($G39-(iData!W39-$I39)/$M39),0),IF(iData!W39&gt;tblIndicators!$AI35,100,IF(ISNUMBER(iData!W39),100*ABS($G39-(iData!W39-$I39)/$M39),0)),IF(iData!W39&lt;0,100,IF(ISNUMBER(iData!W39),100*ABS($G39-(iData!W39-$I39)/$M39),0)))</f>
        <v>15.515771526001704</v>
      </c>
      <c r="AE39" s="123" cm="1">
        <f t="array" ref="AE39">CHOOSE($H39,SUMPRODUCT($O40:$O$75*AE40:AE$75*($E40:$E$75=$D39)),IF(ISNUMBER(iData!X39),100*ABS($G39-(iData!X39-$K39)/$M39),0),IF(ISNUMBER(iData!X39),100*ABS($G39-(iData!X39-$I39)/$M39),0),IF(iData!X39&gt;tblIndicators!$AI35,100,IF(ISNUMBER(iData!X39),100*ABS($G39-(iData!X39-$I39)/$M39),0)),IF(iData!X39&lt;0,100,IF(ISNUMBER(iData!X39),100*ABS($G39-(iData!X39-$I39)/$M39),0)))</f>
        <v>7.0190394998579135</v>
      </c>
      <c r="AF39" s="123" cm="1">
        <f t="array" ref="AF39">CHOOSE($H39,SUMPRODUCT($O40:$O$75*AF40:AF$75*($E40:$E$75=$D39)),IF(ISNUMBER(iData!Y39),100*ABS($G39-(iData!Y39-$K39)/$M39),0),IF(ISNUMBER(iData!Y39),100*ABS($G39-(iData!Y39-$I39)/$M39),0),IF(iData!Y39&gt;tblIndicators!$AI35,100,IF(ISNUMBER(iData!Y39),100*ABS($G39-(iData!Y39-$I39)/$M39),0)),IF(iData!Y39&lt;0,100,IF(ISNUMBER(iData!Y39),100*ABS($G39-(iData!Y39-$I39)/$M39),0)))</f>
        <v>53.935777209434498</v>
      </c>
      <c r="AG39" s="123" cm="1">
        <f t="array" ref="AG39">CHOOSE($H39,SUMPRODUCT($O40:$O$75*AG40:AG$75*($E40:$E$75=$D39)),IF(ISNUMBER(iData!Z39),100*ABS($G39-(iData!Z39-$K39)/$M39),0),IF(ISNUMBER(iData!Z39),100*ABS($G39-(iData!Z39-$I39)/$M39),0),IF(iData!Z39&gt;tblIndicators!$AI35,100,IF(ISNUMBER(iData!Z39),100*ABS($G39-(iData!Z39-$I39)/$M39),0)),IF(iData!Z39&lt;0,100,IF(ISNUMBER(iData!Z39),100*ABS($G39-(iData!Z39-$I39)/$M39),0)))</f>
        <v>28.445581131003124</v>
      </c>
      <c r="AH39" s="123" cm="1">
        <f t="array" ref="AH39">CHOOSE($H39,SUMPRODUCT($O40:$O$75*AH40:AH$75*($E40:$E$75=$D39)),IF(ISNUMBER(iData!AA39),100*ABS($G39-(iData!AA39-$K39)/$M39),0),IF(ISNUMBER(iData!AA39),100*ABS($G39-(iData!AA39-$I39)/$M39),0),IF(iData!AA39&gt;tblIndicators!$AI35,100,IF(ISNUMBER(iData!AA39),100*ABS($G39-(iData!AA39-$I39)/$M39),0)),IF(iData!AA39&lt;0,100,IF(ISNUMBER(iData!AA39),100*ABS($G39-(iData!AA39-$I39)/$M39),0)))</f>
        <v>0</v>
      </c>
      <c r="AI39" s="123" cm="1">
        <f t="array" ref="AI39">CHOOSE($H39,SUMPRODUCT($O40:$O$75*AI40:AI$75*($E40:$E$75=$D39)),IF(ISNUMBER(iData!AB39),100*ABS($G39-(iData!AB39-$K39)/$M39),0),IF(ISNUMBER(iData!AB39),100*ABS($G39-(iData!AB39-$I39)/$M39),0),IF(iData!AB39&gt;tblIndicators!$AI35,100,IF(ISNUMBER(iData!AB39),100*ABS($G39-(iData!AB39-$I39)/$M39),0)),IF(iData!AB39&lt;0,100,IF(ISNUMBER(iData!AB39),100*ABS($G39-(iData!AB39-$I39)/$M39),0)))</f>
        <v>10.343847684001139</v>
      </c>
      <c r="AJ39" s="123" cm="1">
        <f t="array" ref="AJ39">CHOOSE($H39,SUMPRODUCT($O40:$O$75*AJ40:AJ$75*($E40:$E$75=$D39)),IF(ISNUMBER(iData!AC39),100*ABS($G39-(iData!AC39-$K39)/$M39),0),IF(ISNUMBER(iData!AC39),100*ABS($G39-(iData!AC39-$I39)/$M39),0),IF(iData!AC39&gt;tblIndicators!$AI35,100,IF(ISNUMBER(iData!AC39),100*ABS($G39-(iData!AC39-$I39)/$M39),0)),IF(iData!AC39&lt;0,100,IF(ISNUMBER(iData!AC39),100*ABS($G39-(iData!AC39-$I39)/$M39),0)))</f>
        <v>15.515771526001704</v>
      </c>
      <c r="AK39" s="123" cm="1">
        <f t="array" ref="AK39">CHOOSE($H39,SUMPRODUCT($O40:$O$75*AK40:AK$75*($E40:$E$75=$D39)),IF(ISNUMBER(iData!AD39),100*ABS($G39-(iData!AD39-$K39)/$M39),0),IF(ISNUMBER(iData!AD39),100*ABS($G39-(iData!AD39-$I39)/$M39),0),IF(iData!AD39&gt;tblIndicators!$AI35,100,IF(ISNUMBER(iData!AD39),100*ABS($G39-(iData!AD39-$I39)/$M39),0)),IF(iData!AD39&lt;0,100,IF(ISNUMBER(iData!AD39),100*ABS($G39-(iData!AD39-$I39)/$M39),0)))</f>
        <v>29.184427394146066</v>
      </c>
      <c r="AL39" s="123" cm="1">
        <f t="array" ref="AL39">CHOOSE($H39,SUMPRODUCT($O40:$O$75*AL40:AL$75*($E40:$E$75=$D39)),IF(ISNUMBER(iData!AE39),100*ABS($G39-(iData!AE39-$K39)/$M39),0),IF(ISNUMBER(iData!AE39),100*ABS($G39-(iData!AE39-$I39)/$M39),0),IF(iData!AE39&gt;tblIndicators!$AI35,100,IF(ISNUMBER(iData!AE39),100*ABS($G39-(iData!AE39-$I39)/$M39),0)),IF(iData!AE39&lt;0,100,IF(ISNUMBER(iData!AE39),100*ABS($G39-(iData!AE39-$I39)/$M39),0)))</f>
        <v>78.204035237283321</v>
      </c>
      <c r="AM39" s="123" cm="1">
        <f t="array" ref="AM39">CHOOSE($H39,SUMPRODUCT($O40:$O$75*AM40:AM$75*($E40:$E$75=$D39)),IF(ISNUMBER(iData!AF39),100*ABS($G39-(iData!AF39-$K39)/$M39),0),IF(ISNUMBER(iData!AF39),100*ABS($G39-(iData!AF39-$I39)/$M39),0),IF(iData!AF39&gt;tblIndicators!$AI35,100,IF(ISNUMBER(iData!AF39),100*ABS($G39-(iData!AF39-$I39)/$M39),0)),IF(iData!AF39&lt;0,100,IF(ISNUMBER(iData!AF39),100*ABS($G39-(iData!AF39-$I39)/$M39),0)))</f>
        <v>11.821540210287013</v>
      </c>
      <c r="AN39" s="123" cm="1">
        <f t="array" ref="AN39">CHOOSE($H39,SUMPRODUCT($O40:$O$75*AN40:AN$75*($E40:$E$75=$D39)),IF(ISNUMBER(iData!AG39),100*ABS($G39-(iData!AG39-$K39)/$M39),0),IF(ISNUMBER(iData!AG39),100*ABS($G39-(iData!AG39-$I39)/$M39),0),IF(iData!AG39&gt;tblIndicators!$AI35,100,IF(ISNUMBER(iData!AG39),100*ABS($G39-(iData!AG39-$I39)/$M39),0)),IF(iData!AG39&lt;0,100,IF(ISNUMBER(iData!AG39),100*ABS($G39-(iData!AG39-$I39)/$M39),0)))</f>
        <v>7.0190394998579135</v>
      </c>
      <c r="AO39" s="123" cm="1">
        <f t="array" ref="AO39">CHOOSE($H39,SUMPRODUCT($O40:$O$75*AO40:AO$75*($E40:$E$75=$D39)),IF(ISNUMBER(iData!AH39),100*ABS($G39-(iData!AH39-$K39)/$M39),0),IF(ISNUMBER(iData!AH39),100*ABS($G39-(iData!AH39-$I39)/$M39),0),IF(iData!AH39&gt;tblIndicators!$AI35,100,IF(ISNUMBER(iData!AH39),100*ABS($G39-(iData!AH39-$I39)/$M39),0)),IF(iData!AH39&lt;0,100,IF(ISNUMBER(iData!AH39),100*ABS($G39-(iData!AH39-$I39)/$M39),0)))</f>
        <v>61.949417448138675</v>
      </c>
      <c r="AP39" s="123" cm="1">
        <f t="array" ref="AP39">CHOOSE($H39,SUMPRODUCT($O40:$O$75*AP40:AP$75*($E40:$E$75=$D39)),IF(ISNUMBER(iData!AI39),100*ABS($G39-(iData!AI39-$K39)/$M39),0),IF(ISNUMBER(iData!AI39),100*ABS($G39-(iData!AI39-$I39)/$M39),0),IF(iData!AI39&gt;tblIndicators!$AI35,100,IF(ISNUMBER(iData!AI39),100*ABS($G39-(iData!AI39-$I39)/$M39),0)),IF(iData!AI39&lt;0,100,IF(ISNUMBER(iData!AI39),100*ABS($G39-(iData!AI39-$I39)/$M39),0)))</f>
        <v>10.343847684001139</v>
      </c>
      <c r="AQ39" s="123" cm="1">
        <f t="array" ref="AQ39">CHOOSE($H39,SUMPRODUCT($O40:$O$75*AQ40:AQ$75*($E40:$E$75=$D39)),IF(ISNUMBER(iData!AJ39),100*ABS($G39-(iData!AJ39-$K39)/$M39),0),IF(ISNUMBER(iData!AJ39),100*ABS($G39-(iData!AJ39-$I39)/$M39),0),IF(iData!AJ39&gt;tblIndicators!$AI35,100,IF(ISNUMBER(iData!AJ39),100*ABS($G39-(iData!AJ39-$I39)/$M39),0)),IF(iData!AJ39&lt;0,100,IF(ISNUMBER(iData!AJ39),100*ABS($G39-(iData!AJ39-$I39)/$M39),0)))</f>
        <v>11.452117078715546</v>
      </c>
      <c r="AR39" s="123" cm="1">
        <f t="array" ref="AR39">CHOOSE($H39,SUMPRODUCT($O40:$O$75*AR40:AR$75*($E40:$E$75=$D39)),IF(ISNUMBER(iData!AK39),100*ABS($G39-(iData!AK39-$K39)/$M39),0),IF(ISNUMBER(iData!AK39),100*ABS($G39-(iData!AK39-$I39)/$M39),0),IF(iData!AK39&gt;tblIndicators!$AI35,100,IF(ISNUMBER(iData!AK39),100*ABS($G39-(iData!AK39-$I39)/$M39),0)),IF(iData!AK39&lt;0,100,IF(ISNUMBER(iData!AK39),100*ABS($G39-(iData!AK39-$I39)/$M39),0)))</f>
        <v>24.381926683716966</v>
      </c>
      <c r="AS39" s="123" cm="1">
        <f t="array" ref="AS39">CHOOSE($H39,SUMPRODUCT($O40:$O$75*AS40:AS$75*($E40:$E$75=$D39)),IF(ISNUMBER(iData!AL39),100*ABS($G39-(iData!AL39-$K39)/$M39),0),IF(ISNUMBER(iData!AL39),100*ABS($G39-(iData!AL39-$I39)/$M39),0),IF(iData!AL39&gt;tblIndicators!$AI35,100,IF(ISNUMBER(iData!AL39),100*ABS($G39-(iData!AL39-$I39)/$M39),0)),IF(iData!AL39&lt;0,100,IF(ISNUMBER(iData!AL39),100*ABS($G39-(iData!AL39-$I39)/$M39),0)))</f>
        <v>24.012503552145496</v>
      </c>
      <c r="AT39" s="123" cm="1">
        <f t="array" ref="AT39">CHOOSE($H39,SUMPRODUCT($O40:$O$75*AT40:AT$75*($E40:$E$75=$D39)),IF(ISNUMBER(iData!AM39),100*ABS($G39-(iData!AM39-$K39)/$M39),0),IF(ISNUMBER(iData!AM39),100*ABS($G39-(iData!AM39-$I39)/$M39),0),IF(iData!AM39&gt;tblIndicators!$AI35,100,IF(ISNUMBER(iData!AM39),100*ABS($G39-(iData!AM39-$I39)/$M39),0)),IF(iData!AM39&lt;0,100,IF(ISNUMBER(iData!AM39),100*ABS($G39-(iData!AM39-$I39)/$M39),0)))</f>
        <v>29.184427394146066</v>
      </c>
      <c r="AU39" s="123" cm="1">
        <f t="array" ref="AU39">CHOOSE($H39,SUMPRODUCT($O40:$O$75*AU40:AU$75*($E40:$E$75=$D39)),IF(ISNUMBER(iData!AN39),100*ABS($G39-(iData!AN39-$K39)/$M39),0),IF(ISNUMBER(iData!AN39),100*ABS($G39-(iData!AN39-$I39)/$M39),0),IF(iData!AN39&gt;tblIndicators!$AI35,100,IF(ISNUMBER(iData!AN39),100*ABS($G39-(iData!AN39-$I39)/$M39),0)),IF(iData!AN39&lt;0,100,IF(ISNUMBER(iData!AN39),100*ABS($G39-(iData!AN39-$I39)/$M39),0)))</f>
        <v>71.923842000568342</v>
      </c>
      <c r="AV39" s="367"/>
      <c r="AW39" s="368"/>
      <c r="AX39" s="14"/>
      <c r="AY39" s="871">
        <f t="shared" si="40"/>
        <v>40.299999999999997</v>
      </c>
      <c r="AZ39" s="871">
        <f t="shared" si="41"/>
        <v>19.2</v>
      </c>
      <c r="BA39" s="871">
        <f t="shared" si="42"/>
        <v>76.7</v>
      </c>
      <c r="BB39" s="871">
        <f t="shared" si="43"/>
        <v>28.4</v>
      </c>
      <c r="BC39" s="871">
        <f t="shared" si="44"/>
        <v>25.5</v>
      </c>
      <c r="BD39" s="871">
        <f t="shared" si="45"/>
        <v>72.3</v>
      </c>
      <c r="BE39" s="871">
        <f t="shared" si="46"/>
        <v>22.9</v>
      </c>
      <c r="BF39" s="871">
        <f t="shared" si="47"/>
        <v>100</v>
      </c>
      <c r="BG39" s="871">
        <f t="shared" si="48"/>
        <v>29.2</v>
      </c>
      <c r="BH39" s="871">
        <f t="shared" si="49"/>
        <v>56.4</v>
      </c>
      <c r="BI39" s="871">
        <f t="shared" si="50"/>
        <v>28.8</v>
      </c>
      <c r="BJ39" s="871">
        <f t="shared" si="51"/>
        <v>26.2</v>
      </c>
      <c r="BK39" s="871">
        <f t="shared" si="52"/>
        <v>15.5</v>
      </c>
      <c r="BL39" s="871">
        <f t="shared" si="53"/>
        <v>7</v>
      </c>
      <c r="BM39" s="871">
        <f t="shared" si="54"/>
        <v>53.9</v>
      </c>
      <c r="BN39" s="871">
        <f t="shared" si="55"/>
        <v>28.4</v>
      </c>
      <c r="BO39" s="871">
        <f t="shared" si="56"/>
        <v>0</v>
      </c>
      <c r="BP39" s="871">
        <f t="shared" si="57"/>
        <v>10.3</v>
      </c>
      <c r="BQ39" s="871">
        <f t="shared" si="58"/>
        <v>15.5</v>
      </c>
      <c r="BR39" s="871">
        <f t="shared" si="59"/>
        <v>29.2</v>
      </c>
      <c r="BS39" s="871">
        <f t="shared" si="60"/>
        <v>78.2</v>
      </c>
      <c r="BT39" s="871">
        <f t="shared" si="61"/>
        <v>11.8</v>
      </c>
      <c r="BU39" s="871">
        <f t="shared" si="62"/>
        <v>7</v>
      </c>
      <c r="BV39" s="871">
        <f t="shared" si="63"/>
        <v>61.9</v>
      </c>
      <c r="BW39" s="871">
        <f t="shared" si="64"/>
        <v>10.3</v>
      </c>
      <c r="BX39" s="871">
        <f t="shared" si="65"/>
        <v>11.5</v>
      </c>
      <c r="BY39" s="871">
        <f t="shared" si="66"/>
        <v>24.4</v>
      </c>
      <c r="BZ39" s="871">
        <f t="shared" si="67"/>
        <v>24</v>
      </c>
      <c r="CA39" s="871">
        <f t="shared" si="68"/>
        <v>29.2</v>
      </c>
      <c r="CB39" s="871">
        <f t="shared" si="69"/>
        <v>71.900000000000006</v>
      </c>
      <c r="CD39" s="304">
        <f t="shared" ca="1" si="103"/>
        <v>33.9</v>
      </c>
      <c r="CE39" s="304">
        <f t="shared" ca="1" si="103"/>
        <v>33.9</v>
      </c>
      <c r="CF39" s="304">
        <f t="shared" ca="1" si="103"/>
        <v>24.5</v>
      </c>
      <c r="CG39" s="302">
        <f t="shared" ca="1" si="103"/>
        <v>51.4</v>
      </c>
      <c r="CH39" s="302">
        <f t="shared" ca="1" si="103"/>
        <v>13.4</v>
      </c>
      <c r="CI39" s="302">
        <f t="shared" ca="1" si="103"/>
        <v>56.4</v>
      </c>
      <c r="CJ39" s="302">
        <f t="shared" ca="1" si="103"/>
        <v>27.9</v>
      </c>
      <c r="CK39" s="302">
        <f t="shared" ca="1" si="103"/>
        <v>10.3</v>
      </c>
      <c r="CL39" s="302">
        <f t="shared" ca="1" si="103"/>
        <v>24.9</v>
      </c>
      <c r="CM39" s="302">
        <f t="shared" ca="1" si="103"/>
        <v>39.799999999999997</v>
      </c>
      <c r="CN39" s="302">
        <f t="shared" ca="1" si="101"/>
        <v>42.5</v>
      </c>
      <c r="CO39" s="302">
        <f t="shared" ca="1" si="101"/>
        <v>28.3</v>
      </c>
      <c r="CP39" s="302">
        <f t="shared" ca="1" si="101"/>
        <v>52.2</v>
      </c>
      <c r="CQ39" s="302">
        <f t="shared" ca="1" si="101"/>
        <v>23.6</v>
      </c>
    </row>
    <row r="40" spans="1:95" s="124" customFormat="1" ht="27.75" customHeight="1" thickBot="1">
      <c r="A40" s="118"/>
      <c r="B40" s="119">
        <f>tblIndicators!A36</f>
        <v>35</v>
      </c>
      <c r="C40" s="119">
        <f>tblIndicators!B36</f>
        <v>0</v>
      </c>
      <c r="D40" s="119" t="str">
        <f>tblIndicators!E36</f>
        <v>SERV2_6_1</v>
      </c>
      <c r="E40" s="119" t="str">
        <f>tblIndicators!F36</f>
        <v>SERV2_6</v>
      </c>
      <c r="F40" s="119">
        <f>tblIndicators!G36</f>
        <v>3</v>
      </c>
      <c r="G40" s="119">
        <f>tblIndicators!AF36</f>
        <v>0</v>
      </c>
      <c r="H40" s="119">
        <f>tblIndicators!AG36</f>
        <v>2</v>
      </c>
      <c r="I40" s="120">
        <f>tblIndicators!AH36</f>
        <v>0</v>
      </c>
      <c r="J40" s="119">
        <f>tblIndicators!AI36</f>
        <v>0</v>
      </c>
      <c r="K40" s="119">
        <f t="array" ref="K40">MIN(IF(ISNUMBER(iData!K40:AN40),iData!K40:AN40))</f>
        <v>2.4</v>
      </c>
      <c r="L40" s="121">
        <f t="array" ref="L40">MAX(IF(ISNUMBER(iData!K40:AN40),iData!K40:AN40))</f>
        <v>17.7</v>
      </c>
      <c r="M40" s="51">
        <f t="shared" si="7"/>
        <v>15.299999999999999</v>
      </c>
      <c r="N40" s="122" t="str">
        <f>REPT(" ",F40)&amp;tblIndicators!AM36</f>
        <v xml:space="preserve">   2.6.1) E-commerce penetration</v>
      </c>
      <c r="O40" s="381">
        <f>tblIndicators!AR36</f>
        <v>0.56521739130434778</v>
      </c>
      <c r="P40" s="381"/>
      <c r="Q40" s="323"/>
      <c r="R40" s="123" cm="1">
        <f t="array" ref="R40">CHOOSE($H40,SUMPRODUCT($O41:$O$75*R41:R$75*($E41:$E$75=$D40)),IF(ISNUMBER(iData!K40),100*ABS($G40-(iData!K40-$K40)/$M40),0),IF(ISNUMBER(iData!K40),100*ABS($G40-(iData!K40-$I40)/$M40),0),IF(iData!K40&gt;tblIndicators!$AI36,100,IF(ISNUMBER(iData!K40),100*ABS($G40-(iData!K40-$I40)/$M40),0)),IF(iData!K40&lt;0,100,IF(ISNUMBER(iData!K40),100*ABS($G40-(iData!K40-$I40)/$M40),0)))</f>
        <v>71.24183006535948</v>
      </c>
      <c r="S40" s="123" cm="1">
        <f t="array" ref="S40">CHOOSE($H40,SUMPRODUCT($O41:$O$75*S41:S$75*($E41:$E$75=$D40)),IF(ISNUMBER(iData!L40),100*ABS($G40-(iData!L40-$K40)/$M40),0),IF(ISNUMBER(iData!L40),100*ABS($G40-(iData!L40-$I40)/$M40),0),IF(iData!L40&gt;tblIndicators!$AI36,100,IF(ISNUMBER(iData!L40),100*ABS($G40-(iData!L40-$I40)/$M40),0)),IF(iData!L40&lt;0,100,IF(ISNUMBER(iData!L40),100*ABS($G40-(iData!L40-$I40)/$M40),0)))</f>
        <v>33.986928104575156</v>
      </c>
      <c r="T40" s="123" cm="1">
        <f t="array" ref="T40">CHOOSE($H40,SUMPRODUCT($O41:$O$75*T41:T$75*($E41:$E$75=$D40)),IF(ISNUMBER(iData!M40),100*ABS($G40-(iData!M40-$K40)/$M40),0),IF(ISNUMBER(iData!M40),100*ABS($G40-(iData!M40-$I40)/$M40),0),IF(iData!M40&gt;tblIndicators!$AI36,100,IF(ISNUMBER(iData!M40),100*ABS($G40-(iData!M40-$I40)/$M40),0)),IF(iData!M40&lt;0,100,IF(ISNUMBER(iData!M40),100*ABS($G40-(iData!M40-$I40)/$M40),0)))</f>
        <v>58.82352941176471</v>
      </c>
      <c r="U40" s="123" cm="1">
        <f t="array" ref="U40">CHOOSE($H40,SUMPRODUCT($O41:$O$75*U41:U$75*($E41:$E$75=$D40)),IF(ISNUMBER(iData!N40),100*ABS($G40-(iData!N40-$K40)/$M40),0),IF(ISNUMBER(iData!N40),100*ABS($G40-(iData!N40-$I40)/$M40),0),IF(iData!N40&gt;tblIndicators!$AI36,100,IF(ISNUMBER(iData!N40),100*ABS($G40-(iData!N40-$I40)/$M40),0)),IF(iData!N40&lt;0,100,IF(ISNUMBER(iData!N40),100*ABS($G40-(iData!N40-$I40)/$M40),0)))</f>
        <v>50.326797385620914</v>
      </c>
      <c r="V40" s="123" cm="1">
        <f t="array" ref="V40">CHOOSE($H40,SUMPRODUCT($O41:$O$75*V41:V$75*($E41:$E$75=$D40)),IF(ISNUMBER(iData!O40),100*ABS($G40-(iData!O40-$K40)/$M40),0),IF(ISNUMBER(iData!O40),100*ABS($G40-(iData!O40-$I40)/$M40),0),IF(iData!O40&gt;tblIndicators!$AI36,100,IF(ISNUMBER(iData!O40),100*ABS($G40-(iData!O40-$I40)/$M40),0)),IF(iData!O40&lt;0,100,IF(ISNUMBER(iData!O40),100*ABS($G40-(iData!O40-$I40)/$M40),0)))</f>
        <v>45.098039215686278</v>
      </c>
      <c r="W40" s="123" cm="1">
        <f t="array" ref="W40">CHOOSE($H40,SUMPRODUCT($O41:$O$75*W41:W$75*($E41:$E$75=$D40)),IF(ISNUMBER(iData!P40),100*ABS($G40-(iData!P40-$K40)/$M40),0),IF(ISNUMBER(iData!P40),100*ABS($G40-(iData!P40-$I40)/$M40),0),IF(iData!P40&gt;tblIndicators!$AI36,100,IF(ISNUMBER(iData!P40),100*ABS($G40-(iData!P40-$I40)/$M40),0)),IF(iData!P40&lt;0,100,IF(ISNUMBER(iData!P40),100*ABS($G40-(iData!P40-$I40)/$M40),0)))</f>
        <v>50.980392156862742</v>
      </c>
      <c r="X40" s="123" cm="1">
        <f t="array" ref="X40">CHOOSE($H40,SUMPRODUCT($O41:$O$75*X41:X$75*($E41:$E$75=$D40)),IF(ISNUMBER(iData!Q40),100*ABS($G40-(iData!Q40-$K40)/$M40),0),IF(ISNUMBER(iData!Q40),100*ABS($G40-(iData!Q40-$I40)/$M40),0),IF(iData!Q40&gt;tblIndicators!$AI36,100,IF(ISNUMBER(iData!Q40),100*ABS($G40-(iData!Q40-$I40)/$M40),0)),IF(iData!Q40&lt;0,100,IF(ISNUMBER(iData!Q40),100*ABS($G40-(iData!Q40-$I40)/$M40),0)))</f>
        <v>40.522875816993462</v>
      </c>
      <c r="Y40" s="123" cm="1">
        <f t="array" ref="Y40">CHOOSE($H40,SUMPRODUCT($O41:$O$75*Y41:Y$75*($E41:$E$75=$D40)),IF(ISNUMBER(iData!R40),100*ABS($G40-(iData!R40-$K40)/$M40),0),IF(ISNUMBER(iData!R40),100*ABS($G40-(iData!R40-$I40)/$M40),0),IF(iData!R40&gt;tblIndicators!$AI36,100,IF(ISNUMBER(iData!R40),100*ABS($G40-(iData!R40-$I40)/$M40),0)),IF(iData!R40&lt;0,100,IF(ISNUMBER(iData!R40),100*ABS($G40-(iData!R40-$I40)/$M40),0)))</f>
        <v>100</v>
      </c>
      <c r="Z40" s="123" cm="1">
        <f t="array" ref="Z40">CHOOSE($H40,SUMPRODUCT($O41:$O$75*Z41:Z$75*($E41:$E$75=$D40)),IF(ISNUMBER(iData!S40),100*ABS($G40-(iData!S40-$K40)/$M40),0),IF(ISNUMBER(iData!S40),100*ABS($G40-(iData!S40-$I40)/$M40),0),IF(iData!S40&gt;tblIndicators!$AI36,100,IF(ISNUMBER(iData!S40),100*ABS($G40-(iData!S40-$I40)/$M40),0)),IF(iData!S40&lt;0,100,IF(ISNUMBER(iData!S40),100*ABS($G40-(iData!S40-$I40)/$M40),0)))</f>
        <v>51.633986928104584</v>
      </c>
      <c r="AA40" s="123" cm="1">
        <f t="array" ref="AA40">CHOOSE($H40,SUMPRODUCT($O41:$O$75*AA41:AA$75*($E41:$E$75=$D40)),IF(ISNUMBER(iData!T40),100*ABS($G40-(iData!T40-$K40)/$M40),0),IF(ISNUMBER(iData!T40),100*ABS($G40-(iData!T40-$I40)/$M40),0),IF(iData!T40&gt;tblIndicators!$AI36,100,IF(ISNUMBER(iData!T40),100*ABS($G40-(iData!T40-$I40)/$M40),0)),IF(iData!T40&lt;0,100,IF(ISNUMBER(iData!T40),100*ABS($G40-(iData!T40-$I40)/$M40),0)))</f>
        <v>22.875816993464056</v>
      </c>
      <c r="AB40" s="123" cm="1">
        <f t="array" ref="AB40">CHOOSE($H40,SUMPRODUCT($O41:$O$75*AB41:AB$75*($E41:$E$75=$D40)),IF(ISNUMBER(iData!U40),100*ABS($G40-(iData!U40-$K40)/$M40),0),IF(ISNUMBER(iData!U40),100*ABS($G40-(iData!U40-$I40)/$M40),0),IF(iData!U40&gt;tblIndicators!$AI36,100,IF(ISNUMBER(iData!U40),100*ABS($G40-(iData!U40-$I40)/$M40),0)),IF(iData!U40&lt;0,100,IF(ISNUMBER(iData!U40),100*ABS($G40-(iData!U40-$I40)/$M40),0)))</f>
        <v>50.980392156862742</v>
      </c>
      <c r="AC40" s="123" cm="1">
        <f t="array" ref="AC40">CHOOSE($H40,SUMPRODUCT($O41:$O$75*AC41:AC$75*($E41:$E$75=$D40)),IF(ISNUMBER(iData!V40),100*ABS($G40-(iData!V40-$K40)/$M40),0),IF(ISNUMBER(iData!V40),100*ABS($G40-(iData!V40-$I40)/$M40),0),IF(iData!V40&gt;tblIndicators!$AI36,100,IF(ISNUMBER(iData!V40),100*ABS($G40-(iData!V40-$I40)/$M40),0)),IF(iData!V40&lt;0,100,IF(ISNUMBER(iData!V40),100*ABS($G40-(iData!V40-$I40)/$M40),0)))</f>
        <v>46.405228758169933</v>
      </c>
      <c r="AD40" s="123" cm="1">
        <f t="array" ref="AD40">CHOOSE($H40,SUMPRODUCT($O41:$O$75*AD41:AD$75*($E41:$E$75=$D40)),IF(ISNUMBER(iData!W40),100*ABS($G40-(iData!W40-$K40)/$M40),0),IF(ISNUMBER(iData!W40),100*ABS($G40-(iData!W40-$I40)/$M40),0),IF(iData!W40&gt;tblIndicators!$AI36,100,IF(ISNUMBER(iData!W40),100*ABS($G40-(iData!W40-$I40)/$M40),0)),IF(iData!W40&lt;0,100,IF(ISNUMBER(iData!W40),100*ABS($G40-(iData!W40-$I40)/$M40),0)))</f>
        <v>27.450980392156861</v>
      </c>
      <c r="AE40" s="123" cm="1">
        <f t="array" ref="AE40">CHOOSE($H40,SUMPRODUCT($O41:$O$75*AE41:AE$75*($E41:$E$75=$D40)),IF(ISNUMBER(iData!X40),100*ABS($G40-(iData!X40-$K40)/$M40),0),IF(ISNUMBER(iData!X40),100*ABS($G40-(iData!X40-$I40)/$M40),0),IF(iData!X40&gt;tblIndicators!$AI36,100,IF(ISNUMBER(iData!X40),100*ABS($G40-(iData!X40-$I40)/$M40),0)),IF(iData!X40&lt;0,100,IF(ISNUMBER(iData!X40),100*ABS($G40-(iData!X40-$I40)/$M40),0)))</f>
        <v>12.418300653594772</v>
      </c>
      <c r="AF40" s="123" cm="1">
        <f t="array" ref="AF40">CHOOSE($H40,SUMPRODUCT($O41:$O$75*AF41:AF$75*($E41:$E$75=$D40)),IF(ISNUMBER(iData!Y40),100*ABS($G40-(iData!Y40-$K40)/$M40),0),IF(ISNUMBER(iData!Y40),100*ABS($G40-(iData!Y40-$I40)/$M40),0),IF(iData!Y40&gt;tblIndicators!$AI36,100,IF(ISNUMBER(iData!Y40),100*ABS($G40-(iData!Y40-$I40)/$M40),0)),IF(iData!Y40&lt;0,100,IF(ISNUMBER(iData!Y40),100*ABS($G40-(iData!Y40-$I40)/$M40),0)))</f>
        <v>95.424836601307192</v>
      </c>
      <c r="AG40" s="123" cm="1">
        <f t="array" ref="AG40">CHOOSE($H40,SUMPRODUCT($O41:$O$75*AG41:AG$75*($E41:$E$75=$D40)),IF(ISNUMBER(iData!Z40),100*ABS($G40-(iData!Z40-$K40)/$M40),0),IF(ISNUMBER(iData!Z40),100*ABS($G40-(iData!Z40-$I40)/$M40),0),IF(iData!Z40&gt;tblIndicators!$AI36,100,IF(ISNUMBER(iData!Z40),100*ABS($G40-(iData!Z40-$I40)/$M40),0)),IF(iData!Z40&lt;0,100,IF(ISNUMBER(iData!Z40),100*ABS($G40-(iData!Z40-$I40)/$M40),0)))</f>
        <v>50.326797385620914</v>
      </c>
      <c r="AH40" s="123" cm="1">
        <f t="array" ref="AH40">CHOOSE($H40,SUMPRODUCT($O41:$O$75*AH41:AH$75*($E41:$E$75=$D40)),IF(ISNUMBER(iData!AA40),100*ABS($G40-(iData!AA40-$K40)/$M40),0),IF(ISNUMBER(iData!AA40),100*ABS($G40-(iData!AA40-$I40)/$M40),0),IF(iData!AA40&gt;tblIndicators!$AI36,100,IF(ISNUMBER(iData!AA40),100*ABS($G40-(iData!AA40-$I40)/$M40),0)),IF(iData!AA40&lt;0,100,IF(ISNUMBER(iData!AA40),100*ABS($G40-(iData!AA40-$I40)/$M40),0)))</f>
        <v>0</v>
      </c>
      <c r="AI40" s="123" cm="1">
        <f t="array" ref="AI40">CHOOSE($H40,SUMPRODUCT($O41:$O$75*AI41:AI$75*($E41:$E$75=$D40)),IF(ISNUMBER(iData!AB40),100*ABS($G40-(iData!AB40-$K40)/$M40),0),IF(ISNUMBER(iData!AB40),100*ABS($G40-(iData!AB40-$I40)/$M40),0),IF(iData!AB40&gt;tblIndicators!$AI36,100,IF(ISNUMBER(iData!AB40),100*ABS($G40-(iData!AB40-$I40)/$M40),0)),IF(iData!AB40&lt;0,100,IF(ISNUMBER(iData!AB40),100*ABS($G40-(iData!AB40-$I40)/$M40),0)))</f>
        <v>18.300653594771248</v>
      </c>
      <c r="AJ40" s="123" cm="1">
        <f t="array" ref="AJ40">CHOOSE($H40,SUMPRODUCT($O41:$O$75*AJ41:AJ$75*($E41:$E$75=$D40)),IF(ISNUMBER(iData!AC40),100*ABS($G40-(iData!AC40-$K40)/$M40),0),IF(ISNUMBER(iData!AC40),100*ABS($G40-(iData!AC40-$I40)/$M40),0),IF(iData!AC40&gt;tblIndicators!$AI36,100,IF(ISNUMBER(iData!AC40),100*ABS($G40-(iData!AC40-$I40)/$M40),0)),IF(iData!AC40&lt;0,100,IF(ISNUMBER(iData!AC40),100*ABS($G40-(iData!AC40-$I40)/$M40),0)))</f>
        <v>27.450980392156861</v>
      </c>
      <c r="AK40" s="123" cm="1">
        <f t="array" ref="AK40">CHOOSE($H40,SUMPRODUCT($O41:$O$75*AK41:AK$75*($E41:$E$75=$D40)),IF(ISNUMBER(iData!AD40),100*ABS($G40-(iData!AD40-$K40)/$M40),0),IF(ISNUMBER(iData!AD40),100*ABS($G40-(iData!AD40-$I40)/$M40),0),IF(iData!AD40&gt;tblIndicators!$AI36,100,IF(ISNUMBER(iData!AD40),100*ABS($G40-(iData!AD40-$I40)/$M40),0)),IF(iData!AD40&lt;0,100,IF(ISNUMBER(iData!AD40),100*ABS($G40-(iData!AD40-$I40)/$M40),0)))</f>
        <v>51.633986928104584</v>
      </c>
      <c r="AL40" s="123" cm="1">
        <f t="array" ref="AL40">CHOOSE($H40,SUMPRODUCT($O41:$O$75*AL41:AL$75*($E41:$E$75=$D40)),IF(ISNUMBER(iData!AE40),100*ABS($G40-(iData!AE40-$K40)/$M40),0),IF(ISNUMBER(iData!AE40),100*ABS($G40-(iData!AE40-$I40)/$M40),0),IF(iData!AE40&gt;tblIndicators!$AI36,100,IF(ISNUMBER(iData!AE40),100*ABS($G40-(iData!AE40-$I40)/$M40),0)),IF(iData!AE40&lt;0,100,IF(ISNUMBER(iData!AE40),100*ABS($G40-(iData!AE40-$I40)/$M40),0)))</f>
        <v>61.437908496732028</v>
      </c>
      <c r="AM40" s="123" cm="1">
        <f t="array" ref="AM40">CHOOSE($H40,SUMPRODUCT($O41:$O$75*AM41:AM$75*($E41:$E$75=$D40)),IF(ISNUMBER(iData!AF40),100*ABS($G40-(iData!AF40-$K40)/$M40),0),IF(ISNUMBER(iData!AF40),100*ABS($G40-(iData!AF40-$I40)/$M40),0),IF(iData!AF40&gt;tblIndicators!$AI36,100,IF(ISNUMBER(iData!AF40),100*ABS($G40-(iData!AF40-$I40)/$M40),0)),IF(iData!AF40&lt;0,100,IF(ISNUMBER(iData!AF40),100*ABS($G40-(iData!AF40-$I40)/$M40),0)))</f>
        <v>20.915032679738562</v>
      </c>
      <c r="AN40" s="123" cm="1">
        <f t="array" ref="AN40">CHOOSE($H40,SUMPRODUCT($O41:$O$75*AN41:AN$75*($E41:$E$75=$D40)),IF(ISNUMBER(iData!AG40),100*ABS($G40-(iData!AG40-$K40)/$M40),0),IF(ISNUMBER(iData!AG40),100*ABS($G40-(iData!AG40-$I40)/$M40),0),IF(iData!AG40&gt;tblIndicators!$AI36,100,IF(ISNUMBER(iData!AG40),100*ABS($G40-(iData!AG40-$I40)/$M40),0)),IF(iData!AG40&lt;0,100,IF(ISNUMBER(iData!AG40),100*ABS($G40-(iData!AG40-$I40)/$M40),0)))</f>
        <v>12.418300653594772</v>
      </c>
      <c r="AO40" s="123" cm="1">
        <f t="array" ref="AO40">CHOOSE($H40,SUMPRODUCT($O41:$O$75*AO41:AO$75*($E41:$E$75=$D40)),IF(ISNUMBER(iData!AH40),100*ABS($G40-(iData!AH40-$K40)/$M40),0),IF(ISNUMBER(iData!AH40),100*ABS($G40-(iData!AH40-$I40)/$M40),0),IF(iData!AH40&gt;tblIndicators!$AI36,100,IF(ISNUMBER(iData!AH40),100*ABS($G40-(iData!AH40-$I40)/$M40),0)),IF(iData!AH40&lt;0,100,IF(ISNUMBER(iData!AH40),100*ABS($G40-(iData!AH40-$I40)/$M40),0)))</f>
        <v>32.679738562091501</v>
      </c>
      <c r="AP40" s="123" cm="1">
        <f t="array" ref="AP40">CHOOSE($H40,SUMPRODUCT($O41:$O$75*AP41:AP$75*($E41:$E$75=$D40)),IF(ISNUMBER(iData!AI40),100*ABS($G40-(iData!AI40-$K40)/$M40),0),IF(ISNUMBER(iData!AI40),100*ABS($G40-(iData!AI40-$I40)/$M40),0),IF(iData!AI40&gt;tblIndicators!$AI36,100,IF(ISNUMBER(iData!AI40),100*ABS($G40-(iData!AI40-$I40)/$M40),0)),IF(iData!AI40&lt;0,100,IF(ISNUMBER(iData!AI40),100*ABS($G40-(iData!AI40-$I40)/$M40),0)))</f>
        <v>18.300653594771248</v>
      </c>
      <c r="AQ40" s="123" cm="1">
        <f t="array" ref="AQ40">CHOOSE($H40,SUMPRODUCT($O41:$O$75*AQ41:AQ$75*($E41:$E$75=$D40)),IF(ISNUMBER(iData!AJ40),100*ABS($G40-(iData!AJ40-$K40)/$M40),0),IF(ISNUMBER(iData!AJ40),100*ABS($G40-(iData!AJ40-$I40)/$M40),0),IF(iData!AJ40&gt;tblIndicators!$AI36,100,IF(ISNUMBER(iData!AJ40),100*ABS($G40-(iData!AJ40-$I40)/$M40),0)),IF(iData!AJ40&lt;0,100,IF(ISNUMBER(iData!AJ40),100*ABS($G40-(iData!AJ40-$I40)/$M40),0)))</f>
        <v>20.261437908496735</v>
      </c>
      <c r="AR40" s="123" cm="1">
        <f t="array" ref="AR40">CHOOSE($H40,SUMPRODUCT($O41:$O$75*AR41:AR$75*($E41:$E$75=$D40)),IF(ISNUMBER(iData!AK40),100*ABS($G40-(iData!AK40-$K40)/$M40),0),IF(ISNUMBER(iData!AK40),100*ABS($G40-(iData!AK40-$I40)/$M40),0),IF(iData!AK40&gt;tblIndicators!$AI36,100,IF(ISNUMBER(iData!AK40),100*ABS($G40-(iData!AK40-$I40)/$M40),0)),IF(iData!AK40&lt;0,100,IF(ISNUMBER(iData!AK40),100*ABS($G40-(iData!AK40-$I40)/$M40),0)))</f>
        <v>43.137254901960787</v>
      </c>
      <c r="AS40" s="123" cm="1">
        <f t="array" ref="AS40">CHOOSE($H40,SUMPRODUCT($O41:$O$75*AS41:AS$75*($E41:$E$75=$D40)),IF(ISNUMBER(iData!AL40),100*ABS($G40-(iData!AL40-$K40)/$M40),0),IF(ISNUMBER(iData!AL40),100*ABS($G40-(iData!AL40-$I40)/$M40),0),IF(iData!AL40&gt;tblIndicators!$AI36,100,IF(ISNUMBER(iData!AL40),100*ABS($G40-(iData!AL40-$I40)/$M40),0)),IF(iData!AL40&lt;0,100,IF(ISNUMBER(iData!AL40),100*ABS($G40-(iData!AL40-$I40)/$M40),0)))</f>
        <v>42.48366013071896</v>
      </c>
      <c r="AT40" s="123" cm="1">
        <f t="array" ref="AT40">CHOOSE($H40,SUMPRODUCT($O41:$O$75*AT41:AT$75*($E41:$E$75=$D40)),IF(ISNUMBER(iData!AM40),100*ABS($G40-(iData!AM40-$K40)/$M40),0),IF(ISNUMBER(iData!AM40),100*ABS($G40-(iData!AM40-$I40)/$M40),0),IF(iData!AM40&gt;tblIndicators!$AI36,100,IF(ISNUMBER(iData!AM40),100*ABS($G40-(iData!AM40-$I40)/$M40),0)),IF(iData!AM40&lt;0,100,IF(ISNUMBER(iData!AM40),100*ABS($G40-(iData!AM40-$I40)/$M40),0)))</f>
        <v>51.633986928104584</v>
      </c>
      <c r="AU40" s="123" cm="1">
        <f t="array" ref="AU40">CHOOSE($H40,SUMPRODUCT($O41:$O$75*AU41:AU$75*($E41:$E$75=$D40)),IF(ISNUMBER(iData!AN40),100*ABS($G40-(iData!AN40-$K40)/$M40),0),IF(ISNUMBER(iData!AN40),100*ABS($G40-(iData!AN40-$I40)/$M40),0),IF(iData!AN40&gt;tblIndicators!$AI36,100,IF(ISNUMBER(iData!AN40),100*ABS($G40-(iData!AN40-$I40)/$M40),0)),IF(iData!AN40&lt;0,100,IF(ISNUMBER(iData!AN40),100*ABS($G40-(iData!AN40-$I40)/$M40),0)))</f>
        <v>50.326797385620914</v>
      </c>
      <c r="AV40" s="367"/>
      <c r="AW40" s="368"/>
      <c r="AX40" s="14"/>
      <c r="AY40" s="871">
        <f t="shared" si="40"/>
        <v>71.2</v>
      </c>
      <c r="AZ40" s="871">
        <f t="shared" si="41"/>
        <v>34</v>
      </c>
      <c r="BA40" s="871">
        <f t="shared" si="42"/>
        <v>58.8</v>
      </c>
      <c r="BB40" s="871">
        <f t="shared" si="43"/>
        <v>50.3</v>
      </c>
      <c r="BC40" s="871">
        <f t="shared" si="44"/>
        <v>45.1</v>
      </c>
      <c r="BD40" s="871">
        <f t="shared" si="45"/>
        <v>51</v>
      </c>
      <c r="BE40" s="871">
        <f t="shared" si="46"/>
        <v>40.5</v>
      </c>
      <c r="BF40" s="871">
        <f t="shared" si="47"/>
        <v>100</v>
      </c>
      <c r="BG40" s="871">
        <f t="shared" si="48"/>
        <v>51.6</v>
      </c>
      <c r="BH40" s="871">
        <f t="shared" si="49"/>
        <v>22.9</v>
      </c>
      <c r="BI40" s="871">
        <f t="shared" si="50"/>
        <v>51</v>
      </c>
      <c r="BJ40" s="871">
        <f t="shared" si="51"/>
        <v>46.4</v>
      </c>
      <c r="BK40" s="871">
        <f t="shared" si="52"/>
        <v>27.5</v>
      </c>
      <c r="BL40" s="871">
        <f t="shared" si="53"/>
        <v>12.4</v>
      </c>
      <c r="BM40" s="871">
        <f t="shared" si="54"/>
        <v>95.4</v>
      </c>
      <c r="BN40" s="871">
        <f t="shared" si="55"/>
        <v>50.3</v>
      </c>
      <c r="BO40" s="871">
        <f t="shared" si="56"/>
        <v>0</v>
      </c>
      <c r="BP40" s="871">
        <f t="shared" si="57"/>
        <v>18.3</v>
      </c>
      <c r="BQ40" s="871">
        <f t="shared" si="58"/>
        <v>27.5</v>
      </c>
      <c r="BR40" s="871">
        <f t="shared" si="59"/>
        <v>51.6</v>
      </c>
      <c r="BS40" s="871">
        <f t="shared" si="60"/>
        <v>61.4</v>
      </c>
      <c r="BT40" s="871">
        <f t="shared" si="61"/>
        <v>20.9</v>
      </c>
      <c r="BU40" s="871">
        <f t="shared" si="62"/>
        <v>12.4</v>
      </c>
      <c r="BV40" s="871">
        <f t="shared" si="63"/>
        <v>32.700000000000003</v>
      </c>
      <c r="BW40" s="871">
        <f t="shared" si="64"/>
        <v>18.3</v>
      </c>
      <c r="BX40" s="871">
        <f t="shared" si="65"/>
        <v>20.3</v>
      </c>
      <c r="BY40" s="871">
        <f t="shared" si="66"/>
        <v>43.1</v>
      </c>
      <c r="BZ40" s="871">
        <f t="shared" si="67"/>
        <v>42.5</v>
      </c>
      <c r="CA40" s="871">
        <f t="shared" si="68"/>
        <v>51.6</v>
      </c>
      <c r="CB40" s="871">
        <f t="shared" si="69"/>
        <v>50.3</v>
      </c>
      <c r="CD40" s="304">
        <f t="shared" ca="1" si="103"/>
        <v>42</v>
      </c>
      <c r="CE40" s="304">
        <f t="shared" ca="1" si="103"/>
        <v>42</v>
      </c>
      <c r="CF40" s="304">
        <f t="shared" ca="1" si="103"/>
        <v>30.5</v>
      </c>
      <c r="CG40" s="302">
        <f t="shared" ca="1" si="103"/>
        <v>60.2</v>
      </c>
      <c r="CH40" s="302">
        <f t="shared" ca="1" si="103"/>
        <v>23.7</v>
      </c>
      <c r="CI40" s="302">
        <f t="shared" ca="1" si="103"/>
        <v>22.9</v>
      </c>
      <c r="CJ40" s="302">
        <f t="shared" ca="1" si="103"/>
        <v>49.3</v>
      </c>
      <c r="CK40" s="302">
        <f t="shared" ca="1" si="103"/>
        <v>18.3</v>
      </c>
      <c r="CL40" s="302">
        <f t="shared" ca="1" si="103"/>
        <v>31.3</v>
      </c>
      <c r="CM40" s="302">
        <f t="shared" ca="1" si="103"/>
        <v>48.4</v>
      </c>
      <c r="CN40" s="302">
        <f t="shared" ca="1" si="101"/>
        <v>46.3</v>
      </c>
      <c r="CO40" s="302">
        <f t="shared" ca="1" si="101"/>
        <v>41.6</v>
      </c>
      <c r="CP40" s="302">
        <f t="shared" ca="1" si="101"/>
        <v>53.9</v>
      </c>
      <c r="CQ40" s="302">
        <f t="shared" ca="1" si="101"/>
        <v>33.200000000000003</v>
      </c>
    </row>
    <row r="41" spans="1:95" s="124" customFormat="1" ht="27.75" customHeight="1" thickBot="1">
      <c r="A41" s="118"/>
      <c r="B41" s="119">
        <f>tblIndicators!A37</f>
        <v>36</v>
      </c>
      <c r="C41" s="119">
        <f>tblIndicators!B37</f>
        <v>0</v>
      </c>
      <c r="D41" s="119" t="str">
        <f>tblIndicators!E37</f>
        <v>SERV2_6_2</v>
      </c>
      <c r="E41" s="119" t="str">
        <f>tblIndicators!F37</f>
        <v>SERV2_6</v>
      </c>
      <c r="F41" s="119">
        <f>tblIndicators!G37</f>
        <v>3</v>
      </c>
      <c r="G41" s="119">
        <f>tblIndicators!AF37</f>
        <v>0</v>
      </c>
      <c r="H41" s="119">
        <f>tblIndicators!AG37</f>
        <v>3</v>
      </c>
      <c r="I41" s="120">
        <f>tblIndicators!AH37</f>
        <v>0</v>
      </c>
      <c r="J41" s="119">
        <f>tblIndicators!AI37</f>
        <v>1</v>
      </c>
      <c r="K41" s="119">
        <f t="array" ref="K41">MIN(IF(ISNUMBER(iData!K41:AN41),iData!K41:AN41))</f>
        <v>0</v>
      </c>
      <c r="L41" s="121">
        <f t="array" ref="L41">MAX(IF(ISNUMBER(iData!K41:AN41),iData!K41:AN41))</f>
        <v>1</v>
      </c>
      <c r="M41" s="51">
        <f t="shared" si="7"/>
        <v>1</v>
      </c>
      <c r="N41" s="122" t="str">
        <f>REPT(" ",F41)&amp;tblIndicators!AM37</f>
        <v xml:space="preserve">   2.6.2) Digital tourist passes</v>
      </c>
      <c r="O41" s="381">
        <f>tblIndicators!AR37</f>
        <v>0.43478260869565222</v>
      </c>
      <c r="P41" s="381"/>
      <c r="Q41" s="323"/>
      <c r="R41" s="123" cm="1">
        <f t="array" ref="R41">CHOOSE($H41,SUMPRODUCT($O42:$O$75*R42:R$75*($E42:$E$75=$D41)),IF(ISNUMBER(iData!K41),100*ABS($G41-(iData!K41-$K41)/$M41),0),IF(ISNUMBER(iData!K41),100*ABS($G41-(iData!K41-$I41)/$M41),0),IF(iData!K41&gt;tblIndicators!$AI37,100,IF(ISNUMBER(iData!K41),100*ABS($G41-(iData!K41-$I41)/$M41),0)),IF(iData!K41&lt;0,100,IF(ISNUMBER(iData!K41),100*ABS($G41-(iData!K41-$I41)/$M41),0)))</f>
        <v>0</v>
      </c>
      <c r="S41" s="123" cm="1">
        <f t="array" ref="S41">CHOOSE($H41,SUMPRODUCT($O42:$O$75*S42:S$75*($E42:$E$75=$D41)),IF(ISNUMBER(iData!L41),100*ABS($G41-(iData!L41-$K41)/$M41),0),IF(ISNUMBER(iData!L41),100*ABS($G41-(iData!L41-$I41)/$M41),0),IF(iData!L41&gt;tblIndicators!$AI37,100,IF(ISNUMBER(iData!L41),100*ABS($G41-(iData!L41-$I41)/$M41),0)),IF(iData!L41&lt;0,100,IF(ISNUMBER(iData!L41),100*ABS($G41-(iData!L41-$I41)/$M41),0)))</f>
        <v>0</v>
      </c>
      <c r="T41" s="123" cm="1">
        <f t="array" ref="T41">CHOOSE($H41,SUMPRODUCT($O42:$O$75*T42:T$75*($E42:$E$75=$D41)),IF(ISNUMBER(iData!M41),100*ABS($G41-(iData!M41-$K41)/$M41),0),IF(ISNUMBER(iData!M41),100*ABS($G41-(iData!M41-$I41)/$M41),0),IF(iData!M41&gt;tblIndicators!$AI37,100,IF(ISNUMBER(iData!M41),100*ABS($G41-(iData!M41-$I41)/$M41),0)),IF(iData!M41&lt;0,100,IF(ISNUMBER(iData!M41),100*ABS($G41-(iData!M41-$I41)/$M41),0)))</f>
        <v>100</v>
      </c>
      <c r="U41" s="123" cm="1">
        <f t="array" ref="U41">CHOOSE($H41,SUMPRODUCT($O42:$O$75*U42:U$75*($E42:$E$75=$D41)),IF(ISNUMBER(iData!N41),100*ABS($G41-(iData!N41-$K41)/$M41),0),IF(ISNUMBER(iData!N41),100*ABS($G41-(iData!N41-$I41)/$M41),0),IF(iData!N41&gt;tblIndicators!$AI37,100,IF(ISNUMBER(iData!N41),100*ABS($G41-(iData!N41-$I41)/$M41),0)),IF(iData!N41&lt;0,100,IF(ISNUMBER(iData!N41),100*ABS($G41-(iData!N41-$I41)/$M41),0)))</f>
        <v>0</v>
      </c>
      <c r="V41" s="123" cm="1">
        <f t="array" ref="V41">CHOOSE($H41,SUMPRODUCT($O42:$O$75*V42:V$75*($E42:$E$75=$D41)),IF(ISNUMBER(iData!O41),100*ABS($G41-(iData!O41-$K41)/$M41),0),IF(ISNUMBER(iData!O41),100*ABS($G41-(iData!O41-$I41)/$M41),0),IF(iData!O41&gt;tblIndicators!$AI37,100,IF(ISNUMBER(iData!O41),100*ABS($G41-(iData!O41-$I41)/$M41),0)),IF(iData!O41&lt;0,100,IF(ISNUMBER(iData!O41),100*ABS($G41-(iData!O41-$I41)/$M41),0)))</f>
        <v>0</v>
      </c>
      <c r="W41" s="123" cm="1">
        <f t="array" ref="W41">CHOOSE($H41,SUMPRODUCT($O42:$O$75*W42:W$75*($E42:$E$75=$D41)),IF(ISNUMBER(iData!P41),100*ABS($G41-(iData!P41-$K41)/$M41),0),IF(ISNUMBER(iData!P41),100*ABS($G41-(iData!P41-$I41)/$M41),0),IF(iData!P41&gt;tblIndicators!$AI37,100,IF(ISNUMBER(iData!P41),100*ABS($G41-(iData!P41-$I41)/$M41),0)),IF(iData!P41&lt;0,100,IF(ISNUMBER(iData!P41),100*ABS($G41-(iData!P41-$I41)/$M41),0)))</f>
        <v>100</v>
      </c>
      <c r="X41" s="123" cm="1">
        <f t="array" ref="X41">CHOOSE($H41,SUMPRODUCT($O42:$O$75*X42:X$75*($E42:$E$75=$D41)),IF(ISNUMBER(iData!Q41),100*ABS($G41-(iData!Q41-$K41)/$M41),0),IF(ISNUMBER(iData!Q41),100*ABS($G41-(iData!Q41-$I41)/$M41),0),IF(iData!Q41&gt;tblIndicators!$AI37,100,IF(ISNUMBER(iData!Q41),100*ABS($G41-(iData!Q41-$I41)/$M41),0)),IF(iData!Q41&lt;0,100,IF(ISNUMBER(iData!Q41),100*ABS($G41-(iData!Q41-$I41)/$M41),0)))</f>
        <v>0</v>
      </c>
      <c r="Y41" s="123" cm="1">
        <f t="array" ref="Y41">CHOOSE($H41,SUMPRODUCT($O42:$O$75*Y42:Y$75*($E42:$E$75=$D41)),IF(ISNUMBER(iData!R41),100*ABS($G41-(iData!R41-$K41)/$M41),0),IF(ISNUMBER(iData!R41),100*ABS($G41-(iData!R41-$I41)/$M41),0),IF(iData!R41&gt;tblIndicators!$AI37,100,IF(ISNUMBER(iData!R41),100*ABS($G41-(iData!R41-$I41)/$M41),0)),IF(iData!R41&lt;0,100,IF(ISNUMBER(iData!R41),100*ABS($G41-(iData!R41-$I41)/$M41),0)))</f>
        <v>100</v>
      </c>
      <c r="Z41" s="123" cm="1">
        <f t="array" ref="Z41">CHOOSE($H41,SUMPRODUCT($O42:$O$75*Z42:Z$75*($E42:$E$75=$D41)),IF(ISNUMBER(iData!S41),100*ABS($G41-(iData!S41-$K41)/$M41),0),IF(ISNUMBER(iData!S41),100*ABS($G41-(iData!S41-$I41)/$M41),0),IF(iData!S41&gt;tblIndicators!$AI37,100,IF(ISNUMBER(iData!S41),100*ABS($G41-(iData!S41-$I41)/$M41),0)),IF(iData!S41&lt;0,100,IF(ISNUMBER(iData!S41),100*ABS($G41-(iData!S41-$I41)/$M41),0)))</f>
        <v>0</v>
      </c>
      <c r="AA41" s="123" cm="1">
        <f t="array" ref="AA41">CHOOSE($H41,SUMPRODUCT($O42:$O$75*AA42:AA$75*($E42:$E$75=$D41)),IF(ISNUMBER(iData!T41),100*ABS($G41-(iData!T41-$K41)/$M41),0),IF(ISNUMBER(iData!T41),100*ABS($G41-(iData!T41-$I41)/$M41),0),IF(iData!T41&gt;tblIndicators!$AI37,100,IF(ISNUMBER(iData!T41),100*ABS($G41-(iData!T41-$I41)/$M41),0)),IF(iData!T41&lt;0,100,IF(ISNUMBER(iData!T41),100*ABS($G41-(iData!T41-$I41)/$M41),0)))</f>
        <v>100</v>
      </c>
      <c r="AB41" s="123" cm="1">
        <f t="array" ref="AB41">CHOOSE($H41,SUMPRODUCT($O42:$O$75*AB42:AB$75*($E42:$E$75=$D41)),IF(ISNUMBER(iData!U41),100*ABS($G41-(iData!U41-$K41)/$M41),0),IF(ISNUMBER(iData!U41),100*ABS($G41-(iData!U41-$I41)/$M41),0),IF(iData!U41&gt;tblIndicators!$AI37,100,IF(ISNUMBER(iData!U41),100*ABS($G41-(iData!U41-$I41)/$M41),0)),IF(iData!U41&lt;0,100,IF(ISNUMBER(iData!U41),100*ABS($G41-(iData!U41-$I41)/$M41),0)))</f>
        <v>0</v>
      </c>
      <c r="AC41" s="123" cm="1">
        <f t="array" ref="AC41">CHOOSE($H41,SUMPRODUCT($O42:$O$75*AC42:AC$75*($E42:$E$75=$D41)),IF(ISNUMBER(iData!V41),100*ABS($G41-(iData!V41-$K41)/$M41),0),IF(ISNUMBER(iData!V41),100*ABS($G41-(iData!V41-$I41)/$M41),0),IF(iData!V41&gt;tblIndicators!$AI37,100,IF(ISNUMBER(iData!V41),100*ABS($G41-(iData!V41-$I41)/$M41),0)),IF(iData!V41&lt;0,100,IF(ISNUMBER(iData!V41),100*ABS($G41-(iData!V41-$I41)/$M41),0)))</f>
        <v>0</v>
      </c>
      <c r="AD41" s="123" cm="1">
        <f t="array" ref="AD41">CHOOSE($H41,SUMPRODUCT($O42:$O$75*AD42:AD$75*($E42:$E$75=$D41)),IF(ISNUMBER(iData!W41),100*ABS($G41-(iData!W41-$K41)/$M41),0),IF(ISNUMBER(iData!W41),100*ABS($G41-(iData!W41-$I41)/$M41),0),IF(iData!W41&gt;tblIndicators!$AI37,100,IF(ISNUMBER(iData!W41),100*ABS($G41-(iData!W41-$I41)/$M41),0)),IF(iData!W41&lt;0,100,IF(ISNUMBER(iData!W41),100*ABS($G41-(iData!W41-$I41)/$M41),0)))</f>
        <v>0</v>
      </c>
      <c r="AE41" s="123" cm="1">
        <f t="array" ref="AE41">CHOOSE($H41,SUMPRODUCT($O42:$O$75*AE42:AE$75*($E42:$E$75=$D41)),IF(ISNUMBER(iData!X41),100*ABS($G41-(iData!X41-$K41)/$M41),0),IF(ISNUMBER(iData!X41),100*ABS($G41-(iData!X41-$I41)/$M41),0),IF(iData!X41&gt;tblIndicators!$AI37,100,IF(ISNUMBER(iData!X41),100*ABS($G41-(iData!X41-$I41)/$M41),0)),IF(iData!X41&lt;0,100,IF(ISNUMBER(iData!X41),100*ABS($G41-(iData!X41-$I41)/$M41),0)))</f>
        <v>0</v>
      </c>
      <c r="AF41" s="123" cm="1">
        <f t="array" ref="AF41">CHOOSE($H41,SUMPRODUCT($O42:$O$75*AF42:AF$75*($E42:$E$75=$D41)),IF(ISNUMBER(iData!Y41),100*ABS($G41-(iData!Y41-$K41)/$M41),0),IF(ISNUMBER(iData!Y41),100*ABS($G41-(iData!Y41-$I41)/$M41),0),IF(iData!Y41&gt;tblIndicators!$AI37,100,IF(ISNUMBER(iData!Y41),100*ABS($G41-(iData!Y41-$I41)/$M41),0)),IF(iData!Y41&lt;0,100,IF(ISNUMBER(iData!Y41),100*ABS($G41-(iData!Y41-$I41)/$M41),0)))</f>
        <v>0</v>
      </c>
      <c r="AG41" s="123" cm="1">
        <f t="array" ref="AG41">CHOOSE($H41,SUMPRODUCT($O42:$O$75*AG42:AG$75*($E42:$E$75=$D41)),IF(ISNUMBER(iData!Z41),100*ABS($G41-(iData!Z41-$K41)/$M41),0),IF(ISNUMBER(iData!Z41),100*ABS($G41-(iData!Z41-$I41)/$M41),0),IF(iData!Z41&gt;tblIndicators!$AI37,100,IF(ISNUMBER(iData!Z41),100*ABS($G41-(iData!Z41-$I41)/$M41),0)),IF(iData!Z41&lt;0,100,IF(ISNUMBER(iData!Z41),100*ABS($G41-(iData!Z41-$I41)/$M41),0)))</f>
        <v>0</v>
      </c>
      <c r="AH41" s="123" cm="1">
        <f t="array" ref="AH41">CHOOSE($H41,SUMPRODUCT($O42:$O$75*AH42:AH$75*($E42:$E$75=$D41)),IF(ISNUMBER(iData!AA41),100*ABS($G41-(iData!AA41-$K41)/$M41),0),IF(ISNUMBER(iData!AA41),100*ABS($G41-(iData!AA41-$I41)/$M41),0),IF(iData!AA41&gt;tblIndicators!$AI37,100,IF(ISNUMBER(iData!AA41),100*ABS($G41-(iData!AA41-$I41)/$M41),0)),IF(iData!AA41&lt;0,100,IF(ISNUMBER(iData!AA41),100*ABS($G41-(iData!AA41-$I41)/$M41),0)))</f>
        <v>0</v>
      </c>
      <c r="AI41" s="123" cm="1">
        <f t="array" ref="AI41">CHOOSE($H41,SUMPRODUCT($O42:$O$75*AI42:AI$75*($E42:$E$75=$D41)),IF(ISNUMBER(iData!AB41),100*ABS($G41-(iData!AB41-$K41)/$M41),0),IF(ISNUMBER(iData!AB41),100*ABS($G41-(iData!AB41-$I41)/$M41),0),IF(iData!AB41&gt;tblIndicators!$AI37,100,IF(ISNUMBER(iData!AB41),100*ABS($G41-(iData!AB41-$I41)/$M41),0)),IF(iData!AB41&lt;0,100,IF(ISNUMBER(iData!AB41),100*ABS($G41-(iData!AB41-$I41)/$M41),0)))</f>
        <v>0</v>
      </c>
      <c r="AJ41" s="123" cm="1">
        <f t="array" ref="AJ41">CHOOSE($H41,SUMPRODUCT($O42:$O$75*AJ42:AJ$75*($E42:$E$75=$D41)),IF(ISNUMBER(iData!AC41),100*ABS($G41-(iData!AC41-$K41)/$M41),0),IF(ISNUMBER(iData!AC41),100*ABS($G41-(iData!AC41-$I41)/$M41),0),IF(iData!AC41&gt;tblIndicators!$AI37,100,IF(ISNUMBER(iData!AC41),100*ABS($G41-(iData!AC41-$I41)/$M41),0)),IF(iData!AC41&lt;0,100,IF(ISNUMBER(iData!AC41),100*ABS($G41-(iData!AC41-$I41)/$M41),0)))</f>
        <v>0</v>
      </c>
      <c r="AK41" s="123" cm="1">
        <f t="array" ref="AK41">CHOOSE($H41,SUMPRODUCT($O42:$O$75*AK42:AK$75*($E42:$E$75=$D41)),IF(ISNUMBER(iData!AD41),100*ABS($G41-(iData!AD41-$K41)/$M41),0),IF(ISNUMBER(iData!AD41),100*ABS($G41-(iData!AD41-$I41)/$M41),0),IF(iData!AD41&gt;tblIndicators!$AI37,100,IF(ISNUMBER(iData!AD41),100*ABS($G41-(iData!AD41-$I41)/$M41),0)),IF(iData!AD41&lt;0,100,IF(ISNUMBER(iData!AD41),100*ABS($G41-(iData!AD41-$I41)/$M41),0)))</f>
        <v>0</v>
      </c>
      <c r="AL41" s="123" cm="1">
        <f t="array" ref="AL41">CHOOSE($H41,SUMPRODUCT($O42:$O$75*AL42:AL$75*($E42:$E$75=$D41)),IF(ISNUMBER(iData!AE41),100*ABS($G41-(iData!AE41-$K41)/$M41),0),IF(ISNUMBER(iData!AE41),100*ABS($G41-(iData!AE41-$I41)/$M41),0),IF(iData!AE41&gt;tblIndicators!$AI37,100,IF(ISNUMBER(iData!AE41),100*ABS($G41-(iData!AE41-$I41)/$M41),0)),IF(iData!AE41&lt;0,100,IF(ISNUMBER(iData!AE41),100*ABS($G41-(iData!AE41-$I41)/$M41),0)))</f>
        <v>100</v>
      </c>
      <c r="AM41" s="123" cm="1">
        <f t="array" ref="AM41">CHOOSE($H41,SUMPRODUCT($O42:$O$75*AM42:AM$75*($E42:$E$75=$D41)),IF(ISNUMBER(iData!AF41),100*ABS($G41-(iData!AF41-$K41)/$M41),0),IF(ISNUMBER(iData!AF41),100*ABS($G41-(iData!AF41-$I41)/$M41),0),IF(iData!AF41&gt;tblIndicators!$AI37,100,IF(ISNUMBER(iData!AF41),100*ABS($G41-(iData!AF41-$I41)/$M41),0)),IF(iData!AF41&lt;0,100,IF(ISNUMBER(iData!AF41),100*ABS($G41-(iData!AF41-$I41)/$M41),0)))</f>
        <v>0</v>
      </c>
      <c r="AN41" s="123" cm="1">
        <f t="array" ref="AN41">CHOOSE($H41,SUMPRODUCT($O42:$O$75*AN42:AN$75*($E42:$E$75=$D41)),IF(ISNUMBER(iData!AG41),100*ABS($G41-(iData!AG41-$K41)/$M41),0),IF(ISNUMBER(iData!AG41),100*ABS($G41-(iData!AG41-$I41)/$M41),0),IF(iData!AG41&gt;tblIndicators!$AI37,100,IF(ISNUMBER(iData!AG41),100*ABS($G41-(iData!AG41-$I41)/$M41),0)),IF(iData!AG41&lt;0,100,IF(ISNUMBER(iData!AG41),100*ABS($G41-(iData!AG41-$I41)/$M41),0)))</f>
        <v>0</v>
      </c>
      <c r="AO41" s="123" cm="1">
        <f t="array" ref="AO41">CHOOSE($H41,SUMPRODUCT($O42:$O$75*AO42:AO$75*($E42:$E$75=$D41)),IF(ISNUMBER(iData!AH41),100*ABS($G41-(iData!AH41-$K41)/$M41),0),IF(ISNUMBER(iData!AH41),100*ABS($G41-(iData!AH41-$I41)/$M41),0),IF(iData!AH41&gt;tblIndicators!$AI37,100,IF(ISNUMBER(iData!AH41),100*ABS($G41-(iData!AH41-$I41)/$M41),0)),IF(iData!AH41&lt;0,100,IF(ISNUMBER(iData!AH41),100*ABS($G41-(iData!AH41-$I41)/$M41),0)))</f>
        <v>100</v>
      </c>
      <c r="AP41" s="123" cm="1">
        <f t="array" ref="AP41">CHOOSE($H41,SUMPRODUCT($O42:$O$75*AP42:AP$75*($E42:$E$75=$D41)),IF(ISNUMBER(iData!AI41),100*ABS($G41-(iData!AI41-$K41)/$M41),0),IF(ISNUMBER(iData!AI41),100*ABS($G41-(iData!AI41-$I41)/$M41),0),IF(iData!AI41&gt;tblIndicators!$AI37,100,IF(ISNUMBER(iData!AI41),100*ABS($G41-(iData!AI41-$I41)/$M41),0)),IF(iData!AI41&lt;0,100,IF(ISNUMBER(iData!AI41),100*ABS($G41-(iData!AI41-$I41)/$M41),0)))</f>
        <v>0</v>
      </c>
      <c r="AQ41" s="123" cm="1">
        <f t="array" ref="AQ41">CHOOSE($H41,SUMPRODUCT($O42:$O$75*AQ42:AQ$75*($E42:$E$75=$D41)),IF(ISNUMBER(iData!AJ41),100*ABS($G41-(iData!AJ41-$K41)/$M41),0),IF(ISNUMBER(iData!AJ41),100*ABS($G41-(iData!AJ41-$I41)/$M41),0),IF(iData!AJ41&gt;tblIndicators!$AI37,100,IF(ISNUMBER(iData!AJ41),100*ABS($G41-(iData!AJ41-$I41)/$M41),0)),IF(iData!AJ41&lt;0,100,IF(ISNUMBER(iData!AJ41),100*ABS($G41-(iData!AJ41-$I41)/$M41),0)))</f>
        <v>0</v>
      </c>
      <c r="AR41" s="123" cm="1">
        <f t="array" ref="AR41">CHOOSE($H41,SUMPRODUCT($O42:$O$75*AR42:AR$75*($E42:$E$75=$D41)),IF(ISNUMBER(iData!AK41),100*ABS($G41-(iData!AK41-$K41)/$M41),0),IF(ISNUMBER(iData!AK41),100*ABS($G41-(iData!AK41-$I41)/$M41),0),IF(iData!AK41&gt;tblIndicators!$AI37,100,IF(ISNUMBER(iData!AK41),100*ABS($G41-(iData!AK41-$I41)/$M41),0)),IF(iData!AK41&lt;0,100,IF(ISNUMBER(iData!AK41),100*ABS($G41-(iData!AK41-$I41)/$M41),0)))</f>
        <v>0</v>
      </c>
      <c r="AS41" s="123" cm="1">
        <f t="array" ref="AS41">CHOOSE($H41,SUMPRODUCT($O42:$O$75*AS42:AS$75*($E42:$E$75=$D41)),IF(ISNUMBER(iData!AL41),100*ABS($G41-(iData!AL41-$K41)/$M41),0),IF(ISNUMBER(iData!AL41),100*ABS($G41-(iData!AL41-$I41)/$M41),0),IF(iData!AL41&gt;tblIndicators!$AI37,100,IF(ISNUMBER(iData!AL41),100*ABS($G41-(iData!AL41-$I41)/$M41),0)),IF(iData!AL41&lt;0,100,IF(ISNUMBER(iData!AL41),100*ABS($G41-(iData!AL41-$I41)/$M41),0)))</f>
        <v>0</v>
      </c>
      <c r="AT41" s="123" cm="1">
        <f t="array" ref="AT41">CHOOSE($H41,SUMPRODUCT($O42:$O$75*AT42:AT$75*($E42:$E$75=$D41)),IF(ISNUMBER(iData!AM41),100*ABS($G41-(iData!AM41-$K41)/$M41),0),IF(ISNUMBER(iData!AM41),100*ABS($G41-(iData!AM41-$I41)/$M41),0),IF(iData!AM41&gt;tblIndicators!$AI37,100,IF(ISNUMBER(iData!AM41),100*ABS($G41-(iData!AM41-$I41)/$M41),0)),IF(iData!AM41&lt;0,100,IF(ISNUMBER(iData!AM41),100*ABS($G41-(iData!AM41-$I41)/$M41),0)))</f>
        <v>0</v>
      </c>
      <c r="AU41" s="123" cm="1">
        <f t="array" ref="AU41">CHOOSE($H41,SUMPRODUCT($O42:$O$75*AU42:AU$75*($E42:$E$75=$D41)),IF(ISNUMBER(iData!AN41),100*ABS($G41-(iData!AN41-$K41)/$M41),0),IF(ISNUMBER(iData!AN41),100*ABS($G41-(iData!AN41-$I41)/$M41),0),IF(iData!AN41&gt;tblIndicators!$AI37,100,IF(ISNUMBER(iData!AN41),100*ABS($G41-(iData!AN41-$I41)/$M41),0)),IF(iData!AN41&lt;0,100,IF(ISNUMBER(iData!AN41),100*ABS($G41-(iData!AN41-$I41)/$M41),0)))</f>
        <v>100</v>
      </c>
      <c r="AV41" s="367"/>
      <c r="AW41" s="368"/>
      <c r="AX41" s="14"/>
      <c r="AY41" s="871">
        <f t="shared" si="40"/>
        <v>0</v>
      </c>
      <c r="AZ41" s="871">
        <f t="shared" si="41"/>
        <v>0</v>
      </c>
      <c r="BA41" s="871">
        <f t="shared" si="42"/>
        <v>100</v>
      </c>
      <c r="BB41" s="871">
        <f t="shared" si="43"/>
        <v>0</v>
      </c>
      <c r="BC41" s="871">
        <f t="shared" si="44"/>
        <v>0</v>
      </c>
      <c r="BD41" s="871">
        <f t="shared" si="45"/>
        <v>100</v>
      </c>
      <c r="BE41" s="871">
        <f t="shared" si="46"/>
        <v>0</v>
      </c>
      <c r="BF41" s="871">
        <f t="shared" si="47"/>
        <v>100</v>
      </c>
      <c r="BG41" s="871">
        <f t="shared" si="48"/>
        <v>0</v>
      </c>
      <c r="BH41" s="871">
        <f t="shared" si="49"/>
        <v>100</v>
      </c>
      <c r="BI41" s="871">
        <f t="shared" si="50"/>
        <v>0</v>
      </c>
      <c r="BJ41" s="871">
        <f t="shared" si="51"/>
        <v>0</v>
      </c>
      <c r="BK41" s="871">
        <f t="shared" si="52"/>
        <v>0</v>
      </c>
      <c r="BL41" s="871">
        <f t="shared" si="53"/>
        <v>0</v>
      </c>
      <c r="BM41" s="871">
        <f t="shared" si="54"/>
        <v>0</v>
      </c>
      <c r="BN41" s="871">
        <f t="shared" si="55"/>
        <v>0</v>
      </c>
      <c r="BO41" s="871">
        <f t="shared" si="56"/>
        <v>0</v>
      </c>
      <c r="BP41" s="871">
        <f t="shared" si="57"/>
        <v>0</v>
      </c>
      <c r="BQ41" s="871">
        <f t="shared" si="58"/>
        <v>0</v>
      </c>
      <c r="BR41" s="871">
        <f t="shared" si="59"/>
        <v>0</v>
      </c>
      <c r="BS41" s="871">
        <f t="shared" si="60"/>
        <v>100</v>
      </c>
      <c r="BT41" s="871">
        <f t="shared" si="61"/>
        <v>0</v>
      </c>
      <c r="BU41" s="871">
        <f t="shared" si="62"/>
        <v>0</v>
      </c>
      <c r="BV41" s="871">
        <f t="shared" si="63"/>
        <v>100</v>
      </c>
      <c r="BW41" s="871">
        <f t="shared" si="64"/>
        <v>0</v>
      </c>
      <c r="BX41" s="871">
        <f t="shared" si="65"/>
        <v>0</v>
      </c>
      <c r="BY41" s="871">
        <f t="shared" si="66"/>
        <v>0</v>
      </c>
      <c r="BZ41" s="871">
        <f t="shared" si="67"/>
        <v>0</v>
      </c>
      <c r="CA41" s="871">
        <f t="shared" si="68"/>
        <v>0</v>
      </c>
      <c r="CB41" s="871">
        <f t="shared" si="69"/>
        <v>100</v>
      </c>
      <c r="CD41" s="304">
        <f t="shared" ca="1" si="103"/>
        <v>23.3</v>
      </c>
      <c r="CE41" s="304">
        <f t="shared" ca="1" si="103"/>
        <v>23.3</v>
      </c>
      <c r="CF41" s="304">
        <f t="shared" ca="1" si="103"/>
        <v>16.7</v>
      </c>
      <c r="CG41" s="302">
        <f t="shared" ca="1" si="103"/>
        <v>40</v>
      </c>
      <c r="CH41" s="302">
        <f t="shared" ca="1" si="103"/>
        <v>0</v>
      </c>
      <c r="CI41" s="302">
        <f t="shared" ca="1" si="103"/>
        <v>100</v>
      </c>
      <c r="CJ41" s="302">
        <f t="shared" ca="1" si="103"/>
        <v>0</v>
      </c>
      <c r="CK41" s="302">
        <f t="shared" ca="1" si="103"/>
        <v>0</v>
      </c>
      <c r="CL41" s="302">
        <f t="shared" ca="1" si="103"/>
        <v>16.7</v>
      </c>
      <c r="CM41" s="302">
        <f t="shared" ca="1" si="103"/>
        <v>28.6</v>
      </c>
      <c r="CN41" s="302">
        <f t="shared" ca="1" si="101"/>
        <v>37.5</v>
      </c>
      <c r="CO41" s="302">
        <f t="shared" ca="1" si="101"/>
        <v>11.1</v>
      </c>
      <c r="CP41" s="302">
        <f t="shared" ca="1" si="101"/>
        <v>50</v>
      </c>
      <c r="CQ41" s="302">
        <f t="shared" ca="1" si="101"/>
        <v>11.1</v>
      </c>
    </row>
    <row r="42" spans="1:95" s="124" customFormat="1" ht="27.75" customHeight="1" thickBot="1">
      <c r="A42" s="118"/>
      <c r="B42" s="119">
        <f>tblIndicators!A38</f>
        <v>37</v>
      </c>
      <c r="C42" s="119">
        <f>tblIndicators!B38</f>
        <v>0</v>
      </c>
      <c r="D42" s="119" t="str">
        <f>tblIndicators!E38</f>
        <v>CULT</v>
      </c>
      <c r="E42" s="119" t="str">
        <f>tblIndicators!F38</f>
        <v>OVERALL</v>
      </c>
      <c r="F42" s="119">
        <f>tblIndicators!G38</f>
        <v>1</v>
      </c>
      <c r="G42" s="119">
        <f>tblIndicators!AF38</f>
        <v>0</v>
      </c>
      <c r="H42" s="119">
        <f>tblIndicators!AG38</f>
        <v>1</v>
      </c>
      <c r="I42" s="120">
        <f>tblIndicators!AH38</f>
        <v>0</v>
      </c>
      <c r="J42" s="119">
        <f>tblIndicators!AI38</f>
        <v>0</v>
      </c>
      <c r="K42" s="119">
        <f t="array" ref="K42">MIN(IF(ISNUMBER(iData!K42:AN42),iData!K42:AN42))</f>
        <v>0</v>
      </c>
      <c r="L42" s="121">
        <f t="array" ref="L42">MAX(IF(ISNUMBER(iData!K42:AN42),iData!K42:AN42))</f>
        <v>0</v>
      </c>
      <c r="M42" s="51" t="str">
        <f t="shared" si="7"/>
        <v>-</v>
      </c>
      <c r="N42" s="122" t="str">
        <f>REPT(" ",F42)&amp;tblIndicators!AM38</f>
        <v xml:space="preserve"> 3) CULTURE</v>
      </c>
      <c r="O42" s="381">
        <f>tblIndicators!AR38</f>
        <v>0.21</v>
      </c>
      <c r="P42" s="381"/>
      <c r="Q42" s="323"/>
      <c r="R42" s="123" cm="1">
        <f t="array" ref="R42">CHOOSE($H42,SUMPRODUCT($O43:$O$75*R43:R$75*($E43:$E$75=$D42)),IF(ISNUMBER(iData!K42),100*ABS($G42-(iData!K42-$K42)/$M42),0),IF(ISNUMBER(iData!K42),100*ABS($G42-(iData!K42-$I42)/$M42),0),IF(iData!K42&gt;tblIndicators!$AI38,100,IF(ISNUMBER(iData!K42),100*ABS($G42-(iData!K42-$I42)/$M42),0)),IF(iData!K42&lt;0,100,IF(ISNUMBER(iData!K42),100*ABS($G42-(iData!K42-$I42)/$M42),0)))</f>
        <v>62.062650577462975</v>
      </c>
      <c r="S42" s="123" cm="1">
        <f t="array" ref="S42">CHOOSE($H42,SUMPRODUCT($O43:$O$75*S43:S$75*($E43:$E$75=$D42)),IF(ISNUMBER(iData!L42),100*ABS($G42-(iData!L42-$K42)/$M42),0),IF(ISNUMBER(iData!L42),100*ABS($G42-(iData!L42-$I42)/$M42),0),IF(iData!L42&gt;tblIndicators!$AI38,100,IF(ISNUMBER(iData!L42),100*ABS($G42-(iData!L42-$I42)/$M42),0)),IF(iData!L42&lt;0,100,IF(ISNUMBER(iData!L42),100*ABS($G42-(iData!L42-$I42)/$M42),0)))</f>
        <v>66.980728481450768</v>
      </c>
      <c r="T42" s="123" cm="1">
        <f t="array" ref="T42">CHOOSE($H42,SUMPRODUCT($O43:$O$75*T43:T$75*($E43:$E$75=$D42)),IF(ISNUMBER(iData!M42),100*ABS($G42-(iData!M42-$K42)/$M42),0),IF(ISNUMBER(iData!M42),100*ABS($G42-(iData!M42-$I42)/$M42),0),IF(iData!M42&gt;tblIndicators!$AI38,100,IF(ISNUMBER(iData!M42),100*ABS($G42-(iData!M42-$I42)/$M42),0)),IF(iData!M42&lt;0,100,IF(ISNUMBER(iData!M42),100*ABS($G42-(iData!M42-$I42)/$M42),0)))</f>
        <v>43.41045120018736</v>
      </c>
      <c r="U42" s="123" cm="1">
        <f t="array" ref="U42">CHOOSE($H42,SUMPRODUCT($O43:$O$75*U43:U$75*($E43:$E$75=$D42)),IF(ISNUMBER(iData!N42),100*ABS($G42-(iData!N42-$K42)/$M42),0),IF(ISNUMBER(iData!N42),100*ABS($G42-(iData!N42-$I42)/$M42),0),IF(iData!N42&gt;tblIndicators!$AI38,100,IF(ISNUMBER(iData!N42),100*ABS($G42-(iData!N42-$I42)/$M42),0)),IF(iData!N42&lt;0,100,IF(ISNUMBER(iData!N42),100*ABS($G42-(iData!N42-$I42)/$M42),0)))</f>
        <v>60.581167314821087</v>
      </c>
      <c r="V42" s="123" cm="1">
        <f t="array" ref="V42">CHOOSE($H42,SUMPRODUCT($O43:$O$75*V43:V$75*($E43:$E$75=$D42)),IF(ISNUMBER(iData!O42),100*ABS($G42-(iData!O42-$K42)/$M42),0),IF(ISNUMBER(iData!O42),100*ABS($G42-(iData!O42-$I42)/$M42),0),IF(iData!O42&gt;tblIndicators!$AI38,100,IF(ISNUMBER(iData!O42),100*ABS($G42-(iData!O42-$I42)/$M42),0)),IF(iData!O42&lt;0,100,IF(ISNUMBER(iData!O42),100*ABS($G42-(iData!O42-$I42)/$M42),0)))</f>
        <v>57.919886381134852</v>
      </c>
      <c r="W42" s="123" cm="1">
        <f t="array" ref="W42">CHOOSE($H42,SUMPRODUCT($O43:$O$75*W43:W$75*($E43:$E$75=$D42)),IF(ISNUMBER(iData!P42),100*ABS($G42-(iData!P42-$K42)/$M42),0),IF(ISNUMBER(iData!P42),100*ABS($G42-(iData!P42-$I42)/$M42),0),IF(iData!P42&gt;tblIndicators!$AI38,100,IF(ISNUMBER(iData!P42),100*ABS($G42-(iData!P42-$I42)/$M42),0)),IF(iData!P42&lt;0,100,IF(ISNUMBER(iData!P42),100*ABS($G42-(iData!P42-$I42)/$M42),0)))</f>
        <v>62.73546264357654</v>
      </c>
      <c r="X42" s="123" cm="1">
        <f t="array" ref="X42">CHOOSE($H42,SUMPRODUCT($O43:$O$75*X43:X$75*($E43:$E$75=$D42)),IF(ISNUMBER(iData!Q42),100*ABS($G42-(iData!Q42-$K42)/$M42),0),IF(ISNUMBER(iData!Q42),100*ABS($G42-(iData!Q42-$I42)/$M42),0),IF(iData!Q42&gt;tblIndicators!$AI38,100,IF(ISNUMBER(iData!Q42),100*ABS($G42-(iData!Q42-$I42)/$M42),0)),IF(iData!Q42&lt;0,100,IF(ISNUMBER(iData!Q42),100*ABS($G42-(iData!Q42-$I42)/$M42),0)))</f>
        <v>48.710095169734124</v>
      </c>
      <c r="Y42" s="123" cm="1">
        <f t="array" ref="Y42">CHOOSE($H42,SUMPRODUCT($O43:$O$75*Y43:Y$75*($E43:$E$75=$D42)),IF(ISNUMBER(iData!R42),100*ABS($G42-(iData!R42-$K42)/$M42),0),IF(ISNUMBER(iData!R42),100*ABS($G42-(iData!R42-$I42)/$M42),0),IF(iData!R42&gt;tblIndicators!$AI38,100,IF(ISNUMBER(iData!R42),100*ABS($G42-(iData!R42-$I42)/$M42),0)),IF(iData!R42&lt;0,100,IF(ISNUMBER(iData!R42),100*ABS($G42-(iData!R42-$I42)/$M42),0)))</f>
        <v>67.935877763769398</v>
      </c>
      <c r="Z42" s="123" cm="1">
        <f t="array" ref="Z42">CHOOSE($H42,SUMPRODUCT($O43:$O$75*Z43:Z$75*($E43:$E$75=$D42)),IF(ISNUMBER(iData!S42),100*ABS($G42-(iData!S42-$K42)/$M42),0),IF(ISNUMBER(iData!S42),100*ABS($G42-(iData!S42-$I42)/$M42),0),IF(iData!S42&gt;tblIndicators!$AI38,100,IF(ISNUMBER(iData!S42),100*ABS($G42-(iData!S42-$I42)/$M42),0)),IF(iData!S42&lt;0,100,IF(ISNUMBER(iData!S42),100*ABS($G42-(iData!S42-$I42)/$M42),0)))</f>
        <v>67.485801311983252</v>
      </c>
      <c r="AA42" s="123" cm="1">
        <f t="array" ref="AA42">CHOOSE($H42,SUMPRODUCT($O43:$O$75*AA43:AA$75*($E43:$E$75=$D42)),IF(ISNUMBER(iData!T42),100*ABS($G42-(iData!T42-$K42)/$M42),0),IF(ISNUMBER(iData!T42),100*ABS($G42-(iData!T42-$I42)/$M42),0),IF(iData!T42&gt;tblIndicators!$AI38,100,IF(ISNUMBER(iData!T42),100*ABS($G42-(iData!T42-$I42)/$M42),0)),IF(iData!T42&lt;0,100,IF(ISNUMBER(iData!T42),100*ABS($G42-(iData!T42-$I42)/$M42),0)))</f>
        <v>65.183223231287002</v>
      </c>
      <c r="AB42" s="123" cm="1">
        <f t="array" ref="AB42">CHOOSE($H42,SUMPRODUCT($O43:$O$75*AB43:AB$75*($E43:$E$75=$D42)),IF(ISNUMBER(iData!U42),100*ABS($G42-(iData!U42-$K42)/$M42),0),IF(ISNUMBER(iData!U42),100*ABS($G42-(iData!U42-$I42)/$M42),0),IF(iData!U42&gt;tblIndicators!$AI38,100,IF(ISNUMBER(iData!U42),100*ABS($G42-(iData!U42-$I42)/$M42),0)),IF(iData!U42&lt;0,100,IF(ISNUMBER(iData!U42),100*ABS($G42-(iData!U42-$I42)/$M42),0)))</f>
        <v>62.728344886462502</v>
      </c>
      <c r="AC42" s="123" cm="1">
        <f t="array" ref="AC42">CHOOSE($H42,SUMPRODUCT($O43:$O$75*AC43:AC$75*($E43:$E$75=$D42)),IF(ISNUMBER(iData!V42),100*ABS($G42-(iData!V42-$K42)/$M42),0),IF(ISNUMBER(iData!V42),100*ABS($G42-(iData!V42-$I42)/$M42),0),IF(iData!V42&gt;tblIndicators!$AI38,100,IF(ISNUMBER(iData!V42),100*ABS($G42-(iData!V42-$I42)/$M42),0)),IF(iData!V42&lt;0,100,IF(ISNUMBER(iData!V42),100*ABS($G42-(iData!V42-$I42)/$M42),0)))</f>
        <v>48.311104171300251</v>
      </c>
      <c r="AD42" s="123" cm="1">
        <f t="array" ref="AD42">CHOOSE($H42,SUMPRODUCT($O43:$O$75*AD43:AD$75*($E43:$E$75=$D42)),IF(ISNUMBER(iData!W42),100*ABS($G42-(iData!W42-$K42)/$M42),0),IF(ISNUMBER(iData!W42),100*ABS($G42-(iData!W42-$I42)/$M42),0),IF(iData!W42&gt;tblIndicators!$AI38,100,IF(ISNUMBER(iData!W42),100*ABS($G42-(iData!W42-$I42)/$M42),0)),IF(iData!W42&lt;0,100,IF(ISNUMBER(iData!W42),100*ABS($G42-(iData!W42-$I42)/$M42),0)))</f>
        <v>47.189415255411809</v>
      </c>
      <c r="AE42" s="123" cm="1">
        <f t="array" ref="AE42">CHOOSE($H42,SUMPRODUCT($O43:$O$75*AE43:AE$75*($E43:$E$75=$D42)),IF(ISNUMBER(iData!X42),100*ABS($G42-(iData!X42-$K42)/$M42),0),IF(ISNUMBER(iData!X42),100*ABS($G42-(iData!X42-$I42)/$M42),0),IF(iData!X42&gt;tblIndicators!$AI38,100,IF(ISNUMBER(iData!X42),100*ABS($G42-(iData!X42-$I42)/$M42),0)),IF(iData!X42&lt;0,100,IF(ISNUMBER(iData!X42),100*ABS($G42-(iData!X42-$I42)/$M42),0)))</f>
        <v>56.888104800056723</v>
      </c>
      <c r="AF42" s="123" cm="1">
        <f t="array" ref="AF42">CHOOSE($H42,SUMPRODUCT($O43:$O$75*AF43:AF$75*($E43:$E$75=$D42)),IF(ISNUMBER(iData!Y42),100*ABS($G42-(iData!Y42-$K42)/$M42),0),IF(ISNUMBER(iData!Y42),100*ABS($G42-(iData!Y42-$I42)/$M42),0),IF(iData!Y42&gt;tblIndicators!$AI38,100,IF(ISNUMBER(iData!Y42),100*ABS($G42-(iData!Y42-$I42)/$M42),0)),IF(iData!Y42&lt;0,100,IF(ISNUMBER(iData!Y42),100*ABS($G42-(iData!Y42-$I42)/$M42),0)))</f>
        <v>65.402182702649313</v>
      </c>
      <c r="AG42" s="123" cm="1">
        <f t="array" ref="AG42">CHOOSE($H42,SUMPRODUCT($O43:$O$75*AG43:AG$75*($E43:$E$75=$D42)),IF(ISNUMBER(iData!Z42),100*ABS($G42-(iData!Z42-$K42)/$M42),0),IF(ISNUMBER(iData!Z42),100*ABS($G42-(iData!Z42-$I42)/$M42),0),IF(iData!Z42&gt;tblIndicators!$AI38,100,IF(ISNUMBER(iData!Z42),100*ABS($G42-(iData!Z42-$I42)/$M42),0)),IF(iData!Z42&lt;0,100,IF(ISNUMBER(iData!Z42),100*ABS($G42-(iData!Z42-$I42)/$M42),0)))</f>
        <v>56.878530770800069</v>
      </c>
      <c r="AH42" s="123" cm="1">
        <f t="array" ref="AH42">CHOOSE($H42,SUMPRODUCT($O43:$O$75*AH43:AH$75*($E43:$E$75=$D42)),IF(ISNUMBER(iData!AA42),100*ABS($G42-(iData!AA42-$K42)/$M42),0),IF(ISNUMBER(iData!AA42),100*ABS($G42-(iData!AA42-$I42)/$M42),0),IF(iData!AA42&gt;tblIndicators!$AI38,100,IF(ISNUMBER(iData!AA42),100*ABS($G42-(iData!AA42-$I42)/$M42),0)),IF(iData!AA42&lt;0,100,IF(ISNUMBER(iData!AA42),100*ABS($G42-(iData!AA42-$I42)/$M42),0)))</f>
        <v>46.821884347491249</v>
      </c>
      <c r="AI42" s="123" cm="1">
        <f t="array" ref="AI42">CHOOSE($H42,SUMPRODUCT($O43:$O$75*AI43:AI$75*($E43:$E$75=$D42)),IF(ISNUMBER(iData!AB42),100*ABS($G42-(iData!AB42-$K42)/$M42),0),IF(ISNUMBER(iData!AB42),100*ABS($G42-(iData!AB42-$I42)/$M42),0),IF(iData!AB42&gt;tblIndicators!$AI38,100,IF(ISNUMBER(iData!AB42),100*ABS($G42-(iData!AB42-$I42)/$M42),0)),IF(iData!AB42&lt;0,100,IF(ISNUMBER(iData!AB42),100*ABS($G42-(iData!AB42-$I42)/$M42),0)))</f>
        <v>48.327207674363585</v>
      </c>
      <c r="AJ42" s="123" cm="1">
        <f t="array" ref="AJ42">CHOOSE($H42,SUMPRODUCT($O43:$O$75*AJ43:AJ$75*($E43:$E$75=$D42)),IF(ISNUMBER(iData!AC42),100*ABS($G42-(iData!AC42-$K42)/$M42),0),IF(ISNUMBER(iData!AC42),100*ABS($G42-(iData!AC42-$I42)/$M42),0),IF(iData!AC42&gt;tblIndicators!$AI38,100,IF(ISNUMBER(iData!AC42),100*ABS($G42-(iData!AC42-$I42)/$M42),0)),IF(iData!AC42&lt;0,100,IF(ISNUMBER(iData!AC42),100*ABS($G42-(iData!AC42-$I42)/$M42),0)))</f>
        <v>46.086610140754388</v>
      </c>
      <c r="AK42" s="123" cm="1">
        <f t="array" ref="AK42">CHOOSE($H42,SUMPRODUCT($O43:$O$75*AK43:AK$75*($E43:$E$75=$D42)),IF(ISNUMBER(iData!AD42),100*ABS($G42-(iData!AD42-$K42)/$M42),0),IF(ISNUMBER(iData!AD42),100*ABS($G42-(iData!AD42-$I42)/$M42),0),IF(iData!AD42&gt;tblIndicators!$AI38,100,IF(ISNUMBER(iData!AD42),100*ABS($G42-(iData!AD42-$I42)/$M42),0)),IF(iData!AD42&lt;0,100,IF(ISNUMBER(iData!AD42),100*ABS($G42-(iData!AD42-$I42)/$M42),0)))</f>
        <v>73.638568744864784</v>
      </c>
      <c r="AL42" s="123" cm="1">
        <f t="array" ref="AL42">CHOOSE($H42,SUMPRODUCT($O43:$O$75*AL43:AL$75*($E43:$E$75=$D42)),IF(ISNUMBER(iData!AE42),100*ABS($G42-(iData!AE42-$K42)/$M42),0),IF(ISNUMBER(iData!AE42),100*ABS($G42-(iData!AE42-$I42)/$M42),0),IF(iData!AE42&gt;tblIndicators!$AI38,100,IF(ISNUMBER(iData!AE42),100*ABS($G42-(iData!AE42-$I42)/$M42),0)),IF(iData!AE42&lt;0,100,IF(ISNUMBER(iData!AE42),100*ABS($G42-(iData!AE42-$I42)/$M42),0)))</f>
        <v>64.107149894863596</v>
      </c>
      <c r="AM42" s="123" cm="1">
        <f t="array" ref="AM42">CHOOSE($H42,SUMPRODUCT($O43:$O$75*AM43:AM$75*($E43:$E$75=$D42)),IF(ISNUMBER(iData!AF42),100*ABS($G42-(iData!AF42-$K42)/$M42),0),IF(ISNUMBER(iData!AF42),100*ABS($G42-(iData!AF42-$I42)/$M42),0),IF(iData!AF42&gt;tblIndicators!$AI38,100,IF(ISNUMBER(iData!AF42),100*ABS($G42-(iData!AF42-$I42)/$M42),0)),IF(iData!AF42&lt;0,100,IF(ISNUMBER(iData!AF42),100*ABS($G42-(iData!AF42-$I42)/$M42),0)))</f>
        <v>50.046345040694547</v>
      </c>
      <c r="AN42" s="123" cm="1">
        <f t="array" ref="AN42">CHOOSE($H42,SUMPRODUCT($O43:$O$75*AN43:AN$75*($E43:$E$75=$D42)),IF(ISNUMBER(iData!AG42),100*ABS($G42-(iData!AG42-$K42)/$M42),0),IF(ISNUMBER(iData!AG42),100*ABS($G42-(iData!AG42-$I42)/$M42),0),IF(iData!AG42&gt;tblIndicators!$AI38,100,IF(ISNUMBER(iData!AG42),100*ABS($G42-(iData!AG42-$I42)/$M42),0)),IF(iData!AG42&lt;0,100,IF(ISNUMBER(iData!AG42),100*ABS($G42-(iData!AG42-$I42)/$M42),0)))</f>
        <v>56.954833106477594</v>
      </c>
      <c r="AO42" s="123" cm="1">
        <f t="array" ref="AO42">CHOOSE($H42,SUMPRODUCT($O43:$O$75*AO43:AO$75*($E43:$E$75=$D42)),IF(ISNUMBER(iData!AH42),100*ABS($G42-(iData!AH42-$K42)/$M42),0),IF(ISNUMBER(iData!AH42),100*ABS($G42-(iData!AH42-$I42)/$M42),0),IF(iData!AH42&gt;tblIndicators!$AI38,100,IF(ISNUMBER(iData!AH42),100*ABS($G42-(iData!AH42-$I42)/$M42),0)),IF(iData!AH42&lt;0,100,IF(ISNUMBER(iData!AH42),100*ABS($G42-(iData!AH42-$I42)/$M42),0)))</f>
        <v>67.504603176094761</v>
      </c>
      <c r="AP42" s="123" cm="1">
        <f t="array" ref="AP42">CHOOSE($H42,SUMPRODUCT($O43:$O$75*AP43:AP$75*($E43:$E$75=$D42)),IF(ISNUMBER(iData!AI42),100*ABS($G42-(iData!AI42-$K42)/$M42),0),IF(ISNUMBER(iData!AI42),100*ABS($G42-(iData!AI42-$I42)/$M42),0),IF(iData!AI42&gt;tblIndicators!$AI38,100,IF(ISNUMBER(iData!AI42),100*ABS($G42-(iData!AI42-$I42)/$M42),0)),IF(iData!AI42&lt;0,100,IF(ISNUMBER(iData!AI42),100*ABS($G42-(iData!AI42-$I42)/$M42),0)))</f>
        <v>63.67387425928807</v>
      </c>
      <c r="AQ42" s="123" cm="1">
        <f t="array" ref="AQ42">CHOOSE($H42,SUMPRODUCT($O43:$O$75*AQ43:AQ$75*($E43:$E$75=$D42)),IF(ISNUMBER(iData!AJ42),100*ABS($G42-(iData!AJ42-$K42)/$M42),0),IF(ISNUMBER(iData!AJ42),100*ABS($G42-(iData!AJ42-$I42)/$M42),0),IF(iData!AJ42&gt;tblIndicators!$AI38,100,IF(ISNUMBER(iData!AJ42),100*ABS($G42-(iData!AJ42-$I42)/$M42),0)),IF(iData!AJ42&lt;0,100,IF(ISNUMBER(iData!AJ42),100*ABS($G42-(iData!AJ42-$I42)/$M42),0)))</f>
        <v>61.394018462450987</v>
      </c>
      <c r="AR42" s="123" cm="1">
        <f t="array" ref="AR42">CHOOSE($H42,SUMPRODUCT($O43:$O$75*AR43:AR$75*($E43:$E$75=$D42)),IF(ISNUMBER(iData!AK42),100*ABS($G42-(iData!AK42-$K42)/$M42),0),IF(ISNUMBER(iData!AK42),100*ABS($G42-(iData!AK42-$I42)/$M42),0),IF(iData!AK42&gt;tblIndicators!$AI38,100,IF(ISNUMBER(iData!AK42),100*ABS($G42-(iData!AK42-$I42)/$M42),0)),IF(iData!AK42&lt;0,100,IF(ISNUMBER(iData!AK42),100*ABS($G42-(iData!AK42-$I42)/$M42),0)))</f>
        <v>55.549012214563177</v>
      </c>
      <c r="AS42" s="123" cm="1">
        <f t="array" ref="AS42">CHOOSE($H42,SUMPRODUCT($O43:$O$75*AS43:AS$75*($E43:$E$75=$D42)),IF(ISNUMBER(iData!AL42),100*ABS($G42-(iData!AL42-$K42)/$M42),0),IF(ISNUMBER(iData!AL42),100*ABS($G42-(iData!AL42-$I42)/$M42),0),IF(iData!AL42&gt;tblIndicators!$AI38,100,IF(ISNUMBER(iData!AL42),100*ABS($G42-(iData!AL42-$I42)/$M42),0)),IF(iData!AL42&lt;0,100,IF(ISNUMBER(iData!AL42),100*ABS($G42-(iData!AL42-$I42)/$M42),0)))</f>
        <v>68.401522268846165</v>
      </c>
      <c r="AT42" s="123" cm="1">
        <f t="array" ref="AT42">CHOOSE($H42,SUMPRODUCT($O43:$O$75*AT43:AT$75*($E43:$E$75=$D42)),IF(ISNUMBER(iData!AM42),100*ABS($G42-(iData!AM42-$K42)/$M42),0),IF(ISNUMBER(iData!AM42),100*ABS($G42-(iData!AM42-$I42)/$M42),0),IF(iData!AM42&gt;tblIndicators!$AI38,100,IF(ISNUMBER(iData!AM42),100*ABS($G42-(iData!AM42-$I42)/$M42),0)),IF(iData!AM42&lt;0,100,IF(ISNUMBER(iData!AM42),100*ABS($G42-(iData!AM42-$I42)/$M42),0)))</f>
        <v>69.22246543468566</v>
      </c>
      <c r="AU42" s="123" cm="1">
        <f t="array" ref="AU42">CHOOSE($H42,SUMPRODUCT($O43:$O$75*AU43:AU$75*($E43:$E$75=$D42)),IF(ISNUMBER(iData!AN42),100*ABS($G42-(iData!AN42-$K42)/$M42),0),IF(ISNUMBER(iData!AN42),100*ABS($G42-(iData!AN42-$I42)/$M42),0),IF(iData!AN42&gt;tblIndicators!$AI38,100,IF(ISNUMBER(iData!AN42),100*ABS($G42-(iData!AN42-$I42)/$M42),0)),IF(iData!AN42&lt;0,100,IF(ISNUMBER(iData!AN42),100*ABS($G42-(iData!AN42-$I42)/$M42),0)))</f>
        <v>64.038637084667542</v>
      </c>
      <c r="AV42" s="367"/>
      <c r="AW42" s="368"/>
      <c r="AX42" s="14"/>
      <c r="AY42" s="871">
        <f t="shared" si="40"/>
        <v>62.1</v>
      </c>
      <c r="AZ42" s="871">
        <f t="shared" si="41"/>
        <v>67</v>
      </c>
      <c r="BA42" s="871">
        <f t="shared" si="42"/>
        <v>43.4</v>
      </c>
      <c r="BB42" s="871">
        <f t="shared" si="43"/>
        <v>60.6</v>
      </c>
      <c r="BC42" s="871">
        <f t="shared" si="44"/>
        <v>57.9</v>
      </c>
      <c r="BD42" s="871">
        <f t="shared" si="45"/>
        <v>62.7</v>
      </c>
      <c r="BE42" s="871">
        <f t="shared" si="46"/>
        <v>48.7</v>
      </c>
      <c r="BF42" s="871">
        <f t="shared" si="47"/>
        <v>67.900000000000006</v>
      </c>
      <c r="BG42" s="871">
        <f t="shared" si="48"/>
        <v>67.5</v>
      </c>
      <c r="BH42" s="871">
        <f t="shared" si="49"/>
        <v>65.2</v>
      </c>
      <c r="BI42" s="871">
        <f t="shared" si="50"/>
        <v>62.7</v>
      </c>
      <c r="BJ42" s="871">
        <f t="shared" si="51"/>
        <v>48.3</v>
      </c>
      <c r="BK42" s="871">
        <f t="shared" si="52"/>
        <v>47.2</v>
      </c>
      <c r="BL42" s="871">
        <f t="shared" si="53"/>
        <v>56.9</v>
      </c>
      <c r="BM42" s="871">
        <f t="shared" si="54"/>
        <v>65.400000000000006</v>
      </c>
      <c r="BN42" s="871">
        <f t="shared" si="55"/>
        <v>56.9</v>
      </c>
      <c r="BO42" s="871">
        <f t="shared" si="56"/>
        <v>46.8</v>
      </c>
      <c r="BP42" s="871">
        <f t="shared" si="57"/>
        <v>48.3</v>
      </c>
      <c r="BQ42" s="871">
        <f t="shared" si="58"/>
        <v>46.1</v>
      </c>
      <c r="BR42" s="871">
        <f t="shared" si="59"/>
        <v>73.599999999999994</v>
      </c>
      <c r="BS42" s="871">
        <f t="shared" si="60"/>
        <v>64.099999999999994</v>
      </c>
      <c r="BT42" s="871">
        <f t="shared" si="61"/>
        <v>50</v>
      </c>
      <c r="BU42" s="871">
        <f t="shared" si="62"/>
        <v>57</v>
      </c>
      <c r="BV42" s="871">
        <f t="shared" si="63"/>
        <v>67.5</v>
      </c>
      <c r="BW42" s="871">
        <f t="shared" si="64"/>
        <v>63.7</v>
      </c>
      <c r="BX42" s="871">
        <f t="shared" si="65"/>
        <v>61.4</v>
      </c>
      <c r="BY42" s="871">
        <f t="shared" si="66"/>
        <v>55.5</v>
      </c>
      <c r="BZ42" s="871">
        <f t="shared" si="67"/>
        <v>68.400000000000006</v>
      </c>
      <c r="CA42" s="871">
        <f t="shared" si="68"/>
        <v>69.2</v>
      </c>
      <c r="CB42" s="871">
        <f t="shared" si="69"/>
        <v>64</v>
      </c>
      <c r="CD42" s="304">
        <f t="shared" ca="1" si="103"/>
        <v>59.2</v>
      </c>
      <c r="CE42" s="304">
        <f t="shared" ca="1" si="103"/>
        <v>59.2</v>
      </c>
      <c r="CF42" s="304">
        <f t="shared" ca="1" si="103"/>
        <v>55.1</v>
      </c>
      <c r="CG42" s="302">
        <f t="shared" ca="1" si="103"/>
        <v>61.6</v>
      </c>
      <c r="CH42" s="302">
        <f t="shared" ca="1" si="103"/>
        <v>51.3</v>
      </c>
      <c r="CI42" s="302">
        <f t="shared" ca="1" si="103"/>
        <v>65.2</v>
      </c>
      <c r="CJ42" s="302">
        <f t="shared" ca="1" si="103"/>
        <v>69.7</v>
      </c>
      <c r="CK42" s="302">
        <f t="shared" ca="1" si="103"/>
        <v>46.7</v>
      </c>
      <c r="CL42" s="302">
        <f t="shared" ca="1" si="103"/>
        <v>52</v>
      </c>
      <c r="CM42" s="302">
        <f t="shared" ca="1" si="103"/>
        <v>63</v>
      </c>
      <c r="CN42" s="302">
        <f t="shared" ca="1" si="101"/>
        <v>62.5</v>
      </c>
      <c r="CO42" s="302">
        <f t="shared" ca="1" si="101"/>
        <v>61.6</v>
      </c>
      <c r="CP42" s="302">
        <f t="shared" ca="1" si="101"/>
        <v>54.9</v>
      </c>
      <c r="CQ42" s="302">
        <f t="shared" ref="CQ42" ca="1" si="104">IFERROR(ROUND(SUMIF(OFFSET(tblGroups,CQ$5-1,0,1,$CE$1),1,OFFSET(aScoresRounded,$B42-1,0,1,$CE$1))/SUM(OFFSET(tblGroups,CQ$5-1,0,1,$CE$1)),$CF$1),"n/a")</f>
        <v>55.8</v>
      </c>
    </row>
    <row r="43" spans="1:95" s="124" customFormat="1" ht="27.75" customHeight="1" thickBot="1">
      <c r="A43" s="118"/>
      <c r="B43" s="119">
        <f>tblIndicators!A39</f>
        <v>38</v>
      </c>
      <c r="C43" s="119">
        <f>tblIndicators!B39</f>
        <v>0</v>
      </c>
      <c r="D43" s="119" t="str">
        <f>tblIndicators!E39</f>
        <v>CULT3_1</v>
      </c>
      <c r="E43" s="119" t="str">
        <f>tblIndicators!F39</f>
        <v>CULT</v>
      </c>
      <c r="F43" s="119">
        <f>tblIndicators!G39</f>
        <v>2</v>
      </c>
      <c r="G43" s="119">
        <f>tblIndicators!AF39</f>
        <v>0</v>
      </c>
      <c r="H43" s="119">
        <f>tblIndicators!AG39</f>
        <v>1</v>
      </c>
      <c r="I43" s="120">
        <f>tblIndicators!AH39</f>
        <v>0</v>
      </c>
      <c r="J43" s="119">
        <f>tblIndicators!AI39</f>
        <v>0</v>
      </c>
      <c r="K43" s="119">
        <f t="array" ref="K43">MIN(IF(ISNUMBER(iData!K43:AN43),iData!K43:AN43))</f>
        <v>0</v>
      </c>
      <c r="L43" s="121">
        <f t="array" ref="L43">MAX(IF(ISNUMBER(iData!K43:AN43),iData!K43:AN43))</f>
        <v>0</v>
      </c>
      <c r="M43" s="51" t="str">
        <f t="shared" si="7"/>
        <v>-</v>
      </c>
      <c r="N43" s="122" t="str">
        <f>REPT(" ",F43)&amp;tblIndicators!AM39</f>
        <v xml:space="preserve">  3.1) Digital inclusion</v>
      </c>
      <c r="O43" s="381">
        <f>tblIndicators!AR39</f>
        <v>0.1875</v>
      </c>
      <c r="P43" s="381"/>
      <c r="Q43" s="323"/>
      <c r="R43" s="123" cm="1">
        <f t="array" ref="R43">CHOOSE($H43,SUMPRODUCT($O44:$O$75*R44:R$75*($E44:$E$75=$D43)),IF(ISNUMBER(iData!K43),100*ABS($G43-(iData!K43-$K43)/$M43),0),IF(ISNUMBER(iData!K43),100*ABS($G43-(iData!K43-$I43)/$M43),0),IF(iData!K43&gt;tblIndicators!$AI39,100,IF(ISNUMBER(iData!K43),100*ABS($G43-(iData!K43-$I43)/$M43),0)),IF(iData!K43&lt;0,100,IF(ISNUMBER(iData!K43),100*ABS($G43-(iData!K43-$I43)/$M43),0)))</f>
        <v>65.784170564176179</v>
      </c>
      <c r="S43" s="123" cm="1">
        <f t="array" ref="S43">CHOOSE($H43,SUMPRODUCT($O44:$O$75*S44:S$75*($E44:$E$75=$D43)),IF(ISNUMBER(iData!L43),100*ABS($G43-(iData!L43-$K43)/$M43),0),IF(ISNUMBER(iData!L43),100*ABS($G43-(iData!L43-$I43)/$M43),0),IF(iData!L43&gt;tblIndicators!$AI39,100,IF(ISNUMBER(iData!L43),100*ABS($G43-(iData!L43-$I43)/$M43),0)),IF(iData!L43&lt;0,100,IF(ISNUMBER(iData!L43),100*ABS($G43-(iData!L43-$I43)/$M43),0)))</f>
        <v>69.366768282982463</v>
      </c>
      <c r="T43" s="123" cm="1">
        <f t="array" ref="T43">CHOOSE($H43,SUMPRODUCT($O44:$O$75*T44:T$75*($E44:$E$75=$D43)),IF(ISNUMBER(iData!M43),100*ABS($G43-(iData!M43-$K43)/$M43),0),IF(ISNUMBER(iData!M43),100*ABS($G43-(iData!M43-$I43)/$M43),0),IF(iData!M43&gt;tblIndicators!$AI39,100,IF(ISNUMBER(iData!M43),100*ABS($G43-(iData!M43-$I43)/$M43),0)),IF(iData!M43&lt;0,100,IF(ISNUMBER(iData!M43),100*ABS($G43-(iData!M43-$I43)/$M43),0)))</f>
        <v>77.795009808778403</v>
      </c>
      <c r="U43" s="123" cm="1">
        <f t="array" ref="U43">CHOOSE($H43,SUMPRODUCT($O44:$O$75*U44:U$75*($E44:$E$75=$D43)),IF(ISNUMBER(iData!N43),100*ABS($G43-(iData!N43-$K43)/$M43),0),IF(ISNUMBER(iData!N43),100*ABS($G43-(iData!N43-$I43)/$M43),0),IF(iData!N43&gt;tblIndicators!$AI39,100,IF(ISNUMBER(iData!N43),100*ABS($G43-(iData!N43-$I43)/$M43),0)),IF(iData!N43&lt;0,100,IF(ISNUMBER(iData!N43),100*ABS($G43-(iData!N43-$I43)/$M43),0)))</f>
        <v>74.032083947048221</v>
      </c>
      <c r="V43" s="123" cm="1">
        <f t="array" ref="V43">CHOOSE($H43,SUMPRODUCT($O44:$O$75*V44:V$75*($E44:$E$75=$D43)),IF(ISNUMBER(iData!O43),100*ABS($G43-(iData!O43-$K43)/$M43),0),IF(ISNUMBER(iData!O43),100*ABS($G43-(iData!O43-$I43)/$M43),0),IF(iData!O43&gt;tblIndicators!$AI39,100,IF(ISNUMBER(iData!O43),100*ABS($G43-(iData!O43-$I43)/$M43),0)),IF(iData!O43&lt;0,100,IF(ISNUMBER(iData!O43),100*ABS($G43-(iData!O43-$I43)/$M43),0)))</f>
        <v>70.241109901470168</v>
      </c>
      <c r="W43" s="123" cm="1">
        <f t="array" ref="W43">CHOOSE($H43,SUMPRODUCT($O44:$O$75*W44:W$75*($E44:$E$75=$D43)),IF(ISNUMBER(iData!P43),100*ABS($G43-(iData!P43-$K43)/$M43),0),IF(ISNUMBER(iData!P43),100*ABS($G43-(iData!P43-$I43)/$M43),0),IF(iData!P43&gt;tblIndicators!$AI39,100,IF(ISNUMBER(iData!P43),100*ABS($G43-(iData!P43-$I43)/$M43),0)),IF(iData!P43&lt;0,100,IF(ISNUMBER(iData!P43),100*ABS($G43-(iData!P43-$I43)/$M43),0)))</f>
        <v>62.182506832465279</v>
      </c>
      <c r="X43" s="123" cm="1">
        <f t="array" ref="X43">CHOOSE($H43,SUMPRODUCT($O44:$O$75*X44:X$75*($E44:$E$75=$D43)),IF(ISNUMBER(iData!Q43),100*ABS($G43-(iData!Q43-$K43)/$M43),0),IF(ISNUMBER(iData!Q43),100*ABS($G43-(iData!Q43-$I43)/$M43),0),IF(iData!Q43&gt;tblIndicators!$AI39,100,IF(ISNUMBER(iData!Q43),100*ABS($G43-(iData!Q43-$I43)/$M43),0)),IF(iData!Q43&lt;0,100,IF(ISNUMBER(iData!Q43),100*ABS($G43-(iData!Q43-$I43)/$M43),0)))</f>
        <v>73.148961547046454</v>
      </c>
      <c r="Y43" s="123" cm="1">
        <f t="array" ref="Y43">CHOOSE($H43,SUMPRODUCT($O44:$O$75*Y44:Y$75*($E44:$E$75=$D43)),IF(ISNUMBER(iData!R43),100*ABS($G43-(iData!R43-$K43)/$M43),0),IF(ISNUMBER(iData!R43),100*ABS($G43-(iData!R43-$I43)/$M43),0),IF(iData!R43&gt;tblIndicators!$AI39,100,IF(ISNUMBER(iData!R43),100*ABS($G43-(iData!R43-$I43)/$M43),0)),IF(iData!R43&lt;0,100,IF(ISNUMBER(iData!R43),100*ABS($G43-(iData!R43-$I43)/$M43),0)))</f>
        <v>76.437573001138048</v>
      </c>
      <c r="Z43" s="123" cm="1">
        <f t="array" ref="Z43">CHOOSE($H43,SUMPRODUCT($O44:$O$75*Z44:Z$75*($E44:$E$75=$D43)),IF(ISNUMBER(iData!S43),100*ABS($G43-(iData!S43-$K43)/$M43),0),IF(ISNUMBER(iData!S43),100*ABS($G43-(iData!S43-$I43)/$M43),0),IF(iData!S43&gt;tblIndicators!$AI39,100,IF(ISNUMBER(iData!S43),100*ABS($G43-(iData!S43-$I43)/$M43),0)),IF(iData!S43&lt;0,100,IF(ISNUMBER(iData!S43),100*ABS($G43-(iData!S43-$I43)/$M43),0)))</f>
        <v>77.968817184626772</v>
      </c>
      <c r="AA43" s="123" cm="1">
        <f t="array" ref="AA43">CHOOSE($H43,SUMPRODUCT($O44:$O$75*AA44:AA$75*($E44:$E$75=$D43)),IF(ISNUMBER(iData!T43),100*ABS($G43-(iData!T43-$K43)/$M43),0),IF(ISNUMBER(iData!T43),100*ABS($G43-(iData!T43-$I43)/$M43),0),IF(iData!T43&gt;tblIndicators!$AI39,100,IF(ISNUMBER(iData!T43),100*ABS($G43-(iData!T43-$I43)/$M43),0)),IF(iData!T43&lt;0,100,IF(ISNUMBER(iData!T43),100*ABS($G43-(iData!T43-$I43)/$M43),0)))</f>
        <v>94.263862332695993</v>
      </c>
      <c r="AB43" s="123" cm="1">
        <f t="array" ref="AB43">CHOOSE($H43,SUMPRODUCT($O44:$O$75*AB44:AB$75*($E44:$E$75=$D43)),IF(ISNUMBER(iData!U43),100*ABS($G43-(iData!U43-$K43)/$M43),0),IF(ISNUMBER(iData!U43),100*ABS($G43-(iData!U43-$I43)/$M43),0),IF(iData!U43&gt;tblIndicators!$AI39,100,IF(ISNUMBER(iData!U43),100*ABS($G43-(iData!U43-$I43)/$M43),0)),IF(iData!U43&lt;0,100,IF(ISNUMBER(iData!U43),100*ABS($G43-(iData!U43-$I43)/$M43),0)))</f>
        <v>63.692016744913701</v>
      </c>
      <c r="AC43" s="123" cm="1">
        <f t="array" ref="AC43">CHOOSE($H43,SUMPRODUCT($O44:$O$75*AC44:AC$75*($E44:$E$75=$D43)),IF(ISNUMBER(iData!V43),100*ABS($G43-(iData!V43-$K43)/$M43),0),IF(ISNUMBER(iData!V43),100*ABS($G43-(iData!V43-$I43)/$M43),0),IF(iData!V43&gt;tblIndicators!$AI39,100,IF(ISNUMBER(iData!V43),100*ABS($G43-(iData!V43-$I43)/$M43),0)),IF(iData!V43&lt;0,100,IF(ISNUMBER(iData!V43),100*ABS($G43-(iData!V43-$I43)/$M43),0)))</f>
        <v>67.642054840912053</v>
      </c>
      <c r="AD43" s="123" cm="1">
        <f t="array" ref="AD43">CHOOSE($H43,SUMPRODUCT($O44:$O$75*AD44:AD$75*($E44:$E$75=$D43)),IF(ISNUMBER(iData!W43),100*ABS($G43-(iData!W43-$K43)/$M43),0),IF(ISNUMBER(iData!W43),100*ABS($G43-(iData!W43-$I43)/$M43),0),IF(iData!W43&gt;tblIndicators!$AI39,100,IF(ISNUMBER(iData!W43),100*ABS($G43-(iData!W43-$I43)/$M43),0)),IF(iData!W43&lt;0,100,IF(ISNUMBER(iData!W43),100*ABS($G43-(iData!W43-$I43)/$M43),0)))</f>
        <v>75.878503194420901</v>
      </c>
      <c r="AE43" s="123" cm="1">
        <f t="array" ref="AE43">CHOOSE($H43,SUMPRODUCT($O44:$O$75*AE44:AE$75*($E44:$E$75=$D43)),IF(ISNUMBER(iData!X43),100*ABS($G43-(iData!X43-$K43)/$M43),0),IF(ISNUMBER(iData!X43),100*ABS($G43-(iData!X43-$I43)/$M43),0),IF(iData!X43&gt;tblIndicators!$AI39,100,IF(ISNUMBER(iData!X43),100*ABS($G43-(iData!X43-$I43)/$M43),0)),IF(iData!X43&lt;0,100,IF(ISNUMBER(iData!X43),100*ABS($G43-(iData!X43-$I43)/$M43),0)))</f>
        <v>73.826770763614462</v>
      </c>
      <c r="AF43" s="123" cm="1">
        <f t="array" ref="AF43">CHOOSE($H43,SUMPRODUCT($O44:$O$75*AF44:AF$75*($E44:$E$75=$D43)),IF(ISNUMBER(iData!Y43),100*ABS($G43-(iData!Y43-$K43)/$M43),0),IF(ISNUMBER(iData!Y43),100*ABS($G43-(iData!Y43-$I43)/$M43),0),IF(iData!Y43&gt;tblIndicators!$AI39,100,IF(ISNUMBER(iData!Y43),100*ABS($G43-(iData!Y43-$I43)/$M43),0)),IF(iData!Y43&lt;0,100,IF(ISNUMBER(iData!Y43),100*ABS($G43-(iData!Y43-$I43)/$M43),0)))</f>
        <v>67.513811064412138</v>
      </c>
      <c r="AG43" s="123" cm="1">
        <f t="array" ref="AG43">CHOOSE($H43,SUMPRODUCT($O44:$O$75*AG44:AG$75*($E44:$E$75=$D43)),IF(ISNUMBER(iData!Z43),100*ABS($G43-(iData!Z43-$K43)/$M43),0),IF(ISNUMBER(iData!Z43),100*ABS($G43-(iData!Z43-$I43)/$M43),0),IF(iData!Z43&gt;tblIndicators!$AI39,100,IF(ISNUMBER(iData!Z43),100*ABS($G43-(iData!Z43-$I43)/$M43),0)),IF(iData!Z43&lt;0,100,IF(ISNUMBER(iData!Z43),100*ABS($G43-(iData!Z43-$I43)/$M43),0)))</f>
        <v>78.11393597848263</v>
      </c>
      <c r="AH43" s="123" cm="1">
        <f t="array" ref="AH43">CHOOSE($H43,SUMPRODUCT($O44:$O$75*AH44:AH$75*($E44:$E$75=$D43)),IF(ISNUMBER(iData!AA43),100*ABS($G43-(iData!AA43-$K43)/$M43),0),IF(ISNUMBER(iData!AA43),100*ABS($G43-(iData!AA43-$I43)/$M43),0),IF(iData!AA43&gt;tblIndicators!$AI39,100,IF(ISNUMBER(iData!AA43),100*ABS($G43-(iData!AA43-$I43)/$M43),0)),IF(iData!AA43&lt;0,100,IF(ISNUMBER(iData!AA43),100*ABS($G43-(iData!AA43-$I43)/$M43),0)))</f>
        <v>73.60389763636411</v>
      </c>
      <c r="AI43" s="123" cm="1">
        <f t="array" ref="AI43">CHOOSE($H43,SUMPRODUCT($O44:$O$75*AI44:AI$75*($E44:$E$75=$D43)),IF(ISNUMBER(iData!AB43),100*ABS($G43-(iData!AB43-$K43)/$M43),0),IF(ISNUMBER(iData!AB43),100*ABS($G43-(iData!AB43-$I43)/$M43),0),IF(iData!AB43&gt;tblIndicators!$AI39,100,IF(ISNUMBER(iData!AB43),100*ABS($G43-(iData!AB43-$I43)/$M43),0)),IF(iData!AB43&lt;0,100,IF(ISNUMBER(iData!AB43),100*ABS($G43-(iData!AB43-$I43)/$M43),0)))</f>
        <v>74.835893320193975</v>
      </c>
      <c r="AJ43" s="123" cm="1">
        <f t="array" ref="AJ43">CHOOSE($H43,SUMPRODUCT($O44:$O$75*AJ44:AJ$75*($E44:$E$75=$D43)),IF(ISNUMBER(iData!AC43),100*ABS($G43-(iData!AC43-$K43)/$M43),0),IF(ISNUMBER(iData!AC43),100*ABS($G43-(iData!AC43-$I43)/$M43),0),IF(iData!AC43&gt;tblIndicators!$AI39,100,IF(ISNUMBER(iData!AC43),100*ABS($G43-(iData!AC43-$I43)/$M43),0)),IF(iData!AC43&lt;0,100,IF(ISNUMBER(iData!AC43),100*ABS($G43-(iData!AC43-$I43)/$M43),0)))</f>
        <v>31.578947368421051</v>
      </c>
      <c r="AK43" s="123" cm="1">
        <f t="array" ref="AK43">CHOOSE($H43,SUMPRODUCT($O44:$O$75*AK44:AK$75*($E44:$E$75=$D43)),IF(ISNUMBER(iData!AD43),100*ABS($G43-(iData!AD43-$K43)/$M43),0),IF(ISNUMBER(iData!AD43),100*ABS($G43-(iData!AD43-$I43)/$M43),0),IF(iData!AD43&gt;tblIndicators!$AI39,100,IF(ISNUMBER(iData!AD43),100*ABS($G43-(iData!AD43-$I43)/$M43),0)),IF(iData!AD43&lt;0,100,IF(ISNUMBER(iData!AD43),100*ABS($G43-(iData!AD43-$I43)/$M43),0)))</f>
        <v>76.198779584107143</v>
      </c>
      <c r="AL43" s="123" cm="1">
        <f t="array" ref="AL43">CHOOSE($H43,SUMPRODUCT($O44:$O$75*AL44:AL$75*($E44:$E$75=$D43)),IF(ISNUMBER(iData!AE43),100*ABS($G43-(iData!AE43-$K43)/$M43),0),IF(ISNUMBER(iData!AE43),100*ABS($G43-(iData!AE43-$I43)/$M43),0),IF(iData!AE43&gt;tblIndicators!$AI39,100,IF(ISNUMBER(iData!AE43),100*ABS($G43-(iData!AE43-$I43)/$M43),0)),IF(iData!AE43&lt;0,100,IF(ISNUMBER(iData!AE43),100*ABS($G43-(iData!AE43-$I43)/$M43),0)))</f>
        <v>60.526879679875414</v>
      </c>
      <c r="AM43" s="123" cm="1">
        <f t="array" ref="AM43">CHOOSE($H43,SUMPRODUCT($O44:$O$75*AM44:AM$75*($E44:$E$75=$D43)),IF(ISNUMBER(iData!AF43),100*ABS($G43-(iData!AF43-$K43)/$M43),0),IF(ISNUMBER(iData!AF43),100*ABS($G43-(iData!AF43-$I43)/$M43),0),IF(iData!AF43&gt;tblIndicators!$AI39,100,IF(ISNUMBER(iData!AF43),100*ABS($G43-(iData!AF43-$I43)/$M43),0)),IF(iData!AF43&lt;0,100,IF(ISNUMBER(iData!AF43),100*ABS($G43-(iData!AF43-$I43)/$M43),0)))</f>
        <v>59.772634572869414</v>
      </c>
      <c r="AN43" s="123" cm="1">
        <f t="array" ref="AN43">CHOOSE($H43,SUMPRODUCT($O44:$O$75*AN44:AN$75*($E44:$E$75=$D43)),IF(ISNUMBER(iData!AG43),100*ABS($G43-(iData!AG43-$K43)/$M43),0),IF(ISNUMBER(iData!AG43),100*ABS($G43-(iData!AG43-$I43)/$M43),0),IF(iData!AG43&gt;tblIndicators!$AI39,100,IF(ISNUMBER(iData!AG43),100*ABS($G43-(iData!AG43-$I43)/$M43),0)),IF(iData!AG43&lt;0,100,IF(ISNUMBER(iData!AG43),100*ABS($G43-(iData!AG43-$I43)/$M43),0)))</f>
        <v>68.115639388971118</v>
      </c>
      <c r="AO43" s="123" cm="1">
        <f t="array" ref="AO43">CHOOSE($H43,SUMPRODUCT($O44:$O$75*AO44:AO$75*($E44:$E$75=$D43)),IF(ISNUMBER(iData!AH43),100*ABS($G43-(iData!AH43-$K43)/$M43),0),IF(ISNUMBER(iData!AH43),100*ABS($G43-(iData!AH43-$I43)/$M43),0),IF(iData!AH43&gt;tblIndicators!$AI39,100,IF(ISNUMBER(iData!AH43),100*ABS($G43-(iData!AH43-$I43)/$M43),0)),IF(iData!AH43&lt;0,100,IF(ISNUMBER(iData!AH43),100*ABS($G43-(iData!AH43-$I43)/$M43),0)))</f>
        <v>76.702319544748974</v>
      </c>
      <c r="AP43" s="123" cm="1">
        <f t="array" ref="AP43">CHOOSE($H43,SUMPRODUCT($O44:$O$75*AP44:AP$75*($E44:$E$75=$D43)),IF(ISNUMBER(iData!AI43),100*ABS($G43-(iData!AI43-$K43)/$M43),0),IF(ISNUMBER(iData!AI43),100*ABS($G43-(iData!AI43-$I43)/$M43),0),IF(iData!AI43&gt;tblIndicators!$AI39,100,IF(ISNUMBER(iData!AI43),100*ABS($G43-(iData!AI43-$I43)/$M43),0)),IF(iData!AI43&lt;0,100,IF(ISNUMBER(iData!AI43),100*ABS($G43-(iData!AI43-$I43)/$M43),0)))</f>
        <v>60.82510726668923</v>
      </c>
      <c r="AQ43" s="123" cm="1">
        <f t="array" ref="AQ43">CHOOSE($H43,SUMPRODUCT($O44:$O$75*AQ44:AQ$75*($E44:$E$75=$D43)),IF(ISNUMBER(iData!AJ43),100*ABS($G43-(iData!AJ43-$K43)/$M43),0),IF(ISNUMBER(iData!AJ43),100*ABS($G43-(iData!AJ43-$I43)/$M43),0),IF(iData!AJ43&gt;tblIndicators!$AI39,100,IF(ISNUMBER(iData!AJ43),100*ABS($G43-(iData!AJ43-$I43)/$M43),0)),IF(iData!AJ43&lt;0,100,IF(ISNUMBER(iData!AJ43),100*ABS($G43-(iData!AJ43-$I43)/$M43),0)))</f>
        <v>60.958949062116275</v>
      </c>
      <c r="AR43" s="123" cm="1">
        <f t="array" ref="AR43">CHOOSE($H43,SUMPRODUCT($O44:$O$75*AR44:AR$75*($E44:$E$75=$D43)),IF(ISNUMBER(iData!AK43),100*ABS($G43-(iData!AK43-$K43)/$M43),0),IF(ISNUMBER(iData!AK43),100*ABS($G43-(iData!AK43-$I43)/$M43),0),IF(iData!AK43&gt;tblIndicators!$AI39,100,IF(ISNUMBER(iData!AK43),100*ABS($G43-(iData!AK43-$I43)/$M43),0)),IF(iData!AK43&lt;0,100,IF(ISNUMBER(iData!AK43),100*ABS($G43-(iData!AK43-$I43)/$M43),0)))</f>
        <v>63.986309040600183</v>
      </c>
      <c r="AS43" s="123" cm="1">
        <f t="array" ref="AS43">CHOOSE($H43,SUMPRODUCT($O44:$O$75*AS44:AS$75*($E44:$E$75=$D43)),IF(ISNUMBER(iData!AL43),100*ABS($G43-(iData!AL43-$K43)/$M43),0),IF(ISNUMBER(iData!AL43),100*ABS($G43-(iData!AL43-$I43)/$M43),0),IF(iData!AL43&gt;tblIndicators!$AI39,100,IF(ISNUMBER(iData!AL43),100*ABS($G43-(iData!AL43-$I43)/$M43),0)),IF(iData!AL43&lt;0,100,IF(ISNUMBER(iData!AL43),100*ABS($G43-(iData!AL43-$I43)/$M43),0)))</f>
        <v>73.448635494524581</v>
      </c>
      <c r="AT43" s="123" cm="1">
        <f t="array" ref="AT43">CHOOSE($H43,SUMPRODUCT($O44:$O$75*AT44:AT$75*($E44:$E$75=$D43)),IF(ISNUMBER(iData!AM43),100*ABS($G43-(iData!AM43-$K43)/$M43),0),IF(ISNUMBER(iData!AM43),100*ABS($G43-(iData!AM43-$I43)/$M43),0),IF(iData!AM43&gt;tblIndicators!$AI39,100,IF(ISNUMBER(iData!AM43),100*ABS($G43-(iData!AM43-$I43)/$M43),0)),IF(iData!AM43&lt;0,100,IF(ISNUMBER(iData!AM43),100*ABS($G43-(iData!AM43-$I43)/$M43),0)))</f>
        <v>70.602408811878462</v>
      </c>
      <c r="AU43" s="123" cm="1">
        <f t="array" ref="AU43">CHOOSE($H43,SUMPRODUCT($O44:$O$75*AU44:AU$75*($E44:$E$75=$D43)),IF(ISNUMBER(iData!AN43),100*ABS($G43-(iData!AN43-$K43)/$M43),0),IF(ISNUMBER(iData!AN43),100*ABS($G43-(iData!AN43-$I43)/$M43),0),IF(iData!AN43&gt;tblIndicators!$AI39,100,IF(ISNUMBER(iData!AN43),100*ABS($G43-(iData!AN43-$I43)/$M43),0)),IF(iData!AN43&lt;0,100,IF(ISNUMBER(iData!AN43),100*ABS($G43-(iData!AN43-$I43)/$M43),0)))</f>
        <v>67.346182599613272</v>
      </c>
      <c r="AV43" s="367"/>
      <c r="AW43" s="368"/>
      <c r="AX43" s="14"/>
      <c r="AY43" s="871">
        <f t="shared" si="40"/>
        <v>65.8</v>
      </c>
      <c r="AZ43" s="871">
        <f t="shared" si="41"/>
        <v>69.400000000000006</v>
      </c>
      <c r="BA43" s="871">
        <f t="shared" si="42"/>
        <v>77.8</v>
      </c>
      <c r="BB43" s="871">
        <f t="shared" si="43"/>
        <v>74</v>
      </c>
      <c r="BC43" s="871">
        <f t="shared" si="44"/>
        <v>70.2</v>
      </c>
      <c r="BD43" s="871">
        <f t="shared" si="45"/>
        <v>62.2</v>
      </c>
      <c r="BE43" s="871">
        <f t="shared" si="46"/>
        <v>73.099999999999994</v>
      </c>
      <c r="BF43" s="871">
        <f t="shared" si="47"/>
        <v>76.400000000000006</v>
      </c>
      <c r="BG43" s="871">
        <f t="shared" si="48"/>
        <v>78</v>
      </c>
      <c r="BH43" s="871">
        <f t="shared" si="49"/>
        <v>94.3</v>
      </c>
      <c r="BI43" s="871">
        <f t="shared" si="50"/>
        <v>63.7</v>
      </c>
      <c r="BJ43" s="871">
        <f t="shared" si="51"/>
        <v>67.599999999999994</v>
      </c>
      <c r="BK43" s="871">
        <f t="shared" si="52"/>
        <v>75.900000000000006</v>
      </c>
      <c r="BL43" s="871">
        <f t="shared" si="53"/>
        <v>73.8</v>
      </c>
      <c r="BM43" s="871">
        <f t="shared" si="54"/>
        <v>67.5</v>
      </c>
      <c r="BN43" s="871">
        <f t="shared" si="55"/>
        <v>78.099999999999994</v>
      </c>
      <c r="BO43" s="871">
        <f t="shared" si="56"/>
        <v>73.599999999999994</v>
      </c>
      <c r="BP43" s="871">
        <f t="shared" si="57"/>
        <v>74.8</v>
      </c>
      <c r="BQ43" s="871">
        <f t="shared" si="58"/>
        <v>31.6</v>
      </c>
      <c r="BR43" s="871">
        <f t="shared" si="59"/>
        <v>76.2</v>
      </c>
      <c r="BS43" s="871">
        <f t="shared" si="60"/>
        <v>60.5</v>
      </c>
      <c r="BT43" s="871">
        <f t="shared" si="61"/>
        <v>59.8</v>
      </c>
      <c r="BU43" s="871">
        <f t="shared" si="62"/>
        <v>68.099999999999994</v>
      </c>
      <c r="BV43" s="871">
        <f t="shared" si="63"/>
        <v>76.7</v>
      </c>
      <c r="BW43" s="871">
        <f t="shared" si="64"/>
        <v>60.8</v>
      </c>
      <c r="BX43" s="871">
        <f t="shared" si="65"/>
        <v>61</v>
      </c>
      <c r="BY43" s="871">
        <f t="shared" si="66"/>
        <v>64</v>
      </c>
      <c r="BZ43" s="871">
        <f t="shared" si="67"/>
        <v>73.400000000000006</v>
      </c>
      <c r="CA43" s="871">
        <f t="shared" si="68"/>
        <v>70.599999999999994</v>
      </c>
      <c r="CB43" s="871">
        <f t="shared" si="69"/>
        <v>67.3</v>
      </c>
      <c r="CD43" s="304">
        <f t="shared" ca="1" si="103"/>
        <v>69.5</v>
      </c>
      <c r="CE43" s="304">
        <f t="shared" ca="1" si="103"/>
        <v>69.5</v>
      </c>
      <c r="CF43" s="304">
        <f t="shared" ca="1" si="103"/>
        <v>66.900000000000006</v>
      </c>
      <c r="CG43" s="302">
        <f t="shared" ca="1" si="103"/>
        <v>67.5</v>
      </c>
      <c r="CH43" s="302">
        <f t="shared" ca="1" si="103"/>
        <v>72</v>
      </c>
      <c r="CI43" s="302">
        <f t="shared" ca="1" si="103"/>
        <v>94.3</v>
      </c>
      <c r="CJ43" s="302">
        <f t="shared" ca="1" si="103"/>
        <v>74.599999999999994</v>
      </c>
      <c r="CK43" s="302">
        <f t="shared" ca="1" si="103"/>
        <v>60.4</v>
      </c>
      <c r="CL43" s="302">
        <f t="shared" ca="1" si="103"/>
        <v>73</v>
      </c>
      <c r="CM43" s="302">
        <f t="shared" ca="1" si="103"/>
        <v>69.900000000000006</v>
      </c>
      <c r="CN43" s="302">
        <f t="shared" ref="CN43:CQ66" ca="1" si="105">IFERROR(ROUND(SUMIF(OFFSET(tblGroups,CN$5-1,0,1,$CE$1),1,OFFSET(aScoresRounded,$B43-1,0,1,$CE$1))/SUM(OFFSET(tblGroups,CN$5-1,0,1,$CE$1)),$CF$1),"n/a")</f>
        <v>69.7</v>
      </c>
      <c r="CO43" s="302">
        <f t="shared" ca="1" si="105"/>
        <v>70.900000000000006</v>
      </c>
      <c r="CP43" s="302">
        <f t="shared" ca="1" si="105"/>
        <v>69.900000000000006</v>
      </c>
      <c r="CQ43" s="302">
        <f t="shared" ca="1" si="105"/>
        <v>67.8</v>
      </c>
    </row>
    <row r="44" spans="1:95" s="124" customFormat="1" ht="27.75" customHeight="1" thickBot="1">
      <c r="A44" s="118"/>
      <c r="B44" s="119">
        <f>tblIndicators!A40</f>
        <v>39</v>
      </c>
      <c r="C44" s="119">
        <f>tblIndicators!B40</f>
        <v>0</v>
      </c>
      <c r="D44" s="119" t="str">
        <f>tblIndicators!E40</f>
        <v>CULT3_1_1</v>
      </c>
      <c r="E44" s="119" t="str">
        <f>tblIndicators!F40</f>
        <v>CULT3_1</v>
      </c>
      <c r="F44" s="119">
        <f>tblIndicators!G40</f>
        <v>3</v>
      </c>
      <c r="G44" s="119">
        <f>tblIndicators!AF40</f>
        <v>0</v>
      </c>
      <c r="H44" s="119">
        <f>tblIndicators!AG40</f>
        <v>2</v>
      </c>
      <c r="I44" s="120">
        <f>tblIndicators!AH40</f>
        <v>0</v>
      </c>
      <c r="J44" s="119">
        <f>tblIndicators!AI40</f>
        <v>0</v>
      </c>
      <c r="K44" s="119">
        <f t="array" ref="K44">MIN(IF(ISNUMBER(iData!K44:AN44),iData!K44:AN44))</f>
        <v>56</v>
      </c>
      <c r="L44" s="121">
        <f t="array" ref="L44">MAX(IF(ISNUMBER(iData!K44:AN44),iData!K44:AN44))</f>
        <v>100</v>
      </c>
      <c r="M44" s="51">
        <f t="shared" si="7"/>
        <v>44</v>
      </c>
      <c r="N44" s="122" t="str">
        <f>REPT(" ",F44)&amp;tblIndicators!AM40</f>
        <v xml:space="preserve">   3.1.1) Internet usage</v>
      </c>
      <c r="O44" s="381">
        <f>tblIndicators!AR40</f>
        <v>0.36842105263157893</v>
      </c>
      <c r="P44" s="381"/>
      <c r="Q44" s="323"/>
      <c r="R44" s="123" cm="1">
        <f t="array" ref="R44">CHOOSE($H44,SUMPRODUCT($O45:$O$75*R45:R$75*($E45:$E$75=$D44)),IF(ISNUMBER(iData!K44),100*ABS($G44-(iData!K44-$K44)/$M44),0),IF(ISNUMBER(iData!K44),100*ABS($G44-(iData!K44-$I44)/$M44),0),IF(iData!K44&gt;tblIndicators!$AI40,100,IF(ISNUMBER(iData!K44),100*ABS($G44-(iData!K44-$I44)/$M44),0)),IF(iData!K44&lt;0,100,IF(ISNUMBER(iData!K44),100*ABS($G44-(iData!K44-$I44)/$M44),0)))</f>
        <v>87.045454545454533</v>
      </c>
      <c r="S44" s="123" cm="1">
        <f t="array" ref="S44">CHOOSE($H44,SUMPRODUCT($O45:$O$75*S45:S$75*($E45:$E$75=$D44)),IF(ISNUMBER(iData!L44),100*ABS($G44-(iData!L44-$K44)/$M44),0),IF(ISNUMBER(iData!L44),100*ABS($G44-(iData!L44-$I44)/$M44),0),IF(iData!L44&gt;tblIndicators!$AI40,100,IF(ISNUMBER(iData!L44),100*ABS($G44-(iData!L44-$I44)/$M44),0)),IF(iData!L44&lt;0,100,IF(ISNUMBER(iData!L44),100*ABS($G44-(iData!L44-$I44)/$M44),0)))</f>
        <v>85.227272727272734</v>
      </c>
      <c r="T44" s="123" cm="1">
        <f t="array" ref="T44">CHOOSE($H44,SUMPRODUCT($O45:$O$75*T45:T$75*($E45:$E$75=$D44)),IF(ISNUMBER(iData!M44),100*ABS($G44-(iData!M44-$K44)/$M44),0),IF(ISNUMBER(iData!M44),100*ABS($G44-(iData!M44-$I44)/$M44),0),IF(iData!M44&gt;tblIndicators!$AI40,100,IF(ISNUMBER(iData!M44),100*ABS($G44-(iData!M44-$I44)/$M44),0)),IF(iData!M44&lt;0,100,IF(ISNUMBER(iData!M44),100*ABS($G44-(iData!M44-$I44)/$M44),0)))</f>
        <v>75.681818181818173</v>
      </c>
      <c r="U44" s="123" cm="1">
        <f t="array" ref="U44">CHOOSE($H44,SUMPRODUCT($O45:$O$75*U45:U$75*($E45:$E$75=$D44)),IF(ISNUMBER(iData!N44),100*ABS($G44-(iData!N44-$K44)/$M44),0),IF(ISNUMBER(iData!N44),100*ABS($G44-(iData!N44-$I44)/$M44),0),IF(iData!N44&gt;tblIndicators!$AI40,100,IF(ISNUMBER(iData!N44),100*ABS($G44-(iData!N44-$I44)/$M44),0)),IF(iData!N44&lt;0,100,IF(ISNUMBER(iData!N44),100*ABS($G44-(iData!N44-$I44)/$M44),0)))</f>
        <v>84.090909090909093</v>
      </c>
      <c r="V44" s="123" cm="1">
        <f t="array" ref="V44">CHOOSE($H44,SUMPRODUCT($O45:$O$75*V45:V$75*($E45:$E$75=$D44)),IF(ISNUMBER(iData!O44),100*ABS($G44-(iData!O44-$K44)/$M44),0),IF(ISNUMBER(iData!O44),100*ABS($G44-(iData!O44-$I44)/$M44),0),IF(iData!O44&gt;tblIndicators!$AI40,100,IF(ISNUMBER(iData!O44),100*ABS($G44-(iData!O44-$I44)/$M44),0)),IF(iData!O44&lt;0,100,IF(ISNUMBER(iData!O44),100*ABS($G44-(iData!O44-$I44)/$M44),0)))</f>
        <v>49.54545454545454</v>
      </c>
      <c r="W44" s="123" cm="1">
        <f t="array" ref="W44">CHOOSE($H44,SUMPRODUCT($O45:$O$75*W45:W$75*($E45:$E$75=$D44)),IF(ISNUMBER(iData!P44),100*ABS($G44-(iData!P44-$K44)/$M44),0),IF(ISNUMBER(iData!P44),100*ABS($G44-(iData!P44-$I44)/$M44),0),IF(iData!P44&gt;tblIndicators!$AI40,100,IF(ISNUMBER(iData!P44),100*ABS($G44-(iData!P44-$I44)/$M44),0)),IF(iData!P44&lt;0,100,IF(ISNUMBER(iData!P44),100*ABS($G44-(iData!P44-$I44)/$M44),0)))</f>
        <v>79.090909090909093</v>
      </c>
      <c r="X44" s="123" cm="1">
        <f t="array" ref="X44">CHOOSE($H44,SUMPRODUCT($O45:$O$75*X45:X$75*($E45:$E$75=$D44)),IF(ISNUMBER(iData!Q44),100*ABS($G44-(iData!Q44-$K44)/$M44),0),IF(ISNUMBER(iData!Q44),100*ABS($G44-(iData!Q44-$I44)/$M44),0),IF(iData!Q44&gt;tblIndicators!$AI40,100,IF(ISNUMBER(iData!Q44),100*ABS($G44-(iData!Q44-$I44)/$M44),0)),IF(iData!Q44&lt;0,100,IF(ISNUMBER(iData!Q44),100*ABS($G44-(iData!Q44-$I44)/$M44),0)))</f>
        <v>71.818181818181799</v>
      </c>
      <c r="Y44" s="123" cm="1">
        <f t="array" ref="Y44">CHOOSE($H44,SUMPRODUCT($O45:$O$75*Y45:Y$75*($E45:$E$75=$D44)),IF(ISNUMBER(iData!R44),100*ABS($G44-(iData!R44-$K44)/$M44),0),IF(ISNUMBER(iData!R44),100*ABS($G44-(iData!R44-$I44)/$M44),0),IF(iData!R44&gt;tblIndicators!$AI40,100,IF(ISNUMBER(iData!R44),100*ABS($G44-(iData!R44-$I44)/$M44),0)),IF(iData!R44&lt;0,100,IF(ISNUMBER(iData!R44),100*ABS($G44-(iData!R44-$I44)/$M44),0)))</f>
        <v>95.681818181818173</v>
      </c>
      <c r="Z44" s="123" cm="1">
        <f t="array" ref="Z44">CHOOSE($H44,SUMPRODUCT($O45:$O$75*Z45:Z$75*($E45:$E$75=$D44)),IF(ISNUMBER(iData!S44),100*ABS($G44-(iData!S44-$K44)/$M44),0),IF(ISNUMBER(iData!S44),100*ABS($G44-(iData!S44-$I44)/$M44),0),IF(iData!S44&gt;tblIndicators!$AI40,100,IF(ISNUMBER(iData!S44),100*ABS($G44-(iData!S44-$I44)/$M44),0)),IF(iData!S44&lt;0,100,IF(ISNUMBER(iData!S44),100*ABS($G44-(iData!S44-$I44)/$M44),0)))</f>
        <v>80.681818181818173</v>
      </c>
      <c r="AA44" s="123" cm="1">
        <f t="array" ref="AA44">CHOOSE($H44,SUMPRODUCT($O45:$O$75*AA45:AA$75*($E45:$E$75=$D44)),IF(ISNUMBER(iData!T44),100*ABS($G44-(iData!T44-$K44)/$M44),0),IF(ISNUMBER(iData!T44),100*ABS($G44-(iData!T44-$I44)/$M44),0),IF(iData!T44&gt;tblIndicators!$AI40,100,IF(ISNUMBER(iData!T44),100*ABS($G44-(iData!T44-$I44)/$M44),0)),IF(iData!T44&lt;0,100,IF(ISNUMBER(iData!T44),100*ABS($G44-(iData!T44-$I44)/$M44),0)))</f>
        <v>100</v>
      </c>
      <c r="AB44" s="123" cm="1">
        <f t="array" ref="AB44">CHOOSE($H44,SUMPRODUCT($O45:$O$75*AB45:AB$75*($E45:$E$75=$D44)),IF(ISNUMBER(iData!U44),100*ABS($G44-(iData!U44-$K44)/$M44),0),IF(ISNUMBER(iData!U44),100*ABS($G44-(iData!U44-$I44)/$M44),0),IF(iData!U44&gt;tblIndicators!$AI40,100,IF(ISNUMBER(iData!U44),100*ABS($G44-(iData!U44-$I44)/$M44),0)),IF(iData!U44&lt;0,100,IF(ISNUMBER(iData!U44),100*ABS($G44-(iData!U44-$I44)/$M44),0)))</f>
        <v>79.090909090909093</v>
      </c>
      <c r="AC44" s="123" cm="1">
        <f t="array" ref="AC44">CHOOSE($H44,SUMPRODUCT($O45:$O$75*AC45:AC$75*($E45:$E$75=$D44)),IF(ISNUMBER(iData!V44),100*ABS($G44-(iData!V44-$K44)/$M44),0),IF(ISNUMBER(iData!V44),100*ABS($G44-(iData!V44-$I44)/$M44),0),IF(iData!V44&gt;tblIndicators!$AI40,100,IF(ISNUMBER(iData!V44),100*ABS($G44-(iData!V44-$I44)/$M44),0)),IF(iData!V44&lt;0,100,IF(ISNUMBER(iData!V44),100*ABS($G44-(iData!V44-$I44)/$M44),0)))</f>
        <v>83.636363636363626</v>
      </c>
      <c r="AD44" s="123" cm="1">
        <f t="array" ref="AD44">CHOOSE($H44,SUMPRODUCT($O45:$O$75*AD45:AD$75*($E45:$E$75=$D44)),IF(ISNUMBER(iData!W44),100*ABS($G44-(iData!W44-$K44)/$M44),0),IF(ISNUMBER(iData!W44),100*ABS($G44-(iData!W44-$I44)/$M44),0),IF(iData!W44&gt;tblIndicators!$AI40,100,IF(ISNUMBER(iData!W44),100*ABS($G44-(iData!W44-$I44)/$M44),0)),IF(iData!W44&lt;0,100,IF(ISNUMBER(iData!W44),100*ABS($G44-(iData!W44-$I44)/$M44),0)))</f>
        <v>65.909090909090907</v>
      </c>
      <c r="AE44" s="123" cm="1">
        <f t="array" ref="AE44">CHOOSE($H44,SUMPRODUCT($O45:$O$75*AE45:AE$75*($E45:$E$75=$D44)),IF(ISNUMBER(iData!X44),100*ABS($G44-(iData!X44-$K44)/$M44),0),IF(ISNUMBER(iData!X44),100*ABS($G44-(iData!X44-$I44)/$M44),0),IF(iData!X44&gt;tblIndicators!$AI40,100,IF(ISNUMBER(iData!X44),100*ABS($G44-(iData!X44-$I44)/$M44),0)),IF(iData!X44&lt;0,100,IF(ISNUMBER(iData!X44),100*ABS($G44-(iData!X44-$I44)/$M44),0)))</f>
        <v>83.636363636363626</v>
      </c>
      <c r="AF44" s="123" cm="1">
        <f t="array" ref="AF44">CHOOSE($H44,SUMPRODUCT($O45:$O$75*AF45:AF$75*($E45:$E$75=$D44)),IF(ISNUMBER(iData!Y44),100*ABS($G44-(iData!Y44-$K44)/$M44),0),IF(ISNUMBER(iData!Y44),100*ABS($G44-(iData!Y44-$I44)/$M44),0),IF(iData!Y44&gt;tblIndicators!$AI40,100,IF(ISNUMBER(iData!Y44),100*ABS($G44-(iData!Y44-$I44)/$M44),0)),IF(iData!Y44&lt;0,100,IF(ISNUMBER(iData!Y44),100*ABS($G44-(iData!Y44-$I44)/$M44),0)))</f>
        <v>91.136363636363626</v>
      </c>
      <c r="AG44" s="123" cm="1">
        <f t="array" ref="AG44">CHOOSE($H44,SUMPRODUCT($O45:$O$75*AG45:AG$75*($E45:$E$75=$D44)),IF(ISNUMBER(iData!Z44),100*ABS($G44-(iData!Z44-$K44)/$M44),0),IF(ISNUMBER(iData!Z44),100*ABS($G44-(iData!Z44-$I44)/$M44),0),IF(iData!Z44&gt;tblIndicators!$AI40,100,IF(ISNUMBER(iData!Z44),100*ABS($G44-(iData!Z44-$I44)/$M44),0)),IF(iData!Z44&lt;0,100,IF(ISNUMBER(iData!Z44),100*ABS($G44-(iData!Z44-$I44)/$M44),0)))</f>
        <v>90.909090909090907</v>
      </c>
      <c r="AH44" s="123" cm="1">
        <f t="array" ref="AH44">CHOOSE($H44,SUMPRODUCT($O45:$O$75*AH45:AH$75*($E45:$E$75=$D44)),IF(ISNUMBER(iData!AA44),100*ABS($G44-(iData!AA44-$K44)/$M44),0),IF(ISNUMBER(iData!AA44),100*ABS($G44-(iData!AA44-$I44)/$M44),0),IF(iData!AA44&gt;tblIndicators!$AI40,100,IF(ISNUMBER(iData!AA44),100*ABS($G44-(iData!AA44-$I44)/$M44),0)),IF(iData!AA44&lt;0,100,IF(ISNUMBER(iData!AA44),100*ABS($G44-(iData!AA44-$I44)/$M44),0)))</f>
        <v>63.636363636363633</v>
      </c>
      <c r="AI44" s="123" cm="1">
        <f t="array" ref="AI44">CHOOSE($H44,SUMPRODUCT($O45:$O$75*AI45:AI$75*($E45:$E$75=$D44)),IF(ISNUMBER(iData!AB44),100*ABS($G44-(iData!AB44-$K44)/$M44),0),IF(ISNUMBER(iData!AB44),100*ABS($G44-(iData!AB44-$I44)/$M44),0),IF(iData!AB44&gt;tblIndicators!$AI40,100,IF(ISNUMBER(iData!AB44),100*ABS($G44-(iData!AB44-$I44)/$M44),0)),IF(iData!AB44&lt;0,100,IF(ISNUMBER(iData!AB44),100*ABS($G44-(iData!AB44-$I44)/$M44),0)))</f>
        <v>64.545454545454561</v>
      </c>
      <c r="AJ44" s="123" cm="1">
        <f t="array" ref="AJ44">CHOOSE($H44,SUMPRODUCT($O45:$O$75*AJ45:AJ$75*($E45:$E$75=$D44)),IF(ISNUMBER(iData!AC44),100*ABS($G44-(iData!AC44-$K44)/$M44),0),IF(ISNUMBER(iData!AC44),100*ABS($G44-(iData!AC44-$I44)/$M44),0),IF(iData!AC44&gt;tblIndicators!$AI40,100,IF(ISNUMBER(iData!AC44),100*ABS($G44-(iData!AC44-$I44)/$M44),0)),IF(iData!AC44&lt;0,100,IF(ISNUMBER(iData!AC44),100*ABS($G44-(iData!AC44-$I44)/$M44),0)))</f>
        <v>0</v>
      </c>
      <c r="AK44" s="123" cm="1">
        <f t="array" ref="AK44">CHOOSE($H44,SUMPRODUCT($O45:$O$75*AK45:AK$75*($E45:$E$75=$D44)),IF(ISNUMBER(iData!AD44),100*ABS($G44-(iData!AD44-$K44)/$M44),0),IF(ISNUMBER(iData!AD44),100*ABS($G44-(iData!AD44-$I44)/$M44),0),IF(iData!AD44&gt;tblIndicators!$AI40,100,IF(ISNUMBER(iData!AD44),100*ABS($G44-(iData!AD44-$I44)/$M44),0)),IF(iData!AD44&lt;0,100,IF(ISNUMBER(iData!AD44),100*ABS($G44-(iData!AD44-$I44)/$M44),0)))</f>
        <v>96.363636363636374</v>
      </c>
      <c r="AL44" s="123" cm="1">
        <f t="array" ref="AL44">CHOOSE($H44,SUMPRODUCT($O45:$O$75*AL45:AL$75*($E45:$E$75=$D44)),IF(ISNUMBER(iData!AE44),100*ABS($G44-(iData!AE44-$K44)/$M44),0),IF(ISNUMBER(iData!AE44),100*ABS($G44-(iData!AE44-$I44)/$M44),0),IF(iData!AE44&gt;tblIndicators!$AI40,100,IF(ISNUMBER(iData!AE44),100*ABS($G44-(iData!AE44-$I44)/$M44),0)),IF(iData!AE44&lt;0,100,IF(ISNUMBER(iData!AE44),100*ABS($G44-(iData!AE44-$I44)/$M44),0)))</f>
        <v>68.63636363636364</v>
      </c>
      <c r="AM44" s="123" cm="1">
        <f t="array" ref="AM44">CHOOSE($H44,SUMPRODUCT($O45:$O$75*AM45:AM$75*($E45:$E$75=$D44)),IF(ISNUMBER(iData!AF44),100*ABS($G44-(iData!AF44-$K44)/$M44),0),IF(ISNUMBER(iData!AF44),100*ABS($G44-(iData!AF44-$I44)/$M44),0),IF(iData!AF44&gt;tblIndicators!$AI40,100,IF(ISNUMBER(iData!AF44),100*ABS($G44-(iData!AF44-$I44)/$M44),0)),IF(iData!AF44&lt;0,100,IF(ISNUMBER(iData!AF44),100*ABS($G44-(iData!AF44-$I44)/$M44),0)))</f>
        <v>51.136363636363633</v>
      </c>
      <c r="AN44" s="123" cm="1">
        <f t="array" ref="AN44">CHOOSE($H44,SUMPRODUCT($O45:$O$75*AN45:AN$75*($E45:$E$75=$D44)),IF(ISNUMBER(iData!AG44),100*ABS($G44-(iData!AG44-$K44)/$M44),0),IF(ISNUMBER(iData!AG44),100*ABS($G44-(iData!AG44-$I44)/$M44),0),IF(iData!AG44&gt;tblIndicators!$AI40,100,IF(ISNUMBER(iData!AG44),100*ABS($G44-(iData!AG44-$I44)/$M44),0)),IF(iData!AG44&lt;0,100,IF(ISNUMBER(iData!AG44),100*ABS($G44-(iData!AG44-$I44)/$M44),0)))</f>
        <v>55.454545454545467</v>
      </c>
      <c r="AO44" s="123" cm="1">
        <f t="array" ref="AO44">CHOOSE($H44,SUMPRODUCT($O45:$O$75*AO45:AO$75*($E45:$E$75=$D44)),IF(ISNUMBER(iData!AH44),100*ABS($G44-(iData!AH44-$K44)/$M44),0),IF(ISNUMBER(iData!AH44),100*ABS($G44-(iData!AH44-$I44)/$M44),0),IF(iData!AH44&gt;tblIndicators!$AI40,100,IF(ISNUMBER(iData!AH44),100*ABS($G44-(iData!AH44-$I44)/$M44),0)),IF(iData!AH44&lt;0,100,IF(ISNUMBER(iData!AH44),100*ABS($G44-(iData!AH44-$I44)/$M44),0)))</f>
        <v>95.454545454545453</v>
      </c>
      <c r="AP44" s="123" cm="1">
        <f t="array" ref="AP44">CHOOSE($H44,SUMPRODUCT($O45:$O$75*AP45:AP$75*($E45:$E$75=$D44)),IF(ISNUMBER(iData!AI44),100*ABS($G44-(iData!AI44-$K44)/$M44),0),IF(ISNUMBER(iData!AI44),100*ABS($G44-(iData!AI44-$I44)/$M44),0),IF(iData!AI44&gt;tblIndicators!$AI40,100,IF(ISNUMBER(iData!AI44),100*ABS($G44-(iData!AI44-$I44)/$M44),0)),IF(iData!AI44&lt;0,100,IF(ISNUMBER(iData!AI44),100*ABS($G44-(iData!AI44-$I44)/$M44),0)))</f>
        <v>55.454545454545467</v>
      </c>
      <c r="AQ44" s="123" cm="1">
        <f t="array" ref="AQ44">CHOOSE($H44,SUMPRODUCT($O45:$O$75*AQ45:AQ$75*($E45:$E$75=$D44)),IF(ISNUMBER(iData!AJ44),100*ABS($G44-(iData!AJ44-$K44)/$M44),0),IF(ISNUMBER(iData!AJ44),100*ABS($G44-(iData!AJ44-$I44)/$M44),0),IF(iData!AJ44&gt;tblIndicators!$AI40,100,IF(ISNUMBER(iData!AJ44),100*ABS($G44-(iData!AJ44-$I44)/$M44),0)),IF(iData!AJ44&lt;0,100,IF(ISNUMBER(iData!AJ44),100*ABS($G44-(iData!AJ44-$I44)/$M44),0)))</f>
        <v>81.13636363636364</v>
      </c>
      <c r="AR44" s="123" cm="1">
        <f t="array" ref="AR44">CHOOSE($H44,SUMPRODUCT($O45:$O$75*AR45:AR$75*($E45:$E$75=$D44)),IF(ISNUMBER(iData!AK44),100*ABS($G44-(iData!AK44-$K44)/$M44),0),IF(ISNUMBER(iData!AK44),100*ABS($G44-(iData!AK44-$I44)/$M44),0),IF(iData!AK44&gt;tblIndicators!$AI40,100,IF(ISNUMBER(iData!AK44),100*ABS($G44-(iData!AK44-$I44)/$M44),0)),IF(iData!AK44&lt;0,100,IF(ISNUMBER(iData!AK44),100*ABS($G44-(iData!AK44-$I44)/$M44),0)))</f>
        <v>86.13636363636364</v>
      </c>
      <c r="AS44" s="123" cm="1">
        <f t="array" ref="AS44">CHOOSE($H44,SUMPRODUCT($O45:$O$75*AS45:AS$75*($E45:$E$75=$D44)),IF(ISNUMBER(iData!AL44),100*ABS($G44-(iData!AL44-$K44)/$M44),0),IF(ISNUMBER(iData!AL44),100*ABS($G44-(iData!AL44-$I44)/$M44),0),IF(iData!AL44&gt;tblIndicators!$AI40,100,IF(ISNUMBER(iData!AL44),100*ABS($G44-(iData!AL44-$I44)/$M44),0)),IF(iData!AL44&lt;0,100,IF(ISNUMBER(iData!AL44),100*ABS($G44-(iData!AL44-$I44)/$M44),0)))</f>
        <v>95.454545454545453</v>
      </c>
      <c r="AT44" s="123" cm="1">
        <f t="array" ref="AT44">CHOOSE($H44,SUMPRODUCT($O45:$O$75*AT45:AT$75*($E45:$E$75=$D44)),IF(ISNUMBER(iData!AM44),100*ABS($G44-(iData!AM44-$K44)/$M44),0),IF(ISNUMBER(iData!AM44),100*ABS($G44-(iData!AM44-$I44)/$M44),0),IF(iData!AM44&gt;tblIndicators!$AI40,100,IF(ISNUMBER(iData!AM44),100*ABS($G44-(iData!AM44-$I44)/$M44),0)),IF(iData!AM44&lt;0,100,IF(ISNUMBER(iData!AM44),100*ABS($G44-(iData!AM44-$I44)/$M44),0)))</f>
        <v>80.681818181818173</v>
      </c>
      <c r="AU44" s="123" cm="1">
        <f t="array" ref="AU44">CHOOSE($H44,SUMPRODUCT($O45:$O$75*AU45:AU$75*($E45:$E$75=$D44)),IF(ISNUMBER(iData!AN44),100*ABS($G44-(iData!AN44-$K44)/$M44),0),IF(ISNUMBER(iData!AN44),100*ABS($G44-(iData!AN44-$I44)/$M44),0),IF(iData!AN44&gt;tblIndicators!$AI40,100,IF(ISNUMBER(iData!AN44),100*ABS($G44-(iData!AN44-$I44)/$M44),0)),IF(iData!AN44&lt;0,100,IF(ISNUMBER(iData!AN44),100*ABS($G44-(iData!AN44-$I44)/$M44),0)))</f>
        <v>89.772727272727266</v>
      </c>
      <c r="AV44" s="367"/>
      <c r="AW44" s="368"/>
      <c r="AX44" s="14"/>
      <c r="AY44" s="871">
        <f t="shared" si="40"/>
        <v>87</v>
      </c>
      <c r="AZ44" s="871">
        <f t="shared" si="41"/>
        <v>85.2</v>
      </c>
      <c r="BA44" s="871">
        <f t="shared" si="42"/>
        <v>75.7</v>
      </c>
      <c r="BB44" s="871">
        <f t="shared" si="43"/>
        <v>84.1</v>
      </c>
      <c r="BC44" s="871">
        <f t="shared" si="44"/>
        <v>49.5</v>
      </c>
      <c r="BD44" s="871">
        <f t="shared" si="45"/>
        <v>79.099999999999994</v>
      </c>
      <c r="BE44" s="871">
        <f t="shared" si="46"/>
        <v>71.8</v>
      </c>
      <c r="BF44" s="871">
        <f t="shared" si="47"/>
        <v>95.7</v>
      </c>
      <c r="BG44" s="871">
        <f t="shared" si="48"/>
        <v>80.7</v>
      </c>
      <c r="BH44" s="871">
        <f t="shared" si="49"/>
        <v>100</v>
      </c>
      <c r="BI44" s="871">
        <f t="shared" si="50"/>
        <v>79.099999999999994</v>
      </c>
      <c r="BJ44" s="871">
        <f t="shared" si="51"/>
        <v>83.6</v>
      </c>
      <c r="BK44" s="871">
        <f t="shared" si="52"/>
        <v>65.900000000000006</v>
      </c>
      <c r="BL44" s="871">
        <f t="shared" si="53"/>
        <v>83.6</v>
      </c>
      <c r="BM44" s="871">
        <f t="shared" si="54"/>
        <v>91.1</v>
      </c>
      <c r="BN44" s="871">
        <f t="shared" si="55"/>
        <v>90.9</v>
      </c>
      <c r="BO44" s="871">
        <f t="shared" si="56"/>
        <v>63.6</v>
      </c>
      <c r="BP44" s="871">
        <f t="shared" si="57"/>
        <v>64.5</v>
      </c>
      <c r="BQ44" s="871">
        <f t="shared" si="58"/>
        <v>0</v>
      </c>
      <c r="BR44" s="871">
        <f t="shared" si="59"/>
        <v>96.4</v>
      </c>
      <c r="BS44" s="871">
        <f t="shared" si="60"/>
        <v>68.599999999999994</v>
      </c>
      <c r="BT44" s="871">
        <f t="shared" si="61"/>
        <v>51.1</v>
      </c>
      <c r="BU44" s="871">
        <f t="shared" si="62"/>
        <v>55.5</v>
      </c>
      <c r="BV44" s="871">
        <f t="shared" si="63"/>
        <v>95.5</v>
      </c>
      <c r="BW44" s="871">
        <f t="shared" si="64"/>
        <v>55.5</v>
      </c>
      <c r="BX44" s="871">
        <f t="shared" si="65"/>
        <v>81.099999999999994</v>
      </c>
      <c r="BY44" s="871">
        <f t="shared" si="66"/>
        <v>86.1</v>
      </c>
      <c r="BZ44" s="871">
        <f t="shared" si="67"/>
        <v>95.5</v>
      </c>
      <c r="CA44" s="871">
        <f t="shared" si="68"/>
        <v>80.7</v>
      </c>
      <c r="CB44" s="871">
        <f t="shared" si="69"/>
        <v>89.8</v>
      </c>
      <c r="CD44" s="304">
        <f t="shared" ca="1" si="103"/>
        <v>76.2</v>
      </c>
      <c r="CE44" s="304">
        <f t="shared" ca="1" si="103"/>
        <v>76.2</v>
      </c>
      <c r="CF44" s="304">
        <f t="shared" ca="1" si="103"/>
        <v>68.8</v>
      </c>
      <c r="CG44" s="302">
        <f t="shared" ca="1" si="103"/>
        <v>81.7</v>
      </c>
      <c r="CH44" s="302">
        <f t="shared" ca="1" si="103"/>
        <v>63.9</v>
      </c>
      <c r="CI44" s="302">
        <f t="shared" ca="1" si="103"/>
        <v>100</v>
      </c>
      <c r="CJ44" s="302">
        <f t="shared" ca="1" si="103"/>
        <v>88.3</v>
      </c>
      <c r="CK44" s="302">
        <f t="shared" ca="1" si="103"/>
        <v>43.2</v>
      </c>
      <c r="CL44" s="302">
        <f t="shared" ca="1" si="103"/>
        <v>66.8</v>
      </c>
      <c r="CM44" s="302">
        <f t="shared" ca="1" si="103"/>
        <v>83.7</v>
      </c>
      <c r="CN44" s="302">
        <f t="shared" ca="1" si="105"/>
        <v>83.6</v>
      </c>
      <c r="CO44" s="302">
        <f t="shared" ca="1" si="105"/>
        <v>81.5</v>
      </c>
      <c r="CP44" s="302">
        <f t="shared" ca="1" si="105"/>
        <v>74.8</v>
      </c>
      <c r="CQ44" s="302">
        <f t="shared" ca="1" si="105"/>
        <v>65</v>
      </c>
    </row>
    <row r="45" spans="1:95" s="124" customFormat="1" ht="27.75" customHeight="1" thickBot="1">
      <c r="A45" s="118"/>
      <c r="B45" s="119">
        <f>tblIndicators!A41</f>
        <v>40</v>
      </c>
      <c r="C45" s="119">
        <f>tblIndicators!B41</f>
        <v>0</v>
      </c>
      <c r="D45" s="119" t="str">
        <f>tblIndicators!E41</f>
        <v>CULT3_1_2</v>
      </c>
      <c r="E45" s="119" t="str">
        <f>tblIndicators!F41</f>
        <v>CULT3_1</v>
      </c>
      <c r="F45" s="119">
        <f>tblIndicators!G41</f>
        <v>3</v>
      </c>
      <c r="G45" s="119">
        <f>tblIndicators!AF41</f>
        <v>1</v>
      </c>
      <c r="H45" s="119">
        <f>tblIndicators!AG41</f>
        <v>5</v>
      </c>
      <c r="I45" s="120">
        <f>tblIndicators!AH41</f>
        <v>0</v>
      </c>
      <c r="J45" s="119">
        <f>tblIndicators!AI41</f>
        <v>67.8</v>
      </c>
      <c r="K45" s="119">
        <f t="array" ref="K45">MIN(IF(ISNUMBER(iData!K45:AN45),iData!K45:AN45))</f>
        <v>-5.3</v>
      </c>
      <c r="L45" s="121">
        <f t="array" ref="L45">MAX(IF(ISNUMBER(iData!K45:AN45),iData!K45:AN45))</f>
        <v>67.8</v>
      </c>
      <c r="M45" s="51">
        <f>CHOOSE(H45,"-",L45-K45,J45-I45,J45-I45,J45-I45)</f>
        <v>67.8</v>
      </c>
      <c r="N45" s="122" t="str">
        <f>REPT(" ",F45)&amp;tblIndicators!AM41</f>
        <v xml:space="preserve">   3.1.2) Gap between female and male access to the internet</v>
      </c>
      <c r="O45" s="381">
        <f>tblIndicators!AR41</f>
        <v>0.31578947368421051</v>
      </c>
      <c r="P45" s="381"/>
      <c r="Q45" s="323"/>
      <c r="R45" s="123" cm="1">
        <f t="array" ref="R45">CHOOSE($H45,SUMPRODUCT($O46:$O$75*R46:R$75*($E46:$E$75=$D45)),IF(ISNUMBER(iData!K45),100*ABS($G45-(iData!K45-$K45)/$M45),0),IF(ISNUMBER(iData!K45),100*ABS($G45-(iData!K45-$I45)/$M45),0),IF(iData!K45&gt;tblIndicators!$AI41,100,IF(ISNUMBER(iData!K45),100*ABS($G45-(iData!K45-$I45)/$M45),0)),IF(iData!K45&lt;0,100,IF(ISNUMBER(iData!K45),100*ABS($G45-(iData!K45-$I45)/$M45),0)))</f>
        <v>93.952802359882</v>
      </c>
      <c r="S45" s="123" cm="1">
        <f t="array" ref="S45">CHOOSE($H45,SUMPRODUCT($O46:$O$75*S46:S$75*($E46:$E$75=$D45)),IF(ISNUMBER(iData!L45),100*ABS($G45-(iData!L45-$K45)/$M45),0),IF(ISNUMBER(iData!L45),100*ABS($G45-(iData!L45-$I45)/$M45),0),IF(iData!L45&gt;tblIndicators!$AI41,100,IF(ISNUMBER(iData!L45),100*ABS($G45-(iData!L45-$I45)/$M45),0)),IF(iData!L45&lt;0,100,IF(ISNUMBER(iData!L45),100*ABS($G45-(iData!L45-$I45)/$M45),0)))</f>
        <v>96.902654867256629</v>
      </c>
      <c r="T45" s="123" cm="1">
        <f t="array" ref="T45">CHOOSE($H45,SUMPRODUCT($O46:$O$75*T46:T$75*($E46:$E$75=$D45)),IF(ISNUMBER(iData!M45),100*ABS($G45-(iData!M45-$K45)/$M45),0),IF(ISNUMBER(iData!M45),100*ABS($G45-(iData!M45-$I45)/$M45),0),IF(iData!M45&gt;tblIndicators!$AI41,100,IF(ISNUMBER(iData!M45),100*ABS($G45-(iData!M45-$I45)/$M45),0)),IF(iData!M45&lt;0,100,IF(ISNUMBER(iData!M45),100*ABS($G45-(iData!M45-$I45)/$M45),0)))</f>
        <v>95.722713864306783</v>
      </c>
      <c r="U45" s="123" cm="1">
        <f t="array" ref="U45">CHOOSE($H45,SUMPRODUCT($O46:$O$75*U46:U$75*($E46:$E$75=$D45)),IF(ISNUMBER(iData!N45),100*ABS($G45-(iData!N45-$K45)/$M45),0),IF(ISNUMBER(iData!N45),100*ABS($G45-(iData!N45-$I45)/$M45),0),IF(iData!N45&gt;tblIndicators!$AI41,100,IF(ISNUMBER(iData!N45),100*ABS($G45-(iData!N45-$I45)/$M45),0)),IF(iData!N45&lt;0,100,IF(ISNUMBER(iData!N45),100*ABS($G45-(iData!N45-$I45)/$M45),0)))</f>
        <v>100</v>
      </c>
      <c r="V45" s="123" cm="1">
        <f t="array" ref="V45">CHOOSE($H45,SUMPRODUCT($O46:$O$75*V46:V$75*($E46:$E$75=$D45)),IF(ISNUMBER(iData!O45),100*ABS($G45-(iData!O45-$K45)/$M45),0),IF(ISNUMBER(iData!O45),100*ABS($G45-(iData!O45-$I45)/$M45),0),IF(iData!O45&gt;tblIndicators!$AI41,100,IF(ISNUMBER(iData!O45),100*ABS($G45-(iData!O45-$I45)/$M45),0)),IF(iData!O45&lt;0,100,IF(ISNUMBER(iData!O45),100*ABS($G45-(iData!O45-$I45)/$M45),0)))</f>
        <v>100</v>
      </c>
      <c r="W45" s="123" cm="1">
        <f t="array" ref="W45">CHOOSE($H45,SUMPRODUCT($O46:$O$75*W46:W$75*($E46:$E$75=$D45)),IF(ISNUMBER(iData!P45),100*ABS($G45-(iData!P45-$K45)/$M45),0),IF(ISNUMBER(iData!P45),100*ABS($G45-(iData!P45-$I45)/$M45),0),IF(iData!P45&gt;tblIndicators!$AI41,100,IF(ISNUMBER(iData!P45),100*ABS($G45-(iData!P45-$I45)/$M45),0)),IF(iData!P45&lt;0,100,IF(ISNUMBER(iData!P45),100*ABS($G45-(iData!P45-$I45)/$M45),0)))</f>
        <v>91.445427728613566</v>
      </c>
      <c r="X45" s="123" cm="1">
        <f t="array" ref="X45">CHOOSE($H45,SUMPRODUCT($O46:$O$75*X46:X$75*($E46:$E$75=$D45)),IF(ISNUMBER(iData!Q45),100*ABS($G45-(iData!Q45-$K45)/$M45),0),IF(ISNUMBER(iData!Q45),100*ABS($G45-(iData!Q45-$I45)/$M45),0),IF(iData!Q45&gt;tblIndicators!$AI41,100,IF(ISNUMBER(iData!Q45),100*ABS($G45-(iData!Q45-$I45)/$M45),0)),IF(iData!Q45&lt;0,100,IF(ISNUMBER(iData!Q45),100*ABS($G45-(iData!Q45-$I45)/$M45),0)))</f>
        <v>96.607669616519175</v>
      </c>
      <c r="Y45" s="123" cm="1">
        <f t="array" ref="Y45">CHOOSE($H45,SUMPRODUCT($O46:$O$75*Y46:Y$75*($E46:$E$75=$D45)),IF(ISNUMBER(iData!R45),100*ABS($G45-(iData!R45-$K45)/$M45),0),IF(ISNUMBER(iData!R45),100*ABS($G45-(iData!R45-$I45)/$M45),0),IF(iData!R45&gt;tblIndicators!$AI41,100,IF(ISNUMBER(iData!R45),100*ABS($G45-(iData!R45-$I45)/$M45),0)),IF(iData!R45&lt;0,100,IF(ISNUMBER(iData!R45),100*ABS($G45-(iData!R45-$I45)/$M45),0)))</f>
        <v>97.345132743362825</v>
      </c>
      <c r="Z45" s="123" cm="1">
        <f t="array" ref="Z45">CHOOSE($H45,SUMPRODUCT($O46:$O$75*Z46:Z$75*($E46:$E$75=$D45)),IF(ISNUMBER(iData!S45),100*ABS($G45-(iData!S45-$K45)/$M45),0),IF(ISNUMBER(iData!S45),100*ABS($G45-(iData!S45-$I45)/$M45),0),IF(iData!S45&gt;tblIndicators!$AI41,100,IF(ISNUMBER(iData!S45),100*ABS($G45-(iData!S45-$I45)/$M45),0)),IF(iData!S45&lt;0,100,IF(ISNUMBER(iData!S45),100*ABS($G45-(iData!S45-$I45)/$M45),0)))</f>
        <v>100</v>
      </c>
      <c r="AA45" s="123" cm="1">
        <f t="array" ref="AA45">CHOOSE($H45,SUMPRODUCT($O46:$O$75*AA46:AA$75*($E46:$E$75=$D45)),IF(ISNUMBER(iData!T45),100*ABS($G45-(iData!T45-$K45)/$M45),0),IF(ISNUMBER(iData!T45),100*ABS($G45-(iData!T45-$I45)/$M45),0),IF(iData!T45&gt;tblIndicators!$AI41,100,IF(ISNUMBER(iData!T45),100*ABS($G45-(iData!T45-$I45)/$M45),0)),IF(iData!T45&lt;0,100,IF(ISNUMBER(iData!T45),100*ABS($G45-(iData!T45-$I45)/$M45),0)))</f>
        <v>100</v>
      </c>
      <c r="AB45" s="123" cm="1">
        <f t="array" ref="AB45">CHOOSE($H45,SUMPRODUCT($O46:$O$75*AB46:AB$75*($E46:$E$75=$D45)),IF(ISNUMBER(iData!U45),100*ABS($G45-(iData!U45-$K45)/$M45),0),IF(ISNUMBER(iData!U45),100*ABS($G45-(iData!U45-$I45)/$M45),0),IF(iData!U45&gt;tblIndicators!$AI41,100,IF(ISNUMBER(iData!U45),100*ABS($G45-(iData!U45-$I45)/$M45),0)),IF(iData!U45&lt;0,100,IF(ISNUMBER(iData!U45),100*ABS($G45-(iData!U45-$I45)/$M45),0)))</f>
        <v>91.445427728613566</v>
      </c>
      <c r="AC45" s="123" cm="1">
        <f t="array" ref="AC45">CHOOSE($H45,SUMPRODUCT($O46:$O$75*AC46:AC$75*($E46:$E$75=$D45)),IF(ISNUMBER(iData!V45),100*ABS($G45-(iData!V45-$K45)/$M45),0),IF(ISNUMBER(iData!V45),100*ABS($G45-(iData!V45-$I45)/$M45),0),IF(iData!V45&gt;tblIndicators!$AI41,100,IF(ISNUMBER(iData!V45),100*ABS($G45-(iData!V45-$I45)/$M45),0)),IF(iData!V45&lt;0,100,IF(ISNUMBER(iData!V45),100*ABS($G45-(iData!V45-$I45)/$M45),0)))</f>
        <v>96.165191740412979</v>
      </c>
      <c r="AD45" s="123" cm="1">
        <f t="array" ref="AD45">CHOOSE($H45,SUMPRODUCT($O46:$O$75*AD46:AD$75*($E46:$E$75=$D45)),IF(ISNUMBER(iData!W45),100*ABS($G45-(iData!W45-$K45)/$M45),0),IF(ISNUMBER(iData!W45),100*ABS($G45-(iData!W45-$I45)/$M45),0),IF(iData!W45&gt;tblIndicators!$AI41,100,IF(ISNUMBER(iData!W45),100*ABS($G45-(iData!W45-$I45)/$M45),0)),IF(iData!W45&lt;0,100,IF(ISNUMBER(iData!W45),100*ABS($G45-(iData!W45-$I45)/$M45),0)))</f>
        <v>82.890855457227147</v>
      </c>
      <c r="AE45" s="123" cm="1">
        <f t="array" ref="AE45">CHOOSE($H45,SUMPRODUCT($O46:$O$75*AE46:AE$75*($E46:$E$75=$D45)),IF(ISNUMBER(iData!X45),100*ABS($G45-(iData!X45-$K45)/$M45),0),IF(ISNUMBER(iData!X45),100*ABS($G45-(iData!X45-$I45)/$M45),0),IF(iData!X45&gt;tblIndicators!$AI41,100,IF(ISNUMBER(iData!X45),100*ABS($G45-(iData!X45-$I45)/$M45),0)),IF(iData!X45&lt;0,100,IF(ISNUMBER(iData!X45),100*ABS($G45-(iData!X45-$I45)/$M45),0)))</f>
        <v>93.952802359882</v>
      </c>
      <c r="AF45" s="123" cm="1">
        <f t="array" ref="AF45">CHOOSE($H45,SUMPRODUCT($O46:$O$75*AF46:AF$75*($E46:$E$75=$D45)),IF(ISNUMBER(iData!Y45),100*ABS($G45-(iData!Y45-$K45)/$M45),0),IF(ISNUMBER(iData!Y45),100*ABS($G45-(iData!Y45-$I45)/$M45),0),IF(iData!Y45&gt;tblIndicators!$AI41,100,IF(ISNUMBER(iData!Y45),100*ABS($G45-(iData!Y45-$I45)/$M45),0)),IF(iData!Y45&lt;0,100,IF(ISNUMBER(iData!Y45),100*ABS($G45-(iData!Y45-$I45)/$M45),0)))</f>
        <v>98.672566371681413</v>
      </c>
      <c r="AG45" s="123" cm="1">
        <f t="array" ref="AG45">CHOOSE($H45,SUMPRODUCT($O46:$O$75*AG46:AG$75*($E46:$E$75=$D45)),IF(ISNUMBER(iData!Z45),100*ABS($G45-(iData!Z45-$K45)/$M45),0),IF(ISNUMBER(iData!Z45),100*ABS($G45-(iData!Z45-$I45)/$M45),0),IF(iData!Z45&gt;tblIndicators!$AI41,100,IF(ISNUMBER(iData!Z45),100*ABS($G45-(iData!Z45-$I45)/$M45),0)),IF(iData!Z45&lt;0,100,IF(ISNUMBER(iData!Z45),100*ABS($G45-(iData!Z45-$I45)/$M45),0)))</f>
        <v>100</v>
      </c>
      <c r="AH45" s="123" cm="1">
        <f t="array" ref="AH45">CHOOSE($H45,SUMPRODUCT($O46:$O$75*AH46:AH$75*($E46:$E$75=$D45)),IF(ISNUMBER(iData!AA45),100*ABS($G45-(iData!AA45-$K45)/$M45),0),IF(ISNUMBER(iData!AA45),100*ABS($G45-(iData!AA45-$I45)/$M45),0),IF(iData!AA45&gt;tblIndicators!$AI41,100,IF(ISNUMBER(iData!AA45),100*ABS($G45-(iData!AA45-$I45)/$M45),0)),IF(iData!AA45&lt;0,100,IF(ISNUMBER(iData!AA45),100*ABS($G45-(iData!AA45-$I45)/$M45),0)))</f>
        <v>96.312684365781706</v>
      </c>
      <c r="AI45" s="123" cm="1">
        <f t="array" ref="AI45">CHOOSE($H45,SUMPRODUCT($O46:$O$75*AI46:AI$75*($E46:$E$75=$D45)),IF(ISNUMBER(iData!AB45),100*ABS($G45-(iData!AB45-$K45)/$M45),0),IF(ISNUMBER(iData!AB45),100*ABS($G45-(iData!AB45-$I45)/$M45),0),IF(iData!AB45&gt;tblIndicators!$AI41,100,IF(ISNUMBER(iData!AB45),100*ABS($G45-(iData!AB45-$I45)/$M45),0)),IF(iData!AB45&lt;0,100,IF(ISNUMBER(iData!AB45),100*ABS($G45-(iData!AB45-$I45)/$M45),0)))</f>
        <v>97.050147492625371</v>
      </c>
      <c r="AJ45" s="123" cm="1">
        <f t="array" ref="AJ45">CHOOSE($H45,SUMPRODUCT($O46:$O$75*AJ46:AJ$75*($E46:$E$75=$D45)),IF(ISNUMBER(iData!AC45),100*ABS($G45-(iData!AC45-$K45)/$M45),0),IF(ISNUMBER(iData!AC45),100*ABS($G45-(iData!AC45-$I45)/$M45),0),IF(iData!AC45&gt;tblIndicators!$AI41,100,IF(ISNUMBER(iData!AC45),100*ABS($G45-(iData!AC45-$I45)/$M45),0)),IF(iData!AC45&lt;0,100,IF(ISNUMBER(iData!AC45),100*ABS($G45-(iData!AC45-$I45)/$M45),0)))</f>
        <v>0</v>
      </c>
      <c r="AK45" s="123" cm="1">
        <f t="array" ref="AK45">CHOOSE($H45,SUMPRODUCT($O46:$O$75*AK46:AK$75*($E46:$E$75=$D45)),IF(ISNUMBER(iData!AD45),100*ABS($G45-(iData!AD45-$K45)/$M45),0),IF(ISNUMBER(iData!AD45),100*ABS($G45-(iData!AD45-$I45)/$M45),0),IF(iData!AD45&gt;tblIndicators!$AI41,100,IF(ISNUMBER(iData!AD45),100*ABS($G45-(iData!AD45-$I45)/$M45),0)),IF(iData!AD45&lt;0,100,IF(ISNUMBER(iData!AD45),100*ABS($G45-(iData!AD45-$I45)/$M45),0)))</f>
        <v>100</v>
      </c>
      <c r="AL45" s="123" cm="1">
        <f t="array" ref="AL45">CHOOSE($H45,SUMPRODUCT($O46:$O$75*AL46:AL$75*($E46:$E$75=$D45)),IF(ISNUMBER(iData!AE45),100*ABS($G45-(iData!AE45-$K45)/$M45),0),IF(ISNUMBER(iData!AE45),100*ABS($G45-(iData!AE45-$I45)/$M45),0),IF(iData!AE45&gt;tblIndicators!$AI41,100,IF(ISNUMBER(iData!AE45),100*ABS($G45-(iData!AE45-$I45)/$M45),0)),IF(iData!AE45&lt;0,100,IF(ISNUMBER(iData!AE45),100*ABS($G45-(iData!AE45-$I45)/$M45),0)))</f>
        <v>95.722713864306783</v>
      </c>
      <c r="AM45" s="123" cm="1">
        <f t="array" ref="AM45">CHOOSE($H45,SUMPRODUCT($O46:$O$75*AM46:AM$75*($E46:$E$75=$D45)),IF(ISNUMBER(iData!AF45),100*ABS($G45-(iData!AF45-$K45)/$M45),0),IF(ISNUMBER(iData!AF45),100*ABS($G45-(iData!AF45-$I45)/$M45),0),IF(iData!AF45&gt;tblIndicators!$AI41,100,IF(ISNUMBER(iData!AF45),100*ABS($G45-(iData!AF45-$I45)/$M45),0)),IF(iData!AF45&lt;0,100,IF(ISNUMBER(iData!AF45),100*ABS($G45-(iData!AF45-$I45)/$M45),0)))</f>
        <v>89.08554572271386</v>
      </c>
      <c r="AN45" s="123" cm="1">
        <f t="array" ref="AN45">CHOOSE($H45,SUMPRODUCT($O46:$O$75*AN46:AN$75*($E46:$E$75=$D45)),IF(ISNUMBER(iData!AG45),100*ABS($G45-(iData!AG45-$K45)/$M45),0),IF(ISNUMBER(iData!AG45),100*ABS($G45-(iData!AG45-$I45)/$M45),0),IF(iData!AG45&gt;tblIndicators!$AI41,100,IF(ISNUMBER(iData!AG45),100*ABS($G45-(iData!AG45-$I45)/$M45),0)),IF(iData!AG45&lt;0,100,IF(ISNUMBER(iData!AG45),100*ABS($G45-(iData!AG45-$I45)/$M45),0)))</f>
        <v>98.230088495575217</v>
      </c>
      <c r="AO45" s="123" cm="1">
        <f t="array" ref="AO45">CHOOSE($H45,SUMPRODUCT($O46:$O$75*AO46:AO$75*($E46:$E$75=$D45)),IF(ISNUMBER(iData!AH45),100*ABS($G45-(iData!AH45-$K45)/$M45),0),IF(ISNUMBER(iData!AH45),100*ABS($G45-(iData!AH45-$I45)/$M45),0),IF(iData!AH45&gt;tblIndicators!$AI41,100,IF(ISNUMBER(iData!AH45),100*ABS($G45-(iData!AH45-$I45)/$M45),0)),IF(iData!AH45&lt;0,100,IF(ISNUMBER(iData!AH45),100*ABS($G45-(iData!AH45-$I45)/$M45),0)))</f>
        <v>97.492625368731566</v>
      </c>
      <c r="AP45" s="123" cm="1">
        <f t="array" ref="AP45">CHOOSE($H45,SUMPRODUCT($O46:$O$75*AP46:AP$75*($E46:$E$75=$D45)),IF(ISNUMBER(iData!AI45),100*ABS($G45-(iData!AI45-$K45)/$M45),0),IF(ISNUMBER(iData!AI45),100*ABS($G45-(iData!AI45-$I45)/$M45),0),IF(iData!AI45&gt;tblIndicators!$AI41,100,IF(ISNUMBER(iData!AI45),100*ABS($G45-(iData!AI45-$I45)/$M45),0)),IF(iData!AI45&lt;0,100,IF(ISNUMBER(iData!AI45),100*ABS($G45-(iData!AI45-$I45)/$M45),0)))</f>
        <v>100</v>
      </c>
      <c r="AQ45" s="123" cm="1">
        <f t="array" ref="AQ45">CHOOSE($H45,SUMPRODUCT($O46:$O$75*AQ46:AQ$75*($E46:$E$75=$D45)),IF(ISNUMBER(iData!AJ45),100*ABS($G45-(iData!AJ45-$K45)/$M45),0),IF(ISNUMBER(iData!AJ45),100*ABS($G45-(iData!AJ45-$I45)/$M45),0),IF(iData!AJ45&gt;tblIndicators!$AI41,100,IF(ISNUMBER(iData!AJ45),100*ABS($G45-(iData!AJ45-$I45)/$M45),0)),IF(iData!AJ45&lt;0,100,IF(ISNUMBER(iData!AJ45),100*ABS($G45-(iData!AJ45-$I45)/$M45),0)))</f>
        <v>98.377581120943958</v>
      </c>
      <c r="AR45" s="123" cm="1">
        <f t="array" ref="AR45">CHOOSE($H45,SUMPRODUCT($O46:$O$75*AR46:AR$75*($E46:$E$75=$D45)),IF(ISNUMBER(iData!AK45),100*ABS($G45-(iData!AK45-$K45)/$M45),0),IF(ISNUMBER(iData!AK45),100*ABS($G45-(iData!AK45-$I45)/$M45),0),IF(iData!AK45&gt;tblIndicators!$AI41,100,IF(ISNUMBER(iData!AK45),100*ABS($G45-(iData!AK45-$I45)/$M45),0)),IF(iData!AK45&lt;0,100,IF(ISNUMBER(iData!AK45),100*ABS($G45-(iData!AK45-$I45)/$M45),0)))</f>
        <v>94.100294985250741</v>
      </c>
      <c r="AS45" s="123" cm="1">
        <f t="array" ref="AS45">CHOOSE($H45,SUMPRODUCT($O46:$O$75*AS46:AS$75*($E46:$E$75=$D45)),IF(ISNUMBER(iData!AL45),100*ABS($G45-(iData!AL45-$K45)/$M45),0),IF(ISNUMBER(iData!AL45),100*ABS($G45-(iData!AL45-$I45)/$M45),0),IF(iData!AL45&gt;tblIndicators!$AI41,100,IF(ISNUMBER(iData!AL45),100*ABS($G45-(iData!AL45-$I45)/$M45),0)),IF(iData!AL45&lt;0,100,IF(ISNUMBER(iData!AL45),100*ABS($G45-(iData!AL45-$I45)/$M45),0)))</f>
        <v>100</v>
      </c>
      <c r="AT45" s="123" cm="1">
        <f t="array" ref="AT45">CHOOSE($H45,SUMPRODUCT($O46:$O$75*AT46:AT$75*($E46:$E$75=$D45)),IF(ISNUMBER(iData!AM45),100*ABS($G45-(iData!AM45-$K45)/$M45),0),IF(ISNUMBER(iData!AM45),100*ABS($G45-(iData!AM45-$I45)/$M45),0),IF(iData!AM45&gt;tblIndicators!$AI41,100,IF(ISNUMBER(iData!AM45),100*ABS($G45-(iData!AM45-$I45)/$M45),0)),IF(iData!AM45&lt;0,100,IF(ISNUMBER(iData!AM45),100*ABS($G45-(iData!AM45-$I45)/$M45),0)))</f>
        <v>100</v>
      </c>
      <c r="AU45" s="123" cm="1">
        <f t="array" ref="AU45">CHOOSE($H45,SUMPRODUCT($O46:$O$75*AU46:AU$75*($E46:$E$75=$D45)),IF(ISNUMBER(iData!AN45),100*ABS($G45-(iData!AN45-$K45)/$M45),0),IF(ISNUMBER(iData!AN45),100*ABS($G45-(iData!AN45-$I45)/$M45),0),IF(iData!AN45&gt;tblIndicators!$AI41,100,IF(ISNUMBER(iData!AN45),100*ABS($G45-(iData!AN45-$I45)/$M45),0)),IF(iData!AN45&lt;0,100,IF(ISNUMBER(iData!AN45),100*ABS($G45-(iData!AN45-$I45)/$M45),0)))</f>
        <v>93.805309734513273</v>
      </c>
      <c r="AV45" s="367"/>
      <c r="AW45" s="368"/>
      <c r="AX45" s="14"/>
      <c r="AY45" s="871">
        <f t="shared" si="40"/>
        <v>94</v>
      </c>
      <c r="AZ45" s="871">
        <f t="shared" si="41"/>
        <v>96.9</v>
      </c>
      <c r="BA45" s="871">
        <f t="shared" si="42"/>
        <v>95.7</v>
      </c>
      <c r="BB45" s="871">
        <f t="shared" si="43"/>
        <v>100</v>
      </c>
      <c r="BC45" s="871">
        <f t="shared" si="44"/>
        <v>100</v>
      </c>
      <c r="BD45" s="871">
        <f t="shared" si="45"/>
        <v>91.4</v>
      </c>
      <c r="BE45" s="871">
        <f t="shared" si="46"/>
        <v>96.6</v>
      </c>
      <c r="BF45" s="871">
        <f t="shared" si="47"/>
        <v>97.3</v>
      </c>
      <c r="BG45" s="871">
        <f t="shared" si="48"/>
        <v>100</v>
      </c>
      <c r="BH45" s="871">
        <f t="shared" si="49"/>
        <v>100</v>
      </c>
      <c r="BI45" s="871">
        <f t="shared" si="50"/>
        <v>91.4</v>
      </c>
      <c r="BJ45" s="871">
        <f t="shared" si="51"/>
        <v>96.2</v>
      </c>
      <c r="BK45" s="871">
        <f t="shared" si="52"/>
        <v>82.9</v>
      </c>
      <c r="BL45" s="871">
        <f t="shared" si="53"/>
        <v>94</v>
      </c>
      <c r="BM45" s="871">
        <f t="shared" si="54"/>
        <v>98.7</v>
      </c>
      <c r="BN45" s="871">
        <f t="shared" si="55"/>
        <v>100</v>
      </c>
      <c r="BO45" s="871">
        <f t="shared" si="56"/>
        <v>96.3</v>
      </c>
      <c r="BP45" s="871">
        <f t="shared" si="57"/>
        <v>97.1</v>
      </c>
      <c r="BQ45" s="871">
        <f t="shared" si="58"/>
        <v>0</v>
      </c>
      <c r="BR45" s="871">
        <f t="shared" si="59"/>
        <v>100</v>
      </c>
      <c r="BS45" s="871">
        <f t="shared" si="60"/>
        <v>95.7</v>
      </c>
      <c r="BT45" s="871">
        <f t="shared" si="61"/>
        <v>89.1</v>
      </c>
      <c r="BU45" s="871">
        <f t="shared" si="62"/>
        <v>98.2</v>
      </c>
      <c r="BV45" s="871">
        <f t="shared" si="63"/>
        <v>97.5</v>
      </c>
      <c r="BW45" s="871">
        <f t="shared" si="64"/>
        <v>100</v>
      </c>
      <c r="BX45" s="871">
        <f t="shared" si="65"/>
        <v>98.4</v>
      </c>
      <c r="BY45" s="871">
        <f t="shared" si="66"/>
        <v>94.1</v>
      </c>
      <c r="BZ45" s="871">
        <f t="shared" si="67"/>
        <v>100</v>
      </c>
      <c r="CA45" s="871">
        <f t="shared" si="68"/>
        <v>100</v>
      </c>
      <c r="CB45" s="871">
        <f t="shared" si="69"/>
        <v>93.8</v>
      </c>
      <c r="CD45" s="304">
        <f t="shared" ca="1" si="103"/>
        <v>93.2</v>
      </c>
      <c r="CE45" s="304">
        <f t="shared" ca="1" si="103"/>
        <v>93.2</v>
      </c>
      <c r="CF45" s="304">
        <f t="shared" ca="1" si="103"/>
        <v>87.7</v>
      </c>
      <c r="CG45" s="302">
        <f t="shared" ca="1" si="103"/>
        <v>95.1</v>
      </c>
      <c r="CH45" s="302">
        <f t="shared" ca="1" si="103"/>
        <v>97.3</v>
      </c>
      <c r="CI45" s="302">
        <f t="shared" ca="1" si="103"/>
        <v>100</v>
      </c>
      <c r="CJ45" s="302">
        <f t="shared" ca="1" si="103"/>
        <v>100</v>
      </c>
      <c r="CK45" s="302">
        <f t="shared" ca="1" si="103"/>
        <v>59.7</v>
      </c>
      <c r="CL45" s="302">
        <f t="shared" ca="1" si="103"/>
        <v>96.9</v>
      </c>
      <c r="CM45" s="302">
        <f t="shared" ca="1" si="103"/>
        <v>96.9</v>
      </c>
      <c r="CN45" s="302">
        <f t="shared" ca="1" si="105"/>
        <v>95.1</v>
      </c>
      <c r="CO45" s="302">
        <f t="shared" ca="1" si="105"/>
        <v>98</v>
      </c>
      <c r="CP45" s="302">
        <f t="shared" ca="1" si="105"/>
        <v>96.6</v>
      </c>
      <c r="CQ45" s="302">
        <f t="shared" ca="1" si="105"/>
        <v>85.2</v>
      </c>
    </row>
    <row r="46" spans="1:95" s="124" customFormat="1" ht="27.75" customHeight="1" thickBot="1">
      <c r="A46" s="118"/>
      <c r="B46" s="119">
        <f>tblIndicators!A42</f>
        <v>41</v>
      </c>
      <c r="C46" s="119">
        <f>tblIndicators!B42</f>
        <v>0</v>
      </c>
      <c r="D46" s="119" t="str">
        <f>tblIndicators!E42</f>
        <v>CULT3_1_3</v>
      </c>
      <c r="E46" s="119" t="str">
        <f>tblIndicators!F42</f>
        <v>CULT3_1</v>
      </c>
      <c r="F46" s="119">
        <f>tblIndicators!G42</f>
        <v>3</v>
      </c>
      <c r="G46" s="119">
        <f>tblIndicators!AF42</f>
        <v>0</v>
      </c>
      <c r="H46" s="119">
        <f>tblIndicators!AG42</f>
        <v>2</v>
      </c>
      <c r="I46" s="120">
        <f>tblIndicators!AH42</f>
        <v>0</v>
      </c>
      <c r="J46" s="119">
        <f>tblIndicators!AI42</f>
        <v>0</v>
      </c>
      <c r="K46" s="119">
        <f t="array" ref="K46">MIN(IF(ISNUMBER(iData!K46:AN46),iData!K46:AN46))</f>
        <v>30.1</v>
      </c>
      <c r="L46" s="121">
        <f t="array" ref="L46">MAX(IF(ISNUMBER(iData!K46:AN46),iData!K46:AN46))</f>
        <v>82.4</v>
      </c>
      <c r="M46" s="51">
        <f t="shared" ref="M46:M75" si="106">CHOOSE(H46,"-",L46-K46,J46-I46,J46-I46,J46-I46)</f>
        <v>52.300000000000004</v>
      </c>
      <c r="N46" s="122" t="str">
        <f>REPT(" ",F46)&amp;tblIndicators!AM42</f>
        <v xml:space="preserve">   3.1.3) Digital skills</v>
      </c>
      <c r="O46" s="381">
        <f>tblIndicators!AR42</f>
        <v>0.31578947368421051</v>
      </c>
      <c r="P46" s="381"/>
      <c r="Q46" s="323"/>
      <c r="R46" s="123" cm="1">
        <f t="array" ref="R46">CHOOSE($H46,SUMPRODUCT($O47:$O$75*R47:R$75*($E47:$E$75=$D46)),IF(ISNUMBER(iData!K46),100*ABS($G46-(iData!K46-$K46)/$M46),0),IF(ISNUMBER(iData!K46),100*ABS($G46-(iData!K46-$I46)/$M46),0),IF(iData!K46&gt;tblIndicators!$AI42,100,IF(ISNUMBER(iData!K46),100*ABS($G46-(iData!K46-$I46)/$M46),0)),IF(iData!K46&lt;0,100,IF(ISNUMBER(iData!K46),100*ABS($G46-(iData!K46-$I46)/$M46),0)))</f>
        <v>12.810707456978959</v>
      </c>
      <c r="S46" s="123" cm="1">
        <f t="array" ref="S46">CHOOSE($H46,SUMPRODUCT($O47:$O$75*S47:S$75*($E47:$E$75=$D46)),IF(ISNUMBER(iData!L46),100*ABS($G46-(iData!L46-$K46)/$M46),0),IF(ISNUMBER(iData!L46),100*ABS($G46-(iData!L46-$I46)/$M46),0),IF(iData!L46&gt;tblIndicators!$AI42,100,IF(ISNUMBER(iData!L46),100*ABS($G46-(iData!L46-$I46)/$M46),0)),IF(iData!L46&lt;0,100,IF(ISNUMBER(iData!L46),100*ABS($G46-(iData!L46-$I46)/$M46),0)))</f>
        <v>23.326959847036317</v>
      </c>
      <c r="T46" s="123" cm="1">
        <f t="array" ref="T46">CHOOSE($H46,SUMPRODUCT($O47:$O$75*T47:T$75*($E47:$E$75=$D46)),IF(ISNUMBER(iData!M46),100*ABS($G46-(iData!M46-$K46)/$M46),0),IF(ISNUMBER(iData!M46),100*ABS($G46-(iData!M46-$I46)/$M46),0),IF(iData!M46&gt;tblIndicators!$AI42,100,IF(ISNUMBER(iData!M46),100*ABS($G46-(iData!M46-$I46)/$M46),0)),IF(iData!M46&lt;0,100,IF(ISNUMBER(iData!M46),100*ABS($G46-(iData!M46-$I46)/$M46),0)))</f>
        <v>62.332695984703633</v>
      </c>
      <c r="U46" s="123" cm="1">
        <f t="array" ref="U46">CHOOSE($H46,SUMPRODUCT($O47:$O$75*U47:U$75*($E47:$E$75=$D46)),IF(ISNUMBER(iData!N46),100*ABS($G46-(iData!N46-$K46)/$M46),0),IF(ISNUMBER(iData!N46),100*ABS($G46-(iData!N46-$I46)/$M46),0),IF(iData!N46&gt;tblIndicators!$AI42,100,IF(ISNUMBER(iData!N46),100*ABS($G46-(iData!N46-$I46)/$M46),0)),IF(iData!N46&lt;0,100,IF(ISNUMBER(iData!N46),100*ABS($G46-(iData!N46-$I46)/$M46),0)))</f>
        <v>36.328871892925427</v>
      </c>
      <c r="V46" s="123" cm="1">
        <f t="array" ref="V46">CHOOSE($H46,SUMPRODUCT($O47:$O$75*V47:V$75*($E47:$E$75=$D46)),IF(ISNUMBER(iData!O46),100*ABS($G46-(iData!O46-$K46)/$M46),0),IF(ISNUMBER(iData!O46),100*ABS($G46-(iData!O46-$I46)/$M46),0),IF(iData!O46&gt;tblIndicators!$AI42,100,IF(ISNUMBER(iData!O46),100*ABS($G46-(iData!O46-$I46)/$M46),0)),IF(iData!O46&lt;0,100,IF(ISNUMBER(iData!O46),100*ABS($G46-(iData!O46-$I46)/$M46),0)))</f>
        <v>64.627151051625233</v>
      </c>
      <c r="W46" s="123" cm="1">
        <f t="array" ref="W46">CHOOSE($H46,SUMPRODUCT($O47:$O$75*W47:W$75*($E47:$E$75=$D46)),IF(ISNUMBER(iData!P46),100*ABS($G46-(iData!P46-$K46)/$M46),0),IF(ISNUMBER(iData!P46),100*ABS($G46-(iData!P46-$I46)/$M46),0),IF(iData!P46&gt;tblIndicators!$AI42,100,IF(ISNUMBER(iData!P46),100*ABS($G46-(iData!P46-$I46)/$M46),0)),IF(iData!P46&lt;0,100,IF(ISNUMBER(iData!P46),100*ABS($G46-(iData!P46-$I46)/$M46),0)))</f>
        <v>13.193116634799232</v>
      </c>
      <c r="X46" s="123" cm="1">
        <f t="array" ref="X46">CHOOSE($H46,SUMPRODUCT($O47:$O$75*X47:X$75*($E47:$E$75=$D46)),IF(ISNUMBER(iData!Q46),100*ABS($G46-(iData!Q46-$K46)/$M46),0),IF(ISNUMBER(iData!Q46),100*ABS($G46-(iData!Q46-$I46)/$M46),0),IF(iData!Q46&gt;tblIndicators!$AI42,100,IF(ISNUMBER(iData!Q46),100*ABS($G46-(iData!Q46-$I46)/$M46),0)),IF(iData!Q46&lt;0,100,IF(ISNUMBER(iData!Q46),100*ABS($G46-(iData!Q46-$I46)/$M46),0)))</f>
        <v>51.242829827915855</v>
      </c>
      <c r="Y46" s="123" cm="1">
        <f t="array" ref="Y46">CHOOSE($H46,SUMPRODUCT($O47:$O$75*Y47:Y$75*($E47:$E$75=$D46)),IF(ISNUMBER(iData!R46),100*ABS($G46-(iData!R46-$K46)/$M46),0),IF(ISNUMBER(iData!R46),100*ABS($G46-(iData!R46-$I46)/$M46),0),IF(iData!R46&gt;tblIndicators!$AI42,100,IF(ISNUMBER(iData!R46),100*ABS($G46-(iData!R46-$I46)/$M46),0)),IF(iData!R46&lt;0,100,IF(ISNUMBER(iData!R46),100*ABS($G46-(iData!R46-$I46)/$M46),0)))</f>
        <v>33.078393881453145</v>
      </c>
      <c r="Z46" s="123" cm="1">
        <f t="array" ref="Z46">CHOOSE($H46,SUMPRODUCT($O47:$O$75*Z47:Z$75*($E47:$E$75=$D46)),IF(ISNUMBER(iData!S46),100*ABS($G46-(iData!S46-$K46)/$M46),0),IF(ISNUMBER(iData!S46),100*ABS($G46-(iData!S46-$I46)/$M46),0),IF(iData!S46&gt;tblIndicators!$AI42,100,IF(ISNUMBER(iData!S46),100*ABS($G46-(iData!S46-$I46)/$M46),0)),IF(iData!S46&lt;0,100,IF(ISNUMBER(iData!S46),100*ABS($G46-(iData!S46-$I46)/$M46),0)))</f>
        <v>52.772466539196941</v>
      </c>
      <c r="AA46" s="123" cm="1">
        <f t="array" ref="AA46">CHOOSE($H46,SUMPRODUCT($O47:$O$75*AA47:AA$75*($E47:$E$75=$D46)),IF(ISNUMBER(iData!T46),100*ABS($G46-(iData!T46-$K46)/$M46),0),IF(ISNUMBER(iData!T46),100*ABS($G46-(iData!T46-$I46)/$M46),0),IF(iData!T46&gt;tblIndicators!$AI42,100,IF(ISNUMBER(iData!T46),100*ABS($G46-(iData!T46-$I46)/$M46),0)),IF(iData!T46&lt;0,100,IF(ISNUMBER(iData!T46),100*ABS($G46-(iData!T46-$I46)/$M46),0)))</f>
        <v>81.835564053537297</v>
      </c>
      <c r="AB46" s="123" cm="1">
        <f t="array" ref="AB46">CHOOSE($H46,SUMPRODUCT($O47:$O$75*AB47:AB$75*($E47:$E$75=$D46)),IF(ISNUMBER(iData!U46),100*ABS($G46-(iData!U46-$K46)/$M46),0),IF(ISNUMBER(iData!U46),100*ABS($G46-(iData!U46-$I46)/$M46),0),IF(iData!U46&gt;tblIndicators!$AI42,100,IF(ISNUMBER(iData!U46),100*ABS($G46-(iData!U46-$I46)/$M46),0)),IF(iData!U46&lt;0,100,IF(ISNUMBER(iData!U46),100*ABS($G46-(iData!U46-$I46)/$M46),0)))</f>
        <v>17.973231357552578</v>
      </c>
      <c r="AC46" s="123" cm="1">
        <f t="array" ref="AC46">CHOOSE($H46,SUMPRODUCT($O47:$O$75*AC47:AC$75*($E47:$E$75=$D46)),IF(ISNUMBER(iData!V46),100*ABS($G46-(iData!V46-$K46)/$M46),0),IF(ISNUMBER(iData!V46),100*ABS($G46-(iData!V46-$I46)/$M46),0),IF(iData!V46&gt;tblIndicators!$AI42,100,IF(ISNUMBER(iData!V46),100*ABS($G46-(iData!V46-$I46)/$M46),0)),IF(iData!V46&lt;0,100,IF(ISNUMBER(iData!V46),100*ABS($G46-(iData!V46-$I46)/$M46),0)))</f>
        <v>20.45889101338431</v>
      </c>
      <c r="AD46" s="123" cm="1">
        <f t="array" ref="AD46">CHOOSE($H46,SUMPRODUCT($O47:$O$75*AD47:AD$75*($E47:$E$75=$D46)),IF(ISNUMBER(iData!W46),100*ABS($G46-(iData!W46-$K46)/$M46),0),IF(ISNUMBER(iData!W46),100*ABS($G46-(iData!W46-$I46)/$M46),0),IF(iData!W46&gt;tblIndicators!$AI42,100,IF(ISNUMBER(iData!W46),100*ABS($G46-(iData!W46-$I46)/$M46),0)),IF(iData!W46&lt;0,100,IF(ISNUMBER(iData!W46),100*ABS($G46-(iData!W46-$I46)/$M46),0)))</f>
        <v>80.497131931166336</v>
      </c>
      <c r="AE46" s="123" cm="1">
        <f t="array" ref="AE46">CHOOSE($H46,SUMPRODUCT($O47:$O$75*AE47:AE$75*($E47:$E$75=$D46)),IF(ISNUMBER(iData!X46),100*ABS($G46-(iData!X46-$K46)/$M46),0),IF(ISNUMBER(iData!X46),100*ABS($G46-(iData!X46-$I46)/$M46),0),IF(iData!X46&gt;tblIndicators!$AI42,100,IF(ISNUMBER(iData!X46),100*ABS($G46-(iData!X46-$I46)/$M46),0)),IF(iData!X46&lt;0,100,IF(ISNUMBER(iData!X46),100*ABS($G46-(iData!X46-$I46)/$M46),0)))</f>
        <v>42.256214149139574</v>
      </c>
      <c r="AF46" s="123" cm="1">
        <f t="array" ref="AF46">CHOOSE($H46,SUMPRODUCT($O47:$O$75*AF47:AF$75*($E47:$E$75=$D46)),IF(ISNUMBER(iData!Y46),100*ABS($G46-(iData!Y46-$K46)/$M46),0),IF(ISNUMBER(iData!Y46),100*ABS($G46-(iData!Y46-$I46)/$M46),0),IF(iData!Y46&gt;tblIndicators!$AI42,100,IF(ISNUMBER(iData!Y46),100*ABS($G46-(iData!Y46-$I46)/$M46),0)),IF(iData!Y46&lt;0,100,IF(ISNUMBER(iData!Y46),100*ABS($G46-(iData!Y46-$I46)/$M46),0)))</f>
        <v>8.7954110898661586</v>
      </c>
      <c r="AG46" s="123" cm="1">
        <f t="array" ref="AG46">CHOOSE($H46,SUMPRODUCT($O47:$O$75*AG47:AG$75*($E47:$E$75=$D46)),IF(ISNUMBER(iData!Z46),100*ABS($G46-(iData!Z46-$K46)/$M46),0),IF(ISNUMBER(iData!Z46),100*ABS($G46-(iData!Z46-$I46)/$M46),0),IF(iData!Z46&gt;tblIndicators!$AI42,100,IF(ISNUMBER(iData!Z46),100*ABS($G46-(iData!Z46-$I46)/$M46),0)),IF(iData!Z46&lt;0,100,IF(ISNUMBER(iData!Z46),100*ABS($G46-(iData!Z46-$I46)/$M46),0)))</f>
        <v>41.300191204588913</v>
      </c>
      <c r="AH46" s="123" cm="1">
        <f t="array" ref="AH46">CHOOSE($H46,SUMPRODUCT($O47:$O$75*AH47:AH$75*($E47:$E$75=$D46)),IF(ISNUMBER(iData!AA46),100*ABS($G46-(iData!AA46-$K46)/$M46),0),IF(ISNUMBER(iData!AA46),100*ABS($G46-(iData!AA46-$I46)/$M46),0),IF(iData!AA46&gt;tblIndicators!$AI42,100,IF(ISNUMBER(iData!AA46),100*ABS($G46-(iData!AA46-$I46)/$M46),0)),IF(iData!AA46&lt;0,100,IF(ISNUMBER(iData!AA46),100*ABS($G46-(iData!AA46-$I46)/$M46),0)))</f>
        <v>62.523900573613759</v>
      </c>
      <c r="AI46" s="123" cm="1">
        <f t="array" ref="AI46">CHOOSE($H46,SUMPRODUCT($O47:$O$75*AI47:AI$75*($E47:$E$75=$D46)),IF(ISNUMBER(iData!AB46),100*ABS($G46-(iData!AB46-$K46)/$M46),0),IF(ISNUMBER(iData!AB46),100*ABS($G46-(iData!AB46-$I46)/$M46),0),IF(iData!AB46&gt;tblIndicators!$AI42,100,IF(ISNUMBER(iData!AB46),100*ABS($G46-(iData!AB46-$I46)/$M46),0)),IF(iData!AB46&lt;0,100,IF(ISNUMBER(iData!AB46),100*ABS($G46-(iData!AB46-$I46)/$M46),0)))</f>
        <v>64.627151051625233</v>
      </c>
      <c r="AJ46" s="123" cm="1">
        <f t="array" ref="AJ46">CHOOSE($H46,SUMPRODUCT($O47:$O$75*AJ47:AJ$75*($E47:$E$75=$D46)),IF(ISNUMBER(iData!AC46),100*ABS($G46-(iData!AC46-$K46)/$M46),0),IF(ISNUMBER(iData!AC46),100*ABS($G46-(iData!AC46-$I46)/$M46),0),IF(iData!AC46&gt;tblIndicators!$AI42,100,IF(ISNUMBER(iData!AC46),100*ABS($G46-(iData!AC46-$I46)/$M46),0)),IF(iData!AC46&lt;0,100,IF(ISNUMBER(iData!AC46),100*ABS($G46-(iData!AC46-$I46)/$M46),0)))</f>
        <v>100</v>
      </c>
      <c r="AK46" s="123" cm="1">
        <f t="array" ref="AK46">CHOOSE($H46,SUMPRODUCT($O47:$O$75*AK47:AK$75*($E47:$E$75=$D46)),IF(ISNUMBER(iData!AD46),100*ABS($G46-(iData!AD46-$K46)/$M46),0),IF(ISNUMBER(iData!AD46),100*ABS($G46-(iData!AD46-$I46)/$M46),0),IF(iData!AD46&gt;tblIndicators!$AI42,100,IF(ISNUMBER(iData!AD46),100*ABS($G46-(iData!AD46-$I46)/$M46),0)),IF(iData!AD46&lt;0,100,IF(ISNUMBER(iData!AD46),100*ABS($G46-(iData!AD46-$I46)/$M46),0)))</f>
        <v>28.87189292543021</v>
      </c>
      <c r="AL46" s="123" cm="1">
        <f t="array" ref="AL46">CHOOSE($H46,SUMPRODUCT($O47:$O$75*AL47:AL$75*($E47:$E$75=$D46)),IF(ISNUMBER(iData!AE46),100*ABS($G46-(iData!AE46-$K46)/$M46),0),IF(ISNUMBER(iData!AE46),100*ABS($G46-(iData!AE46-$I46)/$M46),0),IF(iData!AE46&gt;tblIndicators!$AI42,100,IF(ISNUMBER(iData!AE46),100*ABS($G46-(iData!AE46-$I46)/$M46),0)),IF(iData!AE46&lt;0,100,IF(ISNUMBER(iData!AE46),100*ABS($G46-(iData!AE46-$I46)/$M46),0)))</f>
        <v>15.869980879541101</v>
      </c>
      <c r="AM46" s="123" cm="1">
        <f t="array" ref="AM46">CHOOSE($H46,SUMPRODUCT($O47:$O$75*AM47:AM$75*($E47:$E$75=$D46)),IF(ISNUMBER(iData!AF46),100*ABS($G46-(iData!AF46-$K46)/$M46),0),IF(ISNUMBER(iData!AF46),100*ABS($G46-(iData!AF46-$I46)/$M46),0),IF(iData!AF46&gt;tblIndicators!$AI42,100,IF(ISNUMBER(iData!AF46),100*ABS($G46-(iData!AF46-$I46)/$M46),0)),IF(iData!AF46&lt;0,100,IF(ISNUMBER(iData!AF46),100*ABS($G46-(iData!AF46-$I46)/$M46),0)))</f>
        <v>40.535372848948363</v>
      </c>
      <c r="AN46" s="123" cm="1">
        <f t="array" ref="AN46">CHOOSE($H46,SUMPRODUCT($O47:$O$75*AN47:AN$75*($E47:$E$75=$D46)),IF(ISNUMBER(iData!AG46),100*ABS($G46-(iData!AG46-$K46)/$M46),0),IF(ISNUMBER(iData!AG46),100*ABS($G46-(iData!AG46-$I46)/$M46),0),IF(iData!AG46&gt;tblIndicators!$AI42,100,IF(ISNUMBER(iData!AG46),100*ABS($G46-(iData!AG46-$I46)/$M46),0)),IF(iData!AG46&lt;0,100,IF(ISNUMBER(iData!AG46),100*ABS($G46-(iData!AG46-$I46)/$M46),0)))</f>
        <v>52.772466539196941</v>
      </c>
      <c r="AO46" s="123" cm="1">
        <f t="array" ref="AO46">CHOOSE($H46,SUMPRODUCT($O47:$O$75*AO47:AO$75*($E47:$E$75=$D46)),IF(ISNUMBER(iData!AH46),100*ABS($G46-(iData!AH46-$K46)/$M46),0),IF(ISNUMBER(iData!AH46),100*ABS($G46-(iData!AH46-$I46)/$M46),0),IF(iData!AH46&gt;tblIndicators!$AI42,100,IF(ISNUMBER(iData!AH46),100*ABS($G46-(iData!AH46-$I46)/$M46),0)),IF(iData!AH46&lt;0,100,IF(ISNUMBER(iData!AH46),100*ABS($G46-(iData!AH46-$I46)/$M46),0)))</f>
        <v>34.034416826003813</v>
      </c>
      <c r="AP46" s="123" cm="1">
        <f t="array" ref="AP46">CHOOSE($H46,SUMPRODUCT($O47:$O$75*AP47:AP$75*($E47:$E$75=$D46)),IF(ISNUMBER(iData!AI46),100*ABS($G46-(iData!AI46-$K46)/$M46),0),IF(ISNUMBER(iData!AI46),100*ABS($G46-(iData!AI46-$I46)/$M46),0),IF(iData!AI46&gt;tblIndicators!$AI42,100,IF(ISNUMBER(iData!AI46),100*ABS($G46-(iData!AI46-$I46)/$M46),0)),IF(iData!AI46&lt;0,100,IF(ISNUMBER(iData!AI46),100*ABS($G46-(iData!AI46-$I46)/$M46),0)))</f>
        <v>27.915869980879542</v>
      </c>
      <c r="AQ46" s="123" cm="1">
        <f t="array" ref="AQ46">CHOOSE($H46,SUMPRODUCT($O47:$O$75*AQ47:AQ$75*($E47:$E$75=$D46)),IF(ISNUMBER(iData!AJ46),100*ABS($G46-(iData!AJ46-$K46)/$M46),0),IF(ISNUMBER(iData!AJ46),100*ABS($G46-(iData!AJ46-$I46)/$M46),0),IF(iData!AJ46&gt;tblIndicators!$AI42,100,IF(ISNUMBER(iData!AJ46),100*ABS($G46-(iData!AJ46-$I46)/$M46),0)),IF(iData!AJ46&lt;0,100,IF(ISNUMBER(iData!AJ46),100*ABS($G46-(iData!AJ46-$I46)/$M46),0)))</f>
        <v>0</v>
      </c>
      <c r="AR46" s="123" cm="1">
        <f t="array" ref="AR46">CHOOSE($H46,SUMPRODUCT($O47:$O$75*AR47:AR$75*($E47:$E$75=$D46)),IF(ISNUMBER(iData!AK46),100*ABS($G46-(iData!AK46-$K46)/$M46),0),IF(ISNUMBER(iData!AK46),100*ABS($G46-(iData!AK46-$I46)/$M46),0),IF(iData!AK46&gt;tblIndicators!$AI42,100,IF(ISNUMBER(iData!AK46),100*ABS($G46-(iData!AK46-$I46)/$M46),0)),IF(iData!AK46&lt;0,100,IF(ISNUMBER(iData!AK46),100*ABS($G46-(iData!AK46-$I46)/$M46),0)))</f>
        <v>8.0305927342256123</v>
      </c>
      <c r="AS46" s="123" cm="1">
        <f t="array" ref="AS46">CHOOSE($H46,SUMPRODUCT($O47:$O$75*AS47:AS$75*($E47:$E$75=$D46)),IF(ISNUMBER(iData!AL46),100*ABS($G46-(iData!AL46-$K46)/$M46),0),IF(ISNUMBER(iData!AL46),100*ABS($G46-(iData!AL46-$I46)/$M46),0),IF(iData!AL46&gt;tblIndicators!$AI42,100,IF(ISNUMBER(iData!AL46),100*ABS($G46-(iData!AL46-$I46)/$M46),0)),IF(iData!AL46&lt;0,100,IF(ISNUMBER(iData!AL46),100*ABS($G46-(iData!AL46-$I46)/$M46),0)))</f>
        <v>21.223709369024856</v>
      </c>
      <c r="AT46" s="123" cm="1">
        <f t="array" ref="AT46">CHOOSE($H46,SUMPRODUCT($O47:$O$75*AT47:AT$75*($E47:$E$75=$D46)),IF(ISNUMBER(iData!AM46),100*ABS($G46-(iData!AM46-$K46)/$M46),0),IF(ISNUMBER(iData!AM46),100*ABS($G46-(iData!AM46-$I46)/$M46),0),IF(iData!AM46&gt;tblIndicators!$AI42,100,IF(ISNUMBER(iData!AM46),100*ABS($G46-(iData!AM46-$I46)/$M46),0)),IF(iData!AM46&lt;0,100,IF(ISNUMBER(iData!AM46),100*ABS($G46-(iData!AM46-$I46)/$M46),0)))</f>
        <v>29.445506692160606</v>
      </c>
      <c r="AU46" s="123" cm="1">
        <f t="array" ref="AU46">CHOOSE($H46,SUMPRODUCT($O47:$O$75*AU47:AU$75*($E47:$E$75=$D46)),IF(ISNUMBER(iData!AN46),100*ABS($G46-(iData!AN46-$K46)/$M46),0),IF(ISNUMBER(iData!AN46),100*ABS($G46-(iData!AN46-$I46)/$M46),0),IF(iData!AN46&gt;tblIndicators!$AI42,100,IF(ISNUMBER(iData!AN46),100*ABS($G46-(iData!AN46-$I46)/$M46),0)),IF(iData!AN46&lt;0,100,IF(ISNUMBER(iData!AN46),100*ABS($G46-(iData!AN46-$I46)/$M46),0)))</f>
        <v>14.722753346080298</v>
      </c>
      <c r="AV46" s="367"/>
      <c r="AW46" s="368"/>
      <c r="AX46" s="14"/>
      <c r="AY46" s="871">
        <f t="shared" si="40"/>
        <v>12.8</v>
      </c>
      <c r="AZ46" s="871">
        <f t="shared" si="41"/>
        <v>23.3</v>
      </c>
      <c r="BA46" s="871">
        <f t="shared" si="42"/>
        <v>62.3</v>
      </c>
      <c r="BB46" s="871">
        <f t="shared" si="43"/>
        <v>36.299999999999997</v>
      </c>
      <c r="BC46" s="871">
        <f t="shared" si="44"/>
        <v>64.599999999999994</v>
      </c>
      <c r="BD46" s="871">
        <f t="shared" si="45"/>
        <v>13.2</v>
      </c>
      <c r="BE46" s="871">
        <f t="shared" si="46"/>
        <v>51.2</v>
      </c>
      <c r="BF46" s="871">
        <f t="shared" si="47"/>
        <v>33.1</v>
      </c>
      <c r="BG46" s="871">
        <f t="shared" si="48"/>
        <v>52.8</v>
      </c>
      <c r="BH46" s="871">
        <f t="shared" si="49"/>
        <v>81.8</v>
      </c>
      <c r="BI46" s="871">
        <f t="shared" si="50"/>
        <v>18</v>
      </c>
      <c r="BJ46" s="871">
        <f t="shared" si="51"/>
        <v>20.5</v>
      </c>
      <c r="BK46" s="871">
        <f t="shared" si="52"/>
        <v>80.5</v>
      </c>
      <c r="BL46" s="871">
        <f t="shared" si="53"/>
        <v>42.3</v>
      </c>
      <c r="BM46" s="871">
        <f t="shared" si="54"/>
        <v>8.8000000000000007</v>
      </c>
      <c r="BN46" s="871">
        <f t="shared" si="55"/>
        <v>41.3</v>
      </c>
      <c r="BO46" s="871">
        <f t="shared" si="56"/>
        <v>62.5</v>
      </c>
      <c r="BP46" s="871">
        <f t="shared" si="57"/>
        <v>64.599999999999994</v>
      </c>
      <c r="BQ46" s="871">
        <f t="shared" si="58"/>
        <v>100</v>
      </c>
      <c r="BR46" s="871">
        <f t="shared" si="59"/>
        <v>28.9</v>
      </c>
      <c r="BS46" s="871">
        <f t="shared" si="60"/>
        <v>15.9</v>
      </c>
      <c r="BT46" s="871">
        <f t="shared" si="61"/>
        <v>40.5</v>
      </c>
      <c r="BU46" s="871">
        <f t="shared" si="62"/>
        <v>52.8</v>
      </c>
      <c r="BV46" s="871">
        <f t="shared" si="63"/>
        <v>34</v>
      </c>
      <c r="BW46" s="871">
        <f t="shared" si="64"/>
        <v>27.9</v>
      </c>
      <c r="BX46" s="871">
        <f t="shared" si="65"/>
        <v>0</v>
      </c>
      <c r="BY46" s="871">
        <f t="shared" si="66"/>
        <v>8</v>
      </c>
      <c r="BZ46" s="871">
        <f t="shared" si="67"/>
        <v>21.2</v>
      </c>
      <c r="CA46" s="871">
        <f t="shared" si="68"/>
        <v>29.4</v>
      </c>
      <c r="CB46" s="871">
        <f t="shared" si="69"/>
        <v>14.7</v>
      </c>
      <c r="CD46" s="304">
        <f t="shared" ca="1" si="103"/>
        <v>38.1</v>
      </c>
      <c r="CE46" s="304">
        <f t="shared" ca="1" si="103"/>
        <v>38.1</v>
      </c>
      <c r="CF46" s="304">
        <f t="shared" ca="1" si="103"/>
        <v>43.8</v>
      </c>
      <c r="CG46" s="302">
        <f t="shared" ca="1" si="103"/>
        <v>23.5</v>
      </c>
      <c r="CH46" s="302">
        <f t="shared" ca="1" si="103"/>
        <v>56.2</v>
      </c>
      <c r="CI46" s="302">
        <f t="shared" ca="1" si="103"/>
        <v>81.8</v>
      </c>
      <c r="CJ46" s="302">
        <f t="shared" ca="1" si="103"/>
        <v>33.1</v>
      </c>
      <c r="CK46" s="302">
        <f t="shared" ca="1" si="103"/>
        <v>81</v>
      </c>
      <c r="CL46" s="302">
        <f t="shared" ca="1" si="103"/>
        <v>56.3</v>
      </c>
      <c r="CM46" s="302">
        <f t="shared" ca="1" si="103"/>
        <v>26.8</v>
      </c>
      <c r="CN46" s="302">
        <f t="shared" ca="1" si="105"/>
        <v>28</v>
      </c>
      <c r="CO46" s="302">
        <f t="shared" ca="1" si="105"/>
        <v>31.7</v>
      </c>
      <c r="CP46" s="302">
        <f t="shared" ca="1" si="105"/>
        <v>37.4</v>
      </c>
      <c r="CQ46" s="302">
        <f t="shared" ca="1" si="105"/>
        <v>53.8</v>
      </c>
    </row>
    <row r="47" spans="1:95" s="124" customFormat="1" ht="27.75" customHeight="1" thickBot="1">
      <c r="A47" s="118"/>
      <c r="B47" s="119">
        <f>tblIndicators!A43</f>
        <v>42</v>
      </c>
      <c r="C47" s="119">
        <f>tblIndicators!B43</f>
        <v>0</v>
      </c>
      <c r="D47" s="119" t="str">
        <f>tblIndicators!E43</f>
        <v>CULT3_2</v>
      </c>
      <c r="E47" s="119" t="str">
        <f>tblIndicators!F43</f>
        <v>CULT</v>
      </c>
      <c r="F47" s="119">
        <f>tblIndicators!G43</f>
        <v>2</v>
      </c>
      <c r="G47" s="119">
        <f>tblIndicators!AF43</f>
        <v>0</v>
      </c>
      <c r="H47" s="119">
        <f>tblIndicators!AG43</f>
        <v>1</v>
      </c>
      <c r="I47" s="120">
        <f>tblIndicators!AH43</f>
        <v>0</v>
      </c>
      <c r="J47" s="119">
        <f>tblIndicators!AI43</f>
        <v>0</v>
      </c>
      <c r="K47" s="119">
        <f t="array" ref="K47">MIN(IF(ISNUMBER(iData!K47:AN47),iData!K47:AN47))</f>
        <v>0</v>
      </c>
      <c r="L47" s="121">
        <f t="array" ref="L47">MAX(IF(ISNUMBER(iData!K47:AN47),iData!K47:AN47))</f>
        <v>0</v>
      </c>
      <c r="M47" s="51" t="str">
        <f t="shared" si="106"/>
        <v>-</v>
      </c>
      <c r="N47" s="122" t="str">
        <f>REPT(" ",F47)&amp;tblIndicators!AM43</f>
        <v xml:space="preserve">  3.2) Government support</v>
      </c>
      <c r="O47" s="381">
        <f>tblIndicators!AR43</f>
        <v>0.3125</v>
      </c>
      <c r="P47" s="381"/>
      <c r="Q47" s="323"/>
      <c r="R47" s="123" cm="1">
        <f t="array" ref="R47">CHOOSE($H47,SUMPRODUCT($O48:$O$75*R48:R$75*($E48:$E$75=$D47)),IF(ISNUMBER(iData!K47),100*ABS($G47-(iData!K47-$K47)/$M47),0),IF(ISNUMBER(iData!K47),100*ABS($G47-(iData!K47-$I47)/$M47),0),IF(iData!K47&gt;tblIndicators!$AI43,100,IF(ISNUMBER(iData!K47),100*ABS($G47-(iData!K47-$I47)/$M47),0)),IF(iData!K47&lt;0,100,IF(ISNUMBER(iData!K47),100*ABS($G47-(iData!K47-$I47)/$M47),0)))</f>
        <v>76.026166456494323</v>
      </c>
      <c r="S47" s="123" cm="1">
        <f t="array" ref="S47">CHOOSE($H47,SUMPRODUCT($O48:$O$75*S48:S$75*($E48:$E$75=$D47)),IF(ISNUMBER(iData!L47),100*ABS($G47-(iData!L47-$K47)/$M47),0),IF(ISNUMBER(iData!L47),100*ABS($G47-(iData!L47-$I47)/$M47),0),IF(iData!L47&gt;tblIndicators!$AI43,100,IF(ISNUMBER(iData!L47),100*ABS($G47-(iData!L47-$I47)/$M47),0)),IF(iData!L47&lt;0,100,IF(ISNUMBER(iData!L47),100*ABS($G47-(iData!L47-$I47)/$M47),0)))</f>
        <v>81.143442622950829</v>
      </c>
      <c r="T47" s="123" cm="1">
        <f t="array" ref="T47">CHOOSE($H47,SUMPRODUCT($O48:$O$75*T48:T$75*($E48:$E$75=$D47)),IF(ISNUMBER(iData!M47),100*ABS($G47-(iData!M47-$K47)/$M47),0),IF(ISNUMBER(iData!M47),100*ABS($G47-(iData!M47-$I47)/$M47),0),IF(iData!M47&gt;tblIndicators!$AI43,100,IF(ISNUMBER(iData!M47),100*ABS($G47-(iData!M47-$I47)/$M47),0)),IF(iData!M47&lt;0,100,IF(ISNUMBER(iData!M47),100*ABS($G47-(iData!M47-$I47)/$M47),0)))</f>
        <v>38.557377049180332</v>
      </c>
      <c r="U47" s="123" cm="1">
        <f t="array" ref="U47">CHOOSE($H47,SUMPRODUCT($O48:$O$75*U48:U$75*($E48:$E$75=$D47)),IF(ISNUMBER(iData!N47),100*ABS($G47-(iData!N47-$K47)/$M47),0),IF(ISNUMBER(iData!N47),100*ABS($G47-(iData!N47-$I47)/$M47),0),IF(iData!N47&gt;tblIndicators!$AI43,100,IF(ISNUMBER(iData!N47),100*ABS($G47-(iData!N47-$I47)/$M47),0)),IF(iData!N47&lt;0,100,IF(ISNUMBER(iData!N47),100*ABS($G47-(iData!N47-$I47)/$M47),0)))</f>
        <v>74.265132408575028</v>
      </c>
      <c r="V47" s="123" cm="1">
        <f t="array" ref="V47">CHOOSE($H47,SUMPRODUCT($O48:$O$75*V48:V$75*($E48:$E$75=$D47)),IF(ISNUMBER(iData!O47),100*ABS($G47-(iData!O47-$K47)/$M47),0),IF(ISNUMBER(iData!O47),100*ABS($G47-(iData!O47-$I47)/$M47),0),IF(iData!O47&gt;tblIndicators!$AI43,100,IF(ISNUMBER(iData!O47),100*ABS($G47-(iData!O47-$I47)/$M47),0)),IF(iData!O47&lt;0,100,IF(ISNUMBER(iData!O47),100*ABS($G47-(iData!O47-$I47)/$M47),0)))</f>
        <v>50</v>
      </c>
      <c r="W47" s="123" cm="1">
        <f t="array" ref="W47">CHOOSE($H47,SUMPRODUCT($O48:$O$75*W48:W$75*($E48:$E$75=$D47)),IF(ISNUMBER(iData!P47),100*ABS($G47-(iData!P47-$K47)/$M47),0),IF(ISNUMBER(iData!P47),100*ABS($G47-(iData!P47-$I47)/$M47),0),IF(iData!P47&gt;tblIndicators!$AI43,100,IF(ISNUMBER(iData!P47),100*ABS($G47-(iData!P47-$I47)/$M47),0)),IF(iData!P47&lt;0,100,IF(ISNUMBER(iData!P47),100*ABS($G47-(iData!P47-$I47)/$M47),0)))</f>
        <v>79.902269861286257</v>
      </c>
      <c r="X47" s="123" cm="1">
        <f t="array" ref="X47">CHOOSE($H47,SUMPRODUCT($O48:$O$75*X48:X$75*($E48:$E$75=$D47)),IF(ISNUMBER(iData!Q47),100*ABS($G47-(iData!Q47-$K47)/$M47),0),IF(ISNUMBER(iData!Q47),100*ABS($G47-(iData!Q47-$I47)/$M47),0),IF(iData!Q47&gt;tblIndicators!$AI43,100,IF(ISNUMBER(iData!Q47),100*ABS($G47-(iData!Q47-$I47)/$M47),0)),IF(iData!Q47&lt;0,100,IF(ISNUMBER(iData!Q47),100*ABS($G47-(iData!Q47-$I47)/$M47),0)))</f>
        <v>64.884615384615387</v>
      </c>
      <c r="Y47" s="123" cm="1">
        <f t="array" ref="Y47">CHOOSE($H47,SUMPRODUCT($O48:$O$75*Y48:Y$75*($E48:$E$75=$D47)),IF(ISNUMBER(iData!R47),100*ABS($G47-(iData!R47-$K47)/$M47),0),IF(ISNUMBER(iData!R47),100*ABS($G47-(iData!R47-$I47)/$M47),0),IF(iData!R47&gt;tblIndicators!$AI43,100,IF(ISNUMBER(iData!R47),100*ABS($G47-(iData!R47-$I47)/$M47),0)),IF(iData!R47&lt;0,100,IF(ISNUMBER(iData!R47),100*ABS($G47-(iData!R47-$I47)/$M47),0)))</f>
        <v>82.75</v>
      </c>
      <c r="Z47" s="123" cm="1">
        <f t="array" ref="Z47">CHOOSE($H47,SUMPRODUCT($O48:$O$75*Z48:Z$75*($E48:$E$75=$D47)),IF(ISNUMBER(iData!S47),100*ABS($G47-(iData!S47-$K47)/$M47),0),IF(ISNUMBER(iData!S47),100*ABS($G47-(iData!S47-$I47)/$M47),0),IF(iData!S47&gt;tblIndicators!$AI43,100,IF(ISNUMBER(iData!S47),100*ABS($G47-(iData!S47-$I47)/$M47),0)),IF(iData!S47&lt;0,100,IF(ISNUMBER(iData!S47),100*ABS($G47-(iData!S47-$I47)/$M47),0)))</f>
        <v>76.893442622950829</v>
      </c>
      <c r="AA47" s="123" cm="1">
        <f t="array" ref="AA47">CHOOSE($H47,SUMPRODUCT($O48:$O$75*AA48:AA$75*($E48:$E$75=$D47)),IF(ISNUMBER(iData!T47),100*ABS($G47-(iData!T47-$K47)/$M47),0),IF(ISNUMBER(iData!T47),100*ABS($G47-(iData!T47-$I47)/$M47),0),IF(iData!T47&gt;tblIndicators!$AI43,100,IF(ISNUMBER(iData!T47),100*ABS($G47-(iData!T47-$I47)/$M47),0)),IF(iData!T47&lt;0,100,IF(ISNUMBER(iData!T47),100*ABS($G47-(iData!T47-$I47)/$M47),0)))</f>
        <v>40.787515762925601</v>
      </c>
      <c r="AB47" s="123" cm="1">
        <f t="array" ref="AB47">CHOOSE($H47,SUMPRODUCT($O48:$O$75*AB48:AB$75*($E48:$E$75=$D47)),IF(ISNUMBER(iData!U47),100*ABS($G47-(iData!U47-$K47)/$M47),0),IF(ISNUMBER(iData!U47),100*ABS($G47-(iData!U47-$I47)/$M47),0),IF(iData!U47&gt;tblIndicators!$AI43,100,IF(ISNUMBER(iData!U47),100*ABS($G47-(iData!U47-$I47)/$M47),0)),IF(iData!U47&lt;0,100,IF(ISNUMBER(iData!U47),100*ABS($G47-(iData!U47-$I47)/$M47),0)))</f>
        <v>79.902269861286257</v>
      </c>
      <c r="AC47" s="123" cm="1">
        <f t="array" ref="AC47">CHOOSE($H47,SUMPRODUCT($O48:$O$75*AC48:AC$75*($E48:$E$75=$D47)),IF(ISNUMBER(iData!V47),100*ABS($G47-(iData!V47-$K47)/$M47),0),IF(ISNUMBER(iData!V47),100*ABS($G47-(iData!V47-$I47)/$M47),0),IF(iData!V47&gt;tblIndicators!$AI43,100,IF(ISNUMBER(iData!V47),100*ABS($G47-(iData!V47-$I47)/$M47),0)),IF(iData!V47&lt;0,100,IF(ISNUMBER(iData!V47),100*ABS($G47-(iData!V47-$I47)/$M47),0)))</f>
        <v>60.090479192938211</v>
      </c>
      <c r="AD47" s="123" cm="1">
        <f t="array" ref="AD47">CHOOSE($H47,SUMPRODUCT($O48:$O$75*AD48:AD$75*($E48:$E$75=$D47)),IF(ISNUMBER(iData!W47),100*ABS($G47-(iData!W47-$K47)/$M47),0),IF(ISNUMBER(iData!W47),100*ABS($G47-(iData!W47-$I47)/$M47),0),IF(iData!W47&gt;tblIndicators!$AI43,100,IF(ISNUMBER(iData!W47),100*ABS($G47-(iData!W47-$I47)/$M47),0)),IF(iData!W47&lt;0,100,IF(ISNUMBER(iData!W47),100*ABS($G47-(iData!W47-$I47)/$M47),0)))</f>
        <v>44.083858764186637</v>
      </c>
      <c r="AE47" s="123" cm="1">
        <f t="array" ref="AE47">CHOOSE($H47,SUMPRODUCT($O48:$O$75*AE48:AE$75*($E48:$E$75=$D47)),IF(ISNUMBER(iData!X47),100*ABS($G47-(iData!X47-$K47)/$M47),0),IF(ISNUMBER(iData!X47),100*ABS($G47-(iData!X47-$I47)/$M47),0),IF(iData!X47&gt;tblIndicators!$AI43,100,IF(ISNUMBER(iData!X47),100*ABS($G47-(iData!X47-$I47)/$M47),0)),IF(iData!X47&lt;0,100,IF(ISNUMBER(iData!X47),100*ABS($G47-(iData!X47-$I47)/$M47),0)))</f>
        <v>69.105926860025221</v>
      </c>
      <c r="AF47" s="123" cm="1">
        <f t="array" ref="AF47">CHOOSE($H47,SUMPRODUCT($O48:$O$75*AF48:AF$75*($E48:$E$75=$D47)),IF(ISNUMBER(iData!Y47),100*ABS($G47-(iData!Y47-$K47)/$M47),0),IF(ISNUMBER(iData!Y47),100*ABS($G47-(iData!Y47-$I47)/$M47),0),IF(iData!Y47&gt;tblIndicators!$AI43,100,IF(ISNUMBER(iData!Y47),100*ABS($G47-(iData!Y47-$I47)/$M47),0)),IF(iData!Y47&lt;0,100,IF(ISNUMBER(iData!Y47),100*ABS($G47-(iData!Y47-$I47)/$M47),0)))</f>
        <v>87.150063051702404</v>
      </c>
      <c r="AG47" s="123" cm="1">
        <f t="array" ref="AG47">CHOOSE($H47,SUMPRODUCT($O48:$O$75*AG48:AG$75*($E48:$E$75=$D47)),IF(ISNUMBER(iData!Z47),100*ABS($G47-(iData!Z47-$K47)/$M47),0),IF(ISNUMBER(iData!Z47),100*ABS($G47-(iData!Z47-$I47)/$M47),0),IF(iData!Z47&gt;tblIndicators!$AI43,100,IF(ISNUMBER(iData!Z47),100*ABS($G47-(iData!Z47-$I47)/$M47),0)),IF(iData!Z47&lt;0,100,IF(ISNUMBER(iData!Z47),100*ABS($G47-(iData!Z47-$I47)/$M47),0)))</f>
        <v>74.265132408575028</v>
      </c>
      <c r="AH47" s="123" cm="1">
        <f t="array" ref="AH47">CHOOSE($H47,SUMPRODUCT($O48:$O$75*AH48:AH$75*($E48:$E$75=$D47)),IF(ISNUMBER(iData!AA47),100*ABS($G47-(iData!AA47-$K47)/$M47),0),IF(ISNUMBER(iData!AA47),100*ABS($G47-(iData!AA47-$I47)/$M47),0),IF(iData!AA47&gt;tblIndicators!$AI43,100,IF(ISNUMBER(iData!AA47),100*ABS($G47-(iData!AA47-$I47)/$M47),0)),IF(iData!AA47&lt;0,100,IF(ISNUMBER(iData!AA47),100*ABS($G47-(iData!AA47-$I47)/$M47),0)))</f>
        <v>67.621374527112238</v>
      </c>
      <c r="AI47" s="123" cm="1">
        <f t="array" ref="AI47">CHOOSE($H47,SUMPRODUCT($O48:$O$75*AI48:AI$75*($E48:$E$75=$D47)),IF(ISNUMBER(iData!AB47),100*ABS($G47-(iData!AB47-$K47)/$M47),0),IF(ISNUMBER(iData!AB47),100*ABS($G47-(iData!AB47-$I47)/$M47),0),IF(iData!AB47&gt;tblIndicators!$AI43,100,IF(ISNUMBER(iData!AB47),100*ABS($G47-(iData!AB47-$I47)/$M47),0)),IF(iData!AB47&lt;0,100,IF(ISNUMBER(iData!AB47),100*ABS($G47-(iData!AB47-$I47)/$M47),0)))</f>
        <v>65.860340479192942</v>
      </c>
      <c r="AJ47" s="123" cm="1">
        <f t="array" ref="AJ47">CHOOSE($H47,SUMPRODUCT($O48:$O$75*AJ48:AJ$75*($E48:$E$75=$D47)),IF(ISNUMBER(iData!AC47),100*ABS($G47-(iData!AC47-$K47)/$M47),0),IF(ISNUMBER(iData!AC47),100*ABS($G47-(iData!AC47-$I47)/$M47),0),IF(iData!AC47&gt;tblIndicators!$AI43,100,IF(ISNUMBER(iData!AC47),100*ABS($G47-(iData!AC47-$I47)/$M47),0)),IF(iData!AC47&lt;0,100,IF(ISNUMBER(iData!AC47),100*ABS($G47-(iData!AC47-$I47)/$M47),0)))</f>
        <v>50.58606557377049</v>
      </c>
      <c r="AK47" s="123" cm="1">
        <f t="array" ref="AK47">CHOOSE($H47,SUMPRODUCT($O48:$O$75*AK48:AK$75*($E48:$E$75=$D47)),IF(ISNUMBER(iData!AD47),100*ABS($G47-(iData!AD47-$K47)/$M47),0),IF(ISNUMBER(iData!AD47),100*ABS($G47-(iData!AD47-$I47)/$M47),0),IF(iData!AD47&gt;tblIndicators!$AI43,100,IF(ISNUMBER(iData!AD47),100*ABS($G47-(iData!AD47-$I47)/$M47),0)),IF(iData!AD47&lt;0,100,IF(ISNUMBER(iData!AD47),100*ABS($G47-(iData!AD47-$I47)/$M47),0)))</f>
        <v>76.893442622950829</v>
      </c>
      <c r="AL47" s="123" cm="1">
        <f t="array" ref="AL47">CHOOSE($H47,SUMPRODUCT($O48:$O$75*AL48:AL$75*($E48:$E$75=$D47)),IF(ISNUMBER(iData!AE47),100*ABS($G47-(iData!AE47-$K47)/$M47),0),IF(ISNUMBER(iData!AE47),100*ABS($G47-(iData!AE47-$I47)/$M47),0),IF(iData!AE47&gt;tblIndicators!$AI43,100,IF(ISNUMBER(iData!AE47),100*ABS($G47-(iData!AE47-$I47)/$M47),0)),IF(iData!AE47&lt;0,100,IF(ISNUMBER(iData!AE47),100*ABS($G47-(iData!AE47-$I47)/$M47),0)))</f>
        <v>83.400063051702404</v>
      </c>
      <c r="AM47" s="123" cm="1">
        <f t="array" ref="AM47">CHOOSE($H47,SUMPRODUCT($O48:$O$75*AM48:AM$75*($E48:$E$75=$D47)),IF(ISNUMBER(iData!AF47),100*ABS($G47-(iData!AF47-$K47)/$M47),0),IF(ISNUMBER(iData!AF47),100*ABS($G47-(iData!AF47-$I47)/$M47),0),IF(iData!AF47&gt;tblIndicators!$AI43,100,IF(ISNUMBER(iData!AF47),100*ABS($G47-(iData!AF47-$I47)/$M47),0)),IF(iData!AF47&lt;0,100,IF(ISNUMBER(iData!AF47),100*ABS($G47-(iData!AF47-$I47)/$M47),0)))</f>
        <v>70.645649432534682</v>
      </c>
      <c r="AN47" s="123" cm="1">
        <f t="array" ref="AN47">CHOOSE($H47,SUMPRODUCT($O48:$O$75*AN48:AN$75*($E48:$E$75=$D47)),IF(ISNUMBER(iData!AG47),100*ABS($G47-(iData!AG47-$K47)/$M47),0),IF(ISNUMBER(iData!AG47),100*ABS($G47-(iData!AG47-$I47)/$M47),0),IF(iData!AG47&gt;tblIndicators!$AI43,100,IF(ISNUMBER(iData!AG47),100*ABS($G47-(iData!AG47-$I47)/$M47),0)),IF(iData!AG47&lt;0,100,IF(ISNUMBER(iData!AG47),100*ABS($G47-(iData!AG47-$I47)/$M47),0)))</f>
        <v>73.36916771752837</v>
      </c>
      <c r="AO47" s="123" cm="1">
        <f t="array" ref="AO47">CHOOSE($H47,SUMPRODUCT($O48:$O$75*AO48:AO$75*($E48:$E$75=$D47)),IF(ISNUMBER(iData!AH47),100*ABS($G47-(iData!AH47-$K47)/$M47),0),IF(ISNUMBER(iData!AH47),100*ABS($G47-(iData!AH47-$I47)/$M47),0),IF(iData!AH47&gt;tblIndicators!$AI43,100,IF(ISNUMBER(iData!AH47),100*ABS($G47-(iData!AH47-$I47)/$M47),0)),IF(iData!AH47&lt;0,100,IF(ISNUMBER(iData!AH47),100*ABS($G47-(iData!AH47-$I47)/$M47),0)))</f>
        <v>79.625788146279945</v>
      </c>
      <c r="AP47" s="123" cm="1">
        <f t="array" ref="AP47">CHOOSE($H47,SUMPRODUCT($O48:$O$75*AP48:AP$75*($E48:$E$75=$D47)),IF(ISNUMBER(iData!AI47),100*ABS($G47-(iData!AI47-$K47)/$M47),0),IF(ISNUMBER(iData!AI47),100*ABS($G47-(iData!AI47-$I47)/$M47),0),IF(iData!AI47&gt;tblIndicators!$AI43,100,IF(ISNUMBER(iData!AI47),100*ABS($G47-(iData!AI47-$I47)/$M47),0)),IF(iData!AI47&lt;0,100,IF(ISNUMBER(iData!AI47),100*ABS($G47-(iData!AI47-$I47)/$M47),0)))</f>
        <v>74.347099621689779</v>
      </c>
      <c r="AQ47" s="123" cm="1">
        <f t="array" ref="AQ47">CHOOSE($H47,SUMPRODUCT($O48:$O$75*AQ48:AQ$75*($E48:$E$75=$D47)),IF(ISNUMBER(iData!AJ47),100*ABS($G47-(iData!AJ47-$K47)/$M47),0),IF(ISNUMBER(iData!AJ47),100*ABS($G47-(iData!AJ47-$I47)/$M47),0),IF(iData!AJ47&gt;tblIndicators!$AI43,100,IF(ISNUMBER(iData!AJ47),100*ABS($G47-(iData!AJ47-$I47)/$M47),0)),IF(iData!AJ47&lt;0,100,IF(ISNUMBER(iData!AJ47),100*ABS($G47-(iData!AJ47-$I47)/$M47),0)))</f>
        <v>81.643442622950829</v>
      </c>
      <c r="AR47" s="123" cm="1">
        <f t="array" ref="AR47">CHOOSE($H47,SUMPRODUCT($O48:$O$75*AR48:AR$75*($E48:$E$75=$D47)),IF(ISNUMBER(iData!AK47),100*ABS($G47-(iData!AK47-$K47)/$M47),0),IF(ISNUMBER(iData!AK47),100*ABS($G47-(iData!AK47-$I47)/$M47),0),IF(iData!AK47&gt;tblIndicators!$AI43,100,IF(ISNUMBER(iData!AK47),100*ABS($G47-(iData!AK47-$I47)/$M47),0)),IF(iData!AK47&lt;0,100,IF(ISNUMBER(iData!AK47),100*ABS($G47-(iData!AK47-$I47)/$M47),0)))</f>
        <v>80.395649432534682</v>
      </c>
      <c r="AS47" s="123" cm="1">
        <f t="array" ref="AS47">CHOOSE($H47,SUMPRODUCT($O48:$O$75*AS48:AS$75*($E48:$E$75=$D47)),IF(ISNUMBER(iData!AL47),100*ABS($G47-(iData!AL47-$K47)/$M47),0),IF(ISNUMBER(iData!AL47),100*ABS($G47-(iData!AL47-$I47)/$M47),0),IF(iData!AL47&gt;tblIndicators!$AI43,100,IF(ISNUMBER(iData!AL47),100*ABS($G47-(iData!AL47-$I47)/$M47),0)),IF(iData!AL47&lt;0,100,IF(ISNUMBER(iData!AL47),100*ABS($G47-(iData!AL47-$I47)/$M47),0)))</f>
        <v>96.919924337957127</v>
      </c>
      <c r="AT47" s="123" cm="1">
        <f t="array" ref="AT47">CHOOSE($H47,SUMPRODUCT($O48:$O$75*AT48:AT$75*($E48:$E$75=$D47)),IF(ISNUMBER(iData!AM47),100*ABS($G47-(iData!AM47-$K47)/$M47),0),IF(ISNUMBER(iData!AM47),100*ABS($G47-(iData!AM47-$I47)/$M47),0),IF(iData!AM47&gt;tblIndicators!$AI43,100,IF(ISNUMBER(iData!AM47),100*ABS($G47-(iData!AM47-$I47)/$M47),0)),IF(iData!AM47&lt;0,100,IF(ISNUMBER(iData!AM47),100*ABS($G47-(iData!AM47-$I47)/$M47),0)))</f>
        <v>86.893442622950829</v>
      </c>
      <c r="AU47" s="123" cm="1">
        <f t="array" ref="AU47">CHOOSE($H47,SUMPRODUCT($O48:$O$75*AU48:AU$75*($E48:$E$75=$D47)),IF(ISNUMBER(iData!AN47),100*ABS($G47-(iData!AN47-$K47)/$M47),0),IF(ISNUMBER(iData!AN47),100*ABS($G47-(iData!AN47-$I47)/$M47),0),IF(iData!AN47&gt;tblIndicators!$AI43,100,IF(ISNUMBER(iData!AN47),100*ABS($G47-(iData!AN47-$I47)/$M47),0)),IF(iData!AN47&lt;0,100,IF(ISNUMBER(iData!AN47),100*ABS($G47-(iData!AN47-$I47)/$M47),0)))</f>
        <v>81.776166456494323</v>
      </c>
      <c r="AV47" s="367"/>
      <c r="AW47" s="368"/>
      <c r="AX47" s="14"/>
      <c r="AY47" s="871">
        <f t="shared" si="40"/>
        <v>76</v>
      </c>
      <c r="AZ47" s="871">
        <f t="shared" si="41"/>
        <v>81.099999999999994</v>
      </c>
      <c r="BA47" s="871">
        <f t="shared" si="42"/>
        <v>38.6</v>
      </c>
      <c r="BB47" s="871">
        <f t="shared" si="43"/>
        <v>74.3</v>
      </c>
      <c r="BC47" s="871">
        <f t="shared" si="44"/>
        <v>50</v>
      </c>
      <c r="BD47" s="871">
        <f t="shared" si="45"/>
        <v>79.900000000000006</v>
      </c>
      <c r="BE47" s="871">
        <f t="shared" si="46"/>
        <v>64.900000000000006</v>
      </c>
      <c r="BF47" s="871">
        <f t="shared" si="47"/>
        <v>82.8</v>
      </c>
      <c r="BG47" s="871">
        <f t="shared" si="48"/>
        <v>76.900000000000006</v>
      </c>
      <c r="BH47" s="871">
        <f t="shared" si="49"/>
        <v>40.799999999999997</v>
      </c>
      <c r="BI47" s="871">
        <f t="shared" si="50"/>
        <v>79.900000000000006</v>
      </c>
      <c r="BJ47" s="871">
        <f t="shared" si="51"/>
        <v>60.1</v>
      </c>
      <c r="BK47" s="871">
        <f t="shared" si="52"/>
        <v>44.1</v>
      </c>
      <c r="BL47" s="871">
        <f t="shared" si="53"/>
        <v>69.099999999999994</v>
      </c>
      <c r="BM47" s="871">
        <f t="shared" si="54"/>
        <v>87.2</v>
      </c>
      <c r="BN47" s="871">
        <f t="shared" si="55"/>
        <v>74.3</v>
      </c>
      <c r="BO47" s="871">
        <f t="shared" si="56"/>
        <v>67.599999999999994</v>
      </c>
      <c r="BP47" s="871">
        <f t="shared" si="57"/>
        <v>65.900000000000006</v>
      </c>
      <c r="BQ47" s="871">
        <f t="shared" si="58"/>
        <v>50.6</v>
      </c>
      <c r="BR47" s="871">
        <f t="shared" si="59"/>
        <v>76.900000000000006</v>
      </c>
      <c r="BS47" s="871">
        <f t="shared" si="60"/>
        <v>83.4</v>
      </c>
      <c r="BT47" s="871">
        <f t="shared" si="61"/>
        <v>70.599999999999994</v>
      </c>
      <c r="BU47" s="871">
        <f t="shared" si="62"/>
        <v>73.400000000000006</v>
      </c>
      <c r="BV47" s="871">
        <f t="shared" si="63"/>
        <v>79.599999999999994</v>
      </c>
      <c r="BW47" s="871">
        <f t="shared" si="64"/>
        <v>74.3</v>
      </c>
      <c r="BX47" s="871">
        <f t="shared" si="65"/>
        <v>81.599999999999994</v>
      </c>
      <c r="BY47" s="871">
        <f t="shared" si="66"/>
        <v>80.400000000000006</v>
      </c>
      <c r="BZ47" s="871">
        <f t="shared" si="67"/>
        <v>96.9</v>
      </c>
      <c r="CA47" s="871">
        <f t="shared" si="68"/>
        <v>86.9</v>
      </c>
      <c r="CB47" s="871">
        <f t="shared" si="69"/>
        <v>81.8</v>
      </c>
      <c r="CD47" s="304">
        <f t="shared" ca="1" si="103"/>
        <v>71.7</v>
      </c>
      <c r="CE47" s="304">
        <f t="shared" ca="1" si="103"/>
        <v>71.7</v>
      </c>
      <c r="CF47" s="304">
        <f t="shared" ca="1" si="103"/>
        <v>64.8</v>
      </c>
      <c r="CG47" s="302">
        <f t="shared" ca="1" si="103"/>
        <v>79</v>
      </c>
      <c r="CH47" s="302">
        <f t="shared" ca="1" si="103"/>
        <v>68.099999999999994</v>
      </c>
      <c r="CI47" s="302">
        <f t="shared" ca="1" si="103"/>
        <v>40.799999999999997</v>
      </c>
      <c r="CJ47" s="302">
        <f t="shared" ca="1" si="103"/>
        <v>84.4</v>
      </c>
      <c r="CK47" s="302">
        <f t="shared" ca="1" si="103"/>
        <v>54.1</v>
      </c>
      <c r="CL47" s="302">
        <f t="shared" ca="1" si="103"/>
        <v>60.3</v>
      </c>
      <c r="CM47" s="302">
        <f t="shared" ca="1" si="103"/>
        <v>77.400000000000006</v>
      </c>
      <c r="CN47" s="302">
        <f t="shared" ca="1" si="105"/>
        <v>74.3</v>
      </c>
      <c r="CO47" s="302">
        <f t="shared" ca="1" si="105"/>
        <v>77</v>
      </c>
      <c r="CP47" s="302">
        <f t="shared" ca="1" si="105"/>
        <v>69.2</v>
      </c>
      <c r="CQ47" s="302">
        <f t="shared" ca="1" si="105"/>
        <v>65.099999999999994</v>
      </c>
    </row>
    <row r="48" spans="1:95" s="124" customFormat="1" ht="27.75" customHeight="1" thickBot="1">
      <c r="A48" s="118"/>
      <c r="B48" s="119">
        <f>tblIndicators!A44</f>
        <v>43</v>
      </c>
      <c r="C48" s="119">
        <f>tblIndicators!B44</f>
        <v>0</v>
      </c>
      <c r="D48" s="119" t="str">
        <f>tblIndicators!E44</f>
        <v>CULT3_2_1</v>
      </c>
      <c r="E48" s="119" t="str">
        <f>tblIndicators!F44</f>
        <v>CULT3_2</v>
      </c>
      <c r="F48" s="119">
        <f>tblIndicators!G44</f>
        <v>3</v>
      </c>
      <c r="G48" s="119">
        <f>tblIndicators!AF44</f>
        <v>0</v>
      </c>
      <c r="H48" s="119">
        <f>tblIndicators!AG44</f>
        <v>3</v>
      </c>
      <c r="I48" s="120">
        <f>tblIndicators!AH44</f>
        <v>0</v>
      </c>
      <c r="J48" s="119">
        <f>tblIndicators!AI44</f>
        <v>2</v>
      </c>
      <c r="K48" s="119">
        <f t="array" ref="K48">MIN(IF(ISNUMBER(iData!K48:AN48),iData!K48:AN48))</f>
        <v>1</v>
      </c>
      <c r="L48" s="121">
        <f t="array" ref="L48">MAX(IF(ISNUMBER(iData!K48:AN48),iData!K48:AN48))</f>
        <v>2</v>
      </c>
      <c r="M48" s="51">
        <f t="shared" si="106"/>
        <v>2</v>
      </c>
      <c r="N48" s="122" t="str">
        <f>REPT(" ",F48)&amp;tblIndicators!AM44</f>
        <v xml:space="preserve">   3.2.1) Data protection law</v>
      </c>
      <c r="O48" s="381">
        <f>tblIndicators!AR44</f>
        <v>0.2</v>
      </c>
      <c r="P48" s="381"/>
      <c r="Q48" s="323"/>
      <c r="R48" s="123" cm="1">
        <f t="array" ref="R48">CHOOSE($H48,SUMPRODUCT($O49:$O$75*R49:R$75*($E49:$E$75=$D48)),IF(ISNUMBER(iData!K48),100*ABS($G48-(iData!K48-$K48)/$M48),0),IF(ISNUMBER(iData!K48),100*ABS($G48-(iData!K48-$I48)/$M48),0),IF(iData!K48&gt;tblIndicators!$AI44,100,IF(ISNUMBER(iData!K48),100*ABS($G48-(iData!K48-$I48)/$M48),0)),IF(iData!K48&lt;0,100,IF(ISNUMBER(iData!K48),100*ABS($G48-(iData!K48-$I48)/$M48),0)))</f>
        <v>100</v>
      </c>
      <c r="S48" s="123" cm="1">
        <f t="array" ref="S48">CHOOSE($H48,SUMPRODUCT($O49:$O$75*S49:S$75*($E49:$E$75=$D48)),IF(ISNUMBER(iData!L48),100*ABS($G48-(iData!L48-$K48)/$M48),0),IF(ISNUMBER(iData!L48),100*ABS($G48-(iData!L48-$I48)/$M48),0),IF(iData!L48&gt;tblIndicators!$AI44,100,IF(ISNUMBER(iData!L48),100*ABS($G48-(iData!L48-$I48)/$M48),0)),IF(iData!L48&lt;0,100,IF(ISNUMBER(iData!L48),100*ABS($G48-(iData!L48-$I48)/$M48),0)))</f>
        <v>100</v>
      </c>
      <c r="T48" s="123" cm="1">
        <f t="array" ref="T48">CHOOSE($H48,SUMPRODUCT($O49:$O$75*T49:T$75*($E49:$E$75=$D48)),IF(ISNUMBER(iData!M48),100*ABS($G48-(iData!M48-$K48)/$M48),0),IF(ISNUMBER(iData!M48),100*ABS($G48-(iData!M48-$I48)/$M48),0),IF(iData!M48&gt;tblIndicators!$AI44,100,IF(ISNUMBER(iData!M48),100*ABS($G48-(iData!M48-$I48)/$M48),0)),IF(iData!M48&lt;0,100,IF(ISNUMBER(iData!M48),100*ABS($G48-(iData!M48-$I48)/$M48),0)))</f>
        <v>50</v>
      </c>
      <c r="U48" s="123" cm="1">
        <f t="array" ref="U48">CHOOSE($H48,SUMPRODUCT($O49:$O$75*U49:U$75*($E49:$E$75=$D48)),IF(ISNUMBER(iData!N48),100*ABS($G48-(iData!N48-$K48)/$M48),0),IF(ISNUMBER(iData!N48),100*ABS($G48-(iData!N48-$I48)/$M48),0),IF(iData!N48&gt;tblIndicators!$AI44,100,IF(ISNUMBER(iData!N48),100*ABS($G48-(iData!N48-$I48)/$M48),0)),IF(iData!N48&lt;0,100,IF(ISNUMBER(iData!N48),100*ABS($G48-(iData!N48-$I48)/$M48),0)))</f>
        <v>100</v>
      </c>
      <c r="V48" s="123" cm="1">
        <f t="array" ref="V48">CHOOSE($H48,SUMPRODUCT($O49:$O$75*V49:V$75*($E49:$E$75=$D48)),IF(ISNUMBER(iData!O48),100*ABS($G48-(iData!O48-$K48)/$M48),0),IF(ISNUMBER(iData!O48),100*ABS($G48-(iData!O48-$I48)/$M48),0),IF(iData!O48&gt;tblIndicators!$AI44,100,IF(ISNUMBER(iData!O48),100*ABS($G48-(iData!O48-$I48)/$M48),0)),IF(iData!O48&lt;0,100,IF(ISNUMBER(iData!O48),100*ABS($G48-(iData!O48-$I48)/$M48),0)))</f>
        <v>100</v>
      </c>
      <c r="W48" s="123" cm="1">
        <f t="array" ref="W48">CHOOSE($H48,SUMPRODUCT($O49:$O$75*W49:W$75*($E49:$E$75=$D48)),IF(ISNUMBER(iData!P48),100*ABS($G48-(iData!P48-$K48)/$M48),0),IF(ISNUMBER(iData!P48),100*ABS($G48-(iData!P48-$I48)/$M48),0),IF(iData!P48&gt;tblIndicators!$AI44,100,IF(ISNUMBER(iData!P48),100*ABS($G48-(iData!P48-$I48)/$M48),0)),IF(iData!P48&lt;0,100,IF(ISNUMBER(iData!P48),100*ABS($G48-(iData!P48-$I48)/$M48),0)))</f>
        <v>100</v>
      </c>
      <c r="X48" s="123" cm="1">
        <f t="array" ref="X48">CHOOSE($H48,SUMPRODUCT($O49:$O$75*X49:X$75*($E49:$E$75=$D48)),IF(ISNUMBER(iData!Q48),100*ABS($G48-(iData!Q48-$K48)/$M48),0),IF(ISNUMBER(iData!Q48),100*ABS($G48-(iData!Q48-$I48)/$M48),0),IF(iData!Q48&gt;tblIndicators!$AI44,100,IF(ISNUMBER(iData!Q48),100*ABS($G48-(iData!Q48-$I48)/$M48),0)),IF(iData!Q48&lt;0,100,IF(ISNUMBER(iData!Q48),100*ABS($G48-(iData!Q48-$I48)/$M48),0)))</f>
        <v>100</v>
      </c>
      <c r="Y48" s="123" cm="1">
        <f t="array" ref="Y48">CHOOSE($H48,SUMPRODUCT($O49:$O$75*Y49:Y$75*($E49:$E$75=$D48)),IF(ISNUMBER(iData!R48),100*ABS($G48-(iData!R48-$K48)/$M48),0),IF(ISNUMBER(iData!R48),100*ABS($G48-(iData!R48-$I48)/$M48),0),IF(iData!R48&gt;tblIndicators!$AI44,100,IF(ISNUMBER(iData!R48),100*ABS($G48-(iData!R48-$I48)/$M48),0)),IF(iData!R48&lt;0,100,IF(ISNUMBER(iData!R48),100*ABS($G48-(iData!R48-$I48)/$M48),0)))</f>
        <v>100</v>
      </c>
      <c r="Z48" s="123" cm="1">
        <f t="array" ref="Z48">CHOOSE($H48,SUMPRODUCT($O49:$O$75*Z49:Z$75*($E49:$E$75=$D48)),IF(ISNUMBER(iData!S48),100*ABS($G48-(iData!S48-$K48)/$M48),0),IF(ISNUMBER(iData!S48),100*ABS($G48-(iData!S48-$I48)/$M48),0),IF(iData!S48&gt;tblIndicators!$AI44,100,IF(ISNUMBER(iData!S48),100*ABS($G48-(iData!S48-$I48)/$M48),0)),IF(iData!S48&lt;0,100,IF(ISNUMBER(iData!S48),100*ABS($G48-(iData!S48-$I48)/$M48),0)))</f>
        <v>50</v>
      </c>
      <c r="AA48" s="123" cm="1">
        <f t="array" ref="AA48">CHOOSE($H48,SUMPRODUCT($O49:$O$75*AA49:AA$75*($E49:$E$75=$D48)),IF(ISNUMBER(iData!T48),100*ABS($G48-(iData!T48-$K48)/$M48),0),IF(ISNUMBER(iData!T48),100*ABS($G48-(iData!T48-$I48)/$M48),0),IF(iData!T48&gt;tblIndicators!$AI44,100,IF(ISNUMBER(iData!T48),100*ABS($G48-(iData!T48-$I48)/$M48),0)),IF(iData!T48&lt;0,100,IF(ISNUMBER(iData!T48),100*ABS($G48-(iData!T48-$I48)/$M48),0)))</f>
        <v>50</v>
      </c>
      <c r="AB48" s="123" cm="1">
        <f t="array" ref="AB48">CHOOSE($H48,SUMPRODUCT($O49:$O$75*AB49:AB$75*($E49:$E$75=$D48)),IF(ISNUMBER(iData!U48),100*ABS($G48-(iData!U48-$K48)/$M48),0),IF(ISNUMBER(iData!U48),100*ABS($G48-(iData!U48-$I48)/$M48),0),IF(iData!U48&gt;tblIndicators!$AI44,100,IF(ISNUMBER(iData!U48),100*ABS($G48-(iData!U48-$I48)/$M48),0)),IF(iData!U48&lt;0,100,IF(ISNUMBER(iData!U48),100*ABS($G48-(iData!U48-$I48)/$M48),0)))</f>
        <v>100</v>
      </c>
      <c r="AC48" s="123" cm="1">
        <f t="array" ref="AC48">CHOOSE($H48,SUMPRODUCT($O49:$O$75*AC49:AC$75*($E49:$E$75=$D48)),IF(ISNUMBER(iData!V48),100*ABS($G48-(iData!V48-$K48)/$M48),0),IF(ISNUMBER(iData!V48),100*ABS($G48-(iData!V48-$I48)/$M48),0),IF(iData!V48&gt;tblIndicators!$AI44,100,IF(ISNUMBER(iData!V48),100*ABS($G48-(iData!V48-$I48)/$M48),0)),IF(iData!V48&lt;0,100,IF(ISNUMBER(iData!V48),100*ABS($G48-(iData!V48-$I48)/$M48),0)))</f>
        <v>100</v>
      </c>
      <c r="AD48" s="123" cm="1">
        <f t="array" ref="AD48">CHOOSE($H48,SUMPRODUCT($O49:$O$75*AD49:AD$75*($E49:$E$75=$D48)),IF(ISNUMBER(iData!W48),100*ABS($G48-(iData!W48-$K48)/$M48),0),IF(ISNUMBER(iData!W48),100*ABS($G48-(iData!W48-$I48)/$M48),0),IF(iData!W48&gt;tblIndicators!$AI44,100,IF(ISNUMBER(iData!W48),100*ABS($G48-(iData!W48-$I48)/$M48),0)),IF(iData!W48&lt;0,100,IF(ISNUMBER(iData!W48),100*ABS($G48-(iData!W48-$I48)/$M48),0)))</f>
        <v>50</v>
      </c>
      <c r="AE48" s="123" cm="1">
        <f t="array" ref="AE48">CHOOSE($H48,SUMPRODUCT($O49:$O$75*AE49:AE$75*($E49:$E$75=$D48)),IF(ISNUMBER(iData!X48),100*ABS($G48-(iData!X48-$K48)/$M48),0),IF(ISNUMBER(iData!X48),100*ABS($G48-(iData!X48-$I48)/$M48),0),IF(iData!X48&gt;tblIndicators!$AI44,100,IF(ISNUMBER(iData!X48),100*ABS($G48-(iData!X48-$I48)/$M48),0)),IF(iData!X48&lt;0,100,IF(ISNUMBER(iData!X48),100*ABS($G48-(iData!X48-$I48)/$M48),0)))</f>
        <v>100</v>
      </c>
      <c r="AF48" s="123" cm="1">
        <f t="array" ref="AF48">CHOOSE($H48,SUMPRODUCT($O49:$O$75*AF49:AF$75*($E49:$E$75=$D48)),IF(ISNUMBER(iData!Y48),100*ABS($G48-(iData!Y48-$K48)/$M48),0),IF(ISNUMBER(iData!Y48),100*ABS($G48-(iData!Y48-$I48)/$M48),0),IF(iData!Y48&gt;tblIndicators!$AI44,100,IF(ISNUMBER(iData!Y48),100*ABS($G48-(iData!Y48-$I48)/$M48),0)),IF(iData!Y48&lt;0,100,IF(ISNUMBER(iData!Y48),100*ABS($G48-(iData!Y48-$I48)/$M48),0)))</f>
        <v>100</v>
      </c>
      <c r="AG48" s="123" cm="1">
        <f t="array" ref="AG48">CHOOSE($H48,SUMPRODUCT($O49:$O$75*AG49:AG$75*($E49:$E$75=$D48)),IF(ISNUMBER(iData!Z48),100*ABS($G48-(iData!Z48-$K48)/$M48),0),IF(ISNUMBER(iData!Z48),100*ABS($G48-(iData!Z48-$I48)/$M48),0),IF(iData!Z48&gt;tblIndicators!$AI44,100,IF(ISNUMBER(iData!Z48),100*ABS($G48-(iData!Z48-$I48)/$M48),0)),IF(iData!Z48&lt;0,100,IF(ISNUMBER(iData!Z48),100*ABS($G48-(iData!Z48-$I48)/$M48),0)))</f>
        <v>100</v>
      </c>
      <c r="AH48" s="123" cm="1">
        <f t="array" ref="AH48">CHOOSE($H48,SUMPRODUCT($O49:$O$75*AH49:AH$75*($E49:$E$75=$D48)),IF(ISNUMBER(iData!AA48),100*ABS($G48-(iData!AA48-$K48)/$M48),0),IF(ISNUMBER(iData!AA48),100*ABS($G48-(iData!AA48-$I48)/$M48),0),IF(iData!AA48&gt;tblIndicators!$AI44,100,IF(ISNUMBER(iData!AA48),100*ABS($G48-(iData!AA48-$I48)/$M48),0)),IF(iData!AA48&lt;0,100,IF(ISNUMBER(iData!AA48),100*ABS($G48-(iData!AA48-$I48)/$M48),0)))</f>
        <v>100</v>
      </c>
      <c r="AI48" s="123" cm="1">
        <f t="array" ref="AI48">CHOOSE($H48,SUMPRODUCT($O49:$O$75*AI49:AI$75*($E49:$E$75=$D48)),IF(ISNUMBER(iData!AB48),100*ABS($G48-(iData!AB48-$K48)/$M48),0),IF(ISNUMBER(iData!AB48),100*ABS($G48-(iData!AB48-$I48)/$M48),0),IF(iData!AB48&gt;tblIndicators!$AI44,100,IF(ISNUMBER(iData!AB48),100*ABS($G48-(iData!AB48-$I48)/$M48),0)),IF(iData!AB48&lt;0,100,IF(ISNUMBER(iData!AB48),100*ABS($G48-(iData!AB48-$I48)/$M48),0)))</f>
        <v>100</v>
      </c>
      <c r="AJ48" s="123" cm="1">
        <f t="array" ref="AJ48">CHOOSE($H48,SUMPRODUCT($O49:$O$75*AJ49:AJ$75*($E49:$E$75=$D48)),IF(ISNUMBER(iData!AC48),100*ABS($G48-(iData!AC48-$K48)/$M48),0),IF(ISNUMBER(iData!AC48),100*ABS($G48-(iData!AC48-$I48)/$M48),0),IF(iData!AC48&gt;tblIndicators!$AI44,100,IF(ISNUMBER(iData!AC48),100*ABS($G48-(iData!AC48-$I48)/$M48),0)),IF(iData!AC48&lt;0,100,IF(ISNUMBER(iData!AC48),100*ABS($G48-(iData!AC48-$I48)/$M48),0)))</f>
        <v>50</v>
      </c>
      <c r="AK48" s="123" cm="1">
        <f t="array" ref="AK48">CHOOSE($H48,SUMPRODUCT($O49:$O$75*AK49:AK$75*($E49:$E$75=$D48)),IF(ISNUMBER(iData!AD48),100*ABS($G48-(iData!AD48-$K48)/$M48),0),IF(ISNUMBER(iData!AD48),100*ABS($G48-(iData!AD48-$I48)/$M48),0),IF(iData!AD48&gt;tblIndicators!$AI44,100,IF(ISNUMBER(iData!AD48),100*ABS($G48-(iData!AD48-$I48)/$M48),0)),IF(iData!AD48&lt;0,100,IF(ISNUMBER(iData!AD48),100*ABS($G48-(iData!AD48-$I48)/$M48),0)))</f>
        <v>50</v>
      </c>
      <c r="AL48" s="123" cm="1">
        <f t="array" ref="AL48">CHOOSE($H48,SUMPRODUCT($O49:$O$75*AL49:AL$75*($E49:$E$75=$D48)),IF(ISNUMBER(iData!AE48),100*ABS($G48-(iData!AE48-$K48)/$M48),0),IF(ISNUMBER(iData!AE48),100*ABS($G48-(iData!AE48-$I48)/$M48),0),IF(iData!AE48&gt;tblIndicators!$AI44,100,IF(ISNUMBER(iData!AE48),100*ABS($G48-(iData!AE48-$I48)/$M48),0)),IF(iData!AE48&lt;0,100,IF(ISNUMBER(iData!AE48),100*ABS($G48-(iData!AE48-$I48)/$M48),0)))</f>
        <v>100</v>
      </c>
      <c r="AM48" s="123" cm="1">
        <f t="array" ref="AM48">CHOOSE($H48,SUMPRODUCT($O49:$O$75*AM49:AM$75*($E49:$E$75=$D48)),IF(ISNUMBER(iData!AF48),100*ABS($G48-(iData!AF48-$K48)/$M48),0),IF(ISNUMBER(iData!AF48),100*ABS($G48-(iData!AF48-$I48)/$M48),0),IF(iData!AF48&gt;tblIndicators!$AI44,100,IF(ISNUMBER(iData!AF48),100*ABS($G48-(iData!AF48-$I48)/$M48),0)),IF(iData!AF48&lt;0,100,IF(ISNUMBER(iData!AF48),100*ABS($G48-(iData!AF48-$I48)/$M48),0)))</f>
        <v>100</v>
      </c>
      <c r="AN48" s="123" cm="1">
        <f t="array" ref="AN48">CHOOSE($H48,SUMPRODUCT($O49:$O$75*AN49:AN$75*($E49:$E$75=$D48)),IF(ISNUMBER(iData!AG48),100*ABS($G48-(iData!AG48-$K48)/$M48),0),IF(ISNUMBER(iData!AG48),100*ABS($G48-(iData!AG48-$I48)/$M48),0),IF(iData!AG48&gt;tblIndicators!$AI44,100,IF(ISNUMBER(iData!AG48),100*ABS($G48-(iData!AG48-$I48)/$M48),0)),IF(iData!AG48&lt;0,100,IF(ISNUMBER(iData!AG48),100*ABS($G48-(iData!AG48-$I48)/$M48),0)))</f>
        <v>100</v>
      </c>
      <c r="AO48" s="123" cm="1">
        <f t="array" ref="AO48">CHOOSE($H48,SUMPRODUCT($O49:$O$75*AO49:AO$75*($E49:$E$75=$D48)),IF(ISNUMBER(iData!AH48),100*ABS($G48-(iData!AH48-$K48)/$M48),0),IF(ISNUMBER(iData!AH48),100*ABS($G48-(iData!AH48-$I48)/$M48),0),IF(iData!AH48&gt;tblIndicators!$AI44,100,IF(ISNUMBER(iData!AH48),100*ABS($G48-(iData!AH48-$I48)/$M48),0)),IF(iData!AH48&lt;0,100,IF(ISNUMBER(iData!AH48),100*ABS($G48-(iData!AH48-$I48)/$M48),0)))</f>
        <v>100</v>
      </c>
      <c r="AP48" s="123" cm="1">
        <f t="array" ref="AP48">CHOOSE($H48,SUMPRODUCT($O49:$O$75*AP49:AP$75*($E49:$E$75=$D48)),IF(ISNUMBER(iData!AI48),100*ABS($G48-(iData!AI48-$K48)/$M48),0),IF(ISNUMBER(iData!AI48),100*ABS($G48-(iData!AI48-$I48)/$M48),0),IF(iData!AI48&gt;tblIndicators!$AI44,100,IF(ISNUMBER(iData!AI48),100*ABS($G48-(iData!AI48-$I48)/$M48),0)),IF(iData!AI48&lt;0,100,IF(ISNUMBER(iData!AI48),100*ABS($G48-(iData!AI48-$I48)/$M48),0)))</f>
        <v>100</v>
      </c>
      <c r="AQ48" s="123" cm="1">
        <f t="array" ref="AQ48">CHOOSE($H48,SUMPRODUCT($O49:$O$75*AQ49:AQ$75*($E49:$E$75=$D48)),IF(ISNUMBER(iData!AJ48),100*ABS($G48-(iData!AJ48-$K48)/$M48),0),IF(ISNUMBER(iData!AJ48),100*ABS($G48-(iData!AJ48-$I48)/$M48),0),IF(iData!AJ48&gt;tblIndicators!$AI44,100,IF(ISNUMBER(iData!AJ48),100*ABS($G48-(iData!AJ48-$I48)/$M48),0)),IF(iData!AJ48&lt;0,100,IF(ISNUMBER(iData!AJ48),100*ABS($G48-(iData!AJ48-$I48)/$M48),0)))</f>
        <v>100</v>
      </c>
      <c r="AR48" s="123" cm="1">
        <f t="array" ref="AR48">CHOOSE($H48,SUMPRODUCT($O49:$O$75*AR49:AR$75*($E49:$E$75=$D48)),IF(ISNUMBER(iData!AK48),100*ABS($G48-(iData!AK48-$K48)/$M48),0),IF(ISNUMBER(iData!AK48),100*ABS($G48-(iData!AK48-$I48)/$M48),0),IF(iData!AK48&gt;tblIndicators!$AI44,100,IF(ISNUMBER(iData!AK48),100*ABS($G48-(iData!AK48-$I48)/$M48),0)),IF(iData!AK48&lt;0,100,IF(ISNUMBER(iData!AK48),100*ABS($G48-(iData!AK48-$I48)/$M48),0)))</f>
        <v>100</v>
      </c>
      <c r="AS48" s="123" cm="1">
        <f t="array" ref="AS48">CHOOSE($H48,SUMPRODUCT($O49:$O$75*AS49:AS$75*($E49:$E$75=$D48)),IF(ISNUMBER(iData!AL48),100*ABS($G48-(iData!AL48-$K48)/$M48),0),IF(ISNUMBER(iData!AL48),100*ABS($G48-(iData!AL48-$I48)/$M48),0),IF(iData!AL48&gt;tblIndicators!$AI44,100,IF(ISNUMBER(iData!AL48),100*ABS($G48-(iData!AL48-$I48)/$M48),0)),IF(iData!AL48&lt;0,100,IF(ISNUMBER(iData!AL48),100*ABS($G48-(iData!AL48-$I48)/$M48),0)))</f>
        <v>100</v>
      </c>
      <c r="AT48" s="123" cm="1">
        <f t="array" ref="AT48">CHOOSE($H48,SUMPRODUCT($O49:$O$75*AT49:AT$75*($E49:$E$75=$D48)),IF(ISNUMBER(iData!AM48),100*ABS($G48-(iData!AM48-$K48)/$M48),0),IF(ISNUMBER(iData!AM48),100*ABS($G48-(iData!AM48-$I48)/$M48),0),IF(iData!AM48&gt;tblIndicators!$AI44,100,IF(ISNUMBER(iData!AM48),100*ABS($G48-(iData!AM48-$I48)/$M48),0)),IF(iData!AM48&lt;0,100,IF(ISNUMBER(iData!AM48),100*ABS($G48-(iData!AM48-$I48)/$M48),0)))</f>
        <v>100</v>
      </c>
      <c r="AU48" s="123" cm="1">
        <f t="array" ref="AU48">CHOOSE($H48,SUMPRODUCT($O49:$O$75*AU49:AU$75*($E49:$E$75=$D48)),IF(ISNUMBER(iData!AN48),100*ABS($G48-(iData!AN48-$K48)/$M48),0),IF(ISNUMBER(iData!AN48),100*ABS($G48-(iData!AN48-$I48)/$M48),0),IF(iData!AN48&gt;tblIndicators!$AI44,100,IF(ISNUMBER(iData!AN48),100*ABS($G48-(iData!AN48-$I48)/$M48),0)),IF(iData!AN48&lt;0,100,IF(ISNUMBER(iData!AN48),100*ABS($G48-(iData!AN48-$I48)/$M48),0)))</f>
        <v>100</v>
      </c>
      <c r="AV48" s="367"/>
      <c r="AW48" s="368"/>
      <c r="AX48" s="14"/>
      <c r="AY48" s="871">
        <f t="shared" si="40"/>
        <v>100</v>
      </c>
      <c r="AZ48" s="871">
        <f t="shared" si="41"/>
        <v>100</v>
      </c>
      <c r="BA48" s="871">
        <f t="shared" si="42"/>
        <v>50</v>
      </c>
      <c r="BB48" s="871">
        <f t="shared" si="43"/>
        <v>100</v>
      </c>
      <c r="BC48" s="871">
        <f t="shared" si="44"/>
        <v>100</v>
      </c>
      <c r="BD48" s="871">
        <f t="shared" si="45"/>
        <v>100</v>
      </c>
      <c r="BE48" s="871">
        <f t="shared" si="46"/>
        <v>100</v>
      </c>
      <c r="BF48" s="871">
        <f t="shared" si="47"/>
        <v>100</v>
      </c>
      <c r="BG48" s="871">
        <f t="shared" si="48"/>
        <v>50</v>
      </c>
      <c r="BH48" s="871">
        <f t="shared" si="49"/>
        <v>50</v>
      </c>
      <c r="BI48" s="871">
        <f t="shared" si="50"/>
        <v>100</v>
      </c>
      <c r="BJ48" s="871">
        <f t="shared" si="51"/>
        <v>100</v>
      </c>
      <c r="BK48" s="871">
        <f t="shared" si="52"/>
        <v>50</v>
      </c>
      <c r="BL48" s="871">
        <f t="shared" si="53"/>
        <v>100</v>
      </c>
      <c r="BM48" s="871">
        <f t="shared" si="54"/>
        <v>100</v>
      </c>
      <c r="BN48" s="871">
        <f t="shared" si="55"/>
        <v>100</v>
      </c>
      <c r="BO48" s="871">
        <f t="shared" si="56"/>
        <v>100</v>
      </c>
      <c r="BP48" s="871">
        <f t="shared" si="57"/>
        <v>100</v>
      </c>
      <c r="BQ48" s="871">
        <f t="shared" si="58"/>
        <v>50</v>
      </c>
      <c r="BR48" s="871">
        <f t="shared" si="59"/>
        <v>50</v>
      </c>
      <c r="BS48" s="871">
        <f t="shared" si="60"/>
        <v>100</v>
      </c>
      <c r="BT48" s="871">
        <f t="shared" si="61"/>
        <v>100</v>
      </c>
      <c r="BU48" s="871">
        <f t="shared" si="62"/>
        <v>100</v>
      </c>
      <c r="BV48" s="871">
        <f t="shared" si="63"/>
        <v>100</v>
      </c>
      <c r="BW48" s="871">
        <f t="shared" si="64"/>
        <v>100</v>
      </c>
      <c r="BX48" s="871">
        <f t="shared" si="65"/>
        <v>100</v>
      </c>
      <c r="BY48" s="871">
        <f t="shared" si="66"/>
        <v>100</v>
      </c>
      <c r="BZ48" s="871">
        <f t="shared" si="67"/>
        <v>100</v>
      </c>
      <c r="CA48" s="871">
        <f t="shared" si="68"/>
        <v>100</v>
      </c>
      <c r="CB48" s="871">
        <f t="shared" si="69"/>
        <v>100</v>
      </c>
      <c r="CD48" s="304">
        <f t="shared" ca="1" si="103"/>
        <v>90</v>
      </c>
      <c r="CE48" s="304">
        <f t="shared" ca="1" si="103"/>
        <v>90</v>
      </c>
      <c r="CF48" s="304">
        <f t="shared" ca="1" si="103"/>
        <v>87.5</v>
      </c>
      <c r="CG48" s="302">
        <f t="shared" ca="1" si="103"/>
        <v>100</v>
      </c>
      <c r="CH48" s="302">
        <f t="shared" ca="1" si="103"/>
        <v>100</v>
      </c>
      <c r="CI48" s="302">
        <f t="shared" ca="1" si="103"/>
        <v>50</v>
      </c>
      <c r="CJ48" s="302">
        <f t="shared" ca="1" si="103"/>
        <v>75</v>
      </c>
      <c r="CK48" s="302">
        <f t="shared" ca="1" si="103"/>
        <v>66.7</v>
      </c>
      <c r="CL48" s="302">
        <f t="shared" ca="1" si="103"/>
        <v>91.7</v>
      </c>
      <c r="CM48" s="302">
        <f t="shared" ca="1" si="103"/>
        <v>92.9</v>
      </c>
      <c r="CN48" s="302">
        <f t="shared" ca="1" si="105"/>
        <v>93.8</v>
      </c>
      <c r="CO48" s="302">
        <f t="shared" ca="1" si="105"/>
        <v>94.4</v>
      </c>
      <c r="CP48" s="302">
        <f t="shared" ca="1" si="105"/>
        <v>87.5</v>
      </c>
      <c r="CQ48" s="302">
        <f t="shared" ca="1" si="105"/>
        <v>83.3</v>
      </c>
    </row>
    <row r="49" spans="1:95" s="124" customFormat="1" ht="27.75" customHeight="1" thickBot="1">
      <c r="A49" s="118"/>
      <c r="B49" s="119">
        <f>tblIndicators!A45</f>
        <v>44</v>
      </c>
      <c r="C49" s="119">
        <f>tblIndicators!B45</f>
        <v>0</v>
      </c>
      <c r="D49" s="119" t="str">
        <f>tblIndicators!E45</f>
        <v>CULT3_2_2</v>
      </c>
      <c r="E49" s="119" t="str">
        <f>tblIndicators!F45</f>
        <v>CULT3_2</v>
      </c>
      <c r="F49" s="119">
        <f>tblIndicators!G45</f>
        <v>3</v>
      </c>
      <c r="G49" s="119">
        <f>tblIndicators!AF45</f>
        <v>0</v>
      </c>
      <c r="H49" s="119">
        <f>tblIndicators!AG45</f>
        <v>3</v>
      </c>
      <c r="I49" s="120">
        <f>tblIndicators!AH45</f>
        <v>0</v>
      </c>
      <c r="J49" s="119">
        <f>tblIndicators!AI45</f>
        <v>4</v>
      </c>
      <c r="K49" s="119">
        <f t="array" ref="K49">MIN(IF(ISNUMBER(iData!K49:AN49),iData!K49:AN49))</f>
        <v>2</v>
      </c>
      <c r="L49" s="121">
        <f t="array" ref="L49">MAX(IF(ISNUMBER(iData!K49:AN49),iData!K49:AN49))</f>
        <v>4</v>
      </c>
      <c r="M49" s="51">
        <f t="shared" si="106"/>
        <v>4</v>
      </c>
      <c r="N49" s="122" t="str">
        <f>REPT(" ",F49)&amp;tblIndicators!AM45</f>
        <v xml:space="preserve">   3.2.2) Cyber security preparedness</v>
      </c>
      <c r="O49" s="381">
        <f>tblIndicators!AR45</f>
        <v>0.2</v>
      </c>
      <c r="P49" s="381"/>
      <c r="Q49" s="323"/>
      <c r="R49" s="123" cm="1">
        <f t="array" ref="R49">CHOOSE($H49,SUMPRODUCT($O50:$O$75*R50:R$75*($E50:$E$75=$D49)),IF(ISNUMBER(iData!K49),100*ABS($G49-(iData!K49-$K49)/$M49),0),IF(ISNUMBER(iData!K49),100*ABS($G49-(iData!K49-$I49)/$M49),0),IF(iData!K49&gt;tblIndicators!$AI45,100,IF(ISNUMBER(iData!K49),100*ABS($G49-(iData!K49-$I49)/$M49),0)),IF(iData!K49&lt;0,100,IF(ISNUMBER(iData!K49),100*ABS($G49-(iData!K49-$I49)/$M49),0)))</f>
        <v>75</v>
      </c>
      <c r="S49" s="123" cm="1">
        <f t="array" ref="S49">CHOOSE($H49,SUMPRODUCT($O50:$O$75*S50:S$75*($E50:$E$75=$D49)),IF(ISNUMBER(iData!L49),100*ABS($G49-(iData!L49-$K49)/$M49),0),IF(ISNUMBER(iData!L49),100*ABS($G49-(iData!L49-$I49)/$M49),0),IF(iData!L49&gt;tblIndicators!$AI45,100,IF(ISNUMBER(iData!L49),100*ABS($G49-(iData!L49-$I49)/$M49),0)),IF(iData!L49&lt;0,100,IF(ISNUMBER(iData!L49),100*ABS($G49-(iData!L49-$I49)/$M49),0)))</f>
        <v>100</v>
      </c>
      <c r="T49" s="123" cm="1">
        <f t="array" ref="T49">CHOOSE($H49,SUMPRODUCT($O50:$O$75*T50:T$75*($E50:$E$75=$D49)),IF(ISNUMBER(iData!M49),100*ABS($G49-(iData!M49-$K49)/$M49),0),IF(ISNUMBER(iData!M49),100*ABS($G49-(iData!M49-$I49)/$M49),0),IF(iData!M49&gt;tblIndicators!$AI45,100,IF(ISNUMBER(iData!M49),100*ABS($G49-(iData!M49-$I49)/$M49),0)),IF(iData!M49&lt;0,100,IF(ISNUMBER(iData!M49),100*ABS($G49-(iData!M49-$I49)/$M49),0)))</f>
        <v>50</v>
      </c>
      <c r="U49" s="123" cm="1">
        <f t="array" ref="U49">CHOOSE($H49,SUMPRODUCT($O50:$O$75*U50:U$75*($E50:$E$75=$D49)),IF(ISNUMBER(iData!N49),100*ABS($G49-(iData!N49-$K49)/$M49),0),IF(ISNUMBER(iData!N49),100*ABS($G49-(iData!N49-$I49)/$M49),0),IF(iData!N49&gt;tblIndicators!$AI45,100,IF(ISNUMBER(iData!N49),100*ABS($G49-(iData!N49-$I49)/$M49),0)),IF(iData!N49&lt;0,100,IF(ISNUMBER(iData!N49),100*ABS($G49-(iData!N49-$I49)/$M49),0)))</f>
        <v>75</v>
      </c>
      <c r="V49" s="123" cm="1">
        <f t="array" ref="V49">CHOOSE($H49,SUMPRODUCT($O50:$O$75*V50:V$75*($E50:$E$75=$D49)),IF(ISNUMBER(iData!O49),100*ABS($G49-(iData!O49-$K49)/$M49),0),IF(ISNUMBER(iData!O49),100*ABS($G49-(iData!O49-$I49)/$M49),0),IF(iData!O49&gt;tblIndicators!$AI45,100,IF(ISNUMBER(iData!O49),100*ABS($G49-(iData!O49-$I49)/$M49),0)),IF(iData!O49&lt;0,100,IF(ISNUMBER(iData!O49),100*ABS($G49-(iData!O49-$I49)/$M49),0)))</f>
        <v>75</v>
      </c>
      <c r="W49" s="123" cm="1">
        <f t="array" ref="W49">CHOOSE($H49,SUMPRODUCT($O50:$O$75*W50:W$75*($E50:$E$75=$D49)),IF(ISNUMBER(iData!P49),100*ABS($G49-(iData!P49-$K49)/$M49),0),IF(ISNUMBER(iData!P49),100*ABS($G49-(iData!P49-$I49)/$M49),0),IF(iData!P49&gt;tblIndicators!$AI45,100,IF(ISNUMBER(iData!P49),100*ABS($G49-(iData!P49-$I49)/$M49),0)),IF(iData!P49&lt;0,100,IF(ISNUMBER(iData!P49),100*ABS($G49-(iData!P49-$I49)/$M49),0)))</f>
        <v>75</v>
      </c>
      <c r="X49" s="123" cm="1">
        <f t="array" ref="X49">CHOOSE($H49,SUMPRODUCT($O50:$O$75*X50:X$75*($E50:$E$75=$D49)),IF(ISNUMBER(iData!Q49),100*ABS($G49-(iData!Q49-$K49)/$M49),0),IF(ISNUMBER(iData!Q49),100*ABS($G49-(iData!Q49-$I49)/$M49),0),IF(iData!Q49&gt;tblIndicators!$AI45,100,IF(ISNUMBER(iData!Q49),100*ABS($G49-(iData!Q49-$I49)/$M49),0)),IF(iData!Q49&lt;0,100,IF(ISNUMBER(iData!Q49),100*ABS($G49-(iData!Q49-$I49)/$M49),0)))</f>
        <v>75</v>
      </c>
      <c r="Y49" s="123" cm="1">
        <f t="array" ref="Y49">CHOOSE($H49,SUMPRODUCT($O50:$O$75*Y50:Y$75*($E50:$E$75=$D49)),IF(ISNUMBER(iData!R49),100*ABS($G49-(iData!R49-$K49)/$M49),0),IF(ISNUMBER(iData!R49),100*ABS($G49-(iData!R49-$I49)/$M49),0),IF(iData!R49&gt;tblIndicators!$AI45,100,IF(ISNUMBER(iData!R49),100*ABS($G49-(iData!R49-$I49)/$M49),0)),IF(iData!R49&lt;0,100,IF(ISNUMBER(iData!R49),100*ABS($G49-(iData!R49-$I49)/$M49),0)))</f>
        <v>100</v>
      </c>
      <c r="Z49" s="123" cm="1">
        <f t="array" ref="Z49">CHOOSE($H49,SUMPRODUCT($O50:$O$75*Z50:Z$75*($E50:$E$75=$D49)),IF(ISNUMBER(iData!S49),100*ABS($G49-(iData!S49-$K49)/$M49),0),IF(ISNUMBER(iData!S49),100*ABS($G49-(iData!S49-$I49)/$M49),0),IF(iData!S49&gt;tblIndicators!$AI45,100,IF(ISNUMBER(iData!S49),100*ABS($G49-(iData!S49-$I49)/$M49),0)),IF(iData!S49&lt;0,100,IF(ISNUMBER(iData!S49),100*ABS($G49-(iData!S49-$I49)/$M49),0)))</f>
        <v>100</v>
      </c>
      <c r="AA49" s="123" cm="1">
        <f t="array" ref="AA49">CHOOSE($H49,SUMPRODUCT($O50:$O$75*AA50:AA$75*($E50:$E$75=$D49)),IF(ISNUMBER(iData!T49),100*ABS($G49-(iData!T49-$K49)/$M49),0),IF(ISNUMBER(iData!T49),100*ABS($G49-(iData!T49-$I49)/$M49),0),IF(iData!T49&gt;tblIndicators!$AI45,100,IF(ISNUMBER(iData!T49),100*ABS($G49-(iData!T49-$I49)/$M49),0)),IF(iData!T49&lt;0,100,IF(ISNUMBER(iData!T49),100*ABS($G49-(iData!T49-$I49)/$M49),0)))</f>
        <v>75</v>
      </c>
      <c r="AB49" s="123" cm="1">
        <f t="array" ref="AB49">CHOOSE($H49,SUMPRODUCT($O50:$O$75*AB50:AB$75*($E50:$E$75=$D49)),IF(ISNUMBER(iData!U49),100*ABS($G49-(iData!U49-$K49)/$M49),0),IF(ISNUMBER(iData!U49),100*ABS($G49-(iData!U49-$I49)/$M49),0),IF(iData!U49&gt;tblIndicators!$AI45,100,IF(ISNUMBER(iData!U49),100*ABS($G49-(iData!U49-$I49)/$M49),0)),IF(iData!U49&lt;0,100,IF(ISNUMBER(iData!U49),100*ABS($G49-(iData!U49-$I49)/$M49),0)))</f>
        <v>75</v>
      </c>
      <c r="AC49" s="123" cm="1">
        <f t="array" ref="AC49">CHOOSE($H49,SUMPRODUCT($O50:$O$75*AC50:AC$75*($E50:$E$75=$D49)),IF(ISNUMBER(iData!V49),100*ABS($G49-(iData!V49-$K49)/$M49),0),IF(ISNUMBER(iData!V49),100*ABS($G49-(iData!V49-$I49)/$M49),0),IF(iData!V49&gt;tblIndicators!$AI45,100,IF(ISNUMBER(iData!V49),100*ABS($G49-(iData!V49-$I49)/$M49),0)),IF(iData!V49&lt;0,100,IF(ISNUMBER(iData!V49),100*ABS($G49-(iData!V49-$I49)/$M49),0)))</f>
        <v>50</v>
      </c>
      <c r="AD49" s="123" cm="1">
        <f t="array" ref="AD49">CHOOSE($H49,SUMPRODUCT($O50:$O$75*AD50:AD$75*($E50:$E$75=$D49)),IF(ISNUMBER(iData!W49),100*ABS($G49-(iData!W49-$K49)/$M49),0),IF(ISNUMBER(iData!W49),100*ABS($G49-(iData!W49-$I49)/$M49),0),IF(iData!W49&gt;tblIndicators!$AI45,100,IF(ISNUMBER(iData!W49),100*ABS($G49-(iData!W49-$I49)/$M49),0)),IF(iData!W49&lt;0,100,IF(ISNUMBER(iData!W49),100*ABS($G49-(iData!W49-$I49)/$M49),0)))</f>
        <v>75</v>
      </c>
      <c r="AE49" s="123" cm="1">
        <f t="array" ref="AE49">CHOOSE($H49,SUMPRODUCT($O50:$O$75*AE50:AE$75*($E50:$E$75=$D49)),IF(ISNUMBER(iData!X49),100*ABS($G49-(iData!X49-$K49)/$M49),0),IF(ISNUMBER(iData!X49),100*ABS($G49-(iData!X49-$I49)/$M49),0),IF(iData!X49&gt;tblIndicators!$AI45,100,IF(ISNUMBER(iData!X49),100*ABS($G49-(iData!X49-$I49)/$M49),0)),IF(iData!X49&lt;0,100,IF(ISNUMBER(iData!X49),100*ABS($G49-(iData!X49-$I49)/$M49),0)))</f>
        <v>100</v>
      </c>
      <c r="AF49" s="123" cm="1">
        <f t="array" ref="AF49">CHOOSE($H49,SUMPRODUCT($O50:$O$75*AF50:AF$75*($E50:$E$75=$D49)),IF(ISNUMBER(iData!Y49),100*ABS($G49-(iData!Y49-$K49)/$M49),0),IF(ISNUMBER(iData!Y49),100*ABS($G49-(iData!Y49-$I49)/$M49),0),IF(iData!Y49&gt;tblIndicators!$AI45,100,IF(ISNUMBER(iData!Y49),100*ABS($G49-(iData!Y49-$I49)/$M49),0)),IF(iData!Y49&lt;0,100,IF(ISNUMBER(iData!Y49),100*ABS($G49-(iData!Y49-$I49)/$M49),0)))</f>
        <v>75</v>
      </c>
      <c r="AG49" s="123" cm="1">
        <f t="array" ref="AG49">CHOOSE($H49,SUMPRODUCT($O50:$O$75*AG50:AG$75*($E50:$E$75=$D49)),IF(ISNUMBER(iData!Z49),100*ABS($G49-(iData!Z49-$K49)/$M49),0),IF(ISNUMBER(iData!Z49),100*ABS($G49-(iData!Z49-$I49)/$M49),0),IF(iData!Z49&gt;tblIndicators!$AI45,100,IF(ISNUMBER(iData!Z49),100*ABS($G49-(iData!Z49-$I49)/$M49),0)),IF(iData!Z49&lt;0,100,IF(ISNUMBER(iData!Z49),100*ABS($G49-(iData!Z49-$I49)/$M49),0)))</f>
        <v>75</v>
      </c>
      <c r="AH49" s="123" cm="1">
        <f t="array" ref="AH49">CHOOSE($H49,SUMPRODUCT($O50:$O$75*AH50:AH$75*($E50:$E$75=$D49)),IF(ISNUMBER(iData!AA49),100*ABS($G49-(iData!AA49-$K49)/$M49),0),IF(ISNUMBER(iData!AA49),100*ABS($G49-(iData!AA49-$I49)/$M49),0),IF(iData!AA49&gt;tblIndicators!$AI45,100,IF(ISNUMBER(iData!AA49),100*ABS($G49-(iData!AA49-$I49)/$M49),0)),IF(iData!AA49&lt;0,100,IF(ISNUMBER(iData!AA49),100*ABS($G49-(iData!AA49-$I49)/$M49),0)))</f>
        <v>50</v>
      </c>
      <c r="AI49" s="123" cm="1">
        <f t="array" ref="AI49">CHOOSE($H49,SUMPRODUCT($O50:$O$75*AI50:AI$75*($E50:$E$75=$D49)),IF(ISNUMBER(iData!AB49),100*ABS($G49-(iData!AB49-$K49)/$M49),0),IF(ISNUMBER(iData!AB49),100*ABS($G49-(iData!AB49-$I49)/$M49),0),IF(iData!AB49&gt;tblIndicators!$AI45,100,IF(ISNUMBER(iData!AB49),100*ABS($G49-(iData!AB49-$I49)/$M49),0)),IF(iData!AB49&lt;0,100,IF(ISNUMBER(iData!AB49),100*ABS($G49-(iData!AB49-$I49)/$M49),0)))</f>
        <v>50</v>
      </c>
      <c r="AJ49" s="123" cm="1">
        <f t="array" ref="AJ49">CHOOSE($H49,SUMPRODUCT($O50:$O$75*AJ50:AJ$75*($E50:$E$75=$D49)),IF(ISNUMBER(iData!AC49),100*ABS($G49-(iData!AC49-$K49)/$M49),0),IF(ISNUMBER(iData!AC49),100*ABS($G49-(iData!AC49-$I49)/$M49),0),IF(iData!AC49&gt;tblIndicators!$AI45,100,IF(ISNUMBER(iData!AC49),100*ABS($G49-(iData!AC49-$I49)/$M49),0)),IF(iData!AC49&lt;0,100,IF(ISNUMBER(iData!AC49),100*ABS($G49-(iData!AC49-$I49)/$M49),0)))</f>
        <v>50</v>
      </c>
      <c r="AK49" s="123" cm="1">
        <f t="array" ref="AK49">CHOOSE($H49,SUMPRODUCT($O50:$O$75*AK50:AK$75*($E50:$E$75=$D49)),IF(ISNUMBER(iData!AD49),100*ABS($G49-(iData!AD49-$K49)/$M49),0),IF(ISNUMBER(iData!AD49),100*ABS($G49-(iData!AD49-$I49)/$M49),0),IF(iData!AD49&gt;tblIndicators!$AI45,100,IF(ISNUMBER(iData!AD49),100*ABS($G49-(iData!AD49-$I49)/$M49),0)),IF(iData!AD49&lt;0,100,IF(ISNUMBER(iData!AD49),100*ABS($G49-(iData!AD49-$I49)/$M49),0)))</f>
        <v>100</v>
      </c>
      <c r="AL49" s="123" cm="1">
        <f t="array" ref="AL49">CHOOSE($H49,SUMPRODUCT($O50:$O$75*AL50:AL$75*($E50:$E$75=$D49)),IF(ISNUMBER(iData!AE49),100*ABS($G49-(iData!AE49-$K49)/$M49),0),IF(ISNUMBER(iData!AE49),100*ABS($G49-(iData!AE49-$I49)/$M49),0),IF(iData!AE49&gt;tblIndicators!$AI45,100,IF(ISNUMBER(iData!AE49),100*ABS($G49-(iData!AE49-$I49)/$M49),0)),IF(iData!AE49&lt;0,100,IF(ISNUMBER(iData!AE49),100*ABS($G49-(iData!AE49-$I49)/$M49),0)))</f>
        <v>75</v>
      </c>
      <c r="AM49" s="123" cm="1">
        <f t="array" ref="AM49">CHOOSE($H49,SUMPRODUCT($O50:$O$75*AM50:AM$75*($E50:$E$75=$D49)),IF(ISNUMBER(iData!AF49),100*ABS($G49-(iData!AF49-$K49)/$M49),0),IF(ISNUMBER(iData!AF49),100*ABS($G49-(iData!AF49-$I49)/$M49),0),IF(iData!AF49&gt;tblIndicators!$AI45,100,IF(ISNUMBER(iData!AF49),100*ABS($G49-(iData!AF49-$I49)/$M49),0)),IF(iData!AF49&lt;0,100,IF(ISNUMBER(iData!AF49),100*ABS($G49-(iData!AF49-$I49)/$M49),0)))</f>
        <v>50</v>
      </c>
      <c r="AN49" s="123" cm="1">
        <f t="array" ref="AN49">CHOOSE($H49,SUMPRODUCT($O50:$O$75*AN50:AN$75*($E50:$E$75=$D49)),IF(ISNUMBER(iData!AG49),100*ABS($G49-(iData!AG49-$K49)/$M49),0),IF(ISNUMBER(iData!AG49),100*ABS($G49-(iData!AG49-$I49)/$M49),0),IF(iData!AG49&gt;tblIndicators!$AI45,100,IF(ISNUMBER(iData!AG49),100*ABS($G49-(iData!AG49-$I49)/$M49),0)),IF(iData!AG49&lt;0,100,IF(ISNUMBER(iData!AG49),100*ABS($G49-(iData!AG49-$I49)/$M49),0)))</f>
        <v>75</v>
      </c>
      <c r="AO49" s="123" cm="1">
        <f t="array" ref="AO49">CHOOSE($H49,SUMPRODUCT($O50:$O$75*AO50:AO$75*($E50:$E$75=$D49)),IF(ISNUMBER(iData!AH49),100*ABS($G49-(iData!AH49-$K49)/$M49),0),IF(ISNUMBER(iData!AH49),100*ABS($G49-(iData!AH49-$I49)/$M49),0),IF(iData!AH49&gt;tblIndicators!$AI45,100,IF(ISNUMBER(iData!AH49),100*ABS($G49-(iData!AH49-$I49)/$M49),0)),IF(iData!AH49&lt;0,100,IF(ISNUMBER(iData!AH49),100*ABS($G49-(iData!AH49-$I49)/$M49),0)))</f>
        <v>100</v>
      </c>
      <c r="AP49" s="123" cm="1">
        <f t="array" ref="AP49">CHOOSE($H49,SUMPRODUCT($O50:$O$75*AP50:AP$75*($E50:$E$75=$D49)),IF(ISNUMBER(iData!AI49),100*ABS($G49-(iData!AI49-$K49)/$M49),0),IF(ISNUMBER(iData!AI49),100*ABS($G49-(iData!AI49-$I49)/$M49),0),IF(iData!AI49&gt;tblIndicators!$AI45,100,IF(ISNUMBER(iData!AI49),100*ABS($G49-(iData!AI49-$I49)/$M49),0)),IF(iData!AI49&lt;0,100,IF(ISNUMBER(iData!AI49),100*ABS($G49-(iData!AI49-$I49)/$M49),0)))</f>
        <v>75</v>
      </c>
      <c r="AQ49" s="123" cm="1">
        <f t="array" ref="AQ49">CHOOSE($H49,SUMPRODUCT($O50:$O$75*AQ50:AQ$75*($E50:$E$75=$D49)),IF(ISNUMBER(iData!AJ49),100*ABS($G49-(iData!AJ49-$K49)/$M49),0),IF(ISNUMBER(iData!AJ49),100*ABS($G49-(iData!AJ49-$I49)/$M49),0),IF(iData!AJ49&gt;tblIndicators!$AI45,100,IF(ISNUMBER(iData!AJ49),100*ABS($G49-(iData!AJ49-$I49)/$M49),0)),IF(iData!AJ49&lt;0,100,IF(ISNUMBER(iData!AJ49),100*ABS($G49-(iData!AJ49-$I49)/$M49),0)))</f>
        <v>75</v>
      </c>
      <c r="AR49" s="123" cm="1">
        <f t="array" ref="AR49">CHOOSE($H49,SUMPRODUCT($O50:$O$75*AR50:AR$75*($E50:$E$75=$D49)),IF(ISNUMBER(iData!AK49),100*ABS($G49-(iData!AK49-$K49)/$M49),0),IF(ISNUMBER(iData!AK49),100*ABS($G49-(iData!AK49-$I49)/$M49),0),IF(iData!AK49&gt;tblIndicators!$AI45,100,IF(ISNUMBER(iData!AK49),100*ABS($G49-(iData!AK49-$I49)/$M49),0)),IF(iData!AK49&lt;0,100,IF(ISNUMBER(iData!AK49),100*ABS($G49-(iData!AK49-$I49)/$M49),0)))</f>
        <v>75</v>
      </c>
      <c r="AS49" s="123" cm="1">
        <f t="array" ref="AS49">CHOOSE($H49,SUMPRODUCT($O50:$O$75*AS50:AS$75*($E50:$E$75=$D49)),IF(ISNUMBER(iData!AL49),100*ABS($G49-(iData!AL49-$K49)/$M49),0),IF(ISNUMBER(iData!AL49),100*ABS($G49-(iData!AL49-$I49)/$M49),0),IF(iData!AL49&gt;tblIndicators!$AI45,100,IF(ISNUMBER(iData!AL49),100*ABS($G49-(iData!AL49-$I49)/$M49),0)),IF(iData!AL49&lt;0,100,IF(ISNUMBER(iData!AL49),100*ABS($G49-(iData!AL49-$I49)/$M49),0)))</f>
        <v>100</v>
      </c>
      <c r="AT49" s="123" cm="1">
        <f t="array" ref="AT49">CHOOSE($H49,SUMPRODUCT($O50:$O$75*AT50:AT$75*($E50:$E$75=$D49)),IF(ISNUMBER(iData!AM49),100*ABS($G49-(iData!AM49-$K49)/$M49),0),IF(ISNUMBER(iData!AM49),100*ABS($G49-(iData!AM49-$I49)/$M49),0),IF(iData!AM49&gt;tblIndicators!$AI45,100,IF(ISNUMBER(iData!AM49),100*ABS($G49-(iData!AM49-$I49)/$M49),0)),IF(iData!AM49&lt;0,100,IF(ISNUMBER(iData!AM49),100*ABS($G49-(iData!AM49-$I49)/$M49),0)))</f>
        <v>100</v>
      </c>
      <c r="AU49" s="123" cm="1">
        <f t="array" ref="AU49">CHOOSE($H49,SUMPRODUCT($O50:$O$75*AU50:AU$75*($E50:$E$75=$D49)),IF(ISNUMBER(iData!AN49),100*ABS($G49-(iData!AN49-$K49)/$M49),0),IF(ISNUMBER(iData!AN49),100*ABS($G49-(iData!AN49-$I49)/$M49),0),IF(iData!AN49&gt;tblIndicators!$AI45,100,IF(ISNUMBER(iData!AN49),100*ABS($G49-(iData!AN49-$I49)/$M49),0)),IF(iData!AN49&lt;0,100,IF(ISNUMBER(iData!AN49),100*ABS($G49-(iData!AN49-$I49)/$M49),0)))</f>
        <v>100</v>
      </c>
      <c r="AV49" s="367"/>
      <c r="AW49" s="368"/>
      <c r="AX49" s="14"/>
      <c r="AY49" s="871">
        <f t="shared" si="40"/>
        <v>75</v>
      </c>
      <c r="AZ49" s="871">
        <f t="shared" si="41"/>
        <v>100</v>
      </c>
      <c r="BA49" s="871">
        <f t="shared" si="42"/>
        <v>50</v>
      </c>
      <c r="BB49" s="871">
        <f t="shared" si="43"/>
        <v>75</v>
      </c>
      <c r="BC49" s="871">
        <f t="shared" si="44"/>
        <v>75</v>
      </c>
      <c r="BD49" s="871">
        <f t="shared" si="45"/>
        <v>75</v>
      </c>
      <c r="BE49" s="871">
        <f t="shared" si="46"/>
        <v>75</v>
      </c>
      <c r="BF49" s="871">
        <f t="shared" si="47"/>
        <v>100</v>
      </c>
      <c r="BG49" s="871">
        <f t="shared" si="48"/>
        <v>100</v>
      </c>
      <c r="BH49" s="871">
        <f t="shared" si="49"/>
        <v>75</v>
      </c>
      <c r="BI49" s="871">
        <f t="shared" si="50"/>
        <v>75</v>
      </c>
      <c r="BJ49" s="871">
        <f t="shared" si="51"/>
        <v>50</v>
      </c>
      <c r="BK49" s="871">
        <f t="shared" si="52"/>
        <v>75</v>
      </c>
      <c r="BL49" s="871">
        <f t="shared" si="53"/>
        <v>100</v>
      </c>
      <c r="BM49" s="871">
        <f t="shared" si="54"/>
        <v>75</v>
      </c>
      <c r="BN49" s="871">
        <f t="shared" si="55"/>
        <v>75</v>
      </c>
      <c r="BO49" s="871">
        <f t="shared" si="56"/>
        <v>50</v>
      </c>
      <c r="BP49" s="871">
        <f t="shared" si="57"/>
        <v>50</v>
      </c>
      <c r="BQ49" s="871">
        <f t="shared" si="58"/>
        <v>50</v>
      </c>
      <c r="BR49" s="871">
        <f t="shared" si="59"/>
        <v>100</v>
      </c>
      <c r="BS49" s="871">
        <f t="shared" si="60"/>
        <v>75</v>
      </c>
      <c r="BT49" s="871">
        <f t="shared" si="61"/>
        <v>50</v>
      </c>
      <c r="BU49" s="871">
        <f t="shared" si="62"/>
        <v>75</v>
      </c>
      <c r="BV49" s="871">
        <f t="shared" si="63"/>
        <v>100</v>
      </c>
      <c r="BW49" s="871">
        <f t="shared" si="64"/>
        <v>75</v>
      </c>
      <c r="BX49" s="871">
        <f t="shared" si="65"/>
        <v>75</v>
      </c>
      <c r="BY49" s="871">
        <f t="shared" si="66"/>
        <v>75</v>
      </c>
      <c r="BZ49" s="871">
        <f t="shared" si="67"/>
        <v>100</v>
      </c>
      <c r="CA49" s="871">
        <f t="shared" si="68"/>
        <v>100</v>
      </c>
      <c r="CB49" s="871">
        <f t="shared" si="69"/>
        <v>100</v>
      </c>
      <c r="CD49" s="304">
        <f t="shared" ca="1" si="103"/>
        <v>77.5</v>
      </c>
      <c r="CE49" s="304">
        <f t="shared" ca="1" si="103"/>
        <v>77.5</v>
      </c>
      <c r="CF49" s="304">
        <f t="shared" ca="1" si="103"/>
        <v>72.900000000000006</v>
      </c>
      <c r="CG49" s="302">
        <f t="shared" ca="1" si="103"/>
        <v>77.5</v>
      </c>
      <c r="CH49" s="302">
        <f t="shared" ca="1" si="103"/>
        <v>66.7</v>
      </c>
      <c r="CI49" s="302">
        <f t="shared" ca="1" si="103"/>
        <v>75</v>
      </c>
      <c r="CJ49" s="302">
        <f t="shared" ca="1" si="103"/>
        <v>100</v>
      </c>
      <c r="CK49" s="302">
        <f t="shared" ca="1" si="103"/>
        <v>58.3</v>
      </c>
      <c r="CL49" s="302">
        <f t="shared" ca="1" si="103"/>
        <v>70.8</v>
      </c>
      <c r="CM49" s="302">
        <f t="shared" ca="1" si="103"/>
        <v>82.1</v>
      </c>
      <c r="CN49" s="302">
        <f t="shared" ca="1" si="105"/>
        <v>81.3</v>
      </c>
      <c r="CO49" s="302">
        <f t="shared" ca="1" si="105"/>
        <v>83.3</v>
      </c>
      <c r="CP49" s="302">
        <f t="shared" ca="1" si="105"/>
        <v>62.5</v>
      </c>
      <c r="CQ49" s="302">
        <f t="shared" ca="1" si="105"/>
        <v>75</v>
      </c>
    </row>
    <row r="50" spans="1:95" s="124" customFormat="1" ht="27.75" customHeight="1" thickBot="1">
      <c r="A50" s="118"/>
      <c r="B50" s="119">
        <f>tblIndicators!A46</f>
        <v>45</v>
      </c>
      <c r="C50" s="119">
        <f>tblIndicators!B46</f>
        <v>0</v>
      </c>
      <c r="D50" s="119" t="str">
        <f>tblIndicators!E46</f>
        <v>CULT3_2_3</v>
      </c>
      <c r="E50" s="119" t="str">
        <f>tblIndicators!F46</f>
        <v>CULT3_2</v>
      </c>
      <c r="F50" s="119">
        <f>tblIndicators!G46</f>
        <v>3</v>
      </c>
      <c r="G50" s="119">
        <f>tblIndicators!AF46</f>
        <v>0</v>
      </c>
      <c r="H50" s="119">
        <f>tblIndicators!AG46</f>
        <v>3</v>
      </c>
      <c r="I50" s="120">
        <f>tblIndicators!AH46</f>
        <v>0</v>
      </c>
      <c r="J50" s="119">
        <f>tblIndicators!AI46</f>
        <v>4</v>
      </c>
      <c r="K50" s="119">
        <f t="array" ref="K50">MIN(IF(ISNUMBER(iData!K50:AN50),iData!K50:AN50))</f>
        <v>1</v>
      </c>
      <c r="L50" s="121">
        <f t="array" ref="L50">MAX(IF(ISNUMBER(iData!K50:AN50),iData!K50:AN50))</f>
        <v>4</v>
      </c>
      <c r="M50" s="51">
        <f t="shared" si="106"/>
        <v>4</v>
      </c>
      <c r="N50" s="122" t="str">
        <f>REPT(" ",F50)&amp;tblIndicators!AM46</f>
        <v xml:space="preserve">   3.2.3) Cyber security risk awareness</v>
      </c>
      <c r="O50" s="381">
        <f>tblIndicators!AR46</f>
        <v>0.2</v>
      </c>
      <c r="P50" s="381"/>
      <c r="Q50" s="323"/>
      <c r="R50" s="123" cm="1">
        <f t="array" ref="R50">CHOOSE($H50,SUMPRODUCT($O51:$O$75*R51:R$75*($E51:$E$75=$D50)),IF(ISNUMBER(iData!K50),100*ABS($G50-(iData!K50-$K50)/$M50),0),IF(ISNUMBER(iData!K50),100*ABS($G50-(iData!K50-$I50)/$M50),0),IF(iData!K50&gt;tblIndicators!$AI46,100,IF(ISNUMBER(iData!K50),100*ABS($G50-(iData!K50-$I50)/$M50),0)),IF(iData!K50&lt;0,100,IF(ISNUMBER(iData!K50),100*ABS($G50-(iData!K50-$I50)/$M50),0)))</f>
        <v>50</v>
      </c>
      <c r="S50" s="123" cm="1">
        <f t="array" ref="S50">CHOOSE($H50,SUMPRODUCT($O51:$O$75*S51:S$75*($E51:$E$75=$D50)),IF(ISNUMBER(iData!L50),100*ABS($G50-(iData!L50-$K50)/$M50),0),IF(ISNUMBER(iData!L50),100*ABS($G50-(iData!L50-$I50)/$M50),0),IF(iData!L50&gt;tblIndicators!$AI46,100,IF(ISNUMBER(iData!L50),100*ABS($G50-(iData!L50-$I50)/$M50),0)),IF(iData!L50&lt;0,100,IF(ISNUMBER(iData!L50),100*ABS($G50-(iData!L50-$I50)/$M50),0)))</f>
        <v>50</v>
      </c>
      <c r="T50" s="123" cm="1">
        <f t="array" ref="T50">CHOOSE($H50,SUMPRODUCT($O51:$O$75*T51:T$75*($E51:$E$75=$D50)),IF(ISNUMBER(iData!M50),100*ABS($G50-(iData!M50-$K50)/$M50),0),IF(ISNUMBER(iData!M50),100*ABS($G50-(iData!M50-$I50)/$M50),0),IF(iData!M50&gt;tblIndicators!$AI46,100,IF(ISNUMBER(iData!M50),100*ABS($G50-(iData!M50-$I50)/$M50),0)),IF(iData!M50&lt;0,100,IF(ISNUMBER(iData!M50),100*ABS($G50-(iData!M50-$I50)/$M50),0)))</f>
        <v>50</v>
      </c>
      <c r="U50" s="123" cm="1">
        <f t="array" ref="U50">CHOOSE($H50,SUMPRODUCT($O51:$O$75*U51:U$75*($E51:$E$75=$D50)),IF(ISNUMBER(iData!N50),100*ABS($G50-(iData!N50-$K50)/$M50),0),IF(ISNUMBER(iData!N50),100*ABS($G50-(iData!N50-$I50)/$M50),0),IF(iData!N50&gt;tblIndicators!$AI46,100,IF(ISNUMBER(iData!N50),100*ABS($G50-(iData!N50-$I50)/$M50),0)),IF(iData!N50&lt;0,100,IF(ISNUMBER(iData!N50),100*ABS($G50-(iData!N50-$I50)/$M50),0)))</f>
        <v>50</v>
      </c>
      <c r="V50" s="123" cm="1">
        <f t="array" ref="V50">CHOOSE($H50,SUMPRODUCT($O51:$O$75*V51:V$75*($E51:$E$75=$D50)),IF(ISNUMBER(iData!O50),100*ABS($G50-(iData!O50-$K50)/$M50),0),IF(ISNUMBER(iData!O50),100*ABS($G50-(iData!O50-$I50)/$M50),0),IF(iData!O50&gt;tblIndicators!$AI46,100,IF(ISNUMBER(iData!O50),100*ABS($G50-(iData!O50-$I50)/$M50),0)),IF(iData!O50&lt;0,100,IF(ISNUMBER(iData!O50),100*ABS($G50-(iData!O50-$I50)/$M50),0)))</f>
        <v>75</v>
      </c>
      <c r="W50" s="123" cm="1">
        <f t="array" ref="W50">CHOOSE($H50,SUMPRODUCT($O51:$O$75*W51:W$75*($E51:$E$75=$D50)),IF(ISNUMBER(iData!P50),100*ABS($G50-(iData!P50-$K50)/$M50),0),IF(ISNUMBER(iData!P50),100*ABS($G50-(iData!P50-$I50)/$M50),0),IF(iData!P50&gt;tblIndicators!$AI46,100,IF(ISNUMBER(iData!P50),100*ABS($G50-(iData!P50-$I50)/$M50),0)),IF(iData!P50&lt;0,100,IF(ISNUMBER(iData!P50),100*ABS($G50-(iData!P50-$I50)/$M50),0)))</f>
        <v>75</v>
      </c>
      <c r="X50" s="123" cm="1">
        <f t="array" ref="X50">CHOOSE($H50,SUMPRODUCT($O51:$O$75*X51:X$75*($E51:$E$75=$D50)),IF(ISNUMBER(iData!Q50),100*ABS($G50-(iData!Q50-$K50)/$M50),0),IF(ISNUMBER(iData!Q50),100*ABS($G50-(iData!Q50-$I50)/$M50),0),IF(iData!Q50&gt;tblIndicators!$AI46,100,IF(ISNUMBER(iData!Q50),100*ABS($G50-(iData!Q50-$I50)/$M50),0)),IF(iData!Q50&lt;0,100,IF(ISNUMBER(iData!Q50),100*ABS($G50-(iData!Q50-$I50)/$M50),0)))</f>
        <v>50</v>
      </c>
      <c r="Y50" s="123" cm="1">
        <f t="array" ref="Y50">CHOOSE($H50,SUMPRODUCT($O51:$O$75*Y51:Y$75*($E51:$E$75=$D50)),IF(ISNUMBER(iData!R50),100*ABS($G50-(iData!R50-$K50)/$M50),0),IF(ISNUMBER(iData!R50),100*ABS($G50-(iData!R50-$I50)/$M50),0),IF(iData!R50&gt;tblIndicators!$AI46,100,IF(ISNUMBER(iData!R50),100*ABS($G50-(iData!R50-$I50)/$M50),0)),IF(iData!R50&lt;0,100,IF(ISNUMBER(iData!R50),100*ABS($G50-(iData!R50-$I50)/$M50),0)))</f>
        <v>50</v>
      </c>
      <c r="Z50" s="123" cm="1">
        <f t="array" ref="Z50">CHOOSE($H50,SUMPRODUCT($O51:$O$75*Z51:Z$75*($E51:$E$75=$D50)),IF(ISNUMBER(iData!S50),100*ABS($G50-(iData!S50-$K50)/$M50),0),IF(ISNUMBER(iData!S50),100*ABS($G50-(iData!S50-$I50)/$M50),0),IF(iData!S50&gt;tblIndicators!$AI46,100,IF(ISNUMBER(iData!S50),100*ABS($G50-(iData!S50-$I50)/$M50),0)),IF(iData!S50&lt;0,100,IF(ISNUMBER(iData!S50),100*ABS($G50-(iData!S50-$I50)/$M50),0)))</f>
        <v>75</v>
      </c>
      <c r="AA50" s="123" cm="1">
        <f t="array" ref="AA50">CHOOSE($H50,SUMPRODUCT($O51:$O$75*AA51:AA$75*($E51:$E$75=$D50)),IF(ISNUMBER(iData!T50),100*ABS($G50-(iData!T50-$K50)/$M50),0),IF(ISNUMBER(iData!T50),100*ABS($G50-(iData!T50-$I50)/$M50),0),IF(iData!T50&gt;tblIndicators!$AI46,100,IF(ISNUMBER(iData!T50),100*ABS($G50-(iData!T50-$I50)/$M50),0)),IF(iData!T50&lt;0,100,IF(ISNUMBER(iData!T50),100*ABS($G50-(iData!T50-$I50)/$M50),0)))</f>
        <v>50</v>
      </c>
      <c r="AB50" s="123" cm="1">
        <f t="array" ref="AB50">CHOOSE($H50,SUMPRODUCT($O51:$O$75*AB51:AB$75*($E51:$E$75=$D50)),IF(ISNUMBER(iData!U50),100*ABS($G50-(iData!U50-$K50)/$M50),0),IF(ISNUMBER(iData!U50),100*ABS($G50-(iData!U50-$I50)/$M50),0),IF(iData!U50&gt;tblIndicators!$AI46,100,IF(ISNUMBER(iData!U50),100*ABS($G50-(iData!U50-$I50)/$M50),0)),IF(iData!U50&lt;0,100,IF(ISNUMBER(iData!U50),100*ABS($G50-(iData!U50-$I50)/$M50),0)))</f>
        <v>75</v>
      </c>
      <c r="AC50" s="123" cm="1">
        <f t="array" ref="AC50">CHOOSE($H50,SUMPRODUCT($O51:$O$75*AC51:AC$75*($E51:$E$75=$D50)),IF(ISNUMBER(iData!V50),100*ABS($G50-(iData!V50-$K50)/$M50),0),IF(ISNUMBER(iData!V50),100*ABS($G50-(iData!V50-$I50)/$M50),0),IF(iData!V50&gt;tblIndicators!$AI46,100,IF(ISNUMBER(iData!V50),100*ABS($G50-(iData!V50-$I50)/$M50),0)),IF(iData!V50&lt;0,100,IF(ISNUMBER(iData!V50),100*ABS($G50-(iData!V50-$I50)/$M50),0)))</f>
        <v>50</v>
      </c>
      <c r="AD50" s="123" cm="1">
        <f t="array" ref="AD50">CHOOSE($H50,SUMPRODUCT($O51:$O$75*AD51:AD$75*($E51:$E$75=$D50)),IF(ISNUMBER(iData!W50),100*ABS($G50-(iData!W50-$K50)/$M50),0),IF(ISNUMBER(iData!W50),100*ABS($G50-(iData!W50-$I50)/$M50),0),IF(iData!W50&gt;tblIndicators!$AI46,100,IF(ISNUMBER(iData!W50),100*ABS($G50-(iData!W50-$I50)/$M50),0)),IF(iData!W50&lt;0,100,IF(ISNUMBER(iData!W50),100*ABS($G50-(iData!W50-$I50)/$M50),0)))</f>
        <v>25</v>
      </c>
      <c r="AE50" s="123" cm="1">
        <f t="array" ref="AE50">CHOOSE($H50,SUMPRODUCT($O51:$O$75*AE51:AE$75*($E51:$E$75=$D50)),IF(ISNUMBER(iData!X50),100*ABS($G50-(iData!X50-$K50)/$M50),0),IF(ISNUMBER(iData!X50),100*ABS($G50-(iData!X50-$I50)/$M50),0),IF(iData!X50&gt;tblIndicators!$AI46,100,IF(ISNUMBER(iData!X50),100*ABS($G50-(iData!X50-$I50)/$M50),0)),IF(iData!X50&lt;0,100,IF(ISNUMBER(iData!X50),100*ABS($G50-(iData!X50-$I50)/$M50),0)))</f>
        <v>75</v>
      </c>
      <c r="AF50" s="123" cm="1">
        <f t="array" ref="AF50">CHOOSE($H50,SUMPRODUCT($O51:$O$75*AF51:AF$75*($E51:$E$75=$D50)),IF(ISNUMBER(iData!Y50),100*ABS($G50-(iData!Y50-$K50)/$M50),0),IF(ISNUMBER(iData!Y50),100*ABS($G50-(iData!Y50-$I50)/$M50),0),IF(iData!Y50&gt;tblIndicators!$AI46,100,IF(ISNUMBER(iData!Y50),100*ABS($G50-(iData!Y50-$I50)/$M50),0)),IF(iData!Y50&lt;0,100,IF(ISNUMBER(iData!Y50),100*ABS($G50-(iData!Y50-$I50)/$M50),0)))</f>
        <v>75</v>
      </c>
      <c r="AG50" s="123" cm="1">
        <f t="array" ref="AG50">CHOOSE($H50,SUMPRODUCT($O51:$O$75*AG51:AG$75*($E51:$E$75=$D50)),IF(ISNUMBER(iData!Z50),100*ABS($G50-(iData!Z50-$K50)/$M50),0),IF(ISNUMBER(iData!Z50),100*ABS($G50-(iData!Z50-$I50)/$M50),0),IF(iData!Z50&gt;tblIndicators!$AI46,100,IF(ISNUMBER(iData!Z50),100*ABS($G50-(iData!Z50-$I50)/$M50),0)),IF(iData!Z50&lt;0,100,IF(ISNUMBER(iData!Z50),100*ABS($G50-(iData!Z50-$I50)/$M50),0)))</f>
        <v>50</v>
      </c>
      <c r="AH50" s="123" cm="1">
        <f t="array" ref="AH50">CHOOSE($H50,SUMPRODUCT($O51:$O$75*AH51:AH$75*($E51:$E$75=$D50)),IF(ISNUMBER(iData!AA50),100*ABS($G50-(iData!AA50-$K50)/$M50),0),IF(ISNUMBER(iData!AA50),100*ABS($G50-(iData!AA50-$I50)/$M50),0),IF(iData!AA50&gt;tblIndicators!$AI46,100,IF(ISNUMBER(iData!AA50),100*ABS($G50-(iData!AA50-$I50)/$M50),0)),IF(iData!AA50&lt;0,100,IF(ISNUMBER(iData!AA50),100*ABS($G50-(iData!AA50-$I50)/$M50),0)))</f>
        <v>75</v>
      </c>
      <c r="AI50" s="123" cm="1">
        <f t="array" ref="AI50">CHOOSE($H50,SUMPRODUCT($O51:$O$75*AI51:AI$75*($E51:$E$75=$D50)),IF(ISNUMBER(iData!AB50),100*ABS($G50-(iData!AB50-$K50)/$M50),0),IF(ISNUMBER(iData!AB50),100*ABS($G50-(iData!AB50-$I50)/$M50),0),IF(iData!AB50&gt;tblIndicators!$AI46,100,IF(ISNUMBER(iData!AB50),100*ABS($G50-(iData!AB50-$I50)/$M50),0)),IF(iData!AB50&lt;0,100,IF(ISNUMBER(iData!AB50),100*ABS($G50-(iData!AB50-$I50)/$M50),0)))</f>
        <v>50</v>
      </c>
      <c r="AJ50" s="123" cm="1">
        <f t="array" ref="AJ50">CHOOSE($H50,SUMPRODUCT($O51:$O$75*AJ51:AJ$75*($E51:$E$75=$D50)),IF(ISNUMBER(iData!AC50),100*ABS($G50-(iData!AC50-$K50)/$M50),0),IF(ISNUMBER(iData!AC50),100*ABS($G50-(iData!AC50-$I50)/$M50),0),IF(iData!AC50&gt;tblIndicators!$AI46,100,IF(ISNUMBER(iData!AC50),100*ABS($G50-(iData!AC50-$I50)/$M50),0)),IF(iData!AC50&lt;0,100,IF(ISNUMBER(iData!AC50),100*ABS($G50-(iData!AC50-$I50)/$M50),0)))</f>
        <v>75</v>
      </c>
      <c r="AK50" s="123" cm="1">
        <f t="array" ref="AK50">CHOOSE($H50,SUMPRODUCT($O51:$O$75*AK51:AK$75*($E51:$E$75=$D50)),IF(ISNUMBER(iData!AD50),100*ABS($G50-(iData!AD50-$K50)/$M50),0),IF(ISNUMBER(iData!AD50),100*ABS($G50-(iData!AD50-$I50)/$M50),0),IF(iData!AD50&gt;tblIndicators!$AI46,100,IF(ISNUMBER(iData!AD50),100*ABS($G50-(iData!AD50-$I50)/$M50),0)),IF(iData!AD50&lt;0,100,IF(ISNUMBER(iData!AD50),100*ABS($G50-(iData!AD50-$I50)/$M50),0)))</f>
        <v>75</v>
      </c>
      <c r="AL50" s="123" cm="1">
        <f t="array" ref="AL50">CHOOSE($H50,SUMPRODUCT($O51:$O$75*AL51:AL$75*($E51:$E$75=$D50)),IF(ISNUMBER(iData!AE50),100*ABS($G50-(iData!AE50-$K50)/$M50),0),IF(ISNUMBER(iData!AE50),100*ABS($G50-(iData!AE50-$I50)/$M50),0),IF(iData!AE50&gt;tblIndicators!$AI46,100,IF(ISNUMBER(iData!AE50),100*ABS($G50-(iData!AE50-$I50)/$M50),0)),IF(iData!AE50&lt;0,100,IF(ISNUMBER(iData!AE50),100*ABS($G50-(iData!AE50-$I50)/$M50),0)))</f>
        <v>75</v>
      </c>
      <c r="AM50" s="123" cm="1">
        <f t="array" ref="AM50">CHOOSE($H50,SUMPRODUCT($O51:$O$75*AM51:AM$75*($E51:$E$75=$D50)),IF(ISNUMBER(iData!AF50),100*ABS($G50-(iData!AF50-$K50)/$M50),0),IF(ISNUMBER(iData!AF50),100*ABS($G50-(iData!AF50-$I50)/$M50),0),IF(iData!AF50&gt;tblIndicators!$AI46,100,IF(ISNUMBER(iData!AF50),100*ABS($G50-(iData!AF50-$I50)/$M50),0)),IF(iData!AF50&lt;0,100,IF(ISNUMBER(iData!AF50),100*ABS($G50-(iData!AF50-$I50)/$M50),0)))</f>
        <v>75</v>
      </c>
      <c r="AN50" s="123" cm="1">
        <f t="array" ref="AN50">CHOOSE($H50,SUMPRODUCT($O51:$O$75*AN51:AN$75*($E51:$E$75=$D50)),IF(ISNUMBER(iData!AG50),100*ABS($G50-(iData!AG50-$K50)/$M50),0),IF(ISNUMBER(iData!AG50),100*ABS($G50-(iData!AG50-$I50)/$M50),0),IF(iData!AG50&gt;tblIndicators!$AI46,100,IF(ISNUMBER(iData!AG50),100*ABS($G50-(iData!AG50-$I50)/$M50),0)),IF(iData!AG50&lt;0,100,IF(ISNUMBER(iData!AG50),100*ABS($G50-(iData!AG50-$I50)/$M50),0)))</f>
        <v>75</v>
      </c>
      <c r="AO50" s="123" cm="1">
        <f t="array" ref="AO50">CHOOSE($H50,SUMPRODUCT($O51:$O$75*AO51:AO$75*($E51:$E$75=$D50)),IF(ISNUMBER(iData!AH50),100*ABS($G50-(iData!AH50-$K50)/$M50),0),IF(ISNUMBER(iData!AH50),100*ABS($G50-(iData!AH50-$I50)/$M50),0),IF(iData!AH50&gt;tblIndicators!$AI46,100,IF(ISNUMBER(iData!AH50),100*ABS($G50-(iData!AH50-$I50)/$M50),0)),IF(iData!AH50&lt;0,100,IF(ISNUMBER(iData!AH50),100*ABS($G50-(iData!AH50-$I50)/$M50),0)))</f>
        <v>50</v>
      </c>
      <c r="AP50" s="123" cm="1">
        <f t="array" ref="AP50">CHOOSE($H50,SUMPRODUCT($O51:$O$75*AP51:AP$75*($E51:$E$75=$D50)),IF(ISNUMBER(iData!AI50),100*ABS($G50-(iData!AI50-$K50)/$M50),0),IF(ISNUMBER(iData!AI50),100*ABS($G50-(iData!AI50-$I50)/$M50),0),IF(iData!AI50&gt;tblIndicators!$AI46,100,IF(ISNUMBER(iData!AI50),100*ABS($G50-(iData!AI50-$I50)/$M50),0)),IF(iData!AI50&lt;0,100,IF(ISNUMBER(iData!AI50),100*ABS($G50-(iData!AI50-$I50)/$M50),0)))</f>
        <v>100</v>
      </c>
      <c r="AQ50" s="123" cm="1">
        <f t="array" ref="AQ50">CHOOSE($H50,SUMPRODUCT($O51:$O$75*AQ51:AQ$75*($E51:$E$75=$D50)),IF(ISNUMBER(iData!AJ50),100*ABS($G50-(iData!AJ50-$K50)/$M50),0),IF(ISNUMBER(iData!AJ50),100*ABS($G50-(iData!AJ50-$I50)/$M50),0),IF(iData!AJ50&gt;tblIndicators!$AI46,100,IF(ISNUMBER(iData!AJ50),100*ABS($G50-(iData!AJ50-$I50)/$M50),0)),IF(iData!AJ50&lt;0,100,IF(ISNUMBER(iData!AJ50),100*ABS($G50-(iData!AJ50-$I50)/$M50),0)))</f>
        <v>75</v>
      </c>
      <c r="AR50" s="123" cm="1">
        <f t="array" ref="AR50">CHOOSE($H50,SUMPRODUCT($O51:$O$75*AR51:AR$75*($E51:$E$75=$D50)),IF(ISNUMBER(iData!AK50),100*ABS($G50-(iData!AK50-$K50)/$M50),0),IF(ISNUMBER(iData!AK50),100*ABS($G50-(iData!AK50-$I50)/$M50),0),IF(iData!AK50&gt;tblIndicators!$AI46,100,IF(ISNUMBER(iData!AK50),100*ABS($G50-(iData!AK50-$I50)/$M50),0)),IF(iData!AK50&lt;0,100,IF(ISNUMBER(iData!AK50),100*ABS($G50-(iData!AK50-$I50)/$M50),0)))</f>
        <v>75</v>
      </c>
      <c r="AS50" s="123" cm="1">
        <f t="array" ref="AS50">CHOOSE($H50,SUMPRODUCT($O51:$O$75*AS51:AS$75*($E51:$E$75=$D50)),IF(ISNUMBER(iData!AL50),100*ABS($G50-(iData!AL50-$K50)/$M50),0),IF(ISNUMBER(iData!AL50),100*ABS($G50-(iData!AL50-$I50)/$M50),0),IF(iData!AL50&gt;tblIndicators!$AI46,100,IF(ISNUMBER(iData!AL50),100*ABS($G50-(iData!AL50-$I50)/$M50),0)),IF(iData!AL50&lt;0,100,IF(ISNUMBER(iData!AL50),100*ABS($G50-(iData!AL50-$I50)/$M50),0)))</f>
        <v>100</v>
      </c>
      <c r="AT50" s="123" cm="1">
        <f t="array" ref="AT50">CHOOSE($H50,SUMPRODUCT($O51:$O$75*AT51:AT$75*($E51:$E$75=$D50)),IF(ISNUMBER(iData!AM50),100*ABS($G50-(iData!AM50-$K50)/$M50),0),IF(ISNUMBER(iData!AM50),100*ABS($G50-(iData!AM50-$I50)/$M50),0),IF(iData!AM50&gt;tblIndicators!$AI46,100,IF(ISNUMBER(iData!AM50),100*ABS($G50-(iData!AM50-$I50)/$M50),0)),IF(iData!AM50&lt;0,100,IF(ISNUMBER(iData!AM50),100*ABS($G50-(iData!AM50-$I50)/$M50),0)))</f>
        <v>75</v>
      </c>
      <c r="AU50" s="123" cm="1">
        <f t="array" ref="AU50">CHOOSE($H50,SUMPRODUCT($O51:$O$75*AU51:AU$75*($E51:$E$75=$D50)),IF(ISNUMBER(iData!AN50),100*ABS($G50-(iData!AN50-$K50)/$M50),0),IF(ISNUMBER(iData!AN50),100*ABS($G50-(iData!AN50-$I50)/$M50),0),IF(iData!AN50&gt;tblIndicators!$AI46,100,IF(ISNUMBER(iData!AN50),100*ABS($G50-(iData!AN50-$I50)/$M50),0)),IF(iData!AN50&lt;0,100,IF(ISNUMBER(iData!AN50),100*ABS($G50-(iData!AN50-$I50)/$M50),0)))</f>
        <v>75</v>
      </c>
      <c r="AV50" s="367"/>
      <c r="AW50" s="368"/>
      <c r="AX50" s="14"/>
      <c r="AY50" s="871">
        <f t="shared" si="40"/>
        <v>50</v>
      </c>
      <c r="AZ50" s="871">
        <f t="shared" si="41"/>
        <v>50</v>
      </c>
      <c r="BA50" s="871">
        <f t="shared" si="42"/>
        <v>50</v>
      </c>
      <c r="BB50" s="871">
        <f t="shared" si="43"/>
        <v>50</v>
      </c>
      <c r="BC50" s="871">
        <f t="shared" si="44"/>
        <v>75</v>
      </c>
      <c r="BD50" s="871">
        <f t="shared" si="45"/>
        <v>75</v>
      </c>
      <c r="BE50" s="871">
        <f t="shared" si="46"/>
        <v>50</v>
      </c>
      <c r="BF50" s="871">
        <f t="shared" si="47"/>
        <v>50</v>
      </c>
      <c r="BG50" s="871">
        <f t="shared" si="48"/>
        <v>75</v>
      </c>
      <c r="BH50" s="871">
        <f t="shared" si="49"/>
        <v>50</v>
      </c>
      <c r="BI50" s="871">
        <f t="shared" si="50"/>
        <v>75</v>
      </c>
      <c r="BJ50" s="871">
        <f t="shared" si="51"/>
        <v>50</v>
      </c>
      <c r="BK50" s="871">
        <f t="shared" si="52"/>
        <v>25</v>
      </c>
      <c r="BL50" s="871">
        <f t="shared" si="53"/>
        <v>75</v>
      </c>
      <c r="BM50" s="871">
        <f t="shared" si="54"/>
        <v>75</v>
      </c>
      <c r="BN50" s="871">
        <f t="shared" si="55"/>
        <v>50</v>
      </c>
      <c r="BO50" s="871">
        <f t="shared" si="56"/>
        <v>75</v>
      </c>
      <c r="BP50" s="871">
        <f t="shared" si="57"/>
        <v>50</v>
      </c>
      <c r="BQ50" s="871">
        <f t="shared" si="58"/>
        <v>75</v>
      </c>
      <c r="BR50" s="871">
        <f t="shared" si="59"/>
        <v>75</v>
      </c>
      <c r="BS50" s="871">
        <f t="shared" si="60"/>
        <v>75</v>
      </c>
      <c r="BT50" s="871">
        <f t="shared" si="61"/>
        <v>75</v>
      </c>
      <c r="BU50" s="871">
        <f t="shared" si="62"/>
        <v>75</v>
      </c>
      <c r="BV50" s="871">
        <f t="shared" si="63"/>
        <v>50</v>
      </c>
      <c r="BW50" s="871">
        <f t="shared" si="64"/>
        <v>100</v>
      </c>
      <c r="BX50" s="871">
        <f t="shared" si="65"/>
        <v>75</v>
      </c>
      <c r="BY50" s="871">
        <f t="shared" si="66"/>
        <v>75</v>
      </c>
      <c r="BZ50" s="871">
        <f t="shared" si="67"/>
        <v>100</v>
      </c>
      <c r="CA50" s="871">
        <f t="shared" si="68"/>
        <v>75</v>
      </c>
      <c r="CB50" s="871">
        <f t="shared" si="69"/>
        <v>75</v>
      </c>
      <c r="CD50" s="304">
        <f t="shared" ca="1" si="103"/>
        <v>65.8</v>
      </c>
      <c r="CE50" s="304">
        <f t="shared" ca="1" si="103"/>
        <v>65.8</v>
      </c>
      <c r="CF50" s="304">
        <f t="shared" ca="1" si="103"/>
        <v>64.599999999999994</v>
      </c>
      <c r="CG50" s="302">
        <f t="shared" ca="1" si="103"/>
        <v>65</v>
      </c>
      <c r="CH50" s="302">
        <f t="shared" ca="1" si="103"/>
        <v>58.3</v>
      </c>
      <c r="CI50" s="302">
        <f t="shared" ref="CI50:CM50" ca="1" si="107">IFERROR(ROUND(SUMIF(OFFSET(tblGroups,CI$5-1,0,1,$CE$1),1,OFFSET(aScoresRounded,$B50-1,0,1,$CE$1))/SUM(OFFSET(tblGroups,CI$5-1,0,1,$CE$1)),$CF$1),"n/a")</f>
        <v>50</v>
      </c>
      <c r="CJ50" s="302">
        <f t="shared" ca="1" si="107"/>
        <v>81.3</v>
      </c>
      <c r="CK50" s="302">
        <f t="shared" ca="1" si="107"/>
        <v>58.3</v>
      </c>
      <c r="CL50" s="302">
        <f t="shared" ca="1" si="107"/>
        <v>62.5</v>
      </c>
      <c r="CM50" s="302">
        <f t="shared" ca="1" si="107"/>
        <v>67.900000000000006</v>
      </c>
      <c r="CN50" s="302">
        <f t="shared" ca="1" si="105"/>
        <v>62.5</v>
      </c>
      <c r="CO50" s="302">
        <f t="shared" ca="1" si="105"/>
        <v>72.2</v>
      </c>
      <c r="CP50" s="302">
        <f t="shared" ca="1" si="105"/>
        <v>68.8</v>
      </c>
      <c r="CQ50" s="302">
        <f t="shared" ca="1" si="105"/>
        <v>61.1</v>
      </c>
    </row>
    <row r="51" spans="1:95" s="124" customFormat="1" ht="27.75" customHeight="1" thickBot="1">
      <c r="A51" s="118"/>
      <c r="B51" s="119">
        <f>tblIndicators!A47</f>
        <v>46</v>
      </c>
      <c r="C51" s="119">
        <f>tblIndicators!B47</f>
        <v>0</v>
      </c>
      <c r="D51" s="119" t="str">
        <f>tblIndicators!E47</f>
        <v>CULT3_2_4</v>
      </c>
      <c r="E51" s="119" t="str">
        <f>tblIndicators!F47</f>
        <v>CULT3_2</v>
      </c>
      <c r="F51" s="119">
        <f>tblIndicators!G47</f>
        <v>3</v>
      </c>
      <c r="G51" s="119">
        <f>tblIndicators!AF47</f>
        <v>0</v>
      </c>
      <c r="H51" s="119">
        <f>tblIndicators!AG47</f>
        <v>2</v>
      </c>
      <c r="I51" s="120">
        <f>tblIndicators!AH47</f>
        <v>0</v>
      </c>
      <c r="J51" s="119">
        <f>tblIndicators!AI47</f>
        <v>0</v>
      </c>
      <c r="K51" s="119">
        <f t="array" ref="K51">MIN(IF(ISNUMBER(iData!K51:AN51),iData!K51:AN51))</f>
        <v>20</v>
      </c>
      <c r="L51" s="121">
        <f t="array" ref="L51">MAX(IF(ISNUMBER(iData!K51:AN51),iData!K51:AN51))</f>
        <v>100</v>
      </c>
      <c r="M51" s="51">
        <f t="shared" si="106"/>
        <v>80</v>
      </c>
      <c r="N51" s="122" t="str">
        <f>REPT(" ",F51)&amp;tblIndicators!AM47</f>
        <v xml:space="preserve">   3.2.4) Open data access and use</v>
      </c>
      <c r="O51" s="381">
        <f>tblIndicators!AR47</f>
        <v>0.2</v>
      </c>
      <c r="P51" s="381"/>
      <c r="Q51" s="323"/>
      <c r="R51" s="123" cm="1">
        <f t="array" ref="R51">CHOOSE($H51,SUMPRODUCT($O52:$O$75*R52:R$75*($E52:$E$75=$D51)),IF(ISNUMBER(iData!K51),100*ABS($G51-(iData!K51-$K51)/$M51),0),IF(ISNUMBER(iData!K51),100*ABS($G51-(iData!K51-$I51)/$M51),0),IF(iData!K51&gt;tblIndicators!$AI47,100,IF(ISNUMBER(iData!K51),100*ABS($G51-(iData!K51-$I51)/$M51),0)),IF(iData!K51&lt;0,100,IF(ISNUMBER(iData!K51),100*ABS($G51-(iData!K51-$I51)/$M51),0)))</f>
        <v>68.75</v>
      </c>
      <c r="S51" s="123" cm="1">
        <f t="array" ref="S51">CHOOSE($H51,SUMPRODUCT($O52:$O$75*S52:S$75*($E52:$E$75=$D51)),IF(ISNUMBER(iData!L51),100*ABS($G51-(iData!L51-$K51)/$M51),0),IF(ISNUMBER(iData!L51),100*ABS($G51-(iData!L51-$I51)/$M51),0),IF(iData!L51&gt;tblIndicators!$AI47,100,IF(ISNUMBER(iData!L51),100*ABS($G51-(iData!L51-$I51)/$M51),0)),IF(iData!L51&lt;0,100,IF(ISNUMBER(iData!L51),100*ABS($G51-(iData!L51-$I51)/$M51),0)))</f>
        <v>73.75</v>
      </c>
      <c r="T51" s="123" cm="1">
        <f t="array" ref="T51">CHOOSE($H51,SUMPRODUCT($O52:$O$75*T52:T$75*($E52:$E$75=$D51)),IF(ISNUMBER(iData!M51),100*ABS($G51-(iData!M51-$K51)/$M51),0),IF(ISNUMBER(iData!M51),100*ABS($G51-(iData!M51-$I51)/$M51),0),IF(iData!M51&gt;tblIndicators!$AI47,100,IF(ISNUMBER(iData!M51),100*ABS($G51-(iData!M51-$I51)/$M51),0)),IF(iData!M51&lt;0,100,IF(ISNUMBER(iData!M51),100*ABS($G51-(iData!M51-$I51)/$M51),0)))</f>
        <v>10</v>
      </c>
      <c r="U51" s="123" cm="1">
        <f t="array" ref="U51">CHOOSE($H51,SUMPRODUCT($O52:$O$75*U52:U$75*($E52:$E$75=$D51)),IF(ISNUMBER(iData!N51),100*ABS($G51-(iData!N51-$K51)/$M51),0),IF(ISNUMBER(iData!N51),100*ABS($G51-(iData!N51-$I51)/$M51),0),IF(iData!N51&gt;tblIndicators!$AI47,100,IF(ISNUMBER(iData!N51),100*ABS($G51-(iData!N51-$I51)/$M51),0)),IF(iData!N51&lt;0,100,IF(ISNUMBER(iData!N51),100*ABS($G51-(iData!N51-$I51)/$M51),0)))</f>
        <v>66.25</v>
      </c>
      <c r="V51" s="123" cm="1">
        <f t="array" ref="V51">CHOOSE($H51,SUMPRODUCT($O52:$O$75*V52:V$75*($E52:$E$75=$D51)),IF(ISNUMBER(iData!O51),100*ABS($G51-(iData!O51-$K51)/$M51),0),IF(ISNUMBER(iData!O51),100*ABS($G51-(iData!O51-$I51)/$M51),0),IF(iData!O51&gt;tblIndicators!$AI47,100,IF(ISNUMBER(iData!O51),100*ABS($G51-(iData!O51-$I51)/$M51),0)),IF(iData!O51&lt;0,100,IF(ISNUMBER(iData!O51),100*ABS($G51-(iData!O51-$I51)/$M51),0)))</f>
        <v>0</v>
      </c>
      <c r="W51" s="123" cm="1">
        <f t="array" ref="W51">CHOOSE($H51,SUMPRODUCT($O52:$O$75*W52:W$75*($E52:$E$75=$D51)),IF(ISNUMBER(iData!P51),100*ABS($G51-(iData!P51-$K51)/$M51),0),IF(ISNUMBER(iData!P51),100*ABS($G51-(iData!P51-$I51)/$M51),0),IF(iData!P51&gt;tblIndicators!$AI47,100,IF(ISNUMBER(iData!P51),100*ABS($G51-(iData!P51-$I51)/$M51),0)),IF(iData!P51&lt;0,100,IF(ISNUMBER(iData!P51),100*ABS($G51-(iData!P51-$I51)/$M51),0)))</f>
        <v>62.5</v>
      </c>
      <c r="X51" s="123" cm="1">
        <f t="array" ref="X51">CHOOSE($H51,SUMPRODUCT($O52:$O$75*X52:X$75*($E52:$E$75=$D51)),IF(ISNUMBER(iData!Q51),100*ABS($G51-(iData!Q51-$K51)/$M51),0),IF(ISNUMBER(iData!Q51),100*ABS($G51-(iData!Q51-$I51)/$M51),0),IF(iData!Q51&gt;tblIndicators!$AI47,100,IF(ISNUMBER(iData!Q51),100*ABS($G51-(iData!Q51-$I51)/$M51),0)),IF(iData!Q51&lt;0,100,IF(ISNUMBER(iData!Q51),100*ABS($G51-(iData!Q51-$I51)/$M51),0)))</f>
        <v>22.5</v>
      </c>
      <c r="Y51" s="123" cm="1">
        <f t="array" ref="Y51">CHOOSE($H51,SUMPRODUCT($O52:$O$75*Y52:Y$75*($E52:$E$75=$D51)),IF(ISNUMBER(iData!R51),100*ABS($G51-(iData!R51-$K51)/$M51),0),IF(ISNUMBER(iData!R51),100*ABS($G51-(iData!R51-$I51)/$M51),0),IF(iData!R51&gt;tblIndicators!$AI47,100,IF(ISNUMBER(iData!R51),100*ABS($G51-(iData!R51-$I51)/$M51),0)),IF(iData!R51&lt;0,100,IF(ISNUMBER(iData!R51),100*ABS($G51-(iData!R51-$I51)/$M51),0)))</f>
        <v>63.749999999999993</v>
      </c>
      <c r="Z51" s="123" cm="1">
        <f t="array" ref="Z51">CHOOSE($H51,SUMPRODUCT($O52:$O$75*Z52:Z$75*($E52:$E$75=$D51)),IF(ISNUMBER(iData!S51),100*ABS($G51-(iData!S51-$K51)/$M51),0),IF(ISNUMBER(iData!S51),100*ABS($G51-(iData!S51-$I51)/$M51),0),IF(iData!S51&gt;tblIndicators!$AI47,100,IF(ISNUMBER(iData!S51),100*ABS($G51-(iData!S51-$I51)/$M51),0)),IF(iData!S51&lt;0,100,IF(ISNUMBER(iData!S51),100*ABS($G51-(iData!S51-$I51)/$M51),0)))</f>
        <v>77.5</v>
      </c>
      <c r="AA51" s="123" cm="1">
        <f t="array" ref="AA51">CHOOSE($H51,SUMPRODUCT($O52:$O$75*AA52:AA$75*($E52:$E$75=$D51)),IF(ISNUMBER(iData!T51),100*ABS($G51-(iData!T51-$K51)/$M51),0),IF(ISNUMBER(iData!T51),100*ABS($G51-(iData!T51-$I51)/$M51),0),IF(iData!T51&gt;tblIndicators!$AI47,100,IF(ISNUMBER(iData!T51),100*ABS($G51-(iData!T51-$I51)/$M51),0)),IF(iData!T51&lt;0,100,IF(ISNUMBER(iData!T51),100*ABS($G51-(iData!T51-$I51)/$M51),0)))</f>
        <v>7.5</v>
      </c>
      <c r="AB51" s="123" cm="1">
        <f t="array" ref="AB51">CHOOSE($H51,SUMPRODUCT($O52:$O$75*AB52:AB$75*($E52:$E$75=$D51)),IF(ISNUMBER(iData!U51),100*ABS($G51-(iData!U51-$K51)/$M51),0),IF(ISNUMBER(iData!U51),100*ABS($G51-(iData!U51-$I51)/$M51),0),IF(iData!U51&gt;tblIndicators!$AI47,100,IF(ISNUMBER(iData!U51),100*ABS($G51-(iData!U51-$I51)/$M51),0)),IF(iData!U51&lt;0,100,IF(ISNUMBER(iData!U51),100*ABS($G51-(iData!U51-$I51)/$M51),0)))</f>
        <v>62.5</v>
      </c>
      <c r="AC51" s="123" cm="1">
        <f t="array" ref="AC51">CHOOSE($H51,SUMPRODUCT($O52:$O$75*AC52:AC$75*($E52:$E$75=$D51)),IF(ISNUMBER(iData!V51),100*ABS($G51-(iData!V51-$K51)/$M51),0),IF(ISNUMBER(iData!V51),100*ABS($G51-(iData!V51-$I51)/$M51),0),IF(iData!V51&gt;tblIndicators!$AI47,100,IF(ISNUMBER(iData!V51),100*ABS($G51-(iData!V51-$I51)/$M51),0)),IF(iData!V51&lt;0,100,IF(ISNUMBER(iData!V51),100*ABS($G51-(iData!V51-$I51)/$M51),0)))</f>
        <v>48.75</v>
      </c>
      <c r="AD51" s="123" cm="1">
        <f t="array" ref="AD51">CHOOSE($H51,SUMPRODUCT($O52:$O$75*AD52:AD$75*($E52:$E$75=$D51)),IF(ISNUMBER(iData!W51),100*ABS($G51-(iData!W51-$K51)/$M51),0),IF(ISNUMBER(iData!W51),100*ABS($G51-(iData!W51-$I51)/$M51),0),IF(iData!W51&gt;tblIndicators!$AI47,100,IF(ISNUMBER(iData!W51),100*ABS($G51-(iData!W51-$I51)/$M51),0)),IF(iData!W51&lt;0,100,IF(ISNUMBER(iData!W51),100*ABS($G51-(iData!W51-$I51)/$M51),0)))</f>
        <v>22.5</v>
      </c>
      <c r="AE51" s="123" cm="1">
        <f t="array" ref="AE51">CHOOSE($H51,SUMPRODUCT($O52:$O$75*AE52:AE$75*($E52:$E$75=$D51)),IF(ISNUMBER(iData!X51),100*ABS($G51-(iData!X51-$K51)/$M51),0),IF(ISNUMBER(iData!X51),100*ABS($G51-(iData!X51-$I51)/$M51),0),IF(iData!X51&gt;tblIndicators!$AI47,100,IF(ISNUMBER(iData!X51),100*ABS($G51-(iData!X51-$I51)/$M51),0)),IF(iData!X51&lt;0,100,IF(ISNUMBER(iData!X51),100*ABS($G51-(iData!X51-$I51)/$M51),0)))</f>
        <v>10</v>
      </c>
      <c r="AF51" s="123" cm="1">
        <f t="array" ref="AF51">CHOOSE($H51,SUMPRODUCT($O52:$O$75*AF52:AF$75*($E52:$E$75=$D51)),IF(ISNUMBER(iData!Y51),100*ABS($G51-(iData!Y51-$K51)/$M51),0),IF(ISNUMBER(iData!Y51),100*ABS($G51-(iData!Y51-$I51)/$M51),0),IF(iData!Y51&gt;tblIndicators!$AI47,100,IF(ISNUMBER(iData!Y51),100*ABS($G51-(iData!Y51-$I51)/$M51),0)),IF(iData!Y51&lt;0,100,IF(ISNUMBER(iData!Y51),100*ABS($G51-(iData!Y51-$I51)/$M51),0)))</f>
        <v>100</v>
      </c>
      <c r="AG51" s="123" cm="1">
        <f t="array" ref="AG51">CHOOSE($H51,SUMPRODUCT($O52:$O$75*AG52:AG$75*($E52:$E$75=$D51)),IF(ISNUMBER(iData!Z51),100*ABS($G51-(iData!Z51-$K51)/$M51),0),IF(ISNUMBER(iData!Z51),100*ABS($G51-(iData!Z51-$I51)/$M51),0),IF(iData!Z51&gt;tblIndicators!$AI47,100,IF(ISNUMBER(iData!Z51),100*ABS($G51-(iData!Z51-$I51)/$M51),0)),IF(iData!Z51&lt;0,100,IF(ISNUMBER(iData!Z51),100*ABS($G51-(iData!Z51-$I51)/$M51),0)))</f>
        <v>66.25</v>
      </c>
      <c r="AH51" s="123" cm="1">
        <f t="array" ref="AH51">CHOOSE($H51,SUMPRODUCT($O52:$O$75*AH52:AH$75*($E52:$E$75=$D51)),IF(ISNUMBER(iData!AA51),100*ABS($G51-(iData!AA51-$K51)/$M51),0),IF(ISNUMBER(iData!AA51),100*ABS($G51-(iData!AA51-$I51)/$M51),0),IF(iData!AA51&gt;tblIndicators!$AI47,100,IF(ISNUMBER(iData!AA51),100*ABS($G51-(iData!AA51-$I51)/$M51),0)),IF(iData!AA51&lt;0,100,IF(ISNUMBER(iData!AA51),100*ABS($G51-(iData!AA51-$I51)/$M51),0)))</f>
        <v>43.75</v>
      </c>
      <c r="AI51" s="123" cm="1">
        <f t="array" ref="AI51">CHOOSE($H51,SUMPRODUCT($O52:$O$75*AI52:AI$75*($E52:$E$75=$D51)),IF(ISNUMBER(iData!AB51),100*ABS($G51-(iData!AB51-$K51)/$M51),0),IF(ISNUMBER(iData!AB51),100*ABS($G51-(iData!AB51-$I51)/$M51),0),IF(iData!AB51&gt;tblIndicators!$AI47,100,IF(ISNUMBER(iData!AB51),100*ABS($G51-(iData!AB51-$I51)/$M51),0)),IF(iData!AB51&lt;0,100,IF(ISNUMBER(iData!AB51),100*ABS($G51-(iData!AB51-$I51)/$M51),0)))</f>
        <v>66.25</v>
      </c>
      <c r="AJ51" s="123" cm="1">
        <f t="array" ref="AJ51">CHOOSE($H51,SUMPRODUCT($O52:$O$75*AJ52:AJ$75*($E52:$E$75=$D51)),IF(ISNUMBER(iData!AC51),100*ABS($G51-(iData!AC51-$K51)/$M51),0),IF(ISNUMBER(iData!AC51),100*ABS($G51-(iData!AC51-$I51)/$M51),0),IF(iData!AC51&gt;tblIndicators!$AI47,100,IF(ISNUMBER(iData!AC51),100*ABS($G51-(iData!AC51-$I51)/$M51),0)),IF(iData!AC51&lt;0,100,IF(ISNUMBER(iData!AC51),100*ABS($G51-(iData!AC51-$I51)/$M51),0)))</f>
        <v>28.749999999999996</v>
      </c>
      <c r="AK51" s="123" cm="1">
        <f t="array" ref="AK51">CHOOSE($H51,SUMPRODUCT($O52:$O$75*AK52:AK$75*($E52:$E$75=$D51)),IF(ISNUMBER(iData!AD51),100*ABS($G51-(iData!AD51-$K51)/$M51),0),IF(ISNUMBER(iData!AD51),100*ABS($G51-(iData!AD51-$I51)/$M51),0),IF(iData!AD51&gt;tblIndicators!$AI47,100,IF(ISNUMBER(iData!AD51),100*ABS($G51-(iData!AD51-$I51)/$M51),0)),IF(iData!AD51&lt;0,100,IF(ISNUMBER(iData!AD51),100*ABS($G51-(iData!AD51-$I51)/$M51),0)))</f>
        <v>77.5</v>
      </c>
      <c r="AL51" s="123" cm="1">
        <f t="array" ref="AL51">CHOOSE($H51,SUMPRODUCT($O52:$O$75*AL52:AL$75*($E52:$E$75=$D51)),IF(ISNUMBER(iData!AE51),100*ABS($G51-(iData!AE51-$K51)/$M51),0),IF(ISNUMBER(iData!AE51),100*ABS($G51-(iData!AE51-$I51)/$M51),0),IF(iData!AE51&gt;tblIndicators!$AI47,100,IF(ISNUMBER(iData!AE51),100*ABS($G51-(iData!AE51-$I51)/$M51),0)),IF(iData!AE51&lt;0,100,IF(ISNUMBER(iData!AE51),100*ABS($G51-(iData!AE51-$I51)/$M51),0)))</f>
        <v>81.25</v>
      </c>
      <c r="AM51" s="123" cm="1">
        <f t="array" ref="AM51">CHOOSE($H51,SUMPRODUCT($O52:$O$75*AM52:AM$75*($E52:$E$75=$D51)),IF(ISNUMBER(iData!AF51),100*ABS($G51-(iData!AF51-$K51)/$M51),0),IF(ISNUMBER(iData!AF51),100*ABS($G51-(iData!AF51-$I51)/$M51),0),IF(iData!AF51&gt;tblIndicators!$AI47,100,IF(ISNUMBER(iData!AF51),100*ABS($G51-(iData!AF51-$I51)/$M51),0)),IF(iData!AF51&lt;0,100,IF(ISNUMBER(iData!AF51),100*ABS($G51-(iData!AF51-$I51)/$M51),0)))</f>
        <v>45</v>
      </c>
      <c r="AN51" s="123" cm="1">
        <f t="array" ref="AN51">CHOOSE($H51,SUMPRODUCT($O52:$O$75*AN52:AN$75*($E52:$E$75=$D51)),IF(ISNUMBER(iData!AG51),100*ABS($G51-(iData!AG51-$K51)/$M51),0),IF(ISNUMBER(iData!AG51),100*ABS($G51-(iData!AG51-$I51)/$M51),0),IF(iData!AG51&gt;tblIndicators!$AI47,100,IF(ISNUMBER(iData!AG51),100*ABS($G51-(iData!AG51-$I51)/$M51),0)),IF(iData!AG51&lt;0,100,IF(ISNUMBER(iData!AG51),100*ABS($G51-(iData!AG51-$I51)/$M51),0)))</f>
        <v>48.75</v>
      </c>
      <c r="AO51" s="123" cm="1">
        <f t="array" ref="AO51">CHOOSE($H51,SUMPRODUCT($O52:$O$75*AO52:AO$75*($E52:$E$75=$D51)),IF(ISNUMBER(iData!AH51),100*ABS($G51-(iData!AH51-$K51)/$M51),0),IF(ISNUMBER(iData!AH51),100*ABS($G51-(iData!AH51-$I51)/$M51),0),IF(iData!AH51&gt;tblIndicators!$AI47,100,IF(ISNUMBER(iData!AH51),100*ABS($G51-(iData!AH51-$I51)/$M51),0)),IF(iData!AH51&lt;0,100,IF(ISNUMBER(iData!AH51),100*ABS($G51-(iData!AH51-$I51)/$M51),0)))</f>
        <v>76.25</v>
      </c>
      <c r="AP51" s="123" cm="1">
        <f t="array" ref="AP51">CHOOSE($H51,SUMPRODUCT($O52:$O$75*AP52:AP$75*($E52:$E$75=$D51)),IF(ISNUMBER(iData!AI51),100*ABS($G51-(iData!AI51-$K51)/$M51),0),IF(ISNUMBER(iData!AI51),100*ABS($G51-(iData!AI51-$I51)/$M51),0),IF(iData!AI51&gt;tblIndicators!$AI47,100,IF(ISNUMBER(iData!AI51),100*ABS($G51-(iData!AI51-$I51)/$M51),0)),IF(iData!AI51&lt;0,100,IF(ISNUMBER(iData!AI51),100*ABS($G51-(iData!AI51-$I51)/$M51),0)))</f>
        <v>41.25</v>
      </c>
      <c r="AQ51" s="123" cm="1">
        <f t="array" ref="AQ51">CHOOSE($H51,SUMPRODUCT($O52:$O$75*AQ52:AQ$75*($E52:$E$75=$D51)),IF(ISNUMBER(iData!AJ51),100*ABS($G51-(iData!AJ51-$K51)/$M51),0),IF(ISNUMBER(iData!AJ51),100*ABS($G51-(iData!AJ51-$I51)/$M51),0),IF(iData!AJ51&gt;tblIndicators!$AI47,100,IF(ISNUMBER(iData!AJ51),100*ABS($G51-(iData!AJ51-$I51)/$M51),0)),IF(iData!AJ51&lt;0,100,IF(ISNUMBER(iData!AJ51),100*ABS($G51-(iData!AJ51-$I51)/$M51),0)))</f>
        <v>76.25</v>
      </c>
      <c r="AR51" s="123" cm="1">
        <f t="array" ref="AR51">CHOOSE($H51,SUMPRODUCT($O52:$O$75*AR52:AR$75*($E52:$E$75=$D51)),IF(ISNUMBER(iData!AK51),100*ABS($G51-(iData!AK51-$K51)/$M51),0),IF(ISNUMBER(iData!AK51),100*ABS($G51-(iData!AK51-$I51)/$M51),0),IF(iData!AK51&gt;tblIndicators!$AI47,100,IF(ISNUMBER(iData!AK51),100*ABS($G51-(iData!AK51-$I51)/$M51),0)),IF(iData!AK51&lt;0,100,IF(ISNUMBER(iData!AK51),100*ABS($G51-(iData!AK51-$I51)/$M51),0)))</f>
        <v>68.75</v>
      </c>
      <c r="AS51" s="123" cm="1">
        <f t="array" ref="AS51">CHOOSE($H51,SUMPRODUCT($O52:$O$75*AS52:AS$75*($E52:$E$75=$D51)),IF(ISNUMBER(iData!AL51),100*ABS($G51-(iData!AL51-$K51)/$M51),0),IF(ISNUMBER(iData!AL51),100*ABS($G51-(iData!AL51-$I51)/$M51),0),IF(iData!AL51&gt;tblIndicators!$AI47,100,IF(ISNUMBER(iData!AL51),100*ABS($G51-(iData!AL51-$I51)/$M51),0)),IF(iData!AL51&lt;0,100,IF(ISNUMBER(iData!AL51),100*ABS($G51-(iData!AL51-$I51)/$M51),0)))</f>
        <v>87.5</v>
      </c>
      <c r="AT51" s="123" cm="1">
        <f t="array" ref="AT51">CHOOSE($H51,SUMPRODUCT($O52:$O$75*AT52:AT$75*($E52:$E$75=$D51)),IF(ISNUMBER(iData!AM51),100*ABS($G51-(iData!AM51-$K51)/$M51),0),IF(ISNUMBER(iData!AM51),100*ABS($G51-(iData!AM51-$I51)/$M51),0),IF(iData!AM51&gt;tblIndicators!$AI47,100,IF(ISNUMBER(iData!AM51),100*ABS($G51-(iData!AM51-$I51)/$M51),0)),IF(iData!AM51&lt;0,100,IF(ISNUMBER(iData!AM51),100*ABS($G51-(iData!AM51-$I51)/$M51),0)))</f>
        <v>77.5</v>
      </c>
      <c r="AU51" s="123" cm="1">
        <f t="array" ref="AU51">CHOOSE($H51,SUMPRODUCT($O52:$O$75*AU52:AU$75*($E52:$E$75=$D51)),IF(ISNUMBER(iData!AN51),100*ABS($G51-(iData!AN51-$K51)/$M51),0),IF(ISNUMBER(iData!AN51),100*ABS($G51-(iData!AN51-$I51)/$M51),0),IF(iData!AN51&gt;tblIndicators!$AI47,100,IF(ISNUMBER(iData!AN51),100*ABS($G51-(iData!AN51-$I51)/$M51),0)),IF(iData!AN51&lt;0,100,IF(ISNUMBER(iData!AN51),100*ABS($G51-(iData!AN51-$I51)/$M51),0)))</f>
        <v>47.5</v>
      </c>
      <c r="AV51" s="367"/>
      <c r="AW51" s="368"/>
      <c r="AX51" s="14"/>
      <c r="AY51" s="871">
        <f t="shared" si="40"/>
        <v>68.8</v>
      </c>
      <c r="AZ51" s="871">
        <f t="shared" si="41"/>
        <v>73.8</v>
      </c>
      <c r="BA51" s="871">
        <f t="shared" si="42"/>
        <v>10</v>
      </c>
      <c r="BB51" s="871">
        <f t="shared" si="43"/>
        <v>66.3</v>
      </c>
      <c r="BC51" s="871">
        <f t="shared" si="44"/>
        <v>0</v>
      </c>
      <c r="BD51" s="871">
        <f t="shared" si="45"/>
        <v>62.5</v>
      </c>
      <c r="BE51" s="871">
        <f t="shared" si="46"/>
        <v>22.5</v>
      </c>
      <c r="BF51" s="871">
        <f t="shared" si="47"/>
        <v>63.8</v>
      </c>
      <c r="BG51" s="871">
        <f t="shared" si="48"/>
        <v>77.5</v>
      </c>
      <c r="BH51" s="871">
        <f t="shared" si="49"/>
        <v>7.5</v>
      </c>
      <c r="BI51" s="871">
        <f t="shared" si="50"/>
        <v>62.5</v>
      </c>
      <c r="BJ51" s="871">
        <f t="shared" si="51"/>
        <v>48.8</v>
      </c>
      <c r="BK51" s="871">
        <f t="shared" si="52"/>
        <v>22.5</v>
      </c>
      <c r="BL51" s="871">
        <f t="shared" si="53"/>
        <v>10</v>
      </c>
      <c r="BM51" s="871">
        <f t="shared" si="54"/>
        <v>100</v>
      </c>
      <c r="BN51" s="871">
        <f t="shared" si="55"/>
        <v>66.3</v>
      </c>
      <c r="BO51" s="871">
        <f t="shared" si="56"/>
        <v>43.8</v>
      </c>
      <c r="BP51" s="871">
        <f t="shared" si="57"/>
        <v>66.3</v>
      </c>
      <c r="BQ51" s="871">
        <f t="shared" si="58"/>
        <v>28.8</v>
      </c>
      <c r="BR51" s="871">
        <f t="shared" si="59"/>
        <v>77.5</v>
      </c>
      <c r="BS51" s="871">
        <f t="shared" si="60"/>
        <v>81.3</v>
      </c>
      <c r="BT51" s="871">
        <f t="shared" si="61"/>
        <v>45</v>
      </c>
      <c r="BU51" s="871">
        <f t="shared" si="62"/>
        <v>48.8</v>
      </c>
      <c r="BV51" s="871">
        <f t="shared" si="63"/>
        <v>76.3</v>
      </c>
      <c r="BW51" s="871">
        <f t="shared" si="64"/>
        <v>41.3</v>
      </c>
      <c r="BX51" s="871">
        <f t="shared" si="65"/>
        <v>76.3</v>
      </c>
      <c r="BY51" s="871">
        <f t="shared" si="66"/>
        <v>68.8</v>
      </c>
      <c r="BZ51" s="871">
        <f t="shared" si="67"/>
        <v>87.5</v>
      </c>
      <c r="CA51" s="871">
        <f t="shared" si="68"/>
        <v>77.5</v>
      </c>
      <c r="CB51" s="871">
        <f t="shared" si="69"/>
        <v>47.5</v>
      </c>
      <c r="CD51" s="304">
        <f t="shared" ref="CD51:CM75" ca="1" si="108">IFERROR(ROUND(SUMIF(OFFSET(tblGroups,CD$5-1,0,1,$CE$1),1,OFFSET(aScoresRounded,$B51-1,0,1,$CE$1))/SUM(OFFSET(tblGroups,CD$5-1,0,1,$CE$1)),$CF$1),"n/a")</f>
        <v>54.3</v>
      </c>
      <c r="CE51" s="304">
        <f t="shared" ca="1" si="108"/>
        <v>54.3</v>
      </c>
      <c r="CF51" s="304">
        <f t="shared" ca="1" si="108"/>
        <v>41.7</v>
      </c>
      <c r="CG51" s="302">
        <f t="shared" ca="1" si="108"/>
        <v>66.400000000000006</v>
      </c>
      <c r="CH51" s="302">
        <f t="shared" ca="1" si="108"/>
        <v>45.9</v>
      </c>
      <c r="CI51" s="302">
        <f t="shared" ca="1" si="108"/>
        <v>7.5</v>
      </c>
      <c r="CJ51" s="302">
        <f t="shared" ca="1" si="108"/>
        <v>80</v>
      </c>
      <c r="CK51" s="302">
        <f t="shared" ca="1" si="108"/>
        <v>31.7</v>
      </c>
      <c r="CL51" s="302">
        <f t="shared" ca="1" si="108"/>
        <v>26.3</v>
      </c>
      <c r="CM51" s="302">
        <f t="shared" ca="1" si="108"/>
        <v>65.599999999999994</v>
      </c>
      <c r="CN51" s="302">
        <f t="shared" ca="1" si="105"/>
        <v>55.7</v>
      </c>
      <c r="CO51" s="302">
        <f t="shared" ca="1" si="105"/>
        <v>59.7</v>
      </c>
      <c r="CP51" s="302">
        <f t="shared" ca="1" si="105"/>
        <v>58.8</v>
      </c>
      <c r="CQ51" s="302">
        <f t="shared" ca="1" si="105"/>
        <v>45.7</v>
      </c>
    </row>
    <row r="52" spans="1:95" s="124" customFormat="1" ht="27.75" customHeight="1" thickBot="1">
      <c r="A52" s="118"/>
      <c r="B52" s="119">
        <f>tblIndicators!A48</f>
        <v>47</v>
      </c>
      <c r="C52" s="119">
        <f>tblIndicators!B48</f>
        <v>0</v>
      </c>
      <c r="D52" s="119" t="str">
        <f>tblIndicators!E48</f>
        <v>CULT3_2_5</v>
      </c>
      <c r="E52" s="119" t="str">
        <f>tblIndicators!F48</f>
        <v>CULT3_2</v>
      </c>
      <c r="F52" s="119">
        <f>tblIndicators!G48</f>
        <v>3</v>
      </c>
      <c r="G52" s="119">
        <f>tblIndicators!AF48</f>
        <v>0</v>
      </c>
      <c r="H52" s="119">
        <f>tblIndicators!AG48</f>
        <v>2</v>
      </c>
      <c r="I52" s="120">
        <f>tblIndicators!AH48</f>
        <v>0</v>
      </c>
      <c r="J52" s="119">
        <f>tblIndicators!AI48</f>
        <v>0</v>
      </c>
      <c r="K52" s="119">
        <f t="array" ref="K52">MIN(IF(ISNUMBER(iData!K52:AN52),iData!K52:AN52))</f>
        <v>10</v>
      </c>
      <c r="L52" s="121">
        <f t="array" ref="L52">MAX(IF(ISNUMBER(iData!K52:AN52),iData!K52:AN52))</f>
        <v>89.3</v>
      </c>
      <c r="M52" s="51">
        <f t="shared" ref="M52" si="109">CHOOSE(H52,"-",L52-K52,J52-I52,J52-I52,J52-I52)</f>
        <v>79.3</v>
      </c>
      <c r="N52" s="122" t="str">
        <f>REPT(" ",F52)&amp;tblIndicators!AM48</f>
        <v xml:space="preserve">   3.2.5) Internet freedom</v>
      </c>
      <c r="O52" s="381">
        <f>tblIndicators!AR48</f>
        <v>0.2</v>
      </c>
      <c r="P52" s="381"/>
      <c r="Q52" s="323"/>
      <c r="R52" s="123" cm="1">
        <f t="array" ref="R52">CHOOSE($H52,SUMPRODUCT($O53:$O$75*R53:R$75*($E53:$E$75=$D52)),IF(ISNUMBER(iData!K52),100*ABS($G52-(iData!K52-$K52)/$M52),0),IF(ISNUMBER(iData!K52),100*ABS($G52-(iData!K52-$I52)/$M52),0),IF(iData!K52&gt;tblIndicators!$AI48,100,IF(ISNUMBER(iData!K52),100*ABS($G52-(iData!K52-$I52)/$M52),0)),IF(iData!K52&lt;0,100,IF(ISNUMBER(iData!K52),100*ABS($G52-(iData!K52-$I52)/$M52),0)))</f>
        <v>86.38083228247163</v>
      </c>
      <c r="S52" s="123" cm="1">
        <f t="array" ref="S52">CHOOSE($H52,SUMPRODUCT($O53:$O$75*S53:S$75*($E53:$E$75=$D52)),IF(ISNUMBER(iData!L52),100*ABS($G52-(iData!L52-$K52)/$M52),0),IF(ISNUMBER(iData!L52),100*ABS($G52-(iData!L52-$I52)/$M52),0),IF(iData!L52&gt;tblIndicators!$AI48,100,IF(ISNUMBER(iData!L52),100*ABS($G52-(iData!L52-$I52)/$M52),0)),IF(iData!L52&lt;0,100,IF(ISNUMBER(iData!L52),100*ABS($G52-(iData!L52-$I52)/$M52),0)))</f>
        <v>81.967213114754102</v>
      </c>
      <c r="T52" s="123" cm="1">
        <f t="array" ref="T52">CHOOSE($H52,SUMPRODUCT($O53:$O$75*T53:T$75*($E53:$E$75=$D52)),IF(ISNUMBER(iData!M52),100*ABS($G52-(iData!M52-$K52)/$M52),0),IF(ISNUMBER(iData!M52),100*ABS($G52-(iData!M52-$I52)/$M52),0),IF(iData!M52&gt;tblIndicators!$AI48,100,IF(ISNUMBER(iData!M52),100*ABS($G52-(iData!M52-$I52)/$M52),0)),IF(iData!M52&lt;0,100,IF(ISNUMBER(iData!M52),100*ABS($G52-(iData!M52-$I52)/$M52),0)))</f>
        <v>32.786885245901644</v>
      </c>
      <c r="U52" s="123" cm="1">
        <f t="array" ref="U52">CHOOSE($H52,SUMPRODUCT($O53:$O$75*U53:U$75*($E53:$E$75=$D52)),IF(ISNUMBER(iData!N52),100*ABS($G52-(iData!N52-$K52)/$M52),0),IF(ISNUMBER(iData!N52),100*ABS($G52-(iData!N52-$I52)/$M52),0),IF(iData!N52&gt;tblIndicators!$AI48,100,IF(ISNUMBER(iData!N52),100*ABS($G52-(iData!N52-$I52)/$M52),0)),IF(iData!N52&lt;0,100,IF(ISNUMBER(iData!N52),100*ABS($G52-(iData!N52-$I52)/$M52),0)))</f>
        <v>80.075662042875166</v>
      </c>
      <c r="V52" s="123" cm="1">
        <f t="array" ref="V52">CHOOSE($H52,SUMPRODUCT($O53:$O$75*V53:V$75*($E53:$E$75=$D52)),IF(ISNUMBER(iData!O52),100*ABS($G52-(iData!O52-$K52)/$M52),0),IF(ISNUMBER(iData!O52),100*ABS($G52-(iData!O52-$I52)/$M52),0),IF(iData!O52&gt;tblIndicators!$AI48,100,IF(ISNUMBER(iData!O52),100*ABS($G52-(iData!O52-$I52)/$M52),0)),IF(iData!O52&lt;0,100,IF(ISNUMBER(iData!O52),100*ABS($G52-(iData!O52-$I52)/$M52),0)))</f>
        <v>0</v>
      </c>
      <c r="W52" s="123" cm="1">
        <f t="array" ref="W52">CHOOSE($H52,SUMPRODUCT($O53:$O$75*W53:W$75*($E53:$E$75=$D52)),IF(ISNUMBER(iData!P52),100*ABS($G52-(iData!P52-$K52)/$M52),0),IF(ISNUMBER(iData!P52),100*ABS($G52-(iData!P52-$I52)/$M52),0),IF(iData!P52&gt;tblIndicators!$AI48,100,IF(ISNUMBER(iData!P52),100*ABS($G52-(iData!P52-$I52)/$M52),0)),IF(iData!P52&lt;0,100,IF(ISNUMBER(iData!P52),100*ABS($G52-(iData!P52-$I52)/$M52),0)))</f>
        <v>87.011349306431271</v>
      </c>
      <c r="X52" s="123" cm="1">
        <f t="array" ref="X52">CHOOSE($H52,SUMPRODUCT($O53:$O$75*X53:X$75*($E53:$E$75=$D52)),IF(ISNUMBER(iData!Q52),100*ABS($G52-(iData!Q52-$K52)/$M52),0),IF(ISNUMBER(iData!Q52),100*ABS($G52-(iData!Q52-$I52)/$M52),0),IF(iData!Q52&gt;tblIndicators!$AI48,100,IF(ISNUMBER(iData!Q52),100*ABS($G52-(iData!Q52-$I52)/$M52),0)),IF(iData!Q52&lt;0,100,IF(ISNUMBER(iData!Q52),100*ABS($G52-(iData!Q52-$I52)/$M52),0)))</f>
        <v>76.923076923076934</v>
      </c>
      <c r="Y52" s="123" cm="1">
        <f t="array" ref="Y52">CHOOSE($H52,SUMPRODUCT($O53:$O$75*Y53:Y$75*($E53:$E$75=$D52)),IF(ISNUMBER(iData!R52),100*ABS($G52-(iData!R52-$K52)/$M52),0),IF(ISNUMBER(iData!R52),100*ABS($G52-(iData!R52-$I52)/$M52),0),IF(iData!R52&gt;tblIndicators!$AI48,100,IF(ISNUMBER(iData!R52),100*ABS($G52-(iData!R52-$I52)/$M52),0)),IF(iData!R52&lt;0,100,IF(ISNUMBER(iData!R52),100*ABS($G52-(iData!R52-$I52)/$M52),0)))</f>
        <v>100</v>
      </c>
      <c r="Z52" s="123" cm="1">
        <f t="array" ref="Z52">CHOOSE($H52,SUMPRODUCT($O53:$O$75*Z53:Z$75*($E53:$E$75=$D52)),IF(ISNUMBER(iData!S52),100*ABS($G52-(iData!S52-$K52)/$M52),0),IF(ISNUMBER(iData!S52),100*ABS($G52-(iData!S52-$I52)/$M52),0),IF(iData!S52&gt;tblIndicators!$AI48,100,IF(ISNUMBER(iData!S52),100*ABS($G52-(iData!S52-$I52)/$M52),0)),IF(iData!S52&lt;0,100,IF(ISNUMBER(iData!S52),100*ABS($G52-(iData!S52-$I52)/$M52),0)))</f>
        <v>81.967213114754102</v>
      </c>
      <c r="AA52" s="123" cm="1">
        <f t="array" ref="AA52">CHOOSE($H52,SUMPRODUCT($O53:$O$75*AA53:AA$75*($E53:$E$75=$D52)),IF(ISNUMBER(iData!T52),100*ABS($G52-(iData!T52-$K52)/$M52),0),IF(ISNUMBER(iData!T52),100*ABS($G52-(iData!T52-$I52)/$M52),0),IF(iData!T52&gt;tblIndicators!$AI48,100,IF(ISNUMBER(iData!T52),100*ABS($G52-(iData!T52-$I52)/$M52),0)),IF(iData!T52&lt;0,100,IF(ISNUMBER(iData!T52),100*ABS($G52-(iData!T52-$I52)/$M52),0)))</f>
        <v>21.437578814627994</v>
      </c>
      <c r="AB52" s="123" cm="1">
        <f t="array" ref="AB52">CHOOSE($H52,SUMPRODUCT($O53:$O$75*AB53:AB$75*($E53:$E$75=$D52)),IF(ISNUMBER(iData!U52),100*ABS($G52-(iData!U52-$K52)/$M52),0),IF(ISNUMBER(iData!U52),100*ABS($G52-(iData!U52-$I52)/$M52),0),IF(iData!U52&gt;tblIndicators!$AI48,100,IF(ISNUMBER(iData!U52),100*ABS($G52-(iData!U52-$I52)/$M52),0)),IF(iData!U52&lt;0,100,IF(ISNUMBER(iData!U52),100*ABS($G52-(iData!U52-$I52)/$M52),0)))</f>
        <v>87.011349306431271</v>
      </c>
      <c r="AC52" s="123" cm="1">
        <f t="array" ref="AC52">CHOOSE($H52,SUMPRODUCT($O53:$O$75*AC53:AC$75*($E53:$E$75=$D52)),IF(ISNUMBER(iData!V52),100*ABS($G52-(iData!V52-$K52)/$M52),0),IF(ISNUMBER(iData!V52),100*ABS($G52-(iData!V52-$I52)/$M52),0),IF(iData!V52&gt;tblIndicators!$AI48,100,IF(ISNUMBER(iData!V52),100*ABS($G52-(iData!V52-$I52)/$M52),0)),IF(iData!V52&lt;0,100,IF(ISNUMBER(iData!V52),100*ABS($G52-(iData!V52-$I52)/$M52),0)))</f>
        <v>51.70239596469105</v>
      </c>
      <c r="AD52" s="123" cm="1">
        <f t="array" ref="AD52">CHOOSE($H52,SUMPRODUCT($O53:$O$75*AD53:AD$75*($E53:$E$75=$D52)),IF(ISNUMBER(iData!W52),100*ABS($G52-(iData!W52-$K52)/$M52),0),IF(ISNUMBER(iData!W52),100*ABS($G52-(iData!W52-$I52)/$M52),0),IF(iData!W52&gt;tblIndicators!$AI48,100,IF(ISNUMBER(iData!W52),100*ABS($G52-(iData!W52-$I52)/$M52),0)),IF(iData!W52&lt;0,100,IF(ISNUMBER(iData!W52),100*ABS($G52-(iData!W52-$I52)/$M52),0)))</f>
        <v>47.91929382093317</v>
      </c>
      <c r="AE52" s="123" cm="1">
        <f t="array" ref="AE52">CHOOSE($H52,SUMPRODUCT($O53:$O$75*AE53:AE$75*($E53:$E$75=$D52)),IF(ISNUMBER(iData!X52),100*ABS($G52-(iData!X52-$K52)/$M52),0),IF(ISNUMBER(iData!X52),100*ABS($G52-(iData!X52-$I52)/$M52),0),IF(iData!X52&gt;tblIndicators!$AI48,100,IF(ISNUMBER(iData!X52),100*ABS($G52-(iData!X52-$I52)/$M52),0)),IF(iData!X52&lt;0,100,IF(ISNUMBER(iData!X52),100*ABS($G52-(iData!X52-$I52)/$M52),0)))</f>
        <v>60.529634300126098</v>
      </c>
      <c r="AF52" s="123" cm="1">
        <f t="array" ref="AF52">CHOOSE($H52,SUMPRODUCT($O53:$O$75*AF53:AF$75*($E53:$E$75=$D52)),IF(ISNUMBER(iData!Y52),100*ABS($G52-(iData!Y52-$K52)/$M52),0),IF(ISNUMBER(iData!Y52),100*ABS($G52-(iData!Y52-$I52)/$M52),0),IF(iData!Y52&gt;tblIndicators!$AI48,100,IF(ISNUMBER(iData!Y52),100*ABS($G52-(iData!Y52-$I52)/$M52),0)),IF(iData!Y52&lt;0,100,IF(ISNUMBER(iData!Y52),100*ABS($G52-(iData!Y52-$I52)/$M52),0)))</f>
        <v>85.750315258511975</v>
      </c>
      <c r="AG52" s="123" cm="1">
        <f t="array" ref="AG52">CHOOSE($H52,SUMPRODUCT($O53:$O$75*AG53:AG$75*($E53:$E$75=$D52)),IF(ISNUMBER(iData!Z52),100*ABS($G52-(iData!Z52-$K52)/$M52),0),IF(ISNUMBER(iData!Z52),100*ABS($G52-(iData!Z52-$I52)/$M52),0),IF(iData!Z52&gt;tblIndicators!$AI48,100,IF(ISNUMBER(iData!Z52),100*ABS($G52-(iData!Z52-$I52)/$M52),0)),IF(iData!Z52&lt;0,100,IF(ISNUMBER(iData!Z52),100*ABS($G52-(iData!Z52-$I52)/$M52),0)))</f>
        <v>80.075662042875166</v>
      </c>
      <c r="AH52" s="123" cm="1">
        <f t="array" ref="AH52">CHOOSE($H52,SUMPRODUCT($O53:$O$75*AH53:AH$75*($E53:$E$75=$D52)),IF(ISNUMBER(iData!AA52),100*ABS($G52-(iData!AA52-$K52)/$M52),0),IF(ISNUMBER(iData!AA52),100*ABS($G52-(iData!AA52-$I52)/$M52),0),IF(iData!AA52&gt;tblIndicators!$AI48,100,IF(ISNUMBER(iData!AA52),100*ABS($G52-(iData!AA52-$I52)/$M52),0)),IF(iData!AA52&lt;0,100,IF(ISNUMBER(iData!AA52),100*ABS($G52-(iData!AA52-$I52)/$M52),0)))</f>
        <v>69.35687263556116</v>
      </c>
      <c r="AI52" s="123" cm="1">
        <f t="array" ref="AI52">CHOOSE($H52,SUMPRODUCT($O53:$O$75*AI53:AI$75*($E53:$E$75=$D52)),IF(ISNUMBER(iData!AB52),100*ABS($G52-(iData!AB52-$K52)/$M52),0),IF(ISNUMBER(iData!AB52),100*ABS($G52-(iData!AB52-$I52)/$M52),0),IF(iData!AB52&gt;tblIndicators!$AI48,100,IF(ISNUMBER(iData!AB52),100*ABS($G52-(iData!AB52-$I52)/$M52),0)),IF(iData!AB52&lt;0,100,IF(ISNUMBER(iData!AB52),100*ABS($G52-(iData!AB52-$I52)/$M52),0)))</f>
        <v>63.051702395964696</v>
      </c>
      <c r="AJ52" s="123" cm="1">
        <f t="array" ref="AJ52">CHOOSE($H52,SUMPRODUCT($O53:$O$75*AJ53:AJ$75*($E53:$E$75=$D52)),IF(ISNUMBER(iData!AC52),100*ABS($G52-(iData!AC52-$K52)/$M52),0),IF(ISNUMBER(iData!AC52),100*ABS($G52-(iData!AC52-$I52)/$M52),0),IF(iData!AC52&gt;tblIndicators!$AI48,100,IF(ISNUMBER(iData!AC52),100*ABS($G52-(iData!AC52-$I52)/$M52),0)),IF(iData!AC52&lt;0,100,IF(ISNUMBER(iData!AC52),100*ABS($G52-(iData!AC52-$I52)/$M52),0)))</f>
        <v>49.180327868852459</v>
      </c>
      <c r="AK52" s="123" cm="1">
        <f t="array" ref="AK52">CHOOSE($H52,SUMPRODUCT($O53:$O$75*AK53:AK$75*($E53:$E$75=$D52)),IF(ISNUMBER(iData!AD52),100*ABS($G52-(iData!AD52-$K52)/$M52),0),IF(ISNUMBER(iData!AD52),100*ABS($G52-(iData!AD52-$I52)/$M52),0),IF(iData!AD52&gt;tblIndicators!$AI48,100,IF(ISNUMBER(iData!AD52),100*ABS($G52-(iData!AD52-$I52)/$M52),0)),IF(iData!AD52&lt;0,100,IF(ISNUMBER(iData!AD52),100*ABS($G52-(iData!AD52-$I52)/$M52),0)))</f>
        <v>81.967213114754102</v>
      </c>
      <c r="AL52" s="123" cm="1">
        <f t="array" ref="AL52">CHOOSE($H52,SUMPRODUCT($O53:$O$75*AL53:AL$75*($E53:$E$75=$D52)),IF(ISNUMBER(iData!AE52),100*ABS($G52-(iData!AE52-$K52)/$M52),0),IF(ISNUMBER(iData!AE52),100*ABS($G52-(iData!AE52-$I52)/$M52),0),IF(iData!AE52&gt;tblIndicators!$AI48,100,IF(ISNUMBER(iData!AE52),100*ABS($G52-(iData!AE52-$I52)/$M52),0)),IF(iData!AE52&lt;0,100,IF(ISNUMBER(iData!AE52),100*ABS($G52-(iData!AE52-$I52)/$M52),0)))</f>
        <v>85.750315258511975</v>
      </c>
      <c r="AM52" s="123" cm="1">
        <f t="array" ref="AM52">CHOOSE($H52,SUMPRODUCT($O53:$O$75*AM53:AM$75*($E53:$E$75=$D52)),IF(ISNUMBER(iData!AF52),100*ABS($G52-(iData!AF52-$K52)/$M52),0),IF(ISNUMBER(iData!AF52),100*ABS($G52-(iData!AF52-$I52)/$M52),0),IF(iData!AF52&gt;tblIndicators!$AI48,100,IF(ISNUMBER(iData!AF52),100*ABS($G52-(iData!AF52-$I52)/$M52),0)),IF(iData!AF52&lt;0,100,IF(ISNUMBER(iData!AF52),100*ABS($G52-(iData!AF52-$I52)/$M52),0)))</f>
        <v>83.228247162673398</v>
      </c>
      <c r="AN52" s="123" cm="1">
        <f t="array" ref="AN52">CHOOSE($H52,SUMPRODUCT($O53:$O$75*AN53:AN$75*($E53:$E$75=$D52)),IF(ISNUMBER(iData!AG52),100*ABS($G52-(iData!AG52-$K52)/$M52),0),IF(ISNUMBER(iData!AG52),100*ABS($G52-(iData!AG52-$I52)/$M52),0),IF(iData!AG52&gt;tblIndicators!$AI48,100,IF(ISNUMBER(iData!AG52),100*ABS($G52-(iData!AG52-$I52)/$M52),0)),IF(iData!AG52&lt;0,100,IF(ISNUMBER(iData!AG52),100*ABS($G52-(iData!AG52-$I52)/$M52),0)))</f>
        <v>68.095838587641865</v>
      </c>
      <c r="AO52" s="123" cm="1">
        <f t="array" ref="AO52">CHOOSE($H52,SUMPRODUCT($O53:$O$75*AO53:AO$75*($E53:$E$75=$D52)),IF(ISNUMBER(iData!AH52),100*ABS($G52-(iData!AH52-$K52)/$M52),0),IF(ISNUMBER(iData!AH52),100*ABS($G52-(iData!AH52-$I52)/$M52),0),IF(iData!AH52&gt;tblIndicators!$AI48,100,IF(ISNUMBER(iData!AH52),100*ABS($G52-(iData!AH52-$I52)/$M52),0)),IF(iData!AH52&lt;0,100,IF(ISNUMBER(iData!AH52),100*ABS($G52-(iData!AH52-$I52)/$M52),0)))</f>
        <v>71.878940731399751</v>
      </c>
      <c r="AP52" s="123" cm="1">
        <f t="array" ref="AP52">CHOOSE($H52,SUMPRODUCT($O53:$O$75*AP53:AP$75*($E53:$E$75=$D52)),IF(ISNUMBER(iData!AI52),100*ABS($G52-(iData!AI52-$K52)/$M52),0),IF(ISNUMBER(iData!AI52),100*ABS($G52-(iData!AI52-$I52)/$M52),0),IF(iData!AI52&gt;tblIndicators!$AI48,100,IF(ISNUMBER(iData!AI52),100*ABS($G52-(iData!AI52-$I52)/$M52),0)),IF(iData!AI52&lt;0,100,IF(ISNUMBER(iData!AI52),100*ABS($G52-(iData!AI52-$I52)/$M52),0)))</f>
        <v>55.48549810844893</v>
      </c>
      <c r="AQ52" s="123" cm="1">
        <f t="array" ref="AQ52">CHOOSE($H52,SUMPRODUCT($O53:$O$75*AQ53:AQ$75*($E53:$E$75=$D52)),IF(ISNUMBER(iData!AJ52),100*ABS($G52-(iData!AJ52-$K52)/$M52),0),IF(ISNUMBER(iData!AJ52),100*ABS($G52-(iData!AJ52-$I52)/$M52),0),IF(iData!AJ52&gt;tblIndicators!$AI48,100,IF(ISNUMBER(iData!AJ52),100*ABS($G52-(iData!AJ52-$I52)/$M52),0)),IF(iData!AJ52&lt;0,100,IF(ISNUMBER(iData!AJ52),100*ABS($G52-(iData!AJ52-$I52)/$M52),0)))</f>
        <v>81.967213114754102</v>
      </c>
      <c r="AR52" s="123" cm="1">
        <f t="array" ref="AR52">CHOOSE($H52,SUMPRODUCT($O53:$O$75*AR53:AR$75*($E53:$E$75=$D52)),IF(ISNUMBER(iData!AK52),100*ABS($G52-(iData!AK52-$K52)/$M52),0),IF(ISNUMBER(iData!AK52),100*ABS($G52-(iData!AK52-$I52)/$M52),0),IF(iData!AK52&gt;tblIndicators!$AI48,100,IF(ISNUMBER(iData!AK52),100*ABS($G52-(iData!AK52-$I52)/$M52),0)),IF(iData!AK52&lt;0,100,IF(ISNUMBER(iData!AK52),100*ABS($G52-(iData!AK52-$I52)/$M52),0)))</f>
        <v>83.228247162673398</v>
      </c>
      <c r="AS52" s="123" cm="1">
        <f t="array" ref="AS52">CHOOSE($H52,SUMPRODUCT($O53:$O$75*AS53:AS$75*($E53:$E$75=$D52)),IF(ISNUMBER(iData!AL52),100*ABS($G52-(iData!AL52-$K52)/$M52),0),IF(ISNUMBER(iData!AL52),100*ABS($G52-(iData!AL52-$I52)/$M52),0),IF(iData!AL52&gt;tblIndicators!$AI48,100,IF(ISNUMBER(iData!AL52),100*ABS($G52-(iData!AL52-$I52)/$M52),0)),IF(iData!AL52&lt;0,100,IF(ISNUMBER(iData!AL52),100*ABS($G52-(iData!AL52-$I52)/$M52),0)))</f>
        <v>97.099621689785636</v>
      </c>
      <c r="AT52" s="123" cm="1">
        <f t="array" ref="AT52">CHOOSE($H52,SUMPRODUCT($O53:$O$75*AT53:AT$75*($E53:$E$75=$D52)),IF(ISNUMBER(iData!AM52),100*ABS($G52-(iData!AM52-$K52)/$M52),0),IF(ISNUMBER(iData!AM52),100*ABS($G52-(iData!AM52-$I52)/$M52),0),IF(iData!AM52&gt;tblIndicators!$AI48,100,IF(ISNUMBER(iData!AM52),100*ABS($G52-(iData!AM52-$I52)/$M52),0)),IF(iData!AM52&lt;0,100,IF(ISNUMBER(iData!AM52),100*ABS($G52-(iData!AM52-$I52)/$M52),0)))</f>
        <v>81.967213114754102</v>
      </c>
      <c r="AU52" s="123" cm="1">
        <f t="array" ref="AU52">CHOOSE($H52,SUMPRODUCT($O53:$O$75*AU53:AU$75*($E53:$E$75=$D52)),IF(ISNUMBER(iData!AN52),100*ABS($G52-(iData!AN52-$K52)/$M52),0),IF(ISNUMBER(iData!AN52),100*ABS($G52-(iData!AN52-$I52)/$M52),0),IF(iData!AN52&gt;tblIndicators!$AI48,100,IF(ISNUMBER(iData!AN52),100*ABS($G52-(iData!AN52-$I52)/$M52),0)),IF(iData!AN52&lt;0,100,IF(ISNUMBER(iData!AN52),100*ABS($G52-(iData!AN52-$I52)/$M52),0)))</f>
        <v>86.38083228247163</v>
      </c>
      <c r="AV52" s="367"/>
      <c r="AW52" s="368"/>
      <c r="AX52" s="14"/>
      <c r="AY52" s="871">
        <f t="shared" ref="AY52" si="110">ROUND(R52,$AY$2)</f>
        <v>86.4</v>
      </c>
      <c r="AZ52" s="871">
        <f t="shared" ref="AZ52" si="111">ROUND(S52,$AY$2)</f>
        <v>82</v>
      </c>
      <c r="BA52" s="871">
        <f t="shared" ref="BA52" si="112">ROUND(T52,$AY$2)</f>
        <v>32.799999999999997</v>
      </c>
      <c r="BB52" s="871">
        <f t="shared" ref="BB52" si="113">ROUND(U52,$AY$2)</f>
        <v>80.099999999999994</v>
      </c>
      <c r="BC52" s="871">
        <f t="shared" ref="BC52" si="114">ROUND(V52,$AY$2)</f>
        <v>0</v>
      </c>
      <c r="BD52" s="871">
        <f t="shared" ref="BD52" si="115">ROUND(W52,$AY$2)</f>
        <v>87</v>
      </c>
      <c r="BE52" s="871">
        <f t="shared" ref="BE52" si="116">ROUND(X52,$AY$2)</f>
        <v>76.900000000000006</v>
      </c>
      <c r="BF52" s="871">
        <f t="shared" ref="BF52" si="117">ROUND(Y52,$AY$2)</f>
        <v>100</v>
      </c>
      <c r="BG52" s="871">
        <f t="shared" ref="BG52" si="118">ROUND(Z52,$AY$2)</f>
        <v>82</v>
      </c>
      <c r="BH52" s="871">
        <f t="shared" ref="BH52" si="119">ROUND(AA52,$AY$2)</f>
        <v>21.4</v>
      </c>
      <c r="BI52" s="871">
        <f t="shared" ref="BI52" si="120">ROUND(AB52,$AY$2)</f>
        <v>87</v>
      </c>
      <c r="BJ52" s="871">
        <f t="shared" ref="BJ52" si="121">ROUND(AC52,$AY$2)</f>
        <v>51.7</v>
      </c>
      <c r="BK52" s="871">
        <f t="shared" ref="BK52" si="122">ROUND(AD52,$AY$2)</f>
        <v>47.9</v>
      </c>
      <c r="BL52" s="871">
        <f t="shared" ref="BL52" si="123">ROUND(AE52,$AY$2)</f>
        <v>60.5</v>
      </c>
      <c r="BM52" s="871">
        <f t="shared" ref="BM52" si="124">ROUND(AF52,$AY$2)</f>
        <v>85.8</v>
      </c>
      <c r="BN52" s="871">
        <f t="shared" ref="BN52" si="125">ROUND(AG52,$AY$2)</f>
        <v>80.099999999999994</v>
      </c>
      <c r="BO52" s="871">
        <f t="shared" ref="BO52" si="126">ROUND(AH52,$AY$2)</f>
        <v>69.400000000000006</v>
      </c>
      <c r="BP52" s="871">
        <f t="shared" ref="BP52" si="127">ROUND(AI52,$AY$2)</f>
        <v>63.1</v>
      </c>
      <c r="BQ52" s="871">
        <f t="shared" ref="BQ52" si="128">ROUND(AJ52,$AY$2)</f>
        <v>49.2</v>
      </c>
      <c r="BR52" s="871">
        <f t="shared" ref="BR52" si="129">ROUND(AK52,$AY$2)</f>
        <v>82</v>
      </c>
      <c r="BS52" s="871">
        <f t="shared" ref="BS52" si="130">ROUND(AL52,$AY$2)</f>
        <v>85.8</v>
      </c>
      <c r="BT52" s="871">
        <f t="shared" ref="BT52" si="131">ROUND(AM52,$AY$2)</f>
        <v>83.2</v>
      </c>
      <c r="BU52" s="871">
        <f t="shared" ref="BU52" si="132">ROUND(AN52,$AY$2)</f>
        <v>68.099999999999994</v>
      </c>
      <c r="BV52" s="871">
        <f t="shared" ref="BV52" si="133">ROUND(AO52,$AY$2)</f>
        <v>71.900000000000006</v>
      </c>
      <c r="BW52" s="871">
        <f t="shared" ref="BW52" si="134">ROUND(AP52,$AY$2)</f>
        <v>55.5</v>
      </c>
      <c r="BX52" s="871">
        <f t="shared" ref="BX52" si="135">ROUND(AQ52,$AY$2)</f>
        <v>82</v>
      </c>
      <c r="BY52" s="871">
        <f t="shared" ref="BY52" si="136">ROUND(AR52,$AY$2)</f>
        <v>83.2</v>
      </c>
      <c r="BZ52" s="871">
        <f t="shared" ref="BZ52" si="137">ROUND(AS52,$AY$2)</f>
        <v>97.1</v>
      </c>
      <c r="CA52" s="871">
        <f t="shared" ref="CA52" si="138">ROUND(AT52,$AY$2)</f>
        <v>82</v>
      </c>
      <c r="CB52" s="871">
        <f t="shared" ref="CB52" si="139">ROUND(AU52,$AY$2)</f>
        <v>86.4</v>
      </c>
      <c r="CD52" s="304">
        <f t="shared" ca="1" si="108"/>
        <v>70.7</v>
      </c>
      <c r="CE52" s="304">
        <f t="shared" ca="1" si="108"/>
        <v>70.7</v>
      </c>
      <c r="CF52" s="304">
        <f t="shared" ca="1" si="108"/>
        <v>57.2</v>
      </c>
      <c r="CG52" s="302">
        <f t="shared" ca="1" si="108"/>
        <v>86.2</v>
      </c>
      <c r="CH52" s="302">
        <f t="shared" ca="1" si="108"/>
        <v>69.400000000000006</v>
      </c>
      <c r="CI52" s="302">
        <f t="shared" ca="1" si="108"/>
        <v>21.4</v>
      </c>
      <c r="CJ52" s="302">
        <f t="shared" ca="1" si="108"/>
        <v>85.8</v>
      </c>
      <c r="CK52" s="302">
        <f t="shared" ca="1" si="108"/>
        <v>55.5</v>
      </c>
      <c r="CL52" s="302">
        <f t="shared" ca="1" si="108"/>
        <v>50.2</v>
      </c>
      <c r="CM52" s="302">
        <f t="shared" ca="1" si="108"/>
        <v>78.7</v>
      </c>
      <c r="CN52" s="302">
        <f t="shared" ca="1" si="105"/>
        <v>78.599999999999994</v>
      </c>
      <c r="CO52" s="302">
        <f t="shared" ca="1" si="105"/>
        <v>75.099999999999994</v>
      </c>
      <c r="CP52" s="302">
        <f t="shared" ca="1" si="105"/>
        <v>68.5</v>
      </c>
      <c r="CQ52" s="302">
        <f t="shared" ca="1" si="105"/>
        <v>60.3</v>
      </c>
    </row>
    <row r="53" spans="1:95" s="124" customFormat="1" ht="27.75" customHeight="1" thickBot="1">
      <c r="A53" s="118"/>
      <c r="B53" s="119">
        <f>tblIndicators!A49</f>
        <v>48</v>
      </c>
      <c r="C53" s="119">
        <f>tblIndicators!B49</f>
        <v>0</v>
      </c>
      <c r="D53" s="119" t="str">
        <f>tblIndicators!E49</f>
        <v>CULT3_3</v>
      </c>
      <c r="E53" s="119" t="str">
        <f>tblIndicators!F49</f>
        <v>CULT</v>
      </c>
      <c r="F53" s="119">
        <f>tblIndicators!G49</f>
        <v>2</v>
      </c>
      <c r="G53" s="119">
        <f>tblIndicators!AF49</f>
        <v>0</v>
      </c>
      <c r="H53" s="119">
        <f>tblIndicators!AG49</f>
        <v>1</v>
      </c>
      <c r="I53" s="120">
        <f>tblIndicators!AH49</f>
        <v>0</v>
      </c>
      <c r="J53" s="119">
        <f>tblIndicators!AI49</f>
        <v>0</v>
      </c>
      <c r="K53" s="119">
        <f t="array" ref="K53">MIN(IF(ISNUMBER(iData!K53:AN53),iData!K53:AN53))</f>
        <v>0</v>
      </c>
      <c r="L53" s="121">
        <f t="array" ref="L53">MAX(IF(ISNUMBER(iData!K53:AN53),iData!K53:AN53))</f>
        <v>0</v>
      </c>
      <c r="M53" s="51" t="str">
        <f t="shared" si="106"/>
        <v>-</v>
      </c>
      <c r="N53" s="122" t="str">
        <f>REPT(" ",F53)&amp;tblIndicators!AM49</f>
        <v xml:space="preserve">  3.3) Innovation ecosystem</v>
      </c>
      <c r="O53" s="381">
        <f>tblIndicators!AR49</f>
        <v>0.3125</v>
      </c>
      <c r="P53" s="381"/>
      <c r="Q53" s="323"/>
      <c r="R53" s="123" cm="1">
        <f t="array" ref="R53">CHOOSE($H53,SUMPRODUCT($O54:$O$75*R54:R$75*($E54:$E$75=$D53)),IF(ISNUMBER(iData!K53),100*ABS($G53-(iData!K53-$K53)/$M53),0),IF(ISNUMBER(iData!K53),100*ABS($G53-(iData!K53-$I53)/$M53),0),IF(iData!K53&gt;tblIndicators!$AI49,100,IF(ISNUMBER(iData!K53),100*ABS($G53-(iData!K53-$I53)/$M53),0)),IF(iData!K53&lt;0,100,IF(ISNUMBER(iData!K53),100*ABS($G53-(iData!K53-$I53)/$M53),0)))</f>
        <v>62.030492729491471</v>
      </c>
      <c r="S53" s="123" cm="1">
        <f t="array" ref="S53">CHOOSE($H53,SUMPRODUCT($O54:$O$75*S54:S$75*($E54:$E$75=$D53)),IF(ISNUMBER(iData!L53),100*ABS($G53-(iData!L53-$K53)/$M53),0),IF(ISNUMBER(iData!L53),100*ABS($G53-(iData!L53-$I53)/$M53),0),IF(iData!L53&gt;tblIndicators!$AI49,100,IF(ISNUMBER(iData!L53),100*ABS($G53-(iData!L53-$I53)/$M53),0)),IF(iData!L53&lt;0,100,IF(ISNUMBER(iData!L53),100*ABS($G53-(iData!L53-$I53)/$M53),0)))</f>
        <v>49.110372571598845</v>
      </c>
      <c r="T53" s="123" cm="1">
        <f t="array" ref="T53">CHOOSE($H53,SUMPRODUCT($O54:$O$75*T54:T$75*($E54:$E$75=$D53)),IF(ISNUMBER(iData!M53),100*ABS($G53-(iData!M53-$K53)/$M53),0),IF(ISNUMBER(iData!M53),100*ABS($G53-(iData!M53-$I53)/$M53),0),IF(iData!M53&gt;tblIndicators!$AI49,100,IF(ISNUMBER(iData!M53),100*ABS($G53-(iData!M53-$I53)/$M53),0)),IF(iData!M53&lt;0,100,IF(ISNUMBER(iData!M53),100*ABS($G53-(iData!M53-$I53)/$M53),0)))</f>
        <v>19.017784073144099</v>
      </c>
      <c r="U53" s="123" cm="1">
        <f t="array" ref="U53">CHOOSE($H53,SUMPRODUCT($O54:$O$75*U54:U$75*($E54:$E$75=$D53)),IF(ISNUMBER(iData!N53),100*ABS($G53-(iData!N53-$K53)/$M53),0),IF(ISNUMBER(iData!N53),100*ABS($G53-(iData!N53-$I53)/$M53),0),IF(iData!N53&gt;tblIndicators!$AI49,100,IF(ISNUMBER(iData!N53),100*ABS($G53-(iData!N53-$I53)/$M53),0)),IF(iData!N53&lt;0,100,IF(ISNUMBER(iData!N53),100*ABS($G53-(iData!N53-$I53)/$M53),0)))</f>
        <v>51.258430411498907</v>
      </c>
      <c r="V53" s="123" cm="1">
        <f t="array" ref="V53">CHOOSE($H53,SUMPRODUCT($O54:$O$75*V54:V$75*($E54:$E$75=$D53)),IF(ISNUMBER(iData!O53),100*ABS($G53-(iData!O53-$K53)/$M53),0),IF(ISNUMBER(iData!O53),100*ABS($G53-(iData!O53-$I53)/$M53),0),IF(iData!O53&gt;tblIndicators!$AI49,100,IF(ISNUMBER(iData!O53),100*ABS($G53-(iData!O53-$I53)/$M53),0)),IF(iData!O53&lt;0,100,IF(ISNUMBER(iData!O53),100*ABS($G53-(iData!O53-$I53)/$M53),0)))</f>
        <v>49.817314498821908</v>
      </c>
      <c r="W53" s="123" cm="1">
        <f t="array" ref="W53">CHOOSE($H53,SUMPRODUCT($O54:$O$75*W54:W$75*($E54:$E$75=$D53)),IF(ISNUMBER(iData!P53),100*ABS($G53-(iData!P53-$K53)/$M53),0),IF(ISNUMBER(iData!P53),100*ABS($G53-(iData!P53-$I53)/$M53),0),IF(iData!P53&gt;tblIndicators!$AI49,100,IF(ISNUMBER(iData!P53),100*ABS($G53-(iData!P53-$I53)/$M53),0)),IF(iData!P53&lt;0,100,IF(ISNUMBER(iData!P53),100*ABS($G53-(iData!P53-$I53)/$M53),0)))</f>
        <v>66.970755843535954</v>
      </c>
      <c r="X53" s="123" cm="1">
        <f t="array" ref="X53">CHOOSE($H53,SUMPRODUCT($O54:$O$75*X54:X$75*($E54:$E$75=$D53)),IF(ISNUMBER(iData!Q53),100*ABS($G53-(iData!Q53-$K53)/$M53),0),IF(ISNUMBER(iData!Q53),100*ABS($G53-(iData!Q53-$I53)/$M53),0),IF(iData!Q53&gt;tblIndicators!$AI49,100,IF(ISNUMBER(iData!Q53),100*ABS($G53-(iData!Q53-$I53)/$M53),0)),IF(iData!Q53&lt;0,100,IF(ISNUMBER(iData!Q53),100*ABS($G53-(iData!Q53-$I53)/$M53),0)))</f>
        <v>14.554403671621792</v>
      </c>
      <c r="Y53" s="123" cm="1">
        <f t="array" ref="Y53">CHOOSE($H53,SUMPRODUCT($O54:$O$75*Y54:Y$75*($E54:$E$75=$D53)),IF(ISNUMBER(iData!R53),100*ABS($G53-(iData!R53-$K53)/$M53),0),IF(ISNUMBER(iData!R53),100*ABS($G53-(iData!R53-$I53)/$M53),0),IF(iData!R53&gt;tblIndicators!$AI49,100,IF(ISNUMBER(iData!R53),100*ABS($G53-(iData!R53-$I53)/$M53),0)),IF(iData!R53&lt;0,100,IF(ISNUMBER(iData!R53),100*ABS($G53-(iData!R53-$I53)/$M53),0)))</f>
        <v>60.613879205631804</v>
      </c>
      <c r="Z53" s="123" cm="1">
        <f t="array" ref="Z53">CHOOSE($H53,SUMPRODUCT($O54:$O$75*Z54:Z$75*($E54:$E$75=$D53)),IF(ISNUMBER(iData!S53),100*ABS($G53-(iData!S53-$K53)/$M53),0),IF(ISNUMBER(iData!S53),100*ABS($G53-(iData!S53-$I53)/$M53),0),IF(iData!S53&gt;tblIndicators!$AI49,100,IF(ISNUMBER(iData!S53),100*ABS($G53-(iData!S53-$I53)/$M53),0)),IF(iData!S53&lt;0,100,IF(ISNUMBER(iData!S53),100*ABS($G53-(iData!S53-$I53)/$M53),0)))</f>
        <v>66.182814258765035</v>
      </c>
      <c r="AA53" s="123" cm="1">
        <f t="array" ref="AA53">CHOOSE($H53,SUMPRODUCT($O54:$O$75*AA54:AA$75*($E54:$E$75=$D53)),IF(ISNUMBER(iData!T53),100*ABS($G53-(iData!T53-$K53)/$M53),0),IF(ISNUMBER(iData!T53),100*ABS($G53-(iData!T53-$I53)/$M53),0),IF(iData!T53&gt;tblIndicators!$AI49,100,IF(ISNUMBER(iData!T53),100*ABS($G53-(iData!T53-$I53)/$M53),0)),IF(iData!T53&lt;0,100,IF(ISNUMBER(iData!T53),100*ABS($G53-(iData!T53-$I53)/$M53),0)))</f>
        <v>57.416951765810488</v>
      </c>
      <c r="AB53" s="123" cm="1">
        <f t="array" ref="AB53">CHOOSE($H53,SUMPRODUCT($O54:$O$75*AB54:AB$75*($E54:$E$75=$D53)),IF(ISNUMBER(iData!U53),100*ABS($G53-(iData!U53-$K53)/$M53),0),IF(ISNUMBER(iData!U53),100*ABS($G53-(iData!U53-$I53)/$M53),0),IF(iData!U53&gt;tblIndicators!$AI49,100,IF(ISNUMBER(iData!U53),100*ABS($G53-(iData!U53-$I53)/$M53),0)),IF(iData!U53&lt;0,100,IF(ISNUMBER(iData!U53),100*ABS($G53-(iData!U53-$I53)/$M53),0)))</f>
        <v>62.772130893207191</v>
      </c>
      <c r="AC53" s="123" cm="1">
        <f t="array" ref="AC53">CHOOSE($H53,SUMPRODUCT($O54:$O$75*AC54:AC$75*($E54:$E$75=$D53)),IF(ISNUMBER(iData!V53),100*ABS($G53-(iData!V53-$K53)/$M53),0),IF(ISNUMBER(iData!V53),100*ABS($G53-(iData!V53-$I53)/$M53),0),IF(iData!V53&gt;tblIndicators!$AI49,100,IF(ISNUMBER(iData!V53),100*ABS($G53-(iData!V53-$I53)/$M53),0)),IF(iData!V53&lt;0,100,IF(ISNUMBER(iData!V53),100*ABS($G53-(iData!V53-$I53)/$M53),0)))</f>
        <v>46.668636416552147</v>
      </c>
      <c r="AD53" s="123" cm="1">
        <f t="array" ref="AD53">CHOOSE($H53,SUMPRODUCT($O54:$O$75*AD54:AD$75*($E54:$E$75=$D53)),IF(ISNUMBER(iData!W53),100*ABS($G53-(iData!W53-$K53)/$M53),0),IF(ISNUMBER(iData!W53),100*ABS($G53-(iData!W53-$I53)/$M53),0),IF(iData!W53&gt;tblIndicators!$AI49,100,IF(ISNUMBER(iData!W53),100*ABS($G53-(iData!W53-$I53)/$M53),0)),IF(iData!W53&lt;0,100,IF(ISNUMBER(iData!W53),100*ABS($G53-(iData!W53-$I53)/$M53),0)))</f>
        <v>14.491070004334759</v>
      </c>
      <c r="AE53" s="123" cm="1">
        <f t="array" ref="AE53">CHOOSE($H53,SUMPRODUCT($O54:$O$75*AE54:AE$75*($E54:$E$75=$D53)),IF(ISNUMBER(iData!X53),100*ABS($G53-(iData!X53-$K53)/$M53),0),IF(ISNUMBER(iData!X53),100*ABS($G53-(iData!X53-$I53)/$M53),0),IF(iData!X53&gt;tblIndicators!$AI49,100,IF(ISNUMBER(iData!X53),100*ABS($G53-(iData!X53-$I53)/$M53),0)),IF(iData!X53&lt;0,100,IF(ISNUMBER(iData!X53),100*ABS($G53-(iData!X53-$I53)/$M53),0)))</f>
        <v>31.688454544914869</v>
      </c>
      <c r="AF53" s="123" cm="1">
        <f t="array" ref="AF53">CHOOSE($H53,SUMPRODUCT($O54:$O$75*AF54:AF$75*($E54:$E$75=$D53)),IF(ISNUMBER(iData!Y53),100*ABS($G53-(iData!Y53-$K53)/$M53),0),IF(ISNUMBER(iData!Y53),100*ABS($G53-(iData!Y53-$I53)/$M53),0),IF(iData!Y53&gt;tblIndicators!$AI49,100,IF(ISNUMBER(iData!Y53),100*ABS($G53-(iData!Y53-$I53)/$M53),0)),IF(iData!Y53&lt;0,100,IF(ISNUMBER(iData!Y53),100*ABS($G53-(iData!Y53-$I53)/$M53),0)))</f>
        <v>70.001927403068208</v>
      </c>
      <c r="AG53" s="123" cm="1">
        <f t="array" ref="AG53">CHOOSE($H53,SUMPRODUCT($O54:$O$75*AG54:AG$75*($E54:$E$75=$D53)),IF(ISNUMBER(iData!Z53),100*ABS($G53-(iData!Z53-$K53)/$M53),0),IF(ISNUMBER(iData!Z53),100*ABS($G53-(iData!Z53-$I53)/$M53),0),IF(iData!Z53&gt;tblIndicators!$AI49,100,IF(ISNUMBER(iData!Z53),100*ABS($G53-(iData!Z53-$I53)/$M53),0)),IF(iData!Z53&lt;0,100,IF(ISNUMBER(iData!Z53),100*ABS($G53-(iData!Z53-$I53)/$M53),0)))</f>
        <v>42.663419190717185</v>
      </c>
      <c r="AH53" s="123" cm="1">
        <f t="array" ref="AH53">CHOOSE($H53,SUMPRODUCT($O54:$O$75*AH54:AH$75*($E54:$E$75=$D53)),IF(ISNUMBER(iData!AA53),100*ABS($G53-(iData!AA53-$K53)/$M53),0),IF(ISNUMBER(iData!AA53),100*ABS($G53-(iData!AA53-$I53)/$M53),0),IF(iData!AA53&gt;tblIndicators!$AI49,100,IF(ISNUMBER(iData!AA53),100*ABS($G53-(iData!AA53-$I53)/$M53),0)),IF(iData!AA53&lt;0,100,IF(ISNUMBER(iData!AA53),100*ABS($G53-(iData!AA53-$I53)/$M53),0)))</f>
        <v>10.290532024674963</v>
      </c>
      <c r="AI53" s="123" cm="1">
        <f t="array" ref="AI53">CHOOSE($H53,SUMPRODUCT($O54:$O$75*AI54:AI$75*($E54:$E$75=$D53)),IF(ISNUMBER(iData!AB53),100*ABS($G53-(iData!AB53-$K53)/$M53),0),IF(ISNUMBER(iData!AB53),100*ABS($G53-(iData!AB53-$I53)/$M53),0),IF(iData!AB53&gt;tblIndicators!$AI49,100,IF(ISNUMBER(iData!AB53),100*ABS($G53-(iData!AB53-$I53)/$M53),0)),IF(iData!AB53&lt;0,100,IF(ISNUMBER(iData!AB53),100*ABS($G53-(iData!AB53-$I53)/$M53),0)))</f>
        <v>19.778692407813907</v>
      </c>
      <c r="AJ53" s="123" cm="1">
        <f t="array" ref="AJ53">CHOOSE($H53,SUMPRODUCT($O54:$O$75*AJ54:AJ$75*($E54:$E$75=$D53)),IF(ISNUMBER(iData!AC53),100*ABS($G53-(iData!AC53-$K53)/$M53),0),IF(ISNUMBER(iData!AC53),100*ABS($G53-(iData!AC53-$I53)/$M53),0),IF(iData!AC53&gt;tblIndicators!$AI49,100,IF(ISNUMBER(iData!AC53),100*ABS($G53-(iData!AC53-$I53)/$M53),0)),IF(iData!AC53&lt;0,100,IF(ISNUMBER(iData!AC53),100*ABS($G53-(iData!AC53-$I53)/$M53),0)))</f>
        <v>30.675806551492787</v>
      </c>
      <c r="AK53" s="123" cm="1">
        <f t="array" ref="AK53">CHOOSE($H53,SUMPRODUCT($O54:$O$75*AK54:AK$75*($E54:$E$75=$D53)),IF(ISNUMBER(iData!AD53),100*ABS($G53-(iData!AD53-$K53)/$M53),0),IF(ISNUMBER(iData!AD53),100*ABS($G53-(iData!AD53-$I53)/$M53),0),IF(iData!AD53&gt;tblIndicators!$AI49,100,IF(ISNUMBER(iData!AD53),100*ABS($G53-(iData!AD53-$I53)/$M53),0)),IF(iData!AD53&lt;0,100,IF(ISNUMBER(iData!AD53),100*ABS($G53-(iData!AD53-$I53)/$M53),0)))</f>
        <v>87.9289532678048</v>
      </c>
      <c r="AL53" s="123" cm="1">
        <f t="array" ref="AL53">CHOOSE($H53,SUMPRODUCT($O54:$O$75*AL54:AL$75*($E54:$E$75=$D53)),IF(ISNUMBER(iData!AE53),100*ABS($G53-(iData!AE53-$K53)/$M53),0),IF(ISNUMBER(iData!AE53),100*ABS($G53-(iData!AE53-$I53)/$M53),0),IF(iData!AE53&gt;tblIndicators!$AI49,100,IF(ISNUMBER(iData!AE53),100*ABS($G53-(iData!AE53-$I53)/$M53),0)),IF(iData!AE53&lt;0,100,IF(ISNUMBER(iData!AE53),100*ABS($G53-(iData!AE53-$I53)/$M53),0)))</f>
        <v>58.063990169979895</v>
      </c>
      <c r="AM53" s="123" cm="1">
        <f t="array" ref="AM53">CHOOSE($H53,SUMPRODUCT($O54:$O$75*AM54:AM$75*($E54:$E$75=$D53)),IF(ISNUMBER(iData!AF53),100*ABS($G53-(iData!AF53-$K53)/$M53),0),IF(ISNUMBER(iData!AF53),100*ABS($G53-(iData!AF53-$I53)/$M53),0),IF(iData!AF53&gt;tblIndicators!$AI49,100,IF(ISNUMBER(iData!AF53),100*ABS($G53-(iData!AF53-$I53)/$M53),0)),IF(iData!AF53&lt;0,100,IF(ISNUMBER(iData!AF53),100*ABS($G53-(iData!AF53-$I53)/$M53),0)))</f>
        <v>37.557390095588772</v>
      </c>
      <c r="AN53" s="123" cm="1">
        <f t="array" ref="AN53">CHOOSE($H53,SUMPRODUCT($O54:$O$75*AN54:AN$75*($E54:$E$75=$D53)),IF(ISNUMBER(iData!AG53),100*ABS($G53-(iData!AG53-$K53)/$M53),0),IF(ISNUMBER(iData!AG53),100*ABS($G53-(iData!AG53-$I53)/$M53),0),IF(iData!AG53&gt;tblIndicators!$AI49,100,IF(ISNUMBER(iData!AG53),100*ABS($G53-(iData!AG53-$I53)/$M53),0)),IF(iData!AG53&lt;0,100,IF(ISNUMBER(iData!AG53),100*ABS($G53-(iData!AG53-$I53)/$M53),0)))</f>
        <v>36.483599842117236</v>
      </c>
      <c r="AO53" s="123" cm="1">
        <f t="array" ref="AO53">CHOOSE($H53,SUMPRODUCT($O54:$O$75*AO54:AO$75*($E54:$E$75=$D53)),IF(ISNUMBER(iData!AH53),100*ABS($G53-(iData!AH53-$K53)/$M53),0),IF(ISNUMBER(iData!AH53),100*ABS($G53-(iData!AH53-$I53)/$M53),0),IF(iData!AH53&gt;tblIndicators!$AI49,100,IF(ISNUMBER(iData!AH53),100*ABS($G53-(iData!AH53-$I53)/$M53),0)),IF(iData!AH53&lt;0,100,IF(ISNUMBER(iData!AH53),100*ABS($G53-(iData!AH53-$I53)/$M53),0)))</f>
        <v>55.943240282010343</v>
      </c>
      <c r="AP53" s="123" cm="1">
        <f t="array" ref="AP53">CHOOSE($H53,SUMPRODUCT($O54:$O$75*AP54:AP$75*($E54:$E$75=$D53)),IF(ISNUMBER(iData!AI53),100*ABS($G53-(iData!AI53-$K53)/$M53),0),IF(ISNUMBER(iData!AI53),100*ABS($G53-(iData!AI53-$I53)/$M53),0),IF(iData!AI53&gt;tblIndicators!$AI49,100,IF(ISNUMBER(iData!AI53),100*ABS($G53-(iData!AI53-$I53)/$M53),0)),IF(iData!AI53&lt;0,100,IF(ISNUMBER(iData!AI53),100*ABS($G53-(iData!AI53-$I53)/$M53),0)))</f>
        <v>73.988947893906442</v>
      </c>
      <c r="AQ53" s="123" cm="1">
        <f t="array" ref="AQ53">CHOOSE($H53,SUMPRODUCT($O54:$O$75*AQ54:AQ$75*($E54:$E$75=$D53)),IF(ISNUMBER(iData!AJ53),100*ABS($G53-(iData!AJ53-$K53)/$M53),0),IF(ISNUMBER(iData!AJ53),100*ABS($G53-(iData!AJ53-$I53)/$M53),0),IF(iData!AJ53&gt;tblIndicators!$AI49,100,IF(ISNUMBER(iData!AJ53),100*ABS($G53-(iData!AJ53-$I53)/$M53),0)),IF(iData!AJ53&lt;0,100,IF(ISNUMBER(iData!AJ53),100*ABS($G53-(iData!AJ53-$I53)/$M53),0)))</f>
        <v>66.283585910060253</v>
      </c>
      <c r="AR53" s="123" cm="1">
        <f t="array" ref="AR53">CHOOSE($H53,SUMPRODUCT($O54:$O$75*AR54:AR$75*($E54:$E$75=$D53)),IF(ISNUMBER(iData!AK53),100*ABS($G53-(iData!AK53-$K53)/$M53),0),IF(ISNUMBER(iData!AK53),100*ABS($G53-(iData!AK53-$I53)/$M53),0),IF(iData!AK53&gt;tblIndicators!$AI49,100,IF(ISNUMBER(iData!AK53),100*ABS($G53-(iData!AK53-$I53)/$M53),0)),IF(iData!AK53&lt;0,100,IF(ISNUMBER(iData!AK53),100*ABS($G53-(iData!AK53-$I53)/$M53),0)))</f>
        <v>46.616463053236785</v>
      </c>
      <c r="AS53" s="123" cm="1">
        <f t="array" ref="AS53">CHOOSE($H53,SUMPRODUCT($O54:$O$75*AS54:AS$75*($E54:$E$75=$D53)),IF(ISNUMBER(iData!AL53),100*ABS($G53-(iData!AL53-$K53)/$M53),0),IF(ISNUMBER(iData!AL53),100*ABS($G53-(iData!AL53-$I53)/$M53),0),IF(iData!AL53&gt;tblIndicators!$AI49,100,IF(ISNUMBER(iData!AL53),100*ABS($G53-(iData!AL53-$I53)/$M53),0)),IF(iData!AL53&lt;0,100,IF(ISNUMBER(iData!AL53),100*ABS($G53-(iData!AL53-$I53)/$M53),0)))</f>
        <v>58.955146724046777</v>
      </c>
      <c r="AT53" s="123" cm="1">
        <f t="array" ref="AT53">CHOOSE($H53,SUMPRODUCT($O54:$O$75*AT54:AT$75*($E54:$E$75=$D53)),IF(ISNUMBER(iData!AM53),100*ABS($G53-(iData!AM53-$K53)/$M53),0),IF(ISNUMBER(iData!AM53),100*ABS($G53-(iData!AM53-$I53)/$M53),0),IF(iData!AM53&gt;tblIndicators!$AI49,100,IF(ISNUMBER(iData!AM53),100*ABS($G53-(iData!AM53-$I53)/$M53),0)),IF(iData!AM53&lt;0,100,IF(ISNUMBER(iData!AM53),100*ABS($G53-(iData!AM53-$I53)/$M53),0)))</f>
        <v>66.77609821913758</v>
      </c>
      <c r="AU53" s="123" cm="1">
        <f t="array" ref="AU53">CHOOSE($H53,SUMPRODUCT($O54:$O$75*AU54:AU$75*($E54:$E$75=$D53)),IF(ISNUMBER(iData!AN53),100*ABS($G53-(iData!AN53-$K53)/$M53),0),IF(ISNUMBER(iData!AN53),100*ABS($G53-(iData!AN53-$I53)/$M53),0),IF(iData!AN53&gt;tblIndicators!$AI49,100,IF(ISNUMBER(iData!AN53),100*ABS($G53-(iData!AN53-$I53)/$M53),0)),IF(iData!AN53&lt;0,100,IF(ISNUMBER(iData!AN53),100*ABS($G53-(iData!AN53-$I53)/$M53),0)))</f>
        <v>58.917627165407069</v>
      </c>
      <c r="AV53" s="367"/>
      <c r="AW53" s="368"/>
      <c r="AX53" s="14"/>
      <c r="AY53" s="871">
        <f t="shared" si="40"/>
        <v>62</v>
      </c>
      <c r="AZ53" s="871">
        <f t="shared" si="41"/>
        <v>49.1</v>
      </c>
      <c r="BA53" s="871">
        <f t="shared" si="42"/>
        <v>19</v>
      </c>
      <c r="BB53" s="871">
        <f t="shared" si="43"/>
        <v>51.3</v>
      </c>
      <c r="BC53" s="871">
        <f t="shared" si="44"/>
        <v>49.8</v>
      </c>
      <c r="BD53" s="871">
        <f t="shared" si="45"/>
        <v>67</v>
      </c>
      <c r="BE53" s="871">
        <f t="shared" si="46"/>
        <v>14.6</v>
      </c>
      <c r="BF53" s="871">
        <f t="shared" si="47"/>
        <v>60.6</v>
      </c>
      <c r="BG53" s="871">
        <f t="shared" si="48"/>
        <v>66.2</v>
      </c>
      <c r="BH53" s="871">
        <f t="shared" si="49"/>
        <v>57.4</v>
      </c>
      <c r="BI53" s="871">
        <f t="shared" si="50"/>
        <v>62.8</v>
      </c>
      <c r="BJ53" s="871">
        <f t="shared" si="51"/>
        <v>46.7</v>
      </c>
      <c r="BK53" s="871">
        <f t="shared" si="52"/>
        <v>14.5</v>
      </c>
      <c r="BL53" s="871">
        <f t="shared" si="53"/>
        <v>31.7</v>
      </c>
      <c r="BM53" s="871">
        <f t="shared" si="54"/>
        <v>70</v>
      </c>
      <c r="BN53" s="871">
        <f t="shared" si="55"/>
        <v>42.7</v>
      </c>
      <c r="BO53" s="871">
        <f t="shared" si="56"/>
        <v>10.3</v>
      </c>
      <c r="BP53" s="871">
        <f t="shared" si="57"/>
        <v>19.8</v>
      </c>
      <c r="BQ53" s="871">
        <f t="shared" si="58"/>
        <v>30.7</v>
      </c>
      <c r="BR53" s="871">
        <f t="shared" si="59"/>
        <v>87.9</v>
      </c>
      <c r="BS53" s="871">
        <f t="shared" si="60"/>
        <v>58.1</v>
      </c>
      <c r="BT53" s="871">
        <f t="shared" si="61"/>
        <v>37.6</v>
      </c>
      <c r="BU53" s="871">
        <f t="shared" si="62"/>
        <v>36.5</v>
      </c>
      <c r="BV53" s="871">
        <f t="shared" si="63"/>
        <v>55.9</v>
      </c>
      <c r="BW53" s="871">
        <f t="shared" si="64"/>
        <v>74</v>
      </c>
      <c r="BX53" s="871">
        <f t="shared" si="65"/>
        <v>66.3</v>
      </c>
      <c r="BY53" s="871">
        <f t="shared" si="66"/>
        <v>46.6</v>
      </c>
      <c r="BZ53" s="871">
        <f t="shared" si="67"/>
        <v>59</v>
      </c>
      <c r="CA53" s="871">
        <f t="shared" si="68"/>
        <v>66.8</v>
      </c>
      <c r="CB53" s="871">
        <f t="shared" si="69"/>
        <v>58.9</v>
      </c>
      <c r="CD53" s="304">
        <f t="shared" ca="1" si="108"/>
        <v>49.1</v>
      </c>
      <c r="CE53" s="304">
        <f t="shared" ca="1" si="108"/>
        <v>49.1</v>
      </c>
      <c r="CF53" s="304">
        <f t="shared" ca="1" si="108"/>
        <v>41.2</v>
      </c>
      <c r="CG53" s="302">
        <f t="shared" ca="1" si="108"/>
        <v>57.1</v>
      </c>
      <c r="CH53" s="302">
        <f t="shared" ca="1" si="108"/>
        <v>23.6</v>
      </c>
      <c r="CI53" s="302">
        <f t="shared" ca="1" si="108"/>
        <v>57.4</v>
      </c>
      <c r="CJ53" s="302">
        <f t="shared" ca="1" si="108"/>
        <v>70</v>
      </c>
      <c r="CK53" s="302">
        <f t="shared" ca="1" si="108"/>
        <v>18.5</v>
      </c>
      <c r="CL53" s="302">
        <f t="shared" ca="1" si="108"/>
        <v>28.6</v>
      </c>
      <c r="CM53" s="302">
        <f t="shared" ca="1" si="108"/>
        <v>59.4</v>
      </c>
      <c r="CN53" s="302">
        <f t="shared" ca="1" si="105"/>
        <v>56.8</v>
      </c>
      <c r="CO53" s="302">
        <f t="shared" ca="1" si="105"/>
        <v>56.2</v>
      </c>
      <c r="CP53" s="302">
        <f t="shared" ca="1" si="105"/>
        <v>39.4</v>
      </c>
      <c r="CQ53" s="302">
        <f t="shared" ca="1" si="105"/>
        <v>39.6</v>
      </c>
    </row>
    <row r="54" spans="1:95" s="124" customFormat="1" ht="27.75" customHeight="1" thickBot="1">
      <c r="A54" s="118"/>
      <c r="B54" s="119">
        <f>tblIndicators!A50</f>
        <v>49</v>
      </c>
      <c r="C54" s="119">
        <f>tblIndicators!B50</f>
        <v>0</v>
      </c>
      <c r="D54" s="119" t="str">
        <f>tblIndicators!E50</f>
        <v>CULT3_3_1</v>
      </c>
      <c r="E54" s="119" t="str">
        <f>tblIndicators!F50</f>
        <v>CULT3_3</v>
      </c>
      <c r="F54" s="119">
        <f>tblIndicators!G50</f>
        <v>3</v>
      </c>
      <c r="G54" s="119">
        <f>tblIndicators!AF50</f>
        <v>0</v>
      </c>
      <c r="H54" s="119">
        <f>tblIndicators!AG50</f>
        <v>2</v>
      </c>
      <c r="I54" s="120">
        <f>tblIndicators!AH50</f>
        <v>0</v>
      </c>
      <c r="J54" s="119">
        <f>tblIndicators!AI50</f>
        <v>0</v>
      </c>
      <c r="K54" s="119">
        <f t="array" ref="K54">MIN(IF(ISNUMBER(iData!K54:AN54),iData!K54:AN54))</f>
        <v>42.9</v>
      </c>
      <c r="L54" s="121">
        <f t="array" ref="L54">MAX(IF(ISNUMBER(iData!K54:AN54),iData!K54:AN54))</f>
        <v>85.5</v>
      </c>
      <c r="M54" s="51">
        <f t="shared" si="106"/>
        <v>42.6</v>
      </c>
      <c r="N54" s="122" t="str">
        <f>REPT(" ",F54)&amp;tblIndicators!AM50</f>
        <v xml:space="preserve">   3.3.1) AI readiness of government</v>
      </c>
      <c r="O54" s="381">
        <f>tblIndicators!AR50</f>
        <v>0.22417658216933956</v>
      </c>
      <c r="P54" s="381"/>
      <c r="Q54" s="323"/>
      <c r="R54" s="123" cm="1">
        <f t="array" ref="R54">CHOOSE($H54,SUMPRODUCT($O55:$O$75*R55:R$75*($E55:$E$75=$D54)),IF(ISNUMBER(iData!K54),100*ABS($G54-(iData!K54-$K54)/$M54),0),IF(ISNUMBER(iData!K54),100*ABS($G54-(iData!K54-$I54)/$M54),0),IF(iData!K54&gt;tblIndicators!$AI50,100,IF(ISNUMBER(iData!K54),100*ABS($G54-(iData!K54-$I54)/$M54),0)),IF(iData!K54&lt;0,100,IF(ISNUMBER(iData!K54),100*ABS($G54-(iData!K54-$I54)/$M54),0)))</f>
        <v>76.056338028169009</v>
      </c>
      <c r="S54" s="123" cm="1">
        <f t="array" ref="S54">CHOOSE($H54,SUMPRODUCT($O55:$O$75*S55:S$75*($E55:$E$75=$D54)),IF(ISNUMBER(iData!L54),100*ABS($G54-(iData!L54-$K54)/$M54),0),IF(ISNUMBER(iData!L54),100*ABS($G54-(iData!L54-$I54)/$M54),0),IF(iData!L54&gt;tblIndicators!$AI50,100,IF(ISNUMBER(iData!L54),100*ABS($G54-(iData!L54-$I54)/$M54),0)),IF(iData!L54&lt;0,100,IF(ISNUMBER(iData!L54),100*ABS($G54-(iData!L54-$I54)/$M54),0)))</f>
        <v>59.154929577464777</v>
      </c>
      <c r="T54" s="123" cm="1">
        <f t="array" ref="T54">CHOOSE($H54,SUMPRODUCT($O55:$O$75*T55:T$75*($E55:$E$75=$D54)),IF(ISNUMBER(iData!M54),100*ABS($G54-(iData!M54-$K54)/$M54),0),IF(ISNUMBER(iData!M54),100*ABS($G54-(iData!M54-$I54)/$M54),0),IF(iData!M54&gt;tblIndicators!$AI50,100,IF(ISNUMBER(iData!M54),100*ABS($G54-(iData!M54-$I54)/$M54),0)),IF(iData!M54&lt;0,100,IF(ISNUMBER(iData!M54),100*ABS($G54-(iData!M54-$I54)/$M54),0)))</f>
        <v>12.441314553990621</v>
      </c>
      <c r="U54" s="123" cm="1">
        <f t="array" ref="U54">CHOOSE($H54,SUMPRODUCT($O55:$O$75*U55:U$75*($E55:$E$75=$D54)),IF(ISNUMBER(iData!N54),100*ABS($G54-(iData!N54-$K54)/$M54),0),IF(ISNUMBER(iData!N54),100*ABS($G54-(iData!N54-$I54)/$M54),0),IF(iData!N54&gt;tblIndicators!$AI50,100,IF(ISNUMBER(iData!N54),100*ABS($G54-(iData!N54-$I54)/$M54),0)),IF(iData!N54&lt;0,100,IF(ISNUMBER(iData!N54),100*ABS($G54-(iData!N54-$I54)/$M54),0)))</f>
        <v>58.920187793427239</v>
      </c>
      <c r="V54" s="123" cm="1">
        <f t="array" ref="V54">CHOOSE($H54,SUMPRODUCT($O55:$O$75*V55:V$75*($E55:$E$75=$D54)),IF(ISNUMBER(iData!O54),100*ABS($G54-(iData!O54-$K54)/$M54),0),IF(ISNUMBER(iData!O54),100*ABS($G54-(iData!O54-$I54)/$M54),0),IF(iData!O54&gt;tblIndicators!$AI50,100,IF(ISNUMBER(iData!O54),100*ABS($G54-(iData!O54-$I54)/$M54),0)),IF(iData!O54&lt;0,100,IF(ISNUMBER(iData!O54),100*ABS($G54-(iData!O54-$I54)/$M54),0)))</f>
        <v>61.502347417840362</v>
      </c>
      <c r="W54" s="123" cm="1">
        <f t="array" ref="W54">CHOOSE($H54,SUMPRODUCT($O55:$O$75*W55:W$75*($E55:$E$75=$D54)),IF(ISNUMBER(iData!P54),100*ABS($G54-(iData!P54-$K54)/$M54),0),IF(ISNUMBER(iData!P54),100*ABS($G54-(iData!P54-$I54)/$M54),0),IF(iData!P54&gt;tblIndicators!$AI50,100,IF(ISNUMBER(iData!P54),100*ABS($G54-(iData!P54-$I54)/$M54),0)),IF(iData!P54&lt;0,100,IF(ISNUMBER(iData!P54),100*ABS($G54-(iData!P54-$I54)/$M54),0)))</f>
        <v>84.741784037558688</v>
      </c>
      <c r="X54" s="123" cm="1">
        <f t="array" ref="X54">CHOOSE($H54,SUMPRODUCT($O55:$O$75*X55:X$75*($E55:$E$75=$D54)),IF(ISNUMBER(iData!Q54),100*ABS($G54-(iData!Q54-$K54)/$M54),0),IF(ISNUMBER(iData!Q54),100*ABS($G54-(iData!Q54-$I54)/$M54),0),IF(iData!Q54&gt;tblIndicators!$AI50,100,IF(ISNUMBER(iData!Q54),100*ABS($G54-(iData!Q54-$I54)/$M54),0)),IF(iData!Q54&lt;0,100,IF(ISNUMBER(iData!Q54),100*ABS($G54-(iData!Q54-$I54)/$M54),0)))</f>
        <v>18.544600938967132</v>
      </c>
      <c r="Y54" s="123" cm="1">
        <f t="array" ref="Y54">CHOOSE($H54,SUMPRODUCT($O55:$O$75*Y55:Y$75*($E55:$E$75=$D54)),IF(ISNUMBER(iData!R54),100*ABS($G54-(iData!R54-$K54)/$M54),0),IF(ISNUMBER(iData!R54),100*ABS($G54-(iData!R54-$I54)/$M54),0),IF(iData!R54&gt;tblIndicators!$AI50,100,IF(ISNUMBER(iData!R54),100*ABS($G54-(iData!R54-$I54)/$M54),0)),IF(iData!R54&lt;0,100,IF(ISNUMBER(iData!R54),100*ABS($G54-(iData!R54-$I54)/$M54),0)))</f>
        <v>76.760563380281681</v>
      </c>
      <c r="Z54" s="123" cm="1">
        <f t="array" ref="Z54">CHOOSE($H54,SUMPRODUCT($O55:$O$75*Z55:Z$75*($E55:$E$75=$D54)),IF(ISNUMBER(iData!S54),100*ABS($G54-(iData!S54-$K54)/$M54),0),IF(ISNUMBER(iData!S54),100*ABS($G54-(iData!S54-$I54)/$M54),0),IF(iData!S54&gt;tblIndicators!$AI50,100,IF(ISNUMBER(iData!S54),100*ABS($G54-(iData!S54-$I54)/$M54),0)),IF(iData!S54&lt;0,100,IF(ISNUMBER(iData!S54),100*ABS($G54-(iData!S54-$I54)/$M54),0)))</f>
        <v>100</v>
      </c>
      <c r="AA54" s="123" cm="1">
        <f t="array" ref="AA54">CHOOSE($H54,SUMPRODUCT($O55:$O$75*AA55:AA$75*($E55:$E$75=$D54)),IF(ISNUMBER(iData!T54),100*ABS($G54-(iData!T54-$K54)/$M54),0),IF(ISNUMBER(iData!T54),100*ABS($G54-(iData!T54-$I54)/$M54),0),IF(iData!T54&gt;tblIndicators!$AI50,100,IF(ISNUMBER(iData!T54),100*ABS($G54-(iData!T54-$I54)/$M54),0)),IF(iData!T54&lt;0,100,IF(ISNUMBER(iData!T54),100*ABS($G54-(iData!T54-$I54)/$M54),0)))</f>
        <v>69.248826291079823</v>
      </c>
      <c r="AB54" s="123" cm="1">
        <f t="array" ref="AB54">CHOOSE($H54,SUMPRODUCT($O55:$O$75*AB55:AB$75*($E55:$E$75=$D54)),IF(ISNUMBER(iData!U54),100*ABS($G54-(iData!U54-$K54)/$M54),0),IF(ISNUMBER(iData!U54),100*ABS($G54-(iData!U54-$I54)/$M54),0),IF(iData!U54&gt;tblIndicators!$AI50,100,IF(ISNUMBER(iData!U54),100*ABS($G54-(iData!U54-$I54)/$M54),0)),IF(iData!U54&lt;0,100,IF(ISNUMBER(iData!U54),100*ABS($G54-(iData!U54-$I54)/$M54),0)))</f>
        <v>84.741784037558688</v>
      </c>
      <c r="AC54" s="123" cm="1">
        <f t="array" ref="AC54">CHOOSE($H54,SUMPRODUCT($O55:$O$75*AC55:AC$75*($E55:$E$75=$D54)),IF(ISNUMBER(iData!V54),100*ABS($G54-(iData!V54-$K54)/$M54),0),IF(ISNUMBER(iData!V54),100*ABS($G54-(iData!V54-$I54)/$M54),0),IF(iData!V54&gt;tblIndicators!$AI50,100,IF(ISNUMBER(iData!V54),100*ABS($G54-(iData!V54-$I54)/$M54),0)),IF(iData!V54&lt;0,100,IF(ISNUMBER(iData!V54),100*ABS($G54-(iData!V54-$I54)/$M54),0)))</f>
        <v>60.798122065727689</v>
      </c>
      <c r="AD54" s="123" cm="1">
        <f t="array" ref="AD54">CHOOSE($H54,SUMPRODUCT($O55:$O$75*AD55:AD$75*($E55:$E$75=$D54)),IF(ISNUMBER(iData!W54),100*ABS($G54-(iData!W54-$K54)/$M54),0),IF(ISNUMBER(iData!W54),100*ABS($G54-(iData!W54-$I54)/$M54),0),IF(iData!W54&gt;tblIndicators!$AI50,100,IF(ISNUMBER(iData!W54),100*ABS($G54-(iData!W54-$I54)/$M54),0)),IF(iData!W54&lt;0,100,IF(ISNUMBER(iData!W54),100*ABS($G54-(iData!W54-$I54)/$M54),0)))</f>
        <v>10.798122065727704</v>
      </c>
      <c r="AE54" s="123" cm="1">
        <f t="array" ref="AE54">CHOOSE($H54,SUMPRODUCT($O55:$O$75*AE55:AE$75*($E55:$E$75=$D54)),IF(ISNUMBER(iData!X54),100*ABS($G54-(iData!X54-$K54)/$M54),0),IF(ISNUMBER(iData!X54),100*ABS($G54-(iData!X54-$I54)/$M54),0),IF(iData!X54&gt;tblIndicators!$AI50,100,IF(ISNUMBER(iData!X54),100*ABS($G54-(iData!X54-$I54)/$M54),0)),IF(iData!X54&lt;0,100,IF(ISNUMBER(iData!X54),100*ABS($G54-(iData!X54-$I54)/$M54),0)))</f>
        <v>48.826291079812215</v>
      </c>
      <c r="AF54" s="123" cm="1">
        <f t="array" ref="AF54">CHOOSE($H54,SUMPRODUCT($O55:$O$75*AF55:AF$75*($E55:$E$75=$D54)),IF(ISNUMBER(iData!Y54),100*ABS($G54-(iData!Y54-$K54)/$M54),0),IF(ISNUMBER(iData!Y54),100*ABS($G54-(iData!Y54-$I54)/$M54),0),IF(iData!Y54&gt;tblIndicators!$AI50,100,IF(ISNUMBER(iData!Y54),100*ABS($G54-(iData!Y54-$I54)/$M54),0)),IF(iData!Y54&lt;0,100,IF(ISNUMBER(iData!Y54),100*ABS($G54-(iData!Y54-$I54)/$M54),0)))</f>
        <v>89.671361502347395</v>
      </c>
      <c r="AG54" s="123" cm="1">
        <f t="array" ref="AG54">CHOOSE($H54,SUMPRODUCT($O55:$O$75*AG55:AG$75*($E55:$E$75=$D54)),IF(ISNUMBER(iData!Z54),100*ABS($G54-(iData!Z54-$K54)/$M54),0),IF(ISNUMBER(iData!Z54),100*ABS($G54-(iData!Z54-$I54)/$M54),0),IF(iData!Z54&gt;tblIndicators!$AI50,100,IF(ISNUMBER(iData!Z54),100*ABS($G54-(iData!Z54-$I54)/$M54),0)),IF(iData!Z54&lt;0,100,IF(ISNUMBER(iData!Z54),100*ABS($G54-(iData!Z54-$I54)/$M54),0)))</f>
        <v>58.920187793427239</v>
      </c>
      <c r="AH54" s="123" cm="1">
        <f t="array" ref="AH54">CHOOSE($H54,SUMPRODUCT($O55:$O$75*AH55:AH$75*($E55:$E$75=$D54)),IF(ISNUMBER(iData!AA54),100*ABS($G54-(iData!AA54-$K54)/$M54),0),IF(ISNUMBER(iData!AA54),100*ABS($G54-(iData!AA54-$I54)/$M54),0),IF(iData!AA54&gt;tblIndicators!$AI50,100,IF(ISNUMBER(iData!AA54),100*ABS($G54-(iData!AA54-$I54)/$M54),0)),IF(iData!AA54&lt;0,100,IF(ISNUMBER(iData!AA54),100*ABS($G54-(iData!AA54-$I54)/$M54),0)))</f>
        <v>0</v>
      </c>
      <c r="AI54" s="123" cm="1">
        <f t="array" ref="AI54">CHOOSE($H54,SUMPRODUCT($O55:$O$75*AI55:AI$75*($E55:$E$75=$D54)),IF(ISNUMBER(iData!AB54),100*ABS($G54-(iData!AB54-$K54)/$M54),0),IF(ISNUMBER(iData!AB54),100*ABS($G54-(iData!AB54-$I54)/$M54),0),IF(iData!AB54&gt;tblIndicators!$AI50,100,IF(ISNUMBER(iData!AB54),100*ABS($G54-(iData!AB54-$I54)/$M54),0)),IF(iData!AB54&lt;0,100,IF(ISNUMBER(iData!AB54),100*ABS($G54-(iData!AB54-$I54)/$M54),0)))</f>
        <v>15.258215962441312</v>
      </c>
      <c r="AJ54" s="123" cm="1">
        <f t="array" ref="AJ54">CHOOSE($H54,SUMPRODUCT($O55:$O$75*AJ55:AJ$75*($E55:$E$75=$D54)),IF(ISNUMBER(iData!AC54),100*ABS($G54-(iData!AC54-$K54)/$M54),0),IF(ISNUMBER(iData!AC54),100*ABS($G54-(iData!AC54-$I54)/$M54),0),IF(iData!AC54&gt;tblIndicators!$AI50,100,IF(ISNUMBER(iData!AC54),100*ABS($G54-(iData!AC54-$I54)/$M54),0)),IF(iData!AC54&lt;0,100,IF(ISNUMBER(iData!AC54),100*ABS($G54-(iData!AC54-$I54)/$M54),0)))</f>
        <v>30.751173708920188</v>
      </c>
      <c r="AK54" s="123" cm="1">
        <f t="array" ref="AK54">CHOOSE($H54,SUMPRODUCT($O55:$O$75*AK55:AK$75*($E55:$E$75=$D54)),IF(ISNUMBER(iData!AD54),100*ABS($G54-(iData!AD54-$K54)/$M54),0),IF(ISNUMBER(iData!AD54),100*ABS($G54-(iData!AD54-$I54)/$M54),0),IF(iData!AD54&gt;tblIndicators!$AI50,100,IF(ISNUMBER(iData!AD54),100*ABS($G54-(iData!AD54-$I54)/$M54),0)),IF(iData!AD54&lt;0,100,IF(ISNUMBER(iData!AD54),100*ABS($G54-(iData!AD54-$I54)/$M54),0)))</f>
        <v>100</v>
      </c>
      <c r="AL54" s="123" cm="1">
        <f t="array" ref="AL54">CHOOSE($H54,SUMPRODUCT($O55:$O$75*AL55:AL$75*($E55:$E$75=$D54)),IF(ISNUMBER(iData!AE54),100*ABS($G54-(iData!AE54-$K54)/$M54),0),IF(ISNUMBER(iData!AE54),100*ABS($G54-(iData!AE54-$I54)/$M54),0),IF(iData!AE54&gt;tblIndicators!$AI50,100,IF(ISNUMBER(iData!AE54),100*ABS($G54-(iData!AE54-$I54)/$M54),0)),IF(iData!AE54&lt;0,100,IF(ISNUMBER(iData!AE54),100*ABS($G54-(iData!AE54-$I54)/$M54),0)))</f>
        <v>72.535211267605632</v>
      </c>
      <c r="AM54" s="123" cm="1">
        <f t="array" ref="AM54">CHOOSE($H54,SUMPRODUCT($O55:$O$75*AM55:AM$75*($E55:$E$75=$D54)),IF(ISNUMBER(iData!AF54),100*ABS($G54-(iData!AF54-$K54)/$M54),0),IF(ISNUMBER(iData!AF54),100*ABS($G54-(iData!AF54-$I54)/$M54),0),IF(iData!AF54&gt;tblIndicators!$AI50,100,IF(ISNUMBER(iData!AF54),100*ABS($G54-(iData!AF54-$I54)/$M54),0)),IF(iData!AF54&lt;0,100,IF(ISNUMBER(iData!AF54),100*ABS($G54-(iData!AF54-$I54)/$M54),0)))</f>
        <v>52.816901408450725</v>
      </c>
      <c r="AN54" s="123" cm="1">
        <f t="array" ref="AN54">CHOOSE($H54,SUMPRODUCT($O55:$O$75*AN55:AN$75*($E55:$E$75=$D54)),IF(ISNUMBER(iData!AG54),100*ABS($G54-(iData!AG54-$K54)/$M54),0),IF(ISNUMBER(iData!AG54),100*ABS($G54-(iData!AG54-$I54)/$M54),0),IF(iData!AG54&gt;tblIndicators!$AI50,100,IF(ISNUMBER(iData!AG54),100*ABS($G54-(iData!AG54-$I54)/$M54),0)),IF(iData!AG54&lt;0,100,IF(ISNUMBER(iData!AG54),100*ABS($G54-(iData!AG54-$I54)/$M54),0)))</f>
        <v>10.798122065727704</v>
      </c>
      <c r="AO54" s="123" cm="1">
        <f t="array" ref="AO54">CHOOSE($H54,SUMPRODUCT($O55:$O$75*AO55:AO$75*($E55:$E$75=$D54)),IF(ISNUMBER(iData!AH54),100*ABS($G54-(iData!AH54-$K54)/$M54),0),IF(ISNUMBER(iData!AH54),100*ABS($G54-(iData!AH54-$I54)/$M54),0),IF(iData!AH54&gt;tblIndicators!$AI50,100,IF(ISNUMBER(iData!AH54),100*ABS($G54-(iData!AH54-$I54)/$M54),0)),IF(iData!AH54&lt;0,100,IF(ISNUMBER(iData!AH54),100*ABS($G54-(iData!AH54-$I54)/$M54),0)))</f>
        <v>81.690140845070431</v>
      </c>
      <c r="AP54" s="123" cm="1">
        <f t="array" ref="AP54">CHOOSE($H54,SUMPRODUCT($O55:$O$75*AP55:AP$75*($E55:$E$75=$D54)),IF(ISNUMBER(iData!AI54),100*ABS($G54-(iData!AI54-$K54)/$M54),0),IF(ISNUMBER(iData!AI54),100*ABS($G54-(iData!AI54-$I54)/$M54),0),IF(iData!AI54&gt;tblIndicators!$AI50,100,IF(ISNUMBER(iData!AI54),100*ABS($G54-(iData!AI54-$I54)/$M54),0)),IF(iData!AI54&lt;0,100,IF(ISNUMBER(iData!AI54),100*ABS($G54-(iData!AI54-$I54)/$M54),0)))</f>
        <v>84.037558685446015</v>
      </c>
      <c r="AQ54" s="123" cm="1">
        <f t="array" ref="AQ54">CHOOSE($H54,SUMPRODUCT($O55:$O$75*AQ55:AQ$75*($E55:$E$75=$D54)),IF(ISNUMBER(iData!AJ54),100*ABS($G54-(iData!AJ54-$K54)/$M54),0),IF(ISNUMBER(iData!AJ54),100*ABS($G54-(iData!AJ54-$I54)/$M54),0),IF(iData!AJ54&gt;tblIndicators!$AI50,100,IF(ISNUMBER(iData!AJ54),100*ABS($G54-(iData!AJ54-$I54)/$M54),0)),IF(iData!AJ54&lt;0,100,IF(ISNUMBER(iData!AJ54),100*ABS($G54-(iData!AJ54-$I54)/$M54),0)))</f>
        <v>72.065727699530498</v>
      </c>
      <c r="AR54" s="123" cm="1">
        <f t="array" ref="AR54">CHOOSE($H54,SUMPRODUCT($O55:$O$75*AR55:AR$75*($E55:$E$75=$D54)),IF(ISNUMBER(iData!AK54),100*ABS($G54-(iData!AK54-$K54)/$M54),0),IF(ISNUMBER(iData!AK54),100*ABS($G54-(iData!AK54-$I54)/$M54),0),IF(iData!AK54&gt;tblIndicators!$AI50,100,IF(ISNUMBER(iData!AK54),100*ABS($G54-(iData!AK54-$I54)/$M54),0)),IF(iData!AK54&lt;0,100,IF(ISNUMBER(iData!AK54),100*ABS($G54-(iData!AK54-$I54)/$M54),0)))</f>
        <v>71.36150234741784</v>
      </c>
      <c r="AS54" s="123" cm="1">
        <f t="array" ref="AS54">CHOOSE($H54,SUMPRODUCT($O55:$O$75*AS55:AS$75*($E55:$E$75=$D54)),IF(ISNUMBER(iData!AL54),100*ABS($G54-(iData!AL54-$K54)/$M54),0),IF(ISNUMBER(iData!AL54),100*ABS($G54-(iData!AL54-$I54)/$M54),0),IF(iData!AL54&gt;tblIndicators!$AI50,100,IF(ISNUMBER(iData!AL54),100*ABS($G54-(iData!AL54-$I54)/$M54),0)),IF(iData!AL54&lt;0,100,IF(ISNUMBER(iData!AL54),100*ABS($G54-(iData!AL54-$I54)/$M54),0)))</f>
        <v>71.126760563380287</v>
      </c>
      <c r="AT54" s="123" cm="1">
        <f t="array" ref="AT54">CHOOSE($H54,SUMPRODUCT($O55:$O$75*AT55:AT$75*($E55:$E$75=$D54)),IF(ISNUMBER(iData!AM54),100*ABS($G54-(iData!AM54-$K54)/$M54),0),IF(ISNUMBER(iData!AM54),100*ABS($G54-(iData!AM54-$I54)/$M54),0),IF(iData!AM54&gt;tblIndicators!$AI50,100,IF(ISNUMBER(iData!AM54),100*ABS($G54-(iData!AM54-$I54)/$M54),0)),IF(iData!AM54&lt;0,100,IF(ISNUMBER(iData!AM54),100*ABS($G54-(iData!AM54-$I54)/$M54),0)))</f>
        <v>100</v>
      </c>
      <c r="AU54" s="123" cm="1">
        <f t="array" ref="AU54">CHOOSE($H54,SUMPRODUCT($O55:$O$75*AU55:AU$75*($E55:$E$75=$D54)),IF(ISNUMBER(iData!AN54),100*ABS($G54-(iData!AN54-$K54)/$M54),0),IF(ISNUMBER(iData!AN54),100*ABS($G54-(iData!AN54-$I54)/$M54),0),IF(iData!AN54&gt;tblIndicators!$AI50,100,IF(ISNUMBER(iData!AN54),100*ABS($G54-(iData!AN54-$I54)/$M54),0)),IF(iData!AN54&lt;0,100,IF(ISNUMBER(iData!AN54),100*ABS($G54-(iData!AN54-$I54)/$M54),0)))</f>
        <v>61.737089201877936</v>
      </c>
      <c r="AV54" s="367"/>
      <c r="AW54" s="368"/>
      <c r="AX54" s="14"/>
      <c r="AY54" s="871">
        <f t="shared" si="40"/>
        <v>76.099999999999994</v>
      </c>
      <c r="AZ54" s="871">
        <f t="shared" si="41"/>
        <v>59.2</v>
      </c>
      <c r="BA54" s="871">
        <f t="shared" si="42"/>
        <v>12.4</v>
      </c>
      <c r="BB54" s="871">
        <f t="shared" si="43"/>
        <v>58.9</v>
      </c>
      <c r="BC54" s="871">
        <f t="shared" si="44"/>
        <v>61.5</v>
      </c>
      <c r="BD54" s="871">
        <f t="shared" si="45"/>
        <v>84.7</v>
      </c>
      <c r="BE54" s="871">
        <f t="shared" si="46"/>
        <v>18.5</v>
      </c>
      <c r="BF54" s="871">
        <f t="shared" si="47"/>
        <v>76.8</v>
      </c>
      <c r="BG54" s="871">
        <f t="shared" si="48"/>
        <v>100</v>
      </c>
      <c r="BH54" s="871">
        <f t="shared" si="49"/>
        <v>69.2</v>
      </c>
      <c r="BI54" s="871">
        <f t="shared" si="50"/>
        <v>84.7</v>
      </c>
      <c r="BJ54" s="871">
        <f t="shared" si="51"/>
        <v>60.8</v>
      </c>
      <c r="BK54" s="871">
        <f t="shared" si="52"/>
        <v>10.8</v>
      </c>
      <c r="BL54" s="871">
        <f t="shared" si="53"/>
        <v>48.8</v>
      </c>
      <c r="BM54" s="871">
        <f t="shared" si="54"/>
        <v>89.7</v>
      </c>
      <c r="BN54" s="871">
        <f t="shared" si="55"/>
        <v>58.9</v>
      </c>
      <c r="BO54" s="871">
        <f t="shared" si="56"/>
        <v>0</v>
      </c>
      <c r="BP54" s="871">
        <f t="shared" si="57"/>
        <v>15.3</v>
      </c>
      <c r="BQ54" s="871">
        <f t="shared" si="58"/>
        <v>30.8</v>
      </c>
      <c r="BR54" s="871">
        <f t="shared" si="59"/>
        <v>100</v>
      </c>
      <c r="BS54" s="871">
        <f t="shared" si="60"/>
        <v>72.5</v>
      </c>
      <c r="BT54" s="871">
        <f t="shared" si="61"/>
        <v>52.8</v>
      </c>
      <c r="BU54" s="871">
        <f t="shared" si="62"/>
        <v>10.8</v>
      </c>
      <c r="BV54" s="871">
        <f t="shared" si="63"/>
        <v>81.7</v>
      </c>
      <c r="BW54" s="871">
        <f t="shared" si="64"/>
        <v>84</v>
      </c>
      <c r="BX54" s="871">
        <f t="shared" si="65"/>
        <v>72.099999999999994</v>
      </c>
      <c r="BY54" s="871">
        <f t="shared" si="66"/>
        <v>71.400000000000006</v>
      </c>
      <c r="BZ54" s="871">
        <f t="shared" si="67"/>
        <v>71.099999999999994</v>
      </c>
      <c r="CA54" s="871">
        <f t="shared" si="68"/>
        <v>100</v>
      </c>
      <c r="CB54" s="871">
        <f t="shared" si="69"/>
        <v>61.7</v>
      </c>
      <c r="CD54" s="304">
        <f t="shared" ca="1" si="108"/>
        <v>59.8</v>
      </c>
      <c r="CE54" s="304">
        <f t="shared" ca="1" si="108"/>
        <v>59.8</v>
      </c>
      <c r="CF54" s="304">
        <f t="shared" ca="1" si="108"/>
        <v>49.5</v>
      </c>
      <c r="CG54" s="302">
        <f t="shared" ca="1" si="108"/>
        <v>71.7</v>
      </c>
      <c r="CH54" s="302">
        <f t="shared" ca="1" si="108"/>
        <v>14.9</v>
      </c>
      <c r="CI54" s="302">
        <f t="shared" ca="1" si="108"/>
        <v>69.2</v>
      </c>
      <c r="CJ54" s="302">
        <f t="shared" ca="1" si="108"/>
        <v>92.8</v>
      </c>
      <c r="CK54" s="302">
        <f t="shared" ca="1" si="108"/>
        <v>13.9</v>
      </c>
      <c r="CL54" s="302">
        <f t="shared" ca="1" si="108"/>
        <v>27.9</v>
      </c>
      <c r="CM54" s="302">
        <f t="shared" ca="1" si="108"/>
        <v>75.5</v>
      </c>
      <c r="CN54" s="302">
        <f t="shared" ca="1" si="105"/>
        <v>69.099999999999994</v>
      </c>
      <c r="CO54" s="302">
        <f t="shared" ca="1" si="105"/>
        <v>74.099999999999994</v>
      </c>
      <c r="CP54" s="302">
        <f t="shared" ca="1" si="105"/>
        <v>43.7</v>
      </c>
      <c r="CQ54" s="302">
        <f t="shared" ca="1" si="105"/>
        <v>44.5</v>
      </c>
    </row>
    <row r="55" spans="1:95" s="124" customFormat="1" ht="27.75" customHeight="1" thickBot="1">
      <c r="A55" s="118"/>
      <c r="B55" s="119">
        <f>tblIndicators!A51</f>
        <v>50</v>
      </c>
      <c r="C55" s="119">
        <f>tblIndicators!B51</f>
        <v>0</v>
      </c>
      <c r="D55" s="119" t="str">
        <f>tblIndicators!E51</f>
        <v>CULT3_3_2</v>
      </c>
      <c r="E55" s="119" t="str">
        <f>tblIndicators!F51</f>
        <v>CULT3_3</v>
      </c>
      <c r="F55" s="119">
        <f>tblIndicators!G51</f>
        <v>3</v>
      </c>
      <c r="G55" s="119">
        <f>tblIndicators!AF51</f>
        <v>0</v>
      </c>
      <c r="H55" s="119">
        <f>tblIndicators!AG51</f>
        <v>3</v>
      </c>
      <c r="I55" s="120">
        <f>tblIndicators!AH51</f>
        <v>0</v>
      </c>
      <c r="J55" s="119">
        <f>tblIndicators!AI51</f>
        <v>3</v>
      </c>
      <c r="K55" s="119">
        <f t="array" ref="K55">MIN(IF(ISNUMBER(iData!K55:AN55),iData!K55:AN55))</f>
        <v>0</v>
      </c>
      <c r="L55" s="121">
        <f t="array" ref="L55">MAX(IF(ISNUMBER(iData!K55:AN55),iData!K55:AN55))</f>
        <v>3</v>
      </c>
      <c r="M55" s="51">
        <f t="shared" si="106"/>
        <v>3</v>
      </c>
      <c r="N55" s="122" t="str">
        <f>REPT(" ",F55)&amp;tblIndicators!AM51</f>
        <v xml:space="preserve">   3.3.2) Blockchain technology strategy</v>
      </c>
      <c r="O55" s="381">
        <f>tblIndicators!AR51</f>
        <v>0.12071046732195208</v>
      </c>
      <c r="P55" s="381"/>
      <c r="Q55" s="323"/>
      <c r="R55" s="123" cm="1">
        <f t="array" ref="R55">CHOOSE($H55,SUMPRODUCT($O56:$O$75*R56:R$75*($E56:$E$75=$D55)),IF(ISNUMBER(iData!K55),100*ABS($G55-(iData!K55-$K55)/$M55),0),IF(ISNUMBER(iData!K55),100*ABS($G55-(iData!K55-$I55)/$M55),0),IF(iData!K55&gt;tblIndicators!$AI51,100,IF(ISNUMBER(iData!K55),100*ABS($G55-(iData!K55-$I55)/$M55),0)),IF(iData!K55&lt;0,100,IF(ISNUMBER(iData!K55),100*ABS($G55-(iData!K55-$I55)/$M55),0)))</f>
        <v>33.333333333333329</v>
      </c>
      <c r="S55" s="123" cm="1">
        <f t="array" ref="S55">CHOOSE($H55,SUMPRODUCT($O56:$O$75*S56:S$75*($E56:$E$75=$D55)),IF(ISNUMBER(iData!L55),100*ABS($G55-(iData!L55-$K55)/$M55),0),IF(ISNUMBER(iData!L55),100*ABS($G55-(iData!L55-$I55)/$M55),0),IF(iData!L55&gt;tblIndicators!$AI51,100,IF(ISNUMBER(iData!L55),100*ABS($G55-(iData!L55-$I55)/$M55),0)),IF(iData!L55&lt;0,100,IF(ISNUMBER(iData!L55),100*ABS($G55-(iData!L55-$I55)/$M55),0)))</f>
        <v>0</v>
      </c>
      <c r="T55" s="123" cm="1">
        <f t="array" ref="T55">CHOOSE($H55,SUMPRODUCT($O56:$O$75*T56:T$75*($E56:$E$75=$D55)),IF(ISNUMBER(iData!M55),100*ABS($G55-(iData!M55-$K55)/$M55),0),IF(ISNUMBER(iData!M55),100*ABS($G55-(iData!M55-$I55)/$M55),0),IF(iData!M55&gt;tblIndicators!$AI51,100,IF(ISNUMBER(iData!M55),100*ABS($G55-(iData!M55-$I55)/$M55),0)),IF(iData!M55&lt;0,100,IF(ISNUMBER(iData!M55),100*ABS($G55-(iData!M55-$I55)/$M55),0)))</f>
        <v>0</v>
      </c>
      <c r="U55" s="123" cm="1">
        <f t="array" ref="U55">CHOOSE($H55,SUMPRODUCT($O56:$O$75*U56:U$75*($E56:$E$75=$D55)),IF(ISNUMBER(iData!N55),100*ABS($G55-(iData!N55-$K55)/$M55),0),IF(ISNUMBER(iData!N55),100*ABS($G55-(iData!N55-$I55)/$M55),0),IF(iData!N55&gt;tblIndicators!$AI51,100,IF(ISNUMBER(iData!N55),100*ABS($G55-(iData!N55-$I55)/$M55),0)),IF(iData!N55&lt;0,100,IF(ISNUMBER(iData!N55),100*ABS($G55-(iData!N55-$I55)/$M55),0)))</f>
        <v>66.666666666666657</v>
      </c>
      <c r="V55" s="123" cm="1">
        <f t="array" ref="V55">CHOOSE($H55,SUMPRODUCT($O56:$O$75*V56:V$75*($E56:$E$75=$D55)),IF(ISNUMBER(iData!O55),100*ABS($G55-(iData!O55-$K55)/$M55),0),IF(ISNUMBER(iData!O55),100*ABS($G55-(iData!O55-$I55)/$M55),0),IF(iData!O55&gt;tblIndicators!$AI51,100,IF(ISNUMBER(iData!O55),100*ABS($G55-(iData!O55-$I55)/$M55),0)),IF(iData!O55&lt;0,100,IF(ISNUMBER(iData!O55),100*ABS($G55-(iData!O55-$I55)/$M55),0)))</f>
        <v>100</v>
      </c>
      <c r="W55" s="123" cm="1">
        <f t="array" ref="W55">CHOOSE($H55,SUMPRODUCT($O56:$O$75*W56:W$75*($E56:$E$75=$D55)),IF(ISNUMBER(iData!P55),100*ABS($G55-(iData!P55-$K55)/$M55),0),IF(ISNUMBER(iData!P55),100*ABS($G55-(iData!P55-$I55)/$M55),0),IF(iData!P55&gt;tblIndicators!$AI51,100,IF(ISNUMBER(iData!P55),100*ABS($G55-(iData!P55-$I55)/$M55),0)),IF(iData!P55&lt;0,100,IF(ISNUMBER(iData!P55),100*ABS($G55-(iData!P55-$I55)/$M55),0)))</f>
        <v>66.666666666666657</v>
      </c>
      <c r="X55" s="123" cm="1">
        <f t="array" ref="X55">CHOOSE($H55,SUMPRODUCT($O56:$O$75*X56:X$75*($E56:$E$75=$D55)),IF(ISNUMBER(iData!Q55),100*ABS($G55-(iData!Q55-$K55)/$M55),0),IF(ISNUMBER(iData!Q55),100*ABS($G55-(iData!Q55-$I55)/$M55),0),IF(iData!Q55&gt;tblIndicators!$AI51,100,IF(ISNUMBER(iData!Q55),100*ABS($G55-(iData!Q55-$I55)/$M55),0)),IF(iData!Q55&lt;0,100,IF(ISNUMBER(iData!Q55),100*ABS($G55-(iData!Q55-$I55)/$M55),0)))</f>
        <v>0</v>
      </c>
      <c r="Y55" s="123" cm="1">
        <f t="array" ref="Y55">CHOOSE($H55,SUMPRODUCT($O56:$O$75*Y56:Y$75*($E56:$E$75=$D55)),IF(ISNUMBER(iData!R55),100*ABS($G55-(iData!R55-$K55)/$M55),0),IF(ISNUMBER(iData!R55),100*ABS($G55-(iData!R55-$I55)/$M55),0),IF(iData!R55&gt;tblIndicators!$AI51,100,IF(ISNUMBER(iData!R55),100*ABS($G55-(iData!R55-$I55)/$M55),0)),IF(iData!R55&lt;0,100,IF(ISNUMBER(iData!R55),100*ABS($G55-(iData!R55-$I55)/$M55),0)))</f>
        <v>33.333333333333329</v>
      </c>
      <c r="Z55" s="123" cm="1">
        <f t="array" ref="Z55">CHOOSE($H55,SUMPRODUCT($O56:$O$75*Z56:Z$75*($E56:$E$75=$D55)),IF(ISNUMBER(iData!S55),100*ABS($G55-(iData!S55-$K55)/$M55),0),IF(ISNUMBER(iData!S55),100*ABS($G55-(iData!S55-$I55)/$M55),0),IF(iData!S55&gt;tblIndicators!$AI51,100,IF(ISNUMBER(iData!S55),100*ABS($G55-(iData!S55-$I55)/$M55),0)),IF(iData!S55&lt;0,100,IF(ISNUMBER(iData!S55),100*ABS($G55-(iData!S55-$I55)/$M55),0)))</f>
        <v>0</v>
      </c>
      <c r="AA55" s="123" cm="1">
        <f t="array" ref="AA55">CHOOSE($H55,SUMPRODUCT($O56:$O$75*AA56:AA$75*($E56:$E$75=$D55)),IF(ISNUMBER(iData!T55),100*ABS($G55-(iData!T55-$K55)/$M55),0),IF(ISNUMBER(iData!T55),100*ABS($G55-(iData!T55-$I55)/$M55),0),IF(iData!T55&gt;tblIndicators!$AI51,100,IF(ISNUMBER(iData!T55),100*ABS($G55-(iData!T55-$I55)/$M55),0)),IF(iData!T55&lt;0,100,IF(ISNUMBER(iData!T55),100*ABS($G55-(iData!T55-$I55)/$M55),0)))</f>
        <v>100</v>
      </c>
      <c r="AB55" s="123" cm="1">
        <f t="array" ref="AB55">CHOOSE($H55,SUMPRODUCT($O56:$O$75*AB56:AB$75*($E56:$E$75=$D55)),IF(ISNUMBER(iData!U55),100*ABS($G55-(iData!U55-$K55)/$M55),0),IF(ISNUMBER(iData!U55),100*ABS($G55-(iData!U55-$I55)/$M55),0),IF(iData!U55&gt;tblIndicators!$AI51,100,IF(ISNUMBER(iData!U55),100*ABS($G55-(iData!U55-$I55)/$M55),0)),IF(iData!U55&lt;0,100,IF(ISNUMBER(iData!U55),100*ABS($G55-(iData!U55-$I55)/$M55),0)))</f>
        <v>66.666666666666657</v>
      </c>
      <c r="AC55" s="123" cm="1">
        <f t="array" ref="AC55">CHOOSE($H55,SUMPRODUCT($O56:$O$75*AC56:AC$75*($E56:$E$75=$D55)),IF(ISNUMBER(iData!V55),100*ABS($G55-(iData!V55-$K55)/$M55),0),IF(ISNUMBER(iData!V55),100*ABS($G55-(iData!V55-$I55)/$M55),0),IF(iData!V55&gt;tblIndicators!$AI51,100,IF(ISNUMBER(iData!V55),100*ABS($G55-(iData!V55-$I55)/$M55),0)),IF(iData!V55&lt;0,100,IF(ISNUMBER(iData!V55),100*ABS($G55-(iData!V55-$I55)/$M55),0)))</f>
        <v>0</v>
      </c>
      <c r="AD55" s="123" cm="1">
        <f t="array" ref="AD55">CHOOSE($H55,SUMPRODUCT($O56:$O$75*AD56:AD$75*($E56:$E$75=$D55)),IF(ISNUMBER(iData!W55),100*ABS($G55-(iData!W55-$K55)/$M55),0),IF(ISNUMBER(iData!W55),100*ABS($G55-(iData!W55-$I55)/$M55),0),IF(iData!W55&gt;tblIndicators!$AI51,100,IF(ISNUMBER(iData!W55),100*ABS($G55-(iData!W55-$I55)/$M55),0)),IF(iData!W55&lt;0,100,IF(ISNUMBER(iData!W55),100*ABS($G55-(iData!W55-$I55)/$M55),0)))</f>
        <v>0</v>
      </c>
      <c r="AE55" s="123" cm="1">
        <f t="array" ref="AE55">CHOOSE($H55,SUMPRODUCT($O56:$O$75*AE56:AE$75*($E56:$E$75=$D55)),IF(ISNUMBER(iData!X55),100*ABS($G55-(iData!X55-$K55)/$M55),0),IF(ISNUMBER(iData!X55),100*ABS($G55-(iData!X55-$I55)/$M55),0),IF(iData!X55&gt;tblIndicators!$AI51,100,IF(ISNUMBER(iData!X55),100*ABS($G55-(iData!X55-$I55)/$M55),0)),IF(iData!X55&lt;0,100,IF(ISNUMBER(iData!X55),100*ABS($G55-(iData!X55-$I55)/$M55),0)))</f>
        <v>0</v>
      </c>
      <c r="AF55" s="123" cm="1">
        <f t="array" ref="AF55">CHOOSE($H55,SUMPRODUCT($O56:$O$75*AF56:AF$75*($E56:$E$75=$D55)),IF(ISNUMBER(iData!Y55),100*ABS($G55-(iData!Y55-$K55)/$M55),0),IF(ISNUMBER(iData!Y55),100*ABS($G55-(iData!Y55-$I55)/$M55),0),IF(iData!Y55&gt;tblIndicators!$AI51,100,IF(ISNUMBER(iData!Y55),100*ABS($G55-(iData!Y55-$I55)/$M55),0)),IF(iData!Y55&lt;0,100,IF(ISNUMBER(iData!Y55),100*ABS($G55-(iData!Y55-$I55)/$M55),0)))</f>
        <v>0</v>
      </c>
      <c r="AG55" s="123" cm="1">
        <f t="array" ref="AG55">CHOOSE($H55,SUMPRODUCT($O56:$O$75*AG56:AG$75*($E56:$E$75=$D55)),IF(ISNUMBER(iData!Z55),100*ABS($G55-(iData!Z55-$K55)/$M55),0),IF(ISNUMBER(iData!Z55),100*ABS($G55-(iData!Z55-$I55)/$M55),0),IF(iData!Z55&gt;tblIndicators!$AI51,100,IF(ISNUMBER(iData!Z55),100*ABS($G55-(iData!Z55-$I55)/$M55),0)),IF(iData!Z55&lt;0,100,IF(ISNUMBER(iData!Z55),100*ABS($G55-(iData!Z55-$I55)/$M55),0)))</f>
        <v>0</v>
      </c>
      <c r="AH55" s="123" cm="1">
        <f t="array" ref="AH55">CHOOSE($H55,SUMPRODUCT($O56:$O$75*AH56:AH$75*($E56:$E$75=$D55)),IF(ISNUMBER(iData!AA55),100*ABS($G55-(iData!AA55-$K55)/$M55),0),IF(ISNUMBER(iData!AA55),100*ABS($G55-(iData!AA55-$I55)/$M55),0),IF(iData!AA55&gt;tblIndicators!$AI51,100,IF(ISNUMBER(iData!AA55),100*ABS($G55-(iData!AA55-$I55)/$M55),0)),IF(iData!AA55&lt;0,100,IF(ISNUMBER(iData!AA55),100*ABS($G55-(iData!AA55-$I55)/$M55),0)))</f>
        <v>0</v>
      </c>
      <c r="AI55" s="123" cm="1">
        <f t="array" ref="AI55">CHOOSE($H55,SUMPRODUCT($O56:$O$75*AI56:AI$75*($E56:$E$75=$D55)),IF(ISNUMBER(iData!AB55),100*ABS($G55-(iData!AB55-$K55)/$M55),0),IF(ISNUMBER(iData!AB55),100*ABS($G55-(iData!AB55-$I55)/$M55),0),IF(iData!AB55&gt;tblIndicators!$AI51,100,IF(ISNUMBER(iData!AB55),100*ABS($G55-(iData!AB55-$I55)/$M55),0)),IF(iData!AB55&lt;0,100,IF(ISNUMBER(iData!AB55),100*ABS($G55-(iData!AB55-$I55)/$M55),0)))</f>
        <v>0</v>
      </c>
      <c r="AJ55" s="123" cm="1">
        <f t="array" ref="AJ55">CHOOSE($H55,SUMPRODUCT($O56:$O$75*AJ56:AJ$75*($E56:$E$75=$D55)),IF(ISNUMBER(iData!AC55),100*ABS($G55-(iData!AC55-$K55)/$M55),0),IF(ISNUMBER(iData!AC55),100*ABS($G55-(iData!AC55-$I55)/$M55),0),IF(iData!AC55&gt;tblIndicators!$AI51,100,IF(ISNUMBER(iData!AC55),100*ABS($G55-(iData!AC55-$I55)/$M55),0)),IF(iData!AC55&lt;0,100,IF(ISNUMBER(iData!AC55),100*ABS($G55-(iData!AC55-$I55)/$M55),0)))</f>
        <v>100</v>
      </c>
      <c r="AK55" s="123" cm="1">
        <f t="array" ref="AK55">CHOOSE($H55,SUMPRODUCT($O56:$O$75*AK56:AK$75*($E56:$E$75=$D55)),IF(ISNUMBER(iData!AD55),100*ABS($G55-(iData!AD55-$K55)/$M55),0),IF(ISNUMBER(iData!AD55),100*ABS($G55-(iData!AD55-$I55)/$M55),0),IF(iData!AD55&gt;tblIndicators!$AI51,100,IF(ISNUMBER(iData!AD55),100*ABS($G55-(iData!AD55-$I55)/$M55),0)),IF(iData!AD55&lt;0,100,IF(ISNUMBER(iData!AD55),100*ABS($G55-(iData!AD55-$I55)/$M55),0)))</f>
        <v>0</v>
      </c>
      <c r="AL55" s="123" cm="1">
        <f t="array" ref="AL55">CHOOSE($H55,SUMPRODUCT($O56:$O$75*AL56:AL$75*($E56:$E$75=$D55)),IF(ISNUMBER(iData!AE55),100*ABS($G55-(iData!AE55-$K55)/$M55),0),IF(ISNUMBER(iData!AE55),100*ABS($G55-(iData!AE55-$I55)/$M55),0),IF(iData!AE55&gt;tblIndicators!$AI51,100,IF(ISNUMBER(iData!AE55),100*ABS($G55-(iData!AE55-$I55)/$M55),0)),IF(iData!AE55&lt;0,100,IF(ISNUMBER(iData!AE55),100*ABS($G55-(iData!AE55-$I55)/$M55),0)))</f>
        <v>33.333333333333329</v>
      </c>
      <c r="AM55" s="123" cm="1">
        <f t="array" ref="AM55">CHOOSE($H55,SUMPRODUCT($O56:$O$75*AM56:AM$75*($E56:$E$75=$D55)),IF(ISNUMBER(iData!AF55),100*ABS($G55-(iData!AF55-$K55)/$M55),0),IF(ISNUMBER(iData!AF55),100*ABS($G55-(iData!AF55-$I55)/$M55),0),IF(iData!AF55&gt;tblIndicators!$AI51,100,IF(ISNUMBER(iData!AF55),100*ABS($G55-(iData!AF55-$I55)/$M55),0)),IF(iData!AF55&lt;0,100,IF(ISNUMBER(iData!AF55),100*ABS($G55-(iData!AF55-$I55)/$M55),0)))</f>
        <v>33.333333333333329</v>
      </c>
      <c r="AN55" s="123" cm="1">
        <f t="array" ref="AN55">CHOOSE($H55,SUMPRODUCT($O56:$O$75*AN56:AN$75*($E56:$E$75=$D55)),IF(ISNUMBER(iData!AG55),100*ABS($G55-(iData!AG55-$K55)/$M55),0),IF(ISNUMBER(iData!AG55),100*ABS($G55-(iData!AG55-$I55)/$M55),0),IF(iData!AG55&gt;tblIndicators!$AI51,100,IF(ISNUMBER(iData!AG55),100*ABS($G55-(iData!AG55-$I55)/$M55),0)),IF(iData!AG55&lt;0,100,IF(ISNUMBER(iData!AG55),100*ABS($G55-(iData!AG55-$I55)/$M55),0)))</f>
        <v>66.666666666666657</v>
      </c>
      <c r="AO55" s="123" cm="1">
        <f t="array" ref="AO55">CHOOSE($H55,SUMPRODUCT($O56:$O$75*AO56:AO$75*($E56:$E$75=$D55)),IF(ISNUMBER(iData!AH55),100*ABS($G55-(iData!AH55-$K55)/$M55),0),IF(ISNUMBER(iData!AH55),100*ABS($G55-(iData!AH55-$I55)/$M55),0),IF(iData!AH55&gt;tblIndicators!$AI51,100,IF(ISNUMBER(iData!AH55),100*ABS($G55-(iData!AH55-$I55)/$M55),0)),IF(iData!AH55&lt;0,100,IF(ISNUMBER(iData!AH55),100*ABS($G55-(iData!AH55-$I55)/$M55),0)))</f>
        <v>100</v>
      </c>
      <c r="AP55" s="123" cm="1">
        <f t="array" ref="AP55">CHOOSE($H55,SUMPRODUCT($O56:$O$75*AP56:AP$75*($E56:$E$75=$D55)),IF(ISNUMBER(iData!AI55),100*ABS($G55-(iData!AI55-$K55)/$M55),0),IF(ISNUMBER(iData!AI55),100*ABS($G55-(iData!AI55-$I55)/$M55),0),IF(iData!AI55&gt;tblIndicators!$AI51,100,IF(ISNUMBER(iData!AI55),100*ABS($G55-(iData!AI55-$I55)/$M55),0)),IF(iData!AI55&lt;0,100,IF(ISNUMBER(iData!AI55),100*ABS($G55-(iData!AI55-$I55)/$M55),0)))</f>
        <v>100</v>
      </c>
      <c r="AQ55" s="123" cm="1">
        <f t="array" ref="AQ55">CHOOSE($H55,SUMPRODUCT($O56:$O$75*AQ56:AQ$75*($E56:$E$75=$D55)),IF(ISNUMBER(iData!AJ55),100*ABS($G55-(iData!AJ55-$K55)/$M55),0),IF(ISNUMBER(iData!AJ55),100*ABS($G55-(iData!AJ55-$I55)/$M55),0),IF(iData!AJ55&gt;tblIndicators!$AI51,100,IF(ISNUMBER(iData!AJ55),100*ABS($G55-(iData!AJ55-$I55)/$M55),0)),IF(iData!AJ55&lt;0,100,IF(ISNUMBER(iData!AJ55),100*ABS($G55-(iData!AJ55-$I55)/$M55),0)))</f>
        <v>100</v>
      </c>
      <c r="AR55" s="123" cm="1">
        <f t="array" ref="AR55">CHOOSE($H55,SUMPRODUCT($O56:$O$75*AR56:AR$75*($E56:$E$75=$D55)),IF(ISNUMBER(iData!AK55),100*ABS($G55-(iData!AK55-$K55)/$M55),0),IF(ISNUMBER(iData!AK55),100*ABS($G55-(iData!AK55-$I55)/$M55),0),IF(iData!AK55&gt;tblIndicators!$AI51,100,IF(ISNUMBER(iData!AK55),100*ABS($G55-(iData!AK55-$I55)/$M55),0)),IF(iData!AK55&lt;0,100,IF(ISNUMBER(iData!AK55),100*ABS($G55-(iData!AK55-$I55)/$M55),0)))</f>
        <v>0</v>
      </c>
      <c r="AS55" s="123" cm="1">
        <f t="array" ref="AS55">CHOOSE($H55,SUMPRODUCT($O56:$O$75*AS56:AS$75*($E56:$E$75=$D55)),IF(ISNUMBER(iData!AL55),100*ABS($G55-(iData!AL55-$K55)/$M55),0),IF(ISNUMBER(iData!AL55),100*ABS($G55-(iData!AL55-$I55)/$M55),0),IF(iData!AL55&gt;tblIndicators!$AI51,100,IF(ISNUMBER(iData!AL55),100*ABS($G55-(iData!AL55-$I55)/$M55),0)),IF(iData!AL55&lt;0,100,IF(ISNUMBER(iData!AL55),100*ABS($G55-(iData!AL55-$I55)/$M55),0)))</f>
        <v>0</v>
      </c>
      <c r="AT55" s="123" cm="1">
        <f t="array" ref="AT55">CHOOSE($H55,SUMPRODUCT($O56:$O$75*AT56:AT$75*($E56:$E$75=$D55)),IF(ISNUMBER(iData!AM55),100*ABS($G55-(iData!AM55-$K55)/$M55),0),IF(ISNUMBER(iData!AM55),100*ABS($G55-(iData!AM55-$I55)/$M55),0),IF(iData!AM55&gt;tblIndicators!$AI51,100,IF(ISNUMBER(iData!AM55),100*ABS($G55-(iData!AM55-$I55)/$M55),0)),IF(iData!AM55&lt;0,100,IF(ISNUMBER(iData!AM55),100*ABS($G55-(iData!AM55-$I55)/$M55),0)))</f>
        <v>0</v>
      </c>
      <c r="AU55" s="123" cm="1">
        <f t="array" ref="AU55">CHOOSE($H55,SUMPRODUCT($O56:$O$75*AU56:AU$75*($E56:$E$75=$D55)),IF(ISNUMBER(iData!AN55),100*ABS($G55-(iData!AN55-$K55)/$M55),0),IF(ISNUMBER(iData!AN55),100*ABS($G55-(iData!AN55-$I55)/$M55),0),IF(iData!AN55&gt;tblIndicators!$AI51,100,IF(ISNUMBER(iData!AN55),100*ABS($G55-(iData!AN55-$I55)/$M55),0)),IF(iData!AN55&lt;0,100,IF(ISNUMBER(iData!AN55),100*ABS($G55-(iData!AN55-$I55)/$M55),0)))</f>
        <v>66.666666666666657</v>
      </c>
      <c r="AV55" s="367"/>
      <c r="AW55" s="368"/>
      <c r="AX55" s="14"/>
      <c r="AY55" s="871">
        <f t="shared" si="40"/>
        <v>33.299999999999997</v>
      </c>
      <c r="AZ55" s="871">
        <f t="shared" si="41"/>
        <v>0</v>
      </c>
      <c r="BA55" s="871">
        <f t="shared" si="42"/>
        <v>0</v>
      </c>
      <c r="BB55" s="871">
        <f t="shared" si="43"/>
        <v>66.7</v>
      </c>
      <c r="BC55" s="871">
        <f t="shared" si="44"/>
        <v>100</v>
      </c>
      <c r="BD55" s="871">
        <f t="shared" si="45"/>
        <v>66.7</v>
      </c>
      <c r="BE55" s="871">
        <f t="shared" si="46"/>
        <v>0</v>
      </c>
      <c r="BF55" s="871">
        <f t="shared" si="47"/>
        <v>33.299999999999997</v>
      </c>
      <c r="BG55" s="871">
        <f t="shared" si="48"/>
        <v>0</v>
      </c>
      <c r="BH55" s="871">
        <f t="shared" si="49"/>
        <v>100</v>
      </c>
      <c r="BI55" s="871">
        <f t="shared" si="50"/>
        <v>66.7</v>
      </c>
      <c r="BJ55" s="871">
        <f t="shared" si="51"/>
        <v>0</v>
      </c>
      <c r="BK55" s="871">
        <f t="shared" si="52"/>
        <v>0</v>
      </c>
      <c r="BL55" s="871">
        <f t="shared" si="53"/>
        <v>0</v>
      </c>
      <c r="BM55" s="871">
        <f t="shared" si="54"/>
        <v>0</v>
      </c>
      <c r="BN55" s="871">
        <f t="shared" si="55"/>
        <v>0</v>
      </c>
      <c r="BO55" s="871">
        <f t="shared" si="56"/>
        <v>0</v>
      </c>
      <c r="BP55" s="871">
        <f t="shared" si="57"/>
        <v>0</v>
      </c>
      <c r="BQ55" s="871">
        <f t="shared" si="58"/>
        <v>100</v>
      </c>
      <c r="BR55" s="871">
        <f t="shared" si="59"/>
        <v>0</v>
      </c>
      <c r="BS55" s="871">
        <f t="shared" si="60"/>
        <v>33.299999999999997</v>
      </c>
      <c r="BT55" s="871">
        <f t="shared" si="61"/>
        <v>33.299999999999997</v>
      </c>
      <c r="BU55" s="871">
        <f t="shared" si="62"/>
        <v>66.7</v>
      </c>
      <c r="BV55" s="871">
        <f t="shared" si="63"/>
        <v>100</v>
      </c>
      <c r="BW55" s="871">
        <f t="shared" si="64"/>
        <v>100</v>
      </c>
      <c r="BX55" s="871">
        <f t="shared" si="65"/>
        <v>100</v>
      </c>
      <c r="BY55" s="871">
        <f t="shared" si="66"/>
        <v>0</v>
      </c>
      <c r="BZ55" s="871">
        <f t="shared" si="67"/>
        <v>0</v>
      </c>
      <c r="CA55" s="871">
        <f t="shared" si="68"/>
        <v>0</v>
      </c>
      <c r="CB55" s="871">
        <f t="shared" si="69"/>
        <v>66.7</v>
      </c>
      <c r="CD55" s="304">
        <f t="shared" ca="1" si="108"/>
        <v>35.6</v>
      </c>
      <c r="CE55" s="304">
        <f t="shared" ca="1" si="108"/>
        <v>35.6</v>
      </c>
      <c r="CF55" s="304">
        <f t="shared" ca="1" si="108"/>
        <v>41.7</v>
      </c>
      <c r="CG55" s="302">
        <f t="shared" ca="1" si="108"/>
        <v>40</v>
      </c>
      <c r="CH55" s="302">
        <f t="shared" ca="1" si="108"/>
        <v>22.2</v>
      </c>
      <c r="CI55" s="302">
        <f t="shared" ca="1" si="108"/>
        <v>100</v>
      </c>
      <c r="CJ55" s="302">
        <f t="shared" ca="1" si="108"/>
        <v>0</v>
      </c>
      <c r="CK55" s="302">
        <f t="shared" ca="1" si="108"/>
        <v>33.299999999999997</v>
      </c>
      <c r="CL55" s="302">
        <f t="shared" ca="1" si="108"/>
        <v>27.8</v>
      </c>
      <c r="CM55" s="302">
        <f t="shared" ca="1" si="108"/>
        <v>38.1</v>
      </c>
      <c r="CN55" s="302">
        <f t="shared" ca="1" si="105"/>
        <v>54.2</v>
      </c>
      <c r="CO55" s="302">
        <f t="shared" ca="1" si="105"/>
        <v>25.9</v>
      </c>
      <c r="CP55" s="302">
        <f t="shared" ca="1" si="105"/>
        <v>8.3000000000000007</v>
      </c>
      <c r="CQ55" s="302">
        <f t="shared" ca="1" si="105"/>
        <v>40.700000000000003</v>
      </c>
    </row>
    <row r="56" spans="1:95" s="124" customFormat="1" ht="27.75" customHeight="1" thickBot="1">
      <c r="A56" s="118"/>
      <c r="B56" s="119">
        <f>tblIndicators!A52</f>
        <v>51</v>
      </c>
      <c r="C56" s="119">
        <f>tblIndicators!B52</f>
        <v>0</v>
      </c>
      <c r="D56" s="119" t="str">
        <f>tblIndicators!E52</f>
        <v>CULT3_3_3</v>
      </c>
      <c r="E56" s="119" t="str">
        <f>tblIndicators!F52</f>
        <v>CULT3_3</v>
      </c>
      <c r="F56" s="119">
        <f>tblIndicators!G52</f>
        <v>3</v>
      </c>
      <c r="G56" s="119">
        <f>tblIndicators!AF52</f>
        <v>0</v>
      </c>
      <c r="H56" s="119">
        <f>tblIndicators!AG52</f>
        <v>2</v>
      </c>
      <c r="I56" s="120">
        <f>tblIndicators!AH52</f>
        <v>0</v>
      </c>
      <c r="J56" s="119">
        <f>tblIndicators!AI52</f>
        <v>0</v>
      </c>
      <c r="K56" s="119">
        <f t="array" ref="K56">MIN(IF(ISNUMBER(iData!K56:AN56),iData!K56:AN56))</f>
        <v>1.2</v>
      </c>
      <c r="L56" s="121">
        <f t="array" ref="L56">MAX(IF(ISNUMBER(iData!K56:AN56),iData!K56:AN56))</f>
        <v>107</v>
      </c>
      <c r="M56" s="51">
        <f t="shared" si="106"/>
        <v>105.8</v>
      </c>
      <c r="N56" s="122" t="str">
        <f>REPT(" ",F56)&amp;tblIndicators!AM52</f>
        <v xml:space="preserve">   3.3.3) Tech startup ecosytem</v>
      </c>
      <c r="O56" s="381">
        <f>tblIndicators!AR52</f>
        <v>0.24142093464390416</v>
      </c>
      <c r="P56" s="381"/>
      <c r="Q56" s="323"/>
      <c r="R56" s="123" cm="1">
        <f t="array" ref="R56">CHOOSE($H56,SUMPRODUCT($O57:$O$75*R57:R$75*($E57:$E$75=$D56)),IF(ISNUMBER(iData!K56),100*ABS($G56-(iData!K56-$K56)/$M56),0),IF(ISNUMBER(iData!K56),100*ABS($G56-(iData!K56-$I56)/$M56),0),IF(iData!K56&gt;tblIndicators!$AI52,100,IF(ISNUMBER(iData!K56),100*ABS($G56-(iData!K56-$I56)/$M56),0)),IF(iData!K56&lt;0,100,IF(ISNUMBER(iData!K56),100*ABS($G56-(iData!K56-$I56)/$M56),0)))</f>
        <v>8.6011342155009469</v>
      </c>
      <c r="S56" s="123" cm="1">
        <f t="array" ref="S56">CHOOSE($H56,SUMPRODUCT($O57:$O$75*S57:S$75*($E57:$E$75=$D56)),IF(ISNUMBER(iData!L56),100*ABS($G56-(iData!L56-$K56)/$M56),0),IF(ISNUMBER(iData!L56),100*ABS($G56-(iData!L56-$I56)/$M56),0),IF(iData!L56&gt;tblIndicators!$AI52,100,IF(ISNUMBER(iData!L56),100*ABS($G56-(iData!L56-$I56)/$M56),0)),IF(iData!L56&lt;0,100,IF(ISNUMBER(iData!L56),100*ABS($G56-(iData!L56-$I56)/$M56),0)))</f>
        <v>0.28355387523629494</v>
      </c>
      <c r="T56" s="123" cm="1">
        <f t="array" ref="T56">CHOOSE($H56,SUMPRODUCT($O57:$O$75*T57:T$75*($E57:$E$75=$D56)),IF(ISNUMBER(iData!M56),100*ABS($G56-(iData!M56-$K56)/$M56),0),IF(ISNUMBER(iData!M56),100*ABS($G56-(iData!M56-$I56)/$M56),0),IF(iData!M56&gt;tblIndicators!$AI52,100,IF(ISNUMBER(iData!M56),100*ABS($G56-(iData!M56-$I56)/$M56),0)),IF(iData!M56&lt;0,100,IF(ISNUMBER(iData!M56),100*ABS($G56-(iData!M56-$I56)/$M56),0)))</f>
        <v>2.8355387523629489</v>
      </c>
      <c r="U56" s="123" cm="1">
        <f t="array" ref="U56">CHOOSE($H56,SUMPRODUCT($O57:$O$75*U57:U$75*($E57:$E$75=$D56)),IF(ISNUMBER(iData!N56),100*ABS($G56-(iData!N56-$K56)/$M56),0),IF(ISNUMBER(iData!N56),100*ABS($G56-(iData!N56-$I56)/$M56),0),IF(iData!N56&gt;tblIndicators!$AI52,100,IF(ISNUMBER(iData!N56),100*ABS($G56-(iData!N56-$I56)/$M56),0)),IF(iData!N56&lt;0,100,IF(ISNUMBER(iData!N56),100*ABS($G56-(iData!N56-$I56)/$M56),0)))</f>
        <v>6.9943289224952743</v>
      </c>
      <c r="V56" s="123" cm="1">
        <f t="array" ref="V56">CHOOSE($H56,SUMPRODUCT($O57:$O$75*V57:V$75*($E57:$E$75=$D56)),IF(ISNUMBER(iData!O56),100*ABS($G56-(iData!O56-$K56)/$M56),0),IF(ISNUMBER(iData!O56),100*ABS($G56-(iData!O56-$I56)/$M56),0),IF(iData!O56&gt;tblIndicators!$AI52,100,IF(ISNUMBER(iData!O56),100*ABS($G56-(iData!O56-$I56)/$M56),0)),IF(iData!O56&lt;0,100,IF(ISNUMBER(iData!O56),100*ABS($G56-(iData!O56-$I56)/$M56),0)))</f>
        <v>58.979206049149333</v>
      </c>
      <c r="W56" s="123" cm="1">
        <f t="array" ref="W56">CHOOSE($H56,SUMPRODUCT($O57:$O$75*W57:W$75*($E57:$E$75=$D56)),IF(ISNUMBER(iData!P56),100*ABS($G56-(iData!P56-$K56)/$M56),0),IF(ISNUMBER(iData!P56),100*ABS($G56-(iData!P56-$I56)/$M56),0),IF(iData!P56&gt;tblIndicators!$AI52,100,IF(ISNUMBER(iData!P56),100*ABS($G56-(iData!P56-$I56)/$M56),0)),IF(iData!P56&lt;0,100,IF(ISNUMBER(iData!P56),100*ABS($G56-(iData!P56-$I56)/$M56),0)))</f>
        <v>18.147448015122876</v>
      </c>
      <c r="X56" s="123" cm="1">
        <f t="array" ref="X56">CHOOSE($H56,SUMPRODUCT($O57:$O$75*X57:X$75*($E57:$E$75=$D56)),IF(ISNUMBER(iData!Q56),100*ABS($G56-(iData!Q56-$K56)/$M56),0),IF(ISNUMBER(iData!Q56),100*ABS($G56-(iData!Q56-$I56)/$M56),0),IF(iData!Q56&gt;tblIndicators!$AI52,100,IF(ISNUMBER(iData!Q56),100*ABS($G56-(iData!Q56-$I56)/$M56),0)),IF(iData!Q56&lt;0,100,IF(ISNUMBER(iData!Q56),100*ABS($G56-(iData!Q56-$I56)/$M56),0)))</f>
        <v>3.7807183364839321</v>
      </c>
      <c r="Y56" s="123" cm="1">
        <f t="array" ref="Y56">CHOOSE($H56,SUMPRODUCT($O57:$O$75*Y57:Y$75*($E57:$E$75=$D56)),IF(ISNUMBER(iData!R56),100*ABS($G56-(iData!R56-$K56)/$M56),0),IF(ISNUMBER(iData!R56),100*ABS($G56-(iData!R56-$I56)/$M56),0),IF(iData!R56&gt;tblIndicators!$AI52,100,IF(ISNUMBER(iData!R56),100*ABS($G56-(iData!R56-$I56)/$M56),0)),IF(iData!R56&lt;0,100,IF(ISNUMBER(iData!R56),100*ABS($G56-(iData!R56-$I56)/$M56),0)))</f>
        <v>2.0793950850661624</v>
      </c>
      <c r="Z56" s="123" cm="1">
        <f t="array" ref="Z56">CHOOSE($H56,SUMPRODUCT($O57:$O$75*Z57:Z$75*($E57:$E$75=$D56)),IF(ISNUMBER(iData!S56),100*ABS($G56-(iData!S56-$K56)/$M56),0),IF(ISNUMBER(iData!S56),100*ABS($G56-(iData!S56-$I56)/$M56),0),IF(iData!S56&gt;tblIndicators!$AI52,100,IF(ISNUMBER(iData!S56),100*ABS($G56-(iData!S56-$I56)/$M56),0)),IF(iData!S56&lt;0,100,IF(ISNUMBER(iData!S56),100*ABS($G56-(iData!S56-$I56)/$M56),0)))</f>
        <v>9.9243856332703224</v>
      </c>
      <c r="AA56" s="123" cm="1">
        <f t="array" ref="AA56">CHOOSE($H56,SUMPRODUCT($O57:$O$75*AA57:AA$75*($E57:$E$75=$D56)),IF(ISNUMBER(iData!T56),100*ABS($G56-(iData!T56-$K56)/$M56),0),IF(ISNUMBER(iData!T56),100*ABS($G56-(iData!T56-$I56)/$M56),0),IF(iData!T56&gt;tblIndicators!$AI52,100,IF(ISNUMBER(iData!T56),100*ABS($G56-(iData!T56-$I56)/$M56),0)),IF(iData!T56&lt;0,100,IF(ISNUMBER(iData!T56),100*ABS($G56-(iData!T56-$I56)/$M56),0)))</f>
        <v>2.7410207939508502</v>
      </c>
      <c r="AB56" s="123" cm="1">
        <f t="array" ref="AB56">CHOOSE($H56,SUMPRODUCT($O57:$O$75*AB57:AB$75*($E57:$E$75=$D56)),IF(ISNUMBER(iData!U56),100*ABS($G56-(iData!U56-$K56)/$M56),0),IF(ISNUMBER(iData!U56),100*ABS($G56-(iData!U56-$I56)/$M56),0),IF(iData!U56&gt;tblIndicators!$AI52,100,IF(ISNUMBER(iData!U56),100*ABS($G56-(iData!U56-$I56)/$M56),0)),IF(iData!U56&lt;0,100,IF(ISNUMBER(iData!U56),100*ABS($G56-(iData!U56-$I56)/$M56),0)))</f>
        <v>0.75614366729678639</v>
      </c>
      <c r="AC56" s="123" cm="1">
        <f t="array" ref="AC56">CHOOSE($H56,SUMPRODUCT($O57:$O$75*AC57:AC$75*($E57:$E$75=$D56)),IF(ISNUMBER(iData!V56),100*ABS($G56-(iData!V56-$K56)/$M56),0),IF(ISNUMBER(iData!V56),100*ABS($G56-(iData!V56-$I56)/$M56),0),IF(iData!V56&gt;tblIndicators!$AI52,100,IF(ISNUMBER(iData!V56),100*ABS($G56-(iData!V56-$I56)/$M56),0)),IF(iData!V56&lt;0,100,IF(ISNUMBER(iData!V56),100*ABS($G56-(iData!V56-$I56)/$M56),0)))</f>
        <v>9.2627599243856338</v>
      </c>
      <c r="AD56" s="123" cm="1">
        <f t="array" ref="AD56">CHOOSE($H56,SUMPRODUCT($O57:$O$75*AD57:AD$75*($E57:$E$75=$D56)),IF(ISNUMBER(iData!W56),100*ABS($G56-(iData!W56-$K56)/$M56),0),IF(ISNUMBER(iData!W56),100*ABS($G56-(iData!W56-$I56)/$M56),0),IF(iData!W56&gt;tblIndicators!$AI52,100,IF(ISNUMBER(iData!W56),100*ABS($G56-(iData!W56-$I56)/$M56),0)),IF(iData!W56&lt;0,100,IF(ISNUMBER(iData!W56),100*ABS($G56-(iData!W56-$I56)/$M56),0)))</f>
        <v>9.7353497164461267</v>
      </c>
      <c r="AE56" s="123" cm="1">
        <f t="array" ref="AE56">CHOOSE($H56,SUMPRODUCT($O57:$O$75*AE57:AE$75*($E57:$E$75=$D56)),IF(ISNUMBER(iData!X56),100*ABS($G56-(iData!X56-$K56)/$M56),0),IF(ISNUMBER(iData!X56),100*ABS($G56-(iData!X56-$I56)/$M56),0),IF(iData!X56&gt;tblIndicators!$AI52,100,IF(ISNUMBER(iData!X56),100*ABS($G56-(iData!X56-$I56)/$M56),0)),IF(iData!X56&lt;0,100,IF(ISNUMBER(iData!X56),100*ABS($G56-(iData!X56-$I56)/$M56),0)))</f>
        <v>1.890359168241966</v>
      </c>
      <c r="AF56" s="123" cm="1">
        <f t="array" ref="AF56">CHOOSE($H56,SUMPRODUCT($O57:$O$75*AF57:AF$75*($E57:$E$75=$D56)),IF(ISNUMBER(iData!Y56),100*ABS($G56-(iData!Y56-$K56)/$M56),0),IF(ISNUMBER(iData!Y56),100*ABS($G56-(iData!Y56-$I56)/$M56),0),IF(iData!Y56&gt;tblIndicators!$AI52,100,IF(ISNUMBER(iData!Y56),100*ABS($G56-(iData!Y56-$I56)/$M56),0)),IF(iData!Y56&lt;0,100,IF(ISNUMBER(iData!Y56),100*ABS($G56-(iData!Y56-$I56)/$M56),0)))</f>
        <v>49.149338374291119</v>
      </c>
      <c r="AG56" s="123" cm="1">
        <f t="array" ref="AG56">CHOOSE($H56,SUMPRODUCT($O57:$O$75*AG57:AG$75*($E57:$E$75=$D56)),IF(ISNUMBER(iData!Z56),100*ABS($G56-(iData!Z56-$K56)/$M56),0),IF(ISNUMBER(iData!Z56),100*ABS($G56-(iData!Z56-$I56)/$M56),0),IF(iData!Z56&gt;tblIndicators!$AI52,100,IF(ISNUMBER(iData!Z56),100*ABS($G56-(iData!Z56-$I56)/$M56),0)),IF(iData!Z56&lt;0,100,IF(ISNUMBER(iData!Z56),100*ABS($G56-(iData!Z56-$I56)/$M56),0)))</f>
        <v>4.7258979206049148</v>
      </c>
      <c r="AH56" s="123" cm="1">
        <f t="array" ref="AH56">CHOOSE($H56,SUMPRODUCT($O57:$O$75*AH57:AH$75*($E57:$E$75=$D56)),IF(ISNUMBER(iData!AA56),100*ABS($G56-(iData!AA56-$K56)/$M56),0),IF(ISNUMBER(iData!AA56),100*ABS($G56-(iData!AA56-$I56)/$M56),0),IF(iData!AA56&gt;tblIndicators!$AI52,100,IF(ISNUMBER(iData!AA56),100*ABS($G56-(iData!AA56-$I56)/$M56),0)),IF(iData!AA56&lt;0,100,IF(ISNUMBER(iData!AA56),100*ABS($G56-(iData!AA56-$I56)/$M56),0)))</f>
        <v>2.3629489603024574</v>
      </c>
      <c r="AI56" s="123" cm="1">
        <f t="array" ref="AI56">CHOOSE($H56,SUMPRODUCT($O57:$O$75*AI57:AI$75*($E57:$E$75=$D56)),IF(ISNUMBER(iData!AB56),100*ABS($G56-(iData!AB56-$K56)/$M56),0),IF(ISNUMBER(iData!AB56),100*ABS($G56-(iData!AB56-$I56)/$M56),0),IF(iData!AB56&gt;tblIndicators!$AI52,100,IF(ISNUMBER(iData!AB56),100*ABS($G56-(iData!AB56-$I56)/$M56),0)),IF(iData!AB56&lt;0,100,IF(ISNUMBER(iData!AB56),100*ABS($G56-(iData!AB56-$I56)/$M56),0)))</f>
        <v>4.3478260869565215</v>
      </c>
      <c r="AJ56" s="123" cm="1">
        <f t="array" ref="AJ56">CHOOSE($H56,SUMPRODUCT($O57:$O$75*AJ57:AJ$75*($E57:$E$75=$D56)),IF(ISNUMBER(iData!AC56),100*ABS($G56-(iData!AC56-$K56)/$M56),0),IF(ISNUMBER(iData!AC56),100*ABS($G56-(iData!AC56-$I56)/$M56),0),IF(iData!AC56&gt;tblIndicators!$AI52,100,IF(ISNUMBER(iData!AC56),100*ABS($G56-(iData!AC56-$I56)/$M56),0)),IF(iData!AC56&lt;0,100,IF(ISNUMBER(iData!AC56),100*ABS($G56-(iData!AC56-$I56)/$M56),0)))</f>
        <v>17.580340264650285</v>
      </c>
      <c r="AK56" s="123" cm="1">
        <f t="array" ref="AK56">CHOOSE($H56,SUMPRODUCT($O57:$O$75*AK57:AK$75*($E57:$E$75=$D56)),IF(ISNUMBER(iData!AD56),100*ABS($G56-(iData!AD56-$K56)/$M56),0),IF(ISNUMBER(iData!AD56),100*ABS($G56-(iData!AD56-$I56)/$M56),0),IF(iData!AD56&gt;tblIndicators!$AI52,100,IF(ISNUMBER(iData!AD56),100*ABS($G56-(iData!AD56-$I56)/$M56),0)),IF(iData!AD56&lt;0,100,IF(ISNUMBER(iData!AD56),100*ABS($G56-(iData!AD56-$I56)/$M56),0)))</f>
        <v>100</v>
      </c>
      <c r="AL56" s="123" cm="1">
        <f t="array" ref="AL56">CHOOSE($H56,SUMPRODUCT($O57:$O$75*AL57:AL$75*($E57:$E$75=$D56)),IF(ISNUMBER(iData!AE56),100*ABS($G56-(iData!AE56-$K56)/$M56),0),IF(ISNUMBER(iData!AE56),100*ABS($G56-(iData!AE56-$I56)/$M56),0),IF(iData!AE56&gt;tblIndicators!$AI52,100,IF(ISNUMBER(iData!AE56),100*ABS($G56-(iData!AE56-$I56)/$M56),0)),IF(iData!AE56&lt;0,100,IF(ISNUMBER(iData!AE56),100*ABS($G56-(iData!AE56-$I56)/$M56),0)))</f>
        <v>19.565217391304348</v>
      </c>
      <c r="AM56" s="123" cm="1">
        <f t="array" ref="AM56">CHOOSE($H56,SUMPRODUCT($O57:$O$75*AM57:AM$75*($E57:$E$75=$D56)),IF(ISNUMBER(iData!AF56),100*ABS($G56-(iData!AF56-$K56)/$M56),0),IF(ISNUMBER(iData!AF56),100*ABS($G56-(iData!AF56-$I56)/$M56),0),IF(iData!AF56&gt;tblIndicators!$AI52,100,IF(ISNUMBER(iData!AF56),100*ABS($G56-(iData!AF56-$I56)/$M56),0)),IF(iData!AF56&lt;0,100,IF(ISNUMBER(iData!AF56),100*ABS($G56-(iData!AF56-$I56)/$M56),0)))</f>
        <v>0</v>
      </c>
      <c r="AN56" s="123" cm="1">
        <f t="array" ref="AN56">CHOOSE($H56,SUMPRODUCT($O57:$O$75*AN57:AN$75*($E57:$E$75=$D56)),IF(ISNUMBER(iData!AG56),100*ABS($G56-(iData!AG56-$K56)/$M56),0),IF(ISNUMBER(iData!AG56),100*ABS($G56-(iData!AG56-$I56)/$M56),0),IF(iData!AG56&gt;tblIndicators!$AI52,100,IF(ISNUMBER(iData!AG56),100*ABS($G56-(iData!AG56-$I56)/$M56),0)),IF(iData!AG56&lt;0,100,IF(ISNUMBER(iData!AG56),100*ABS($G56-(iData!AG56-$I56)/$M56),0)))</f>
        <v>13.42155009451796</v>
      </c>
      <c r="AO56" s="123" cm="1">
        <f t="array" ref="AO56">CHOOSE($H56,SUMPRODUCT($O57:$O$75*AO57:AO$75*($E57:$E$75=$D56)),IF(ISNUMBER(iData!AH56),100*ABS($G56-(iData!AH56-$K56)/$M56),0),IF(ISNUMBER(iData!AH56),100*ABS($G56-(iData!AH56-$I56)/$M56),0),IF(iData!AH56&gt;tblIndicators!$AI52,100,IF(ISNUMBER(iData!AH56),100*ABS($G56-(iData!AH56-$I56)/$M56),0)),IF(iData!AH56&lt;0,100,IF(ISNUMBER(iData!AH56),100*ABS($G56-(iData!AH56-$I56)/$M56),0)))</f>
        <v>11.531190926275995</v>
      </c>
      <c r="AP56" s="123" cm="1">
        <f t="array" ref="AP56">CHOOSE($H56,SUMPRODUCT($O57:$O$75*AP57:AP$75*($E57:$E$75=$D56)),IF(ISNUMBER(iData!AI56),100*ABS($G56-(iData!AI56-$K56)/$M56),0),IF(ISNUMBER(iData!AI56),100*ABS($G56-(iData!AI56-$I56)/$M56),0),IF(iData!AI56&gt;tblIndicators!$AI52,100,IF(ISNUMBER(iData!AI56),100*ABS($G56-(iData!AI56-$I56)/$M56),0)),IF(iData!AI56&lt;0,100,IF(ISNUMBER(iData!AI56),100*ABS($G56-(iData!AI56-$I56)/$M56),0)))</f>
        <v>10.586011342155011</v>
      </c>
      <c r="AQ56" s="123" cm="1">
        <f t="array" ref="AQ56">CHOOSE($H56,SUMPRODUCT($O57:$O$75*AQ57:AQ$75*($E57:$E$75=$D56)),IF(ISNUMBER(iData!AJ56),100*ABS($G56-(iData!AJ56-$K56)/$M56),0),IF(ISNUMBER(iData!AJ56),100*ABS($G56-(iData!AJ56-$I56)/$M56),0),IF(iData!AJ56&gt;tblIndicators!$AI52,100,IF(ISNUMBER(iData!AJ56),100*ABS($G56-(iData!AJ56-$I56)/$M56),0)),IF(iData!AJ56&lt;0,100,IF(ISNUMBER(iData!AJ56),100*ABS($G56-(iData!AJ56-$I56)/$M56),0)))</f>
        <v>6.8998109640831764</v>
      </c>
      <c r="AR56" s="123" cm="1">
        <f t="array" ref="AR56">CHOOSE($H56,SUMPRODUCT($O57:$O$75*AR57:AR$75*($E57:$E$75=$D56)),IF(ISNUMBER(iData!AK56),100*ABS($G56-(iData!AK56-$K56)/$M56),0),IF(ISNUMBER(iData!AK56),100*ABS($G56-(iData!AK56-$I56)/$M56),0),IF(iData!AK56&gt;tblIndicators!$AI52,100,IF(ISNUMBER(iData!AK56),100*ABS($G56-(iData!AK56-$I56)/$M56),0)),IF(iData!AK56&lt;0,100,IF(ISNUMBER(iData!AK56),100*ABS($G56-(iData!AK56-$I56)/$M56),0)))</f>
        <v>16.351606805293006</v>
      </c>
      <c r="AS56" s="123" cm="1">
        <f t="array" ref="AS56">CHOOSE($H56,SUMPRODUCT($O57:$O$75*AS57:AS$75*($E57:$E$75=$D56)),IF(ISNUMBER(iData!AL56),100*ABS($G56-(iData!AL56-$K56)/$M56),0),IF(ISNUMBER(iData!AL56),100*ABS($G56-(iData!AL56-$I56)/$M56),0),IF(iData!AL56&gt;tblIndicators!$AI52,100,IF(ISNUMBER(iData!AL56),100*ABS($G56-(iData!AL56-$I56)/$M56),0)),IF(iData!AL56&lt;0,100,IF(ISNUMBER(iData!AL56),100*ABS($G56-(iData!AL56-$I56)/$M56),0)))</f>
        <v>10.302457466918716</v>
      </c>
      <c r="AT56" s="123" cm="1">
        <f t="array" ref="AT56">CHOOSE($H56,SUMPRODUCT($O57:$O$75*AT57:AT$75*($E57:$E$75=$D56)),IF(ISNUMBER(iData!AM56),100*ABS($G56-(iData!AM56-$K56)/$M56),0),IF(ISNUMBER(iData!AM56),100*ABS($G56-(iData!AM56-$I56)/$M56),0),IF(iData!AM56&gt;tblIndicators!$AI52,100,IF(ISNUMBER(iData!AM56),100*ABS($G56-(iData!AM56-$I56)/$M56),0)),IF(iData!AM56&lt;0,100,IF(ISNUMBER(iData!AM56),100*ABS($G56-(iData!AM56-$I56)/$M56),0)))</f>
        <v>12.381852551984879</v>
      </c>
      <c r="AU56" s="123" cm="1">
        <f t="array" ref="AU56">CHOOSE($H56,SUMPRODUCT($O57:$O$75*AU57:AU$75*($E57:$E$75=$D56)),IF(ISNUMBER(iData!AN56),100*ABS($G56-(iData!AN56-$K56)/$M56),0),IF(ISNUMBER(iData!AN56),100*ABS($G56-(iData!AN56-$I56)/$M56),0),IF(iData!AN56&gt;tblIndicators!$AI52,100,IF(ISNUMBER(iData!AN56),100*ABS($G56-(iData!AN56-$I56)/$M56),0)),IF(iData!AN56&lt;0,100,IF(ISNUMBER(iData!AN56),100*ABS($G56-(iData!AN56-$I56)/$M56),0)))</f>
        <v>2.6465028355387523</v>
      </c>
      <c r="AV56" s="367"/>
      <c r="AW56" s="368"/>
      <c r="AX56" s="14"/>
      <c r="AY56" s="871">
        <f t="shared" si="40"/>
        <v>8.6</v>
      </c>
      <c r="AZ56" s="871">
        <f t="shared" si="41"/>
        <v>0.3</v>
      </c>
      <c r="BA56" s="871">
        <f t="shared" si="42"/>
        <v>2.8</v>
      </c>
      <c r="BB56" s="871">
        <f t="shared" si="43"/>
        <v>7</v>
      </c>
      <c r="BC56" s="871">
        <f t="shared" si="44"/>
        <v>59</v>
      </c>
      <c r="BD56" s="871">
        <f t="shared" si="45"/>
        <v>18.100000000000001</v>
      </c>
      <c r="BE56" s="871">
        <f t="shared" si="46"/>
        <v>3.8</v>
      </c>
      <c r="BF56" s="871">
        <f t="shared" si="47"/>
        <v>2.1</v>
      </c>
      <c r="BG56" s="871">
        <f t="shared" si="48"/>
        <v>9.9</v>
      </c>
      <c r="BH56" s="871">
        <f t="shared" si="49"/>
        <v>2.7</v>
      </c>
      <c r="BI56" s="871">
        <f t="shared" si="50"/>
        <v>0.8</v>
      </c>
      <c r="BJ56" s="871">
        <f t="shared" si="51"/>
        <v>9.3000000000000007</v>
      </c>
      <c r="BK56" s="871">
        <f t="shared" si="52"/>
        <v>9.6999999999999993</v>
      </c>
      <c r="BL56" s="871">
        <f t="shared" si="53"/>
        <v>1.9</v>
      </c>
      <c r="BM56" s="871">
        <f t="shared" si="54"/>
        <v>49.1</v>
      </c>
      <c r="BN56" s="871">
        <f t="shared" si="55"/>
        <v>4.7</v>
      </c>
      <c r="BO56" s="871">
        <f t="shared" si="56"/>
        <v>2.4</v>
      </c>
      <c r="BP56" s="871">
        <f t="shared" si="57"/>
        <v>4.3</v>
      </c>
      <c r="BQ56" s="871">
        <f t="shared" si="58"/>
        <v>17.600000000000001</v>
      </c>
      <c r="BR56" s="871">
        <f t="shared" si="59"/>
        <v>100</v>
      </c>
      <c r="BS56" s="871">
        <f t="shared" si="60"/>
        <v>19.600000000000001</v>
      </c>
      <c r="BT56" s="871">
        <f t="shared" si="61"/>
        <v>0</v>
      </c>
      <c r="BU56" s="871">
        <f t="shared" si="62"/>
        <v>13.4</v>
      </c>
      <c r="BV56" s="871">
        <f t="shared" si="63"/>
        <v>11.5</v>
      </c>
      <c r="BW56" s="871">
        <f t="shared" si="64"/>
        <v>10.6</v>
      </c>
      <c r="BX56" s="871">
        <f t="shared" si="65"/>
        <v>6.9</v>
      </c>
      <c r="BY56" s="871">
        <f t="shared" si="66"/>
        <v>16.399999999999999</v>
      </c>
      <c r="BZ56" s="871">
        <f t="shared" si="67"/>
        <v>10.3</v>
      </c>
      <c r="CA56" s="871">
        <f t="shared" si="68"/>
        <v>12.4</v>
      </c>
      <c r="CB56" s="871">
        <f t="shared" si="69"/>
        <v>2.6</v>
      </c>
      <c r="CD56" s="304">
        <f t="shared" ca="1" si="108"/>
        <v>13.9</v>
      </c>
      <c r="CE56" s="304">
        <f t="shared" ca="1" si="108"/>
        <v>13.9</v>
      </c>
      <c r="CF56" s="304">
        <f t="shared" ca="1" si="108"/>
        <v>12.4</v>
      </c>
      <c r="CG56" s="302">
        <f t="shared" ca="1" si="108"/>
        <v>11.3</v>
      </c>
      <c r="CH56" s="302">
        <f t="shared" ca="1" si="108"/>
        <v>7.2</v>
      </c>
      <c r="CI56" s="302">
        <f t="shared" ca="1" si="108"/>
        <v>2.7</v>
      </c>
      <c r="CJ56" s="302">
        <f t="shared" ca="1" si="108"/>
        <v>33.200000000000003</v>
      </c>
      <c r="CK56" s="302">
        <f t="shared" ca="1" si="108"/>
        <v>9.9</v>
      </c>
      <c r="CL56" s="302">
        <f t="shared" ca="1" si="108"/>
        <v>14.2</v>
      </c>
      <c r="CM56" s="302">
        <f t="shared" ca="1" si="108"/>
        <v>14.4</v>
      </c>
      <c r="CN56" s="302">
        <f t="shared" ca="1" si="105"/>
        <v>3</v>
      </c>
      <c r="CO56" s="302">
        <f t="shared" ca="1" si="105"/>
        <v>9.4</v>
      </c>
      <c r="CP56" s="302">
        <f t="shared" ca="1" si="105"/>
        <v>18.5</v>
      </c>
      <c r="CQ56" s="302">
        <f t="shared" ca="1" si="105"/>
        <v>26.2</v>
      </c>
    </row>
    <row r="57" spans="1:95" s="124" customFormat="1" ht="27.75" customHeight="1" thickBot="1">
      <c r="A57" s="118"/>
      <c r="B57" s="119">
        <f>tblIndicators!A53</f>
        <v>52</v>
      </c>
      <c r="C57" s="119">
        <f>tblIndicators!B53</f>
        <v>0</v>
      </c>
      <c r="D57" s="119" t="str">
        <f>tblIndicators!E53</f>
        <v>CULT3_3_4</v>
      </c>
      <c r="E57" s="119" t="str">
        <f>tblIndicators!F53</f>
        <v>CULT3_3</v>
      </c>
      <c r="F57" s="119">
        <f>tblIndicators!G53</f>
        <v>3</v>
      </c>
      <c r="G57" s="119">
        <f>tblIndicators!AF53</f>
        <v>0</v>
      </c>
      <c r="H57" s="119">
        <f>tblIndicators!AG53</f>
        <v>3</v>
      </c>
      <c r="I57" s="120">
        <f>tblIndicators!AH53</f>
        <v>1</v>
      </c>
      <c r="J57" s="119">
        <f>tblIndicators!AI53</f>
        <v>5</v>
      </c>
      <c r="K57" s="119">
        <f t="array" ref="K57">MIN(IF(ISNUMBER(iData!K57:AN57),iData!K57:AN57))</f>
        <v>1</v>
      </c>
      <c r="L57" s="121">
        <f t="array" ref="L57">MAX(IF(ISNUMBER(iData!K57:AN57),iData!K57:AN57))</f>
        <v>5</v>
      </c>
      <c r="M57" s="51">
        <f t="shared" si="106"/>
        <v>4</v>
      </c>
      <c r="N57" s="122" t="str">
        <f>REPT(" ",F57)&amp;tblIndicators!AM53</f>
        <v xml:space="preserve">   3.3.4) Intellectual Property Rights</v>
      </c>
      <c r="O57" s="381">
        <f>tblIndicators!AR53</f>
        <v>0.18968787722021038</v>
      </c>
      <c r="P57" s="381"/>
      <c r="Q57" s="323"/>
      <c r="R57" s="123" cm="1">
        <f t="array" ref="R57">CHOOSE($H57,SUMPRODUCT($O58:$O$75*R58:R$75*($E58:$E$75=$D57)),IF(ISNUMBER(iData!K57),100*ABS($G57-(iData!K57-$K57)/$M57),0),IF(ISNUMBER(iData!K57),100*ABS($G57-(iData!K57-$I57)/$M57),0),IF(iData!K57&gt;tblIndicators!$AI53,100,IF(ISNUMBER(iData!K57),100*ABS($G57-(iData!K57-$I57)/$M57),0)),IF(iData!K57&lt;0,100,IF(ISNUMBER(iData!K57),100*ABS($G57-(iData!K57-$I57)/$M57),0)))</f>
        <v>100</v>
      </c>
      <c r="S57" s="123" cm="1">
        <f t="array" ref="S57">CHOOSE($H57,SUMPRODUCT($O58:$O$75*S58:S$75*($E58:$E$75=$D57)),IF(ISNUMBER(iData!L57),100*ABS($G57-(iData!L57-$K57)/$M57),0),IF(ISNUMBER(iData!L57),100*ABS($G57-(iData!L57-$I57)/$M57),0),IF(iData!L57&gt;tblIndicators!$AI53,100,IF(ISNUMBER(iData!L57),100*ABS($G57-(iData!L57-$I57)/$M57),0)),IF(iData!L57&lt;0,100,IF(ISNUMBER(iData!L57),100*ABS($G57-(iData!L57-$I57)/$M57),0)))</f>
        <v>75</v>
      </c>
      <c r="T57" s="123" cm="1">
        <f t="array" ref="T57">CHOOSE($H57,SUMPRODUCT($O58:$O$75*T58:T$75*($E58:$E$75=$D57)),IF(ISNUMBER(iData!M57),100*ABS($G57-(iData!M57-$K57)/$M57),0),IF(ISNUMBER(iData!M57),100*ABS($G57-(iData!M57-$I57)/$M57),0),IF(iData!M57&gt;tblIndicators!$AI53,100,IF(ISNUMBER(iData!M57),100*ABS($G57-(iData!M57-$I57)/$M57),0)),IF(iData!M57&lt;0,100,IF(ISNUMBER(iData!M57),100*ABS($G57-(iData!M57-$I57)/$M57),0)))</f>
        <v>25</v>
      </c>
      <c r="U57" s="123" cm="1">
        <f t="array" ref="U57">CHOOSE($H57,SUMPRODUCT($O58:$O$75*U58:U$75*($E58:$E$75=$D57)),IF(ISNUMBER(iData!N57),100*ABS($G57-(iData!N57-$K57)/$M57),0),IF(ISNUMBER(iData!N57),100*ABS($G57-(iData!N57-$I57)/$M57),0),IF(iData!N57&gt;tblIndicators!$AI53,100,IF(ISNUMBER(iData!N57),100*ABS($G57-(iData!N57-$I57)/$M57),0)),IF(iData!N57&lt;0,100,IF(ISNUMBER(iData!N57),100*ABS($G57-(iData!N57-$I57)/$M57),0)))</f>
        <v>75</v>
      </c>
      <c r="V57" s="123" cm="1">
        <f t="array" ref="V57">CHOOSE($H57,SUMPRODUCT($O58:$O$75*V58:V$75*($E58:$E$75=$D57)),IF(ISNUMBER(iData!O57),100*ABS($G57-(iData!O57-$K57)/$M57),0),IF(ISNUMBER(iData!O57),100*ABS($G57-(iData!O57-$I57)/$M57),0),IF(iData!O57&gt;tblIndicators!$AI53,100,IF(ISNUMBER(iData!O57),100*ABS($G57-(iData!O57-$I57)/$M57),0)),IF(iData!O57&lt;0,100,IF(ISNUMBER(iData!O57),100*ABS($G57-(iData!O57-$I57)/$M57),0)))</f>
        <v>25</v>
      </c>
      <c r="W57" s="123" cm="1">
        <f t="array" ref="W57">CHOOSE($H57,SUMPRODUCT($O58:$O$75*W58:W$75*($E58:$E$75=$D57)),IF(ISNUMBER(iData!P57),100*ABS($G57-(iData!P57-$K57)/$M57),0),IF(ISNUMBER(iData!P57),100*ABS($G57-(iData!P57-$I57)/$M57),0),IF(iData!P57&gt;tblIndicators!$AI53,100,IF(ISNUMBER(iData!P57),100*ABS($G57-(iData!P57-$I57)/$M57),0)),IF(iData!P57&lt;0,100,IF(ISNUMBER(iData!P57),100*ABS($G57-(iData!P57-$I57)/$M57),0)))</f>
        <v>100</v>
      </c>
      <c r="X57" s="123" cm="1">
        <f t="array" ref="X57">CHOOSE($H57,SUMPRODUCT($O58:$O$75*X58:X$75*($E58:$E$75=$D57)),IF(ISNUMBER(iData!Q57),100*ABS($G57-(iData!Q57-$K57)/$M57),0),IF(ISNUMBER(iData!Q57),100*ABS($G57-(iData!Q57-$I57)/$M57),0),IF(iData!Q57&gt;tblIndicators!$AI53,100,IF(ISNUMBER(iData!Q57),100*ABS($G57-(iData!Q57-$I57)/$M57),0)),IF(iData!Q57&lt;0,100,IF(ISNUMBER(iData!Q57),100*ABS($G57-(iData!Q57-$I57)/$M57),0)))</f>
        <v>50</v>
      </c>
      <c r="Y57" s="123" cm="1">
        <f t="array" ref="Y57">CHOOSE($H57,SUMPRODUCT($O58:$O$75*Y58:Y$75*($E58:$E$75=$D57)),IF(ISNUMBER(iData!R57),100*ABS($G57-(iData!R57-$K57)/$M57),0),IF(ISNUMBER(iData!R57),100*ABS($G57-(iData!R57-$I57)/$M57),0),IF(iData!R57&gt;tblIndicators!$AI53,100,IF(ISNUMBER(iData!R57),100*ABS($G57-(iData!R57-$I57)/$M57),0)),IF(iData!R57&lt;0,100,IF(ISNUMBER(iData!R57),100*ABS($G57-(iData!R57-$I57)/$M57),0)))</f>
        <v>100</v>
      </c>
      <c r="Z57" s="123" cm="1">
        <f t="array" ref="Z57">CHOOSE($H57,SUMPRODUCT($O58:$O$75*Z58:Z$75*($E58:$E$75=$D57)),IF(ISNUMBER(iData!S57),100*ABS($G57-(iData!S57-$K57)/$M57),0),IF(ISNUMBER(iData!S57),100*ABS($G57-(iData!S57-$I57)/$M57),0),IF(iData!S57&gt;tblIndicators!$AI53,100,IF(ISNUMBER(iData!S57),100*ABS($G57-(iData!S57-$I57)/$M57),0)),IF(iData!S57&lt;0,100,IF(ISNUMBER(iData!S57),100*ABS($G57-(iData!S57-$I57)/$M57),0)))</f>
        <v>100</v>
      </c>
      <c r="AA57" s="123" cm="1">
        <f t="array" ref="AA57">CHOOSE($H57,SUMPRODUCT($O58:$O$75*AA58:AA$75*($E58:$E$75=$D57)),IF(ISNUMBER(iData!T57),100*ABS($G57-(iData!T57-$K57)/$M57),0),IF(ISNUMBER(iData!T57),100*ABS($G57-(iData!T57-$I57)/$M57),0),IF(iData!T57&gt;tblIndicators!$AI53,100,IF(ISNUMBER(iData!T57),100*ABS($G57-(iData!T57-$I57)/$M57),0)),IF(iData!T57&lt;0,100,IF(ISNUMBER(iData!T57),100*ABS($G57-(iData!T57-$I57)/$M57),0)))</f>
        <v>75</v>
      </c>
      <c r="AB57" s="123" cm="1">
        <f t="array" ref="AB57">CHOOSE($H57,SUMPRODUCT($O58:$O$75*AB58:AB$75*($E58:$E$75=$D57)),IF(ISNUMBER(iData!U57),100*ABS($G57-(iData!U57-$K57)/$M57),0),IF(ISNUMBER(iData!U57),100*ABS($G57-(iData!U57-$I57)/$M57),0),IF(iData!U57&gt;tblIndicators!$AI53,100,IF(ISNUMBER(iData!U57),100*ABS($G57-(iData!U57-$I57)/$M57),0)),IF(iData!U57&lt;0,100,IF(ISNUMBER(iData!U57),100*ABS($G57-(iData!U57-$I57)/$M57),0)))</f>
        <v>100</v>
      </c>
      <c r="AC57" s="123" cm="1">
        <f t="array" ref="AC57">CHOOSE($H57,SUMPRODUCT($O58:$O$75*AC58:AC$75*($E58:$E$75=$D57)),IF(ISNUMBER(iData!V57),100*ABS($G57-(iData!V57-$K57)/$M57),0),IF(ISNUMBER(iData!V57),100*ABS($G57-(iData!V57-$I57)/$M57),0),IF(iData!V57&gt;tblIndicators!$AI53,100,IF(ISNUMBER(iData!V57),100*ABS($G57-(iData!V57-$I57)/$M57),0)),IF(iData!V57&lt;0,100,IF(ISNUMBER(iData!V57),100*ABS($G57-(iData!V57-$I57)/$M57),0)))</f>
        <v>75</v>
      </c>
      <c r="AD57" s="123" cm="1">
        <f t="array" ref="AD57">CHOOSE($H57,SUMPRODUCT($O58:$O$75*AD58:AD$75*($E58:$E$75=$D57)),IF(ISNUMBER(iData!W57),100*ABS($G57-(iData!W57-$K57)/$M57),0),IF(ISNUMBER(iData!W57),100*ABS($G57-(iData!W57-$I57)/$M57),0),IF(iData!W57&gt;tblIndicators!$AI53,100,IF(ISNUMBER(iData!W57),100*ABS($G57-(iData!W57-$I57)/$M57),0)),IF(iData!W57&lt;0,100,IF(ISNUMBER(iData!W57),100*ABS($G57-(iData!W57-$I57)/$M57),0)))</f>
        <v>25</v>
      </c>
      <c r="AE57" s="123" cm="1">
        <f t="array" ref="AE57">CHOOSE($H57,SUMPRODUCT($O58:$O$75*AE58:AE$75*($E58:$E$75=$D57)),IF(ISNUMBER(iData!X57),100*ABS($G57-(iData!X57-$K57)/$M57),0),IF(ISNUMBER(iData!X57),100*ABS($G57-(iData!X57-$I57)/$M57),0),IF(iData!X57&gt;tblIndicators!$AI53,100,IF(ISNUMBER(iData!X57),100*ABS($G57-(iData!X57-$I57)/$M57),0)),IF(iData!X57&lt;0,100,IF(ISNUMBER(iData!X57),100*ABS($G57-(iData!X57-$I57)/$M57),0)))</f>
        <v>50</v>
      </c>
      <c r="AF57" s="123" cm="1">
        <f t="array" ref="AF57">CHOOSE($H57,SUMPRODUCT($O58:$O$75*AF58:AF$75*($E58:$E$75=$D57)),IF(ISNUMBER(iData!Y57),100*ABS($G57-(iData!Y57-$K57)/$M57),0),IF(ISNUMBER(iData!Y57),100*ABS($G57-(iData!Y57-$I57)/$M57),0),IF(iData!Y57&gt;tblIndicators!$AI53,100,IF(ISNUMBER(iData!Y57),100*ABS($G57-(iData!Y57-$I57)/$M57),0)),IF(iData!Y57&lt;0,100,IF(ISNUMBER(iData!Y57),100*ABS($G57-(iData!Y57-$I57)/$M57),0)))</f>
        <v>100</v>
      </c>
      <c r="AG57" s="123" cm="1">
        <f t="array" ref="AG57">CHOOSE($H57,SUMPRODUCT($O58:$O$75*AG58:AG$75*($E58:$E$75=$D57)),IF(ISNUMBER(iData!Z57),100*ABS($G57-(iData!Z57-$K57)/$M57),0),IF(ISNUMBER(iData!Z57),100*ABS($G57-(iData!Z57-$I57)/$M57),0),IF(iData!Z57&gt;tblIndicators!$AI53,100,IF(ISNUMBER(iData!Z57),100*ABS($G57-(iData!Z57-$I57)/$M57),0)),IF(iData!Z57&lt;0,100,IF(ISNUMBER(iData!Z57),100*ABS($G57-(iData!Z57-$I57)/$M57),0)))</f>
        <v>75</v>
      </c>
      <c r="AH57" s="123" cm="1">
        <f t="array" ref="AH57">CHOOSE($H57,SUMPRODUCT($O58:$O$75*AH58:AH$75*($E58:$E$75=$D57)),IF(ISNUMBER(iData!AA57),100*ABS($G57-(iData!AA57-$K57)/$M57),0),IF(ISNUMBER(iData!AA57),100*ABS($G57-(iData!AA57-$I57)/$M57),0),IF(iData!AA57&gt;tblIndicators!$AI53,100,IF(ISNUMBER(iData!AA57),100*ABS($G57-(iData!AA57-$I57)/$M57),0)),IF(iData!AA57&lt;0,100,IF(ISNUMBER(iData!AA57),100*ABS($G57-(iData!AA57-$I57)/$M57),0)))</f>
        <v>25</v>
      </c>
      <c r="AI57" s="123" cm="1">
        <f t="array" ref="AI57">CHOOSE($H57,SUMPRODUCT($O58:$O$75*AI58:AI$75*($E58:$E$75=$D57)),IF(ISNUMBER(iData!AB57),100*ABS($G57-(iData!AB57-$K57)/$M57),0),IF(ISNUMBER(iData!AB57),100*ABS($G57-(iData!AB57-$I57)/$M57),0),IF(iData!AB57&gt;tblIndicators!$AI53,100,IF(ISNUMBER(iData!AB57),100*ABS($G57-(iData!AB57-$I57)/$M57),0)),IF(iData!AB57&lt;0,100,IF(ISNUMBER(iData!AB57),100*ABS($G57-(iData!AB57-$I57)/$M57),0)))</f>
        <v>50</v>
      </c>
      <c r="AJ57" s="123" cm="1">
        <f t="array" ref="AJ57">CHOOSE($H57,SUMPRODUCT($O58:$O$75*AJ58:AJ$75*($E58:$E$75=$D57)),IF(ISNUMBER(iData!AC57),100*ABS($G57-(iData!AC57-$K57)/$M57),0),IF(ISNUMBER(iData!AC57),100*ABS($G57-(iData!AC57-$I57)/$M57),0),IF(iData!AC57&gt;tblIndicators!$AI53,100,IF(ISNUMBER(iData!AC57),100*ABS($G57-(iData!AC57-$I57)/$M57),0)),IF(iData!AC57&lt;0,100,IF(ISNUMBER(iData!AC57),100*ABS($G57-(iData!AC57-$I57)/$M57),0)))</f>
        <v>0</v>
      </c>
      <c r="AK57" s="123" cm="1">
        <f t="array" ref="AK57">CHOOSE($H57,SUMPRODUCT($O58:$O$75*AK58:AK$75*($E58:$E$75=$D57)),IF(ISNUMBER(iData!AD57),100*ABS($G57-(iData!AD57-$K57)/$M57),0),IF(ISNUMBER(iData!AD57),100*ABS($G57-(iData!AD57-$I57)/$M57),0),IF(iData!AD57&gt;tblIndicators!$AI53,100,IF(ISNUMBER(iData!AD57),100*ABS($G57-(iData!AD57-$I57)/$M57),0)),IF(iData!AD57&lt;0,100,IF(ISNUMBER(iData!AD57),100*ABS($G57-(iData!AD57-$I57)/$M57),0)))</f>
        <v>100</v>
      </c>
      <c r="AL57" s="123" cm="1">
        <f t="array" ref="AL57">CHOOSE($H57,SUMPRODUCT($O58:$O$75*AL58:AL$75*($E58:$E$75=$D57)),IF(ISNUMBER(iData!AE57),100*ABS($G57-(iData!AE57-$K57)/$M57),0),IF(ISNUMBER(iData!AE57),100*ABS($G57-(iData!AE57-$I57)/$M57),0),IF(iData!AE57&gt;tblIndicators!$AI53,100,IF(ISNUMBER(iData!AE57),100*ABS($G57-(iData!AE57-$I57)/$M57),0)),IF(iData!AE57&lt;0,100,IF(ISNUMBER(iData!AE57),100*ABS($G57-(iData!AE57-$I57)/$M57),0)))</f>
        <v>100</v>
      </c>
      <c r="AM57" s="123" cm="1">
        <f t="array" ref="AM57">CHOOSE($H57,SUMPRODUCT($O58:$O$75*AM58:AM$75*($E58:$E$75=$D57)),IF(ISNUMBER(iData!AF57),100*ABS($G57-(iData!AF57-$K57)/$M57),0),IF(ISNUMBER(iData!AF57),100*ABS($G57-(iData!AF57-$I57)/$M57),0),IF(iData!AF57&gt;tblIndicators!$AI53,100,IF(ISNUMBER(iData!AF57),100*ABS($G57-(iData!AF57-$I57)/$M57),0)),IF(iData!AF57&lt;0,100,IF(ISNUMBER(iData!AF57),100*ABS($G57-(iData!AF57-$I57)/$M57),0)))</f>
        <v>75</v>
      </c>
      <c r="AN57" s="123" cm="1">
        <f t="array" ref="AN57">CHOOSE($H57,SUMPRODUCT($O58:$O$75*AN58:AN$75*($E58:$E$75=$D57)),IF(ISNUMBER(iData!AG57),100*ABS($G57-(iData!AG57-$K57)/$M57),0),IF(ISNUMBER(iData!AG57),100*ABS($G57-(iData!AG57-$I57)/$M57),0),IF(iData!AG57&gt;tblIndicators!$AI53,100,IF(ISNUMBER(iData!AG57),100*ABS($G57-(iData!AG57-$I57)/$M57),0)),IF(iData!AG57&lt;0,100,IF(ISNUMBER(iData!AG57),100*ABS($G57-(iData!AG57-$I57)/$M57),0)))</f>
        <v>50</v>
      </c>
      <c r="AO57" s="123" cm="1">
        <f t="array" ref="AO57">CHOOSE($H57,SUMPRODUCT($O58:$O$75*AO58:AO$75*($E58:$E$75=$D57)),IF(ISNUMBER(iData!AH57),100*ABS($G57-(iData!AH57-$K57)/$M57),0),IF(ISNUMBER(iData!AH57),100*ABS($G57-(iData!AH57-$I57)/$M57),0),IF(iData!AH57&gt;tblIndicators!$AI53,100,IF(ISNUMBER(iData!AH57),100*ABS($G57-(iData!AH57-$I57)/$M57),0)),IF(iData!AH57&lt;0,100,IF(ISNUMBER(iData!AH57),100*ABS($G57-(iData!AH57-$I57)/$M57),0)))</f>
        <v>50</v>
      </c>
      <c r="AP57" s="123" cm="1">
        <f t="array" ref="AP57">CHOOSE($H57,SUMPRODUCT($O58:$O$75*AP58:AP$75*($E58:$E$75=$D57)),IF(ISNUMBER(iData!AI57),100*ABS($G57-(iData!AI57-$K57)/$M57),0),IF(ISNUMBER(iData!AI57),100*ABS($G57-(iData!AI57-$I57)/$M57),0),IF(iData!AI57&gt;tblIndicators!$AI53,100,IF(ISNUMBER(iData!AI57),100*ABS($G57-(iData!AI57-$I57)/$M57),0)),IF(iData!AI57&lt;0,100,IF(ISNUMBER(iData!AI57),100*ABS($G57-(iData!AI57-$I57)/$M57),0)))</f>
        <v>100</v>
      </c>
      <c r="AQ57" s="123" cm="1">
        <f t="array" ref="AQ57">CHOOSE($H57,SUMPRODUCT($O58:$O$75*AQ58:AQ$75*($E58:$E$75=$D57)),IF(ISNUMBER(iData!AJ57),100*ABS($G57-(iData!AJ57-$K57)/$M57),0),IF(ISNUMBER(iData!AJ57),100*ABS($G57-(iData!AJ57-$I57)/$M57),0),IF(iData!AJ57&gt;tblIndicators!$AI53,100,IF(ISNUMBER(iData!AJ57),100*ABS($G57-(iData!AJ57-$I57)/$M57),0)),IF(iData!AJ57&lt;0,100,IF(ISNUMBER(iData!AJ57),100*ABS($G57-(iData!AJ57-$I57)/$M57),0)))</f>
        <v>100</v>
      </c>
      <c r="AR57" s="123" cm="1">
        <f t="array" ref="AR57">CHOOSE($H57,SUMPRODUCT($O58:$O$75*AR58:AR$75*($E58:$E$75=$D57)),IF(ISNUMBER(iData!AK57),100*ABS($G57-(iData!AK57-$K57)/$M57),0),IF(ISNUMBER(iData!AK57),100*ABS($G57-(iData!AK57-$I57)/$M57),0),IF(iData!AK57&gt;tblIndicators!$AI53,100,IF(ISNUMBER(iData!AK57),100*ABS($G57-(iData!AK57-$I57)/$M57),0)),IF(iData!AK57&lt;0,100,IF(ISNUMBER(iData!AK57),100*ABS($G57-(iData!AK57-$I57)/$M57),0)))</f>
        <v>75</v>
      </c>
      <c r="AS57" s="123" cm="1">
        <f t="array" ref="AS57">CHOOSE($H57,SUMPRODUCT($O58:$O$75*AS58:AS$75*($E58:$E$75=$D57)),IF(ISNUMBER(iData!AL57),100*ABS($G57-(iData!AL57-$K57)/$M57),0),IF(ISNUMBER(iData!AL57),100*ABS($G57-(iData!AL57-$I57)/$M57),0),IF(iData!AL57&gt;tblIndicators!$AI53,100,IF(ISNUMBER(iData!AL57),100*ABS($G57-(iData!AL57-$I57)/$M57),0)),IF(iData!AL57&lt;0,100,IF(ISNUMBER(iData!AL57),100*ABS($G57-(iData!AL57-$I57)/$M57),0)))</f>
        <v>100</v>
      </c>
      <c r="AT57" s="123" cm="1">
        <f t="array" ref="AT57">CHOOSE($H57,SUMPRODUCT($O58:$O$75*AT58:AT$75*($E58:$E$75=$D57)),IF(ISNUMBER(iData!AM57),100*ABS($G57-(iData!AM57-$K57)/$M57),0),IF(ISNUMBER(iData!AM57),100*ABS($G57-(iData!AM57-$I57)/$M57),0),IF(iData!AM57&gt;tblIndicators!$AI53,100,IF(ISNUMBER(iData!AM57),100*ABS($G57-(iData!AM57-$I57)/$M57),0)),IF(iData!AM57&lt;0,100,IF(ISNUMBER(iData!AM57),100*ABS($G57-(iData!AM57-$I57)/$M57),0)))</f>
        <v>100</v>
      </c>
      <c r="AU57" s="123" cm="1">
        <f t="array" ref="AU57">CHOOSE($H57,SUMPRODUCT($O58:$O$75*AU58:AU$75*($E58:$E$75=$D57)),IF(ISNUMBER(iData!AN57),100*ABS($G57-(iData!AN57-$K57)/$M57),0),IF(ISNUMBER(iData!AN57),100*ABS($G57-(iData!AN57-$I57)/$M57),0),IF(iData!AN57&gt;tblIndicators!$AI53,100,IF(ISNUMBER(iData!AN57),100*ABS($G57-(iData!AN57-$I57)/$M57),0)),IF(iData!AN57&lt;0,100,IF(ISNUMBER(iData!AN57),100*ABS($G57-(iData!AN57-$I57)/$M57),0)))</f>
        <v>100</v>
      </c>
      <c r="AV57" s="367"/>
      <c r="AW57" s="368"/>
      <c r="AX57" s="14"/>
      <c r="AY57" s="871">
        <f t="shared" si="40"/>
        <v>100</v>
      </c>
      <c r="AZ57" s="871">
        <f t="shared" si="41"/>
        <v>75</v>
      </c>
      <c r="BA57" s="871">
        <f t="shared" si="42"/>
        <v>25</v>
      </c>
      <c r="BB57" s="871">
        <f t="shared" si="43"/>
        <v>75</v>
      </c>
      <c r="BC57" s="871">
        <f t="shared" si="44"/>
        <v>25</v>
      </c>
      <c r="BD57" s="871">
        <f t="shared" si="45"/>
        <v>100</v>
      </c>
      <c r="BE57" s="871">
        <f t="shared" si="46"/>
        <v>50</v>
      </c>
      <c r="BF57" s="871">
        <f t="shared" si="47"/>
        <v>100</v>
      </c>
      <c r="BG57" s="871">
        <f t="shared" si="48"/>
        <v>100</v>
      </c>
      <c r="BH57" s="871">
        <f t="shared" si="49"/>
        <v>75</v>
      </c>
      <c r="BI57" s="871">
        <f t="shared" si="50"/>
        <v>100</v>
      </c>
      <c r="BJ57" s="871">
        <f t="shared" si="51"/>
        <v>75</v>
      </c>
      <c r="BK57" s="871">
        <f t="shared" si="52"/>
        <v>25</v>
      </c>
      <c r="BL57" s="871">
        <f t="shared" si="53"/>
        <v>50</v>
      </c>
      <c r="BM57" s="871">
        <f t="shared" si="54"/>
        <v>100</v>
      </c>
      <c r="BN57" s="871">
        <f t="shared" si="55"/>
        <v>75</v>
      </c>
      <c r="BO57" s="871">
        <f t="shared" si="56"/>
        <v>25</v>
      </c>
      <c r="BP57" s="871">
        <f t="shared" si="57"/>
        <v>50</v>
      </c>
      <c r="BQ57" s="871">
        <f t="shared" si="58"/>
        <v>0</v>
      </c>
      <c r="BR57" s="871">
        <f t="shared" si="59"/>
        <v>100</v>
      </c>
      <c r="BS57" s="871">
        <f t="shared" si="60"/>
        <v>100</v>
      </c>
      <c r="BT57" s="871">
        <f t="shared" si="61"/>
        <v>75</v>
      </c>
      <c r="BU57" s="871">
        <f t="shared" si="62"/>
        <v>50</v>
      </c>
      <c r="BV57" s="871">
        <f t="shared" si="63"/>
        <v>50</v>
      </c>
      <c r="BW57" s="871">
        <f t="shared" si="64"/>
        <v>100</v>
      </c>
      <c r="BX57" s="871">
        <f t="shared" si="65"/>
        <v>100</v>
      </c>
      <c r="BY57" s="871">
        <f t="shared" si="66"/>
        <v>75</v>
      </c>
      <c r="BZ57" s="871">
        <f t="shared" si="67"/>
        <v>100</v>
      </c>
      <c r="CA57" s="871">
        <f t="shared" si="68"/>
        <v>100</v>
      </c>
      <c r="CB57" s="871">
        <f t="shared" si="69"/>
        <v>100</v>
      </c>
      <c r="CD57" s="304">
        <f t="shared" ca="1" si="108"/>
        <v>72.5</v>
      </c>
      <c r="CE57" s="304">
        <f t="shared" ca="1" si="108"/>
        <v>72.5</v>
      </c>
      <c r="CF57" s="304">
        <f t="shared" ca="1" si="108"/>
        <v>52.1</v>
      </c>
      <c r="CG57" s="302">
        <f t="shared" ca="1" si="108"/>
        <v>92.5</v>
      </c>
      <c r="CH57" s="302">
        <f t="shared" ca="1" si="108"/>
        <v>50</v>
      </c>
      <c r="CI57" s="302">
        <f t="shared" ca="1" si="108"/>
        <v>75</v>
      </c>
      <c r="CJ57" s="302">
        <f t="shared" ca="1" si="108"/>
        <v>100</v>
      </c>
      <c r="CK57" s="302">
        <f t="shared" ca="1" si="108"/>
        <v>16.7</v>
      </c>
      <c r="CL57" s="302">
        <f t="shared" ca="1" si="108"/>
        <v>41.7</v>
      </c>
      <c r="CM57" s="302">
        <f t="shared" ca="1" si="108"/>
        <v>89.3</v>
      </c>
      <c r="CN57" s="302">
        <f t="shared" ca="1" si="105"/>
        <v>90.6</v>
      </c>
      <c r="CO57" s="302">
        <f t="shared" ca="1" si="105"/>
        <v>86.1</v>
      </c>
      <c r="CP57" s="302">
        <f t="shared" ca="1" si="105"/>
        <v>62.5</v>
      </c>
      <c r="CQ57" s="302">
        <f t="shared" ca="1" si="105"/>
        <v>47.2</v>
      </c>
    </row>
    <row r="58" spans="1:95" s="124" customFormat="1" ht="27.75" customHeight="1" thickBot="1">
      <c r="A58" s="118"/>
      <c r="B58" s="119">
        <f>tblIndicators!A54</f>
        <v>53</v>
      </c>
      <c r="C58" s="119">
        <f>tblIndicators!B54</f>
        <v>0</v>
      </c>
      <c r="D58" s="119" t="str">
        <f>tblIndicators!E54</f>
        <v>CULT3_3_5</v>
      </c>
      <c r="E58" s="119" t="str">
        <f>tblIndicators!F54</f>
        <v>CULT3_3</v>
      </c>
      <c r="F58" s="119">
        <f>tblIndicators!G54</f>
        <v>3</v>
      </c>
      <c r="G58" s="119">
        <f>tblIndicators!AF54</f>
        <v>0</v>
      </c>
      <c r="H58" s="119">
        <f>tblIndicators!AG54</f>
        <v>2</v>
      </c>
      <c r="I58" s="120">
        <f>tblIndicators!AH54</f>
        <v>0</v>
      </c>
      <c r="J58" s="119">
        <f>tblIndicators!AI54</f>
        <v>0</v>
      </c>
      <c r="K58" s="119">
        <f t="array" ref="K58">MIN(IF(ISNUMBER(iData!K58:AN58),iData!K58:AN58))</f>
        <v>55</v>
      </c>
      <c r="L58" s="121">
        <f t="array" ref="L58">MAX(IF(ISNUMBER(iData!K58:AN58),iData!K58:AN58))</f>
        <v>100</v>
      </c>
      <c r="M58" s="51">
        <f t="shared" ref="M58" si="140">CHOOSE(H58,"-",L58-K58,J58-I58,J58-I58,J58-I58)</f>
        <v>45</v>
      </c>
      <c r="N58" s="122" t="str">
        <f>REPT(" ",F58)&amp;tblIndicators!AM54</f>
        <v xml:space="preserve">   3.3.5) Business environment</v>
      </c>
      <c r="O58" s="381">
        <f>tblIndicators!AR54</f>
        <v>0.22400413864459393</v>
      </c>
      <c r="P58" s="381"/>
      <c r="Q58" s="323"/>
      <c r="R58" s="123" cm="1">
        <f t="array" ref="R58">CHOOSE($H58,SUMPRODUCT($O59:$O$75*R59:R$75*($E59:$E$75=$D58)),IF(ISNUMBER(iData!K58),100*ABS($G58-(iData!K58-$K58)/$M58),0),IF(ISNUMBER(iData!K58),100*ABS($G58-(iData!K58-$I58)/$M58),0),IF(iData!K58&gt;tblIndicators!$AI54,100,IF(ISNUMBER(iData!K58),100*ABS($G58-(iData!K58-$I58)/$M58),0)),IF(iData!K58&lt;0,100,IF(ISNUMBER(iData!K58),100*ABS($G58-(iData!K58-$I58)/$M58),0)))</f>
        <v>88.888888888888886</v>
      </c>
      <c r="S58" s="123" cm="1">
        <f t="array" ref="S58">CHOOSE($H58,SUMPRODUCT($O59:$O$75*S59:S$75*($E59:$E$75=$D58)),IF(ISNUMBER(iData!L58),100*ABS($G58-(iData!L58-$K58)/$M58),0),IF(ISNUMBER(iData!L58),100*ABS($G58-(iData!L58-$I58)/$M58),0),IF(iData!L58&gt;tblIndicators!$AI54,100,IF(ISNUMBER(iData!L58),100*ABS($G58-(iData!L58-$I58)/$M58),0)),IF(iData!L58&lt;0,100,IF(ISNUMBER(iData!L58),100*ABS($G58-(iData!L58-$I58)/$M58),0)))</f>
        <v>96.222222222222214</v>
      </c>
      <c r="T58" s="123" cm="1">
        <f t="array" ref="T58">CHOOSE($H58,SUMPRODUCT($O59:$O$75*T59:T$75*($E59:$E$75=$D58)),IF(ISNUMBER(iData!M58),100*ABS($G58-(iData!M58-$K58)/$M58),0),IF(ISNUMBER(iData!M58),100*ABS($G58-(iData!M58-$I58)/$M58),0),IF(iData!M58&gt;tblIndicators!$AI54,100,IF(ISNUMBER(iData!M58),100*ABS($G58-(iData!M58-$I58)/$M58),0)),IF(iData!M58&lt;0,100,IF(ISNUMBER(iData!M58),100*ABS($G58-(iData!M58-$I58)/$M58),0)))</f>
        <v>48.222222222222229</v>
      </c>
      <c r="U58" s="123" cm="1">
        <f t="array" ref="U58">CHOOSE($H58,SUMPRODUCT($O59:$O$75*U59:U$75*($E59:$E$75=$D58)),IF(ISNUMBER(iData!N58),100*ABS($G58-(iData!N58-$K58)/$M58),0),IF(ISNUMBER(iData!N58),100*ABS($G58-(iData!N58-$I58)/$M58),0),IF(iData!N58&gt;tblIndicators!$AI54,100,IF(ISNUMBER(iData!N58),100*ABS($G58-(iData!N58-$I58)/$M58),0)),IF(iData!N58&lt;0,100,IF(ISNUMBER(iData!N58),100*ABS($G58-(iData!N58-$I58)/$M58),0)))</f>
        <v>62.888888888888886</v>
      </c>
      <c r="V58" s="123" cm="1">
        <f t="array" ref="V58">CHOOSE($H58,SUMPRODUCT($O59:$O$75*V59:V$75*($E59:$E$75=$D58)),IF(ISNUMBER(iData!O58),100*ABS($G58-(iData!O58-$K58)/$M58),0),IF(ISNUMBER(iData!O58),100*ABS($G58-(iData!O58-$I58)/$M58),0),IF(iData!O58&gt;tblIndicators!$AI54,100,IF(ISNUMBER(iData!O58),100*ABS($G58-(iData!O58-$I58)/$M58),0)),IF(iData!O58&lt;0,100,IF(ISNUMBER(iData!O58),100*ABS($G58-(iData!O58-$I58)/$M58),0)))</f>
        <v>22.222222222222221</v>
      </c>
      <c r="W58" s="123" cm="1">
        <f t="array" ref="W58">CHOOSE($H58,SUMPRODUCT($O59:$O$75*W59:W$75*($E59:$E$75=$D58)),IF(ISNUMBER(iData!P58),100*ABS($G58-(iData!P58-$K58)/$M58),0),IF(ISNUMBER(iData!P58),100*ABS($G58-(iData!P58-$I58)/$M58),0),IF(iData!P58&gt;tblIndicators!$AI54,100,IF(ISNUMBER(iData!P58),100*ABS($G58-(iData!P58-$I58)/$M58),0)),IF(iData!P58&lt;0,100,IF(ISNUMBER(iData!P58),100*ABS($G58-(iData!P58-$I58)/$M58),0)))</f>
        <v>74</v>
      </c>
      <c r="X58" s="123" cm="1">
        <f t="array" ref="X58">CHOOSE($H58,SUMPRODUCT($O59:$O$75*X59:X$75*($E59:$E$75=$D58)),IF(ISNUMBER(iData!Q58),100*ABS($G58-(iData!Q58-$K58)/$M58),0),IF(ISNUMBER(iData!Q58),100*ABS($G58-(iData!Q58-$I58)/$M58),0),IF(iData!Q58&gt;tblIndicators!$AI54,100,IF(ISNUMBER(iData!Q58),100*ABS($G58-(iData!Q58-$I58)/$M58),0)),IF(iData!Q58&lt;0,100,IF(ISNUMBER(iData!Q58),100*ABS($G58-(iData!Q58-$I58)/$M58),0)))</f>
        <v>0</v>
      </c>
      <c r="Y58" s="123" cm="1">
        <f t="array" ref="Y58">CHOOSE($H58,SUMPRODUCT($O59:$O$75*Y59:Y$75*($E59:$E$75=$D58)),IF(ISNUMBER(iData!R58),100*ABS($G58-(iData!R58-$K58)/$M58),0),IF(ISNUMBER(iData!R58),100*ABS($G58-(iData!R58-$I58)/$M58),0),IF(iData!R58&gt;tblIndicators!$AI54,100,IF(ISNUMBER(iData!R58),100*ABS($G58-(iData!R58-$I58)/$M58),0)),IF(iData!R58&lt;0,100,IF(ISNUMBER(iData!R58),100*ABS($G58-(iData!R58-$I58)/$M58),0)))</f>
        <v>88.888888888888886</v>
      </c>
      <c r="Z58" s="123" cm="1">
        <f t="array" ref="Z58">CHOOSE($H58,SUMPRODUCT($O59:$O$75*Z59:Z$75*($E59:$E$75=$D58)),IF(ISNUMBER(iData!S58),100*ABS($G58-(iData!S58-$K58)/$M58),0),IF(ISNUMBER(iData!S58),100*ABS($G58-(iData!S58-$I58)/$M58),0),IF(iData!S58&gt;tblIndicators!$AI54,100,IF(ISNUMBER(iData!S58),100*ABS($G58-(iData!S58-$I58)/$M58),0)),IF(iData!S58&lt;0,100,IF(ISNUMBER(iData!S58),100*ABS($G58-(iData!S58-$I58)/$M58),0)))</f>
        <v>100</v>
      </c>
      <c r="AA58" s="123" cm="1">
        <f t="array" ref="AA58">CHOOSE($H58,SUMPRODUCT($O59:$O$75*AA59:AA$75*($E59:$E$75=$D58)),IF(ISNUMBER(iData!T58),100*ABS($G58-(iData!T58-$K58)/$M58),0),IF(ISNUMBER(iData!T58),100*ABS($G58-(iData!T58-$I58)/$M58),0),IF(iData!T58&gt;tblIndicators!$AI54,100,IF(ISNUMBER(iData!T58),100*ABS($G58-(iData!T58-$I58)/$M58),0)),IF(iData!T58&lt;0,100,IF(ISNUMBER(iData!T58),100*ABS($G58-(iData!T58-$I58)/$M58),0)))</f>
        <v>66.666666666666657</v>
      </c>
      <c r="AB58" s="123" cm="1">
        <f t="array" ref="AB58">CHOOSE($H58,SUMPRODUCT($O59:$O$75*AB59:AB$75*($E59:$E$75=$D58)),IF(ISNUMBER(iData!U58),100*ABS($G58-(iData!U58-$K58)/$M58),0),IF(ISNUMBER(iData!U58),100*ABS($G58-(iData!U58-$I58)/$M58),0),IF(iData!U58&gt;tblIndicators!$AI54,100,IF(ISNUMBER(iData!U58),100*ABS($G58-(iData!U58-$I58)/$M58),0)),IF(iData!U58&lt;0,100,IF(ISNUMBER(iData!U58),100*ABS($G58-(iData!U58-$I58)/$M58),0)))</f>
        <v>74</v>
      </c>
      <c r="AC58" s="123" cm="1">
        <f t="array" ref="AC58">CHOOSE($H58,SUMPRODUCT($O59:$O$75*AC59:AC$75*($E59:$E$75=$D58)),IF(ISNUMBER(iData!V58),100*ABS($G58-(iData!V58-$K58)/$M58),0),IF(ISNUMBER(iData!V58),100*ABS($G58-(iData!V58-$I58)/$M58),0),IF(iData!V58&gt;tblIndicators!$AI54,100,IF(ISNUMBER(iData!V58),100*ABS($G58-(iData!V58-$I58)/$M58),0)),IF(iData!V58&lt;0,100,IF(ISNUMBER(iData!V58),100*ABS($G58-(iData!V58-$I58)/$M58),0)))</f>
        <v>74</v>
      </c>
      <c r="AD58" s="123" cm="1">
        <f t="array" ref="AD58">CHOOSE($H58,SUMPRODUCT($O59:$O$75*AD59:AD$75*($E59:$E$75=$D58)),IF(ISNUMBER(iData!W58),100*ABS($G58-(iData!W58-$K58)/$M58),0),IF(ISNUMBER(iData!W58),100*ABS($G58-(iData!W58-$I58)/$M58),0),IF(iData!W58&gt;tblIndicators!$AI54,100,IF(ISNUMBER(iData!W58),100*ABS($G58-(iData!W58-$I58)/$M58),0)),IF(iData!W58&lt;0,100,IF(ISNUMBER(iData!W58),100*ABS($G58-(iData!W58-$I58)/$M58),0)))</f>
        <v>22.222222222222221</v>
      </c>
      <c r="AE58" s="123" cm="1">
        <f t="array" ref="AE58">CHOOSE($H58,SUMPRODUCT($O59:$O$75*AE59:AE$75*($E59:$E$75=$D58)),IF(ISNUMBER(iData!X58),100*ABS($G58-(iData!X58-$K58)/$M58),0),IF(ISNUMBER(iData!X58),100*ABS($G58-(iData!X58-$I58)/$M58),0),IF(iData!X58&gt;tblIndicators!$AI54,100,IF(ISNUMBER(iData!X58),100*ABS($G58-(iData!X58-$I58)/$M58),0)),IF(iData!X58&lt;0,100,IF(ISNUMBER(iData!X58),100*ABS($G58-(iData!X58-$I58)/$M58),0)))</f>
        <v>48.222222222222229</v>
      </c>
      <c r="AF58" s="123" cm="1">
        <f t="array" ref="AF58">CHOOSE($H58,SUMPRODUCT($O59:$O$75*AF59:AF$75*($E59:$E$75=$D58)),IF(ISNUMBER(iData!Y58),100*ABS($G58-(iData!Y58-$K58)/$M58),0),IF(ISNUMBER(iData!Y58),100*ABS($G58-(iData!Y58-$I58)/$M58),0),IF(iData!Y58&gt;tblIndicators!$AI54,100,IF(ISNUMBER(iData!Y58),100*ABS($G58-(iData!Y58-$I58)/$M58),0)),IF(iData!Y58&lt;0,100,IF(ISNUMBER(iData!Y58),100*ABS($G58-(iData!Y58-$I58)/$M58),0)))</f>
        <v>85.1111111111111</v>
      </c>
      <c r="AG58" s="123" cm="1">
        <f t="array" ref="AG58">CHOOSE($H58,SUMPRODUCT($O59:$O$75*AG59:AG$75*($E59:$E$75=$D58)),IF(ISNUMBER(iData!Z58),100*ABS($G58-(iData!Z58-$K58)/$M58),0),IF(ISNUMBER(iData!Z58),100*ABS($G58-(iData!Z58-$I58)/$M58),0),IF(iData!Z58&gt;tblIndicators!$AI54,100,IF(ISNUMBER(iData!Z58),100*ABS($G58-(iData!Z58-$I58)/$M58),0)),IF(iData!Z58&lt;0,100,IF(ISNUMBER(iData!Z58),100*ABS($G58-(iData!Z58-$I58)/$M58),0)))</f>
        <v>62.888888888888886</v>
      </c>
      <c r="AH58" s="123" cm="1">
        <f t="array" ref="AH58">CHOOSE($H58,SUMPRODUCT($O59:$O$75*AH59:AH$75*($E59:$E$75=$D58)),IF(ISNUMBER(iData!AA58),100*ABS($G58-(iData!AA58-$K58)/$M58),0),IF(ISNUMBER(iData!AA58),100*ABS($G58-(iData!AA58-$I58)/$M58),0),IF(iData!AA58&gt;tblIndicators!$AI54,100,IF(ISNUMBER(iData!AA58),100*ABS($G58-(iData!AA58-$I58)/$M58),0)),IF(iData!AA58&lt;0,100,IF(ISNUMBER(iData!AA58),100*ABS($G58-(iData!AA58-$I58)/$M58),0)))</f>
        <v>22.222222222222221</v>
      </c>
      <c r="AI58" s="123" cm="1">
        <f t="array" ref="AI58">CHOOSE($H58,SUMPRODUCT($O59:$O$75*AI59:AI$75*($E59:$E$75=$D58)),IF(ISNUMBER(iData!AB58),100*ABS($G58-(iData!AB58-$K58)/$M58),0),IF(ISNUMBER(iData!AB58),100*ABS($G58-(iData!AB58-$I58)/$M58),0),IF(iData!AB58&gt;tblIndicators!$AI54,100,IF(ISNUMBER(iData!AB58),100*ABS($G58-(iData!AB58-$I58)/$M58),0)),IF(iData!AB58&lt;0,100,IF(ISNUMBER(iData!AB58),100*ABS($G58-(iData!AB58-$I58)/$M58),0)))</f>
        <v>26.000000000000007</v>
      </c>
      <c r="AJ58" s="123" cm="1">
        <f t="array" ref="AJ58">CHOOSE($H58,SUMPRODUCT($O59:$O$75*AJ59:AJ$75*($E59:$E$75=$D58)),IF(ISNUMBER(iData!AC58),100*ABS($G58-(iData!AC58-$K58)/$M58),0),IF(ISNUMBER(iData!AC58),100*ABS($G58-(iData!AC58-$I58)/$M58),0),IF(iData!AC58&gt;tblIndicators!$AI54,100,IF(ISNUMBER(iData!AC58),100*ABS($G58-(iData!AC58-$I58)/$M58),0)),IF(iData!AC58&lt;0,100,IF(ISNUMBER(iData!AC58),100*ABS($G58-(iData!AC58-$I58)/$M58),0)))</f>
        <v>33.333333333333329</v>
      </c>
      <c r="AK58" s="123" cm="1">
        <f t="array" ref="AK58">CHOOSE($H58,SUMPRODUCT($O59:$O$75*AK59:AK$75*($E59:$E$75=$D58)),IF(ISNUMBER(iData!AD58),100*ABS($G58-(iData!AD58-$K58)/$M58),0),IF(ISNUMBER(iData!AD58),100*ABS($G58-(iData!AD58-$I58)/$M58),0),IF(iData!AD58&gt;tblIndicators!$AI54,100,IF(ISNUMBER(iData!AD58),100*ABS($G58-(iData!AD58-$I58)/$M58),0)),IF(iData!AD58&lt;0,100,IF(ISNUMBER(iData!AD58),100*ABS($G58-(iData!AD58-$I58)/$M58),0)))</f>
        <v>100</v>
      </c>
      <c r="AL58" s="123" cm="1">
        <f t="array" ref="AL58">CHOOSE($H58,SUMPRODUCT($O59:$O$75*AL59:AL$75*($E59:$E$75=$D58)),IF(ISNUMBER(iData!AE58),100*ABS($G58-(iData!AE58-$K58)/$M58),0),IF(ISNUMBER(iData!AE58),100*ABS($G58-(iData!AE58-$I58)/$M58),0),IF(iData!AE58&gt;tblIndicators!$AI54,100,IF(ISNUMBER(iData!AE58),100*ABS($G58-(iData!AE58-$I58)/$M58),0)),IF(iData!AE58&lt;0,100,IF(ISNUMBER(iData!AE58),100*ABS($G58-(iData!AE58-$I58)/$M58),0)))</f>
        <v>62.888888888888886</v>
      </c>
      <c r="AM58" s="123" cm="1">
        <f t="array" ref="AM58">CHOOSE($H58,SUMPRODUCT($O59:$O$75*AM59:AM$75*($E59:$E$75=$D58)),IF(ISNUMBER(iData!AF58),100*ABS($G58-(iData!AF58-$K58)/$M58),0),IF(ISNUMBER(iData!AF58),100*ABS($G58-(iData!AF58-$I58)/$M58),0),IF(iData!AF58&gt;tblIndicators!$AI54,100,IF(ISNUMBER(iData!AF58),100*ABS($G58-(iData!AF58-$I58)/$M58),0)),IF(iData!AF58&lt;0,100,IF(ISNUMBER(iData!AF58),100*ABS($G58-(iData!AF58-$I58)/$M58),0)))</f>
        <v>33.333333333333329</v>
      </c>
      <c r="AN58" s="123" cm="1">
        <f t="array" ref="AN58">CHOOSE($H58,SUMPRODUCT($O59:$O$75*AN59:AN$75*($E59:$E$75=$D58)),IF(ISNUMBER(iData!AG58),100*ABS($G58-(iData!AG58-$K58)/$M58),0),IF(ISNUMBER(iData!AG58),100*ABS($G58-(iData!AG58-$I58)/$M58),0),IF(iData!AG58&gt;tblIndicators!$AI54,100,IF(ISNUMBER(iData!AG58),100*ABS($G58-(iData!AG58-$I58)/$M58),0)),IF(iData!AG58&lt;0,100,IF(ISNUMBER(iData!AG58),100*ABS($G58-(iData!AG58-$I58)/$M58),0)))</f>
        <v>59.333333333333336</v>
      </c>
      <c r="AO58" s="123" cm="1">
        <f t="array" ref="AO58">CHOOSE($H58,SUMPRODUCT($O59:$O$75*AO59:AO$75*($E59:$E$75=$D58)),IF(ISNUMBER(iData!AH58),100*ABS($G58-(iData!AH58-$K58)/$M58),0),IF(ISNUMBER(iData!AH58),100*ABS($G58-(iData!AH58-$I58)/$M58),0),IF(iData!AH58&gt;tblIndicators!$AI54,100,IF(ISNUMBER(iData!AH58),100*ABS($G58-(iData!AH58-$I58)/$M58),0)),IF(iData!AH58&lt;0,100,IF(ISNUMBER(iData!AH58),100*ABS($G58-(iData!AH58-$I58)/$M58),0)))</f>
        <v>59.333333333333336</v>
      </c>
      <c r="AP58" s="123" cm="1">
        <f t="array" ref="AP58">CHOOSE($H58,SUMPRODUCT($O59:$O$75*AP59:AP$75*($E59:$E$75=$D58)),IF(ISNUMBER(iData!AI58),100*ABS($G58-(iData!AI58-$K58)/$M58),0),IF(ISNUMBER(iData!AI58),100*ABS($G58-(iData!AI58-$I58)/$M58),0),IF(iData!AI58&gt;tblIndicators!$AI54,100,IF(ISNUMBER(iData!AI58),100*ABS($G58-(iData!AI58-$I58)/$M58),0)),IF(iData!AI58&lt;0,100,IF(ISNUMBER(iData!AI58),100*ABS($G58-(iData!AI58-$I58)/$M58),0)))</f>
        <v>96.222222222222214</v>
      </c>
      <c r="AQ58" s="123" cm="1">
        <f t="array" ref="AQ58">CHOOSE($H58,SUMPRODUCT($O59:$O$75*AQ59:AQ$75*($E59:$E$75=$D58)),IF(ISNUMBER(iData!AJ58),100*ABS($G58-(iData!AJ58-$K58)/$M58),0),IF(ISNUMBER(iData!AJ58),100*ABS($G58-(iData!AJ58-$I58)/$M58),0),IF(iData!AJ58&gt;tblIndicators!$AI54,100,IF(ISNUMBER(iData!AJ58),100*ABS($G58-(iData!AJ58-$I58)/$M58),0)),IF(iData!AJ58&lt;0,100,IF(ISNUMBER(iData!AJ58),100*ABS($G58-(iData!AJ58-$I58)/$M58),0)))</f>
        <v>77.777777777777786</v>
      </c>
      <c r="AR58" s="123" cm="1">
        <f t="array" ref="AR58">CHOOSE($H58,SUMPRODUCT($O59:$O$75*AR59:AR$75*($E59:$E$75=$D58)),IF(ISNUMBER(iData!AK58),100*ABS($G58-(iData!AK58-$K58)/$M58),0),IF(ISNUMBER(iData!AK58),100*ABS($G58-(iData!AK58-$I58)/$M58),0),IF(iData!AK58&gt;tblIndicators!$AI54,100,IF(ISNUMBER(iData!AK58),100*ABS($G58-(iData!AK58-$I58)/$M58),0)),IF(iData!AK58&lt;0,100,IF(ISNUMBER(iData!AK58),100*ABS($G58-(iData!AK58-$I58)/$M58),0)))</f>
        <v>55.555555555555557</v>
      </c>
      <c r="AS58" s="123" cm="1">
        <f t="array" ref="AS58">CHOOSE($H58,SUMPRODUCT($O59:$O$75*AS59:AS$75*($E59:$E$75=$D58)),IF(ISNUMBER(iData!AL58),100*ABS($G58-(iData!AL58-$K58)/$M58),0),IF(ISNUMBER(iData!AL58),100*ABS($G58-(iData!AL58-$I58)/$M58),0),IF(iData!AL58&gt;tblIndicators!$AI54,100,IF(ISNUMBER(iData!AL58),100*ABS($G58-(iData!AL58-$I58)/$M58),0)),IF(iData!AL58&lt;0,100,IF(ISNUMBER(iData!AL58),100*ABS($G58-(iData!AL58-$I58)/$M58),0)))</f>
        <v>96.222222222222214</v>
      </c>
      <c r="AT58" s="123" cm="1">
        <f t="array" ref="AT58">CHOOSE($H58,SUMPRODUCT($O59:$O$75*AT59:AT$75*($E59:$E$75=$D58)),IF(ISNUMBER(iData!AM58),100*ABS($G58-(iData!AM58-$K58)/$M58),0),IF(ISNUMBER(iData!AM58),100*ABS($G58-(iData!AM58-$I58)/$M58),0),IF(iData!AM58&gt;tblIndicators!$AI54,100,IF(ISNUMBER(iData!AM58),100*ABS($G58-(iData!AM58-$I58)/$M58),0)),IF(iData!AM58&lt;0,100,IF(ISNUMBER(iData!AM58),100*ABS($G58-(iData!AM58-$I58)/$M58),0)))</f>
        <v>100</v>
      </c>
      <c r="AU58" s="123" cm="1">
        <f t="array" ref="AU58">CHOOSE($H58,SUMPRODUCT($O59:$O$75*AU59:AU$75*($E59:$E$75=$D58)),IF(ISNUMBER(iData!AN58),100*ABS($G58-(iData!AN58-$K58)/$M58),0),IF(ISNUMBER(iData!AN58),100*ABS($G58-(iData!AN58-$I58)/$M58),0),IF(iData!AN58&gt;tblIndicators!$AI54,100,IF(ISNUMBER(iData!AN58),100*ABS($G58-(iData!AN58-$I58)/$M58),0)),IF(iData!AN58&lt;0,100,IF(ISNUMBER(iData!AN58),100*ABS($G58-(iData!AN58-$I58)/$M58),0)))</f>
        <v>77.777777777777786</v>
      </c>
      <c r="AV58" s="367"/>
      <c r="AW58" s="368"/>
      <c r="AX58" s="14"/>
      <c r="AY58" s="871">
        <f t="shared" ref="AY58" si="141">ROUND(R58,$AY$2)</f>
        <v>88.9</v>
      </c>
      <c r="AZ58" s="871">
        <f t="shared" ref="AZ58" si="142">ROUND(S58,$AY$2)</f>
        <v>96.2</v>
      </c>
      <c r="BA58" s="871">
        <f t="shared" ref="BA58" si="143">ROUND(T58,$AY$2)</f>
        <v>48.2</v>
      </c>
      <c r="BB58" s="871">
        <f t="shared" ref="BB58" si="144">ROUND(U58,$AY$2)</f>
        <v>62.9</v>
      </c>
      <c r="BC58" s="871">
        <f t="shared" ref="BC58" si="145">ROUND(V58,$AY$2)</f>
        <v>22.2</v>
      </c>
      <c r="BD58" s="871">
        <f t="shared" ref="BD58" si="146">ROUND(W58,$AY$2)</f>
        <v>74</v>
      </c>
      <c r="BE58" s="871">
        <f t="shared" ref="BE58" si="147">ROUND(X58,$AY$2)</f>
        <v>0</v>
      </c>
      <c r="BF58" s="871">
        <f t="shared" ref="BF58" si="148">ROUND(Y58,$AY$2)</f>
        <v>88.9</v>
      </c>
      <c r="BG58" s="871">
        <f t="shared" ref="BG58" si="149">ROUND(Z58,$AY$2)</f>
        <v>100</v>
      </c>
      <c r="BH58" s="871">
        <f t="shared" ref="BH58" si="150">ROUND(AA58,$AY$2)</f>
        <v>66.7</v>
      </c>
      <c r="BI58" s="871">
        <f t="shared" ref="BI58" si="151">ROUND(AB58,$AY$2)</f>
        <v>74</v>
      </c>
      <c r="BJ58" s="871">
        <f t="shared" ref="BJ58" si="152">ROUND(AC58,$AY$2)</f>
        <v>74</v>
      </c>
      <c r="BK58" s="871">
        <f t="shared" ref="BK58" si="153">ROUND(AD58,$AY$2)</f>
        <v>22.2</v>
      </c>
      <c r="BL58" s="871">
        <f t="shared" ref="BL58" si="154">ROUND(AE58,$AY$2)</f>
        <v>48.2</v>
      </c>
      <c r="BM58" s="871">
        <f t="shared" ref="BM58" si="155">ROUND(AF58,$AY$2)</f>
        <v>85.1</v>
      </c>
      <c r="BN58" s="871">
        <f t="shared" ref="BN58" si="156">ROUND(AG58,$AY$2)</f>
        <v>62.9</v>
      </c>
      <c r="BO58" s="871">
        <f t="shared" ref="BO58" si="157">ROUND(AH58,$AY$2)</f>
        <v>22.2</v>
      </c>
      <c r="BP58" s="871">
        <f t="shared" ref="BP58" si="158">ROUND(AI58,$AY$2)</f>
        <v>26</v>
      </c>
      <c r="BQ58" s="871">
        <f t="shared" ref="BQ58" si="159">ROUND(AJ58,$AY$2)</f>
        <v>33.299999999999997</v>
      </c>
      <c r="BR58" s="871">
        <f t="shared" ref="BR58" si="160">ROUND(AK58,$AY$2)</f>
        <v>100</v>
      </c>
      <c r="BS58" s="871">
        <f t="shared" ref="BS58" si="161">ROUND(AL58,$AY$2)</f>
        <v>62.9</v>
      </c>
      <c r="BT58" s="871">
        <f t="shared" ref="BT58" si="162">ROUND(AM58,$AY$2)</f>
        <v>33.299999999999997</v>
      </c>
      <c r="BU58" s="871">
        <f t="shared" ref="BU58" si="163">ROUND(AN58,$AY$2)</f>
        <v>59.3</v>
      </c>
      <c r="BV58" s="871">
        <f t="shared" ref="BV58" si="164">ROUND(AO58,$AY$2)</f>
        <v>59.3</v>
      </c>
      <c r="BW58" s="871">
        <f t="shared" ref="BW58" si="165">ROUND(AP58,$AY$2)</f>
        <v>96.2</v>
      </c>
      <c r="BX58" s="871">
        <f t="shared" ref="BX58" si="166">ROUND(AQ58,$AY$2)</f>
        <v>77.8</v>
      </c>
      <c r="BY58" s="871">
        <f t="shared" ref="BY58" si="167">ROUND(AR58,$AY$2)</f>
        <v>55.6</v>
      </c>
      <c r="BZ58" s="871">
        <f t="shared" ref="BZ58" si="168">ROUND(AS58,$AY$2)</f>
        <v>96.2</v>
      </c>
      <c r="CA58" s="871">
        <f t="shared" ref="CA58" si="169">ROUND(AT58,$AY$2)</f>
        <v>100</v>
      </c>
      <c r="CB58" s="871">
        <f t="shared" ref="CB58" si="170">ROUND(AU58,$AY$2)</f>
        <v>77.8</v>
      </c>
      <c r="CD58" s="304">
        <f t="shared" ca="1" si="108"/>
        <v>63.8</v>
      </c>
      <c r="CE58" s="304">
        <f t="shared" ca="1" si="108"/>
        <v>63.8</v>
      </c>
      <c r="CF58" s="304">
        <f t="shared" ca="1" si="108"/>
        <v>54.6</v>
      </c>
      <c r="CG58" s="302">
        <f t="shared" ca="1" si="108"/>
        <v>71.099999999999994</v>
      </c>
      <c r="CH58" s="302">
        <f t="shared" ca="1" si="108"/>
        <v>28.4</v>
      </c>
      <c r="CI58" s="302">
        <f t="shared" ca="1" si="108"/>
        <v>66.7</v>
      </c>
      <c r="CJ58" s="302">
        <f t="shared" ca="1" si="108"/>
        <v>99.1</v>
      </c>
      <c r="CK58" s="302">
        <f t="shared" ca="1" si="108"/>
        <v>25.9</v>
      </c>
      <c r="CL58" s="302">
        <f t="shared" ca="1" si="108"/>
        <v>34</v>
      </c>
      <c r="CM58" s="302">
        <f t="shared" ca="1" si="108"/>
        <v>77.7</v>
      </c>
      <c r="CN58" s="302">
        <f t="shared" ca="1" si="105"/>
        <v>75.5</v>
      </c>
      <c r="CO58" s="302">
        <f t="shared" ca="1" si="105"/>
        <v>79.400000000000006</v>
      </c>
      <c r="CP58" s="302">
        <f t="shared" ca="1" si="105"/>
        <v>54.6</v>
      </c>
      <c r="CQ58" s="302">
        <f t="shared" ca="1" si="105"/>
        <v>42</v>
      </c>
    </row>
    <row r="59" spans="1:95" s="124" customFormat="1" ht="27.75" customHeight="1" thickBot="1">
      <c r="A59" s="118"/>
      <c r="B59" s="119">
        <f>tblIndicators!A55</f>
        <v>54</v>
      </c>
      <c r="C59" s="119">
        <f>tblIndicators!B55</f>
        <v>0</v>
      </c>
      <c r="D59" s="119" t="str">
        <f>tblIndicators!E55</f>
        <v>CULT3_4</v>
      </c>
      <c r="E59" s="119" t="str">
        <f>tblIndicators!F55</f>
        <v>CULT</v>
      </c>
      <c r="F59" s="119">
        <f>tblIndicators!G55</f>
        <v>2</v>
      </c>
      <c r="G59" s="119">
        <f>tblIndicators!AF55</f>
        <v>0</v>
      </c>
      <c r="H59" s="119">
        <f>tblIndicators!AG55</f>
        <v>1</v>
      </c>
      <c r="I59" s="120">
        <f>tblIndicators!AH55</f>
        <v>0</v>
      </c>
      <c r="J59" s="119">
        <f>tblIndicators!AI55</f>
        <v>0</v>
      </c>
      <c r="K59" s="119">
        <f t="array" ref="K59">MIN(IF(ISNUMBER(iData!K59:AN59),iData!K59:AN59))</f>
        <v>0</v>
      </c>
      <c r="L59" s="121">
        <f t="array" ref="L59">MAX(IF(ISNUMBER(iData!K59:AN59),iData!K59:AN59))</f>
        <v>0</v>
      </c>
      <c r="M59" s="51" t="str">
        <f t="shared" si="106"/>
        <v>-</v>
      </c>
      <c r="N59" s="122" t="str">
        <f>REPT(" ",F59)&amp;tblIndicators!AM55</f>
        <v xml:space="preserve">  3.4) Public attitude and engagement</v>
      </c>
      <c r="O59" s="381">
        <f>tblIndicators!AR55</f>
        <v>0.1875</v>
      </c>
      <c r="P59" s="381"/>
      <c r="Q59" s="323"/>
      <c r="R59" s="123" cm="1">
        <f t="array" ref="R59">CHOOSE($H59,SUMPRODUCT($O60:$O$75*R60:R$75*($E60:$E$75=$D59)),IF(ISNUMBER(iData!K59),100*ABS($G59-(iData!K59-$K59)/$M59),0),IF(ISNUMBER(iData!K59),100*ABS($G59-(iData!K59-$I59)/$M59),0),IF(iData!K59&gt;tblIndicators!$AI55,100,IF(ISNUMBER(iData!K59),100*ABS($G59-(iData!K59-$I59)/$M59),0)),IF(iData!K59&lt;0,100,IF(ISNUMBER(iData!K59),100*ABS($G59-(iData!K59-$I59)/$M59),0)))</f>
        <v>35.122200538983364</v>
      </c>
      <c r="S59" s="123" cm="1">
        <f t="array" ref="S59">CHOOSE($H59,SUMPRODUCT($O60:$O$75*S60:S$75*($E60:$E$75=$D59)),IF(ISNUMBER(iData!L59),100*ABS($G59-(iData!L59-$K59)/$M59),0),IF(ISNUMBER(iData!L59),100*ABS($G59-(iData!L59-$I59)/$M59),0),IF(iData!L59&gt;tblIndicators!$AI55,100,IF(ISNUMBER(iData!L59),100*ABS($G59-(iData!L59-$I59)/$M59),0)),IF(iData!L59&lt;0,100,IF(ISNUMBER(iData!L59),100*ABS($G59-(iData!L59-$I59)/$M59),0)))</f>
        <v>70.774091627172197</v>
      </c>
      <c r="T59" s="123" cm="1">
        <f t="array" ref="T59">CHOOSE($H59,SUMPRODUCT($O60:$O$75*T60:T$75*($E60:$E$75=$D59)),IF(ISNUMBER(iData!M59),100*ABS($G59-(iData!M59-$K59)/$M59),0),IF(ISNUMBER(iData!M59),100*ABS($G59-(iData!M59-$I59)/$M59),0),IF(iData!M59&gt;tblIndicators!$AI55,100,IF(ISNUMBER(iData!M59),100*ABS($G59-(iData!M59-$I59)/$M59),0)),IF(iData!M59&lt;0,100,IF(ISNUMBER(iData!M59),100*ABS($G59-(iData!M59-$I59)/$M59),0)))</f>
        <v>57.768794721680138</v>
      </c>
      <c r="U59" s="123" cm="1">
        <f t="array" ref="U59">CHOOSE($H59,SUMPRODUCT($O60:$O$75*U60:U$75*($E60:$E$75=$D59)),IF(ISNUMBER(iData!N59),100*ABS($G59-(iData!N59-$K59)/$M59),0),IF(ISNUMBER(iData!N59),100*ABS($G59-(iData!N59-$I59)/$M59),0),IF(iData!N59&gt;tblIndicators!$AI55,100,IF(ISNUMBER(iData!N59),100*ABS($G59-(iData!N59-$I59)/$M59),0)),IF(iData!N59&lt;0,100,IF(ISNUMBER(iData!N59),100*ABS($G59-(iData!N59-$I59)/$M59),0)))</f>
        <v>39.861537031874356</v>
      </c>
      <c r="V59" s="123" cm="1">
        <f t="array" ref="V59">CHOOSE($H59,SUMPRODUCT($O60:$O$75*V60:V$75*($E60:$E$75=$D59)),IF(ISNUMBER(iData!O59),100*ABS($G59-(iData!O59-$K59)/$M59),0),IF(ISNUMBER(iData!O59),100*ABS($G59-(iData!O59-$I59)/$M59),0),IF(iData!O59&gt;tblIndicators!$AI55,100,IF(ISNUMBER(iData!O59),100*ABS($G59-(iData!O59-$I59)/$M59),0)),IF(iData!O59&lt;0,100,IF(ISNUMBER(iData!O59),100*ABS($G59-(iData!O59-$I59)/$M59),0)))</f>
        <v>72.302759966545864</v>
      </c>
      <c r="W59" s="123" cm="1">
        <f t="array" ref="W59">CHOOSE($H59,SUMPRODUCT($O60:$O$75*W60:W$75*($E60:$E$75=$D59)),IF(ISNUMBER(iData!P59),100*ABS($G59-(iData!P59-$K59)/$M59),0),IF(ISNUMBER(iData!P59),100*ABS($G59-(iData!P59-$I59)/$M59),0),IF(iData!P59&gt;tblIndicators!$AI55,100,IF(ISNUMBER(iData!P59),100*ABS($G59-(iData!P59-$I59)/$M59),0)),IF(iData!P59&lt;0,100,IF(ISNUMBER(iData!P59),100*ABS($G59-(iData!P59-$I59)/$M59),0)))</f>
        <v>27.618251091905954</v>
      </c>
      <c r="X59" s="123" cm="1">
        <f t="array" ref="X59">CHOOSE($H59,SUMPRODUCT($O60:$O$75*X60:X$75*($E60:$E$75=$D59)),IF(ISNUMBER(iData!Q59),100*ABS($G59-(iData!Q59-$K59)/$M59),0),IF(ISNUMBER(iData!Q59),100*ABS($G59-(iData!Q59-$I59)/$M59),0),IF(iData!Q59&gt;tblIndicators!$AI55,100,IF(ISNUMBER(iData!Q59),100*ABS($G59-(iData!Q59-$I59)/$M59),0)),IF(iData!Q59&lt;0,100,IF(ISNUMBER(iData!Q59),100*ABS($G59-(iData!Q59-$I59)/$M59),0)))</f>
        <v>54.239847597806893</v>
      </c>
      <c r="Y59" s="123" cm="1">
        <f t="array" ref="Y59">CHOOSE($H59,SUMPRODUCT($O60:$O$75*Y60:Y$75*($E60:$E$75=$D59)),IF(ISNUMBER(iData!R59),100*ABS($G59-(iData!R59-$K59)/$M59),0),IF(ISNUMBER(iData!R59),100*ABS($G59-(iData!R59-$I59)/$M59),0),IF(iData!R59&gt;tblIndicators!$AI55,100,IF(ISNUMBER(iData!R59),100*ABS($G59-(iData!R59-$I59)/$M59),0)),IF(iData!R59&lt;0,100,IF(ISNUMBER(iData!R59),100*ABS($G59-(iData!R59-$I59)/$M59),0)))</f>
        <v>46.94730972957904</v>
      </c>
      <c r="Z59" s="123" cm="1">
        <f t="array" ref="Z59">CHOOSE($H59,SUMPRODUCT($O60:$O$75*Z60:Z$75*($E60:$E$75=$D59)),IF(ISNUMBER(iData!S59),100*ABS($G59-(iData!S59-$K59)/$M59),0),IF(ISNUMBER(iData!S59),100*ABS($G59-(iData!S59-$I59)/$M59),0),IF(iData!S59&gt;tblIndicators!$AI55,100,IF(ISNUMBER(iData!S59),100*ABS($G59-(iData!S59-$I59)/$M59),0)),IF(iData!S59&lt;0,100,IF(ISNUMBER(iData!S59),100*ABS($G59-(iData!S59-$I59)/$M59),0)))</f>
        <v>43.495028343090787</v>
      </c>
      <c r="AA59" s="123" cm="1">
        <f t="array" ref="AA59">CHOOSE($H59,SUMPRODUCT($O60:$O$75*AA60:AA$75*($E60:$E$75=$D59)),IF(ISNUMBER(iData!T59),100*ABS($G59-(iData!T59-$K59)/$M59),0),IF(ISNUMBER(iData!T59),100*ABS($G59-(iData!T59-$I59)/$M59),0),IF(iData!T59&gt;tblIndicators!$AI55,100,IF(ISNUMBER(iData!T59),100*ABS($G59-(iData!T59-$I59)/$M59),0)),IF(iData!T59&lt;0,100,IF(ISNUMBER(iData!T59),100*ABS($G59-(iData!T59-$I59)/$M59),0)))</f>
        <v>89.705882352941174</v>
      </c>
      <c r="AB59" s="123" cm="1">
        <f t="array" ref="AB59">CHOOSE($H59,SUMPRODUCT($O60:$O$75*AB60:AB$75*($E60:$E$75=$D59)),IF(ISNUMBER(iData!U59),100*ABS($G59-(iData!U59-$K59)/$M59),0),IF(ISNUMBER(iData!U59),100*ABS($G59-(iData!U59-$I59)/$M59),0),IF(iData!U59&gt;tblIndicators!$AI55,100,IF(ISNUMBER(iData!U59),100*ABS($G59-(iData!U59-$I59)/$M59),0)),IF(iData!U59&lt;0,100,IF(ISNUMBER(iData!U59),100*ABS($G59-(iData!U59-$I59)/$M59),0)))</f>
        <v>33.068488058730594</v>
      </c>
      <c r="AC59" s="123" cm="1">
        <f t="array" ref="AC59">CHOOSE($H59,SUMPRODUCT($O60:$O$75*AC60:AC$75*($E60:$E$75=$D59)),IF(ISNUMBER(iData!V59),100*ABS($G59-(iData!V59-$K59)/$M59),0),IF(ISNUMBER(iData!V59),100*ABS($G59-(iData!V59-$I59)/$M59),0),IF(iData!V59&gt;tblIndicators!$AI55,100,IF(ISNUMBER(iData!V59),100*ABS($G59-(iData!V59-$I59)/$M59),0)),IF(iData!V59&lt;0,100,IF(ISNUMBER(iData!V59),100*ABS($G59-(iData!V59-$I59)/$M59),0)))</f>
        <v>12.085308056872037</v>
      </c>
      <c r="AD59" s="123" cm="1">
        <f t="array" ref="AD59">CHOOSE($H59,SUMPRODUCT($O60:$O$75*AD60:AD$75*($E60:$E$75=$D59)),IF(ISNUMBER(iData!W59),100*ABS($G59-(iData!W59-$K59)/$M59),0),IF(ISNUMBER(iData!W59),100*ABS($G59-(iData!W59-$I59)/$M59),0),IF(iData!W59&gt;tblIndicators!$AI55,100,IF(ISNUMBER(iData!W59),100*ABS($G59-(iData!W59-$I59)/$M59),0)),IF(iData!W59&lt;0,100,IF(ISNUMBER(iData!W59),100*ABS($G59-(iData!W59-$I59)/$M59),0)))</f>
        <v>78.173496886906406</v>
      </c>
      <c r="AE59" s="123" cm="1">
        <f t="array" ref="AE59">CHOOSE($H59,SUMPRODUCT($O60:$O$75*AE60:AE$75*($E60:$E$75=$D59)),IF(ISNUMBER(iData!X59),100*ABS($G59-(iData!X59-$K59)/$M59),0),IF(ISNUMBER(iData!X59),100*ABS($G59-(iData!X59-$I59)/$M59),0),IF(iData!X59&gt;tblIndicators!$AI55,100,IF(ISNUMBER(iData!X59),100*ABS($G59-(iData!X59-$I59)/$M59),0)),IF(iData!X59&lt;0,100,IF(ISNUMBER(iData!X59),100*ABS($G59-(iData!X59-$I59)/$M59),0)))</f>
        <v>61.585819161787931</v>
      </c>
      <c r="AF59" s="123" cm="1">
        <f t="array" ref="AF59">CHOOSE($H59,SUMPRODUCT($O60:$O$75*AF60:AF$75*($E60:$E$75=$D59)),IF(ISNUMBER(iData!Y59),100*ABS($G59-(iData!Y59-$K59)/$M59),0),IF(ISNUMBER(iData!Y59),100*ABS($G59-(iData!Y59-$I59)/$M59),0),IF(iData!Y59&gt;tblIndicators!$AI55,100,IF(ISNUMBER(iData!Y59),100*ABS($G59-(iData!Y59-$I59)/$M59),0)),IF(iData!Y59&lt;0,100,IF(ISNUMBER(iData!Y59),100*ABS($G59-(iData!Y59-$I59)/$M59),0)))</f>
        <v>19.377845925099898</v>
      </c>
      <c r="AG59" s="123" cm="1">
        <f t="array" ref="AG59">CHOOSE($H59,SUMPRODUCT($O60:$O$75*AG60:AG$75*($E60:$E$75=$D59)),IF(ISNUMBER(iData!Z59),100*ABS($G59-(iData!Z59-$K59)/$M59),0),IF(ISNUMBER(iData!Z59),100*ABS($G59-(iData!Z59-$I59)/$M59),0),IF(iData!Z59&gt;tblIndicators!$AI55,100,IF(ISNUMBER(iData!Z59),100*ABS($G59-(iData!Z59-$I59)/$M59),0)),IF(iData!Z59&lt;0,100,IF(ISNUMBER(iData!Z59),100*ABS($G59-(iData!Z59-$I59)/$M59),0)))</f>
        <v>30.357308800297368</v>
      </c>
      <c r="AH59" s="123" cm="1">
        <f t="array" ref="AH59">CHOOSE($H59,SUMPRODUCT($O60:$O$75*AH60:AH$75*($E60:$E$75=$D59)),IF(ISNUMBER(iData!AA59),100*ABS($G59-(iData!AA59-$K59)/$M59),0),IF(ISNUMBER(iData!AA59),100*ABS($G59-(iData!AA59-$I59)/$M59),0),IF(iData!AA59&gt;tblIndicators!$AI55,100,IF(ISNUMBER(iData!AA59),100*ABS($G59-(iData!AA59-$I59)/$M59),0)),IF(iData!AA59&lt;0,100,IF(ISNUMBER(iData!AA59),100*ABS($G59-(iData!AA59-$I59)/$M59),0)))</f>
        <v>46.259641297277199</v>
      </c>
      <c r="AI59" s="123" cm="1">
        <f t="array" ref="AI59">CHOOSE($H59,SUMPRODUCT($O60:$O$75*AI60:AI$75*($E60:$E$75=$D59)),IF(ISNUMBER(iData!AB59),100*ABS($G59-(iData!AB59-$K59)/$M59),0),IF(ISNUMBER(iData!AB59),100*ABS($G59-(iData!AB59-$I59)/$M59),0),IF(iData!AB59&gt;tblIndicators!$AI55,100,IF(ISNUMBER(iData!AB59),100*ABS($G59-(iData!AB59-$I59)/$M59),0)),IF(iData!AB59&lt;0,100,IF(ISNUMBER(iData!AB59),100*ABS($G59-(iData!AB59-$I59)/$M59),0)))</f>
        <v>40.177492798067092</v>
      </c>
      <c r="AJ59" s="123" cm="1">
        <f t="array" ref="AJ59">CHOOSE($H59,SUMPRODUCT($O60:$O$75*AJ60:AJ$75*($E60:$E$75=$D59)),IF(ISNUMBER(iData!AC59),100*ABS($G59-(iData!AC59-$K59)/$M59),0),IF(ISNUMBER(iData!AC59),100*ABS($G59-(iData!AC59-$I59)/$M59),0),IF(iData!AC59&gt;tblIndicators!$AI55,100,IF(ISNUMBER(iData!AC59),100*ABS($G59-(iData!AC59-$I59)/$M59),0)),IF(iData!AC59&lt;0,100,IF(ISNUMBER(iData!AC59),100*ABS($G59-(iData!AC59-$I59)/$M59),0)))</f>
        <v>78.779853173496889</v>
      </c>
      <c r="AK59" s="123" cm="1">
        <f t="array" ref="AK59">CHOOSE($H59,SUMPRODUCT($O60:$O$75*AK60:AK$75*($E60:$E$75=$D59)),IF(ISNUMBER(iData!AD59),100*ABS($G59-(iData!AD59-$K59)/$M59),0),IF(ISNUMBER(iData!AD59),100*ABS($G59-(iData!AD59-$I59)/$M59),0),IF(iData!AD59&gt;tblIndicators!$AI55,100,IF(ISNUMBER(iData!AD59),100*ABS($G59-(iData!AD59-$I59)/$M59),0)),IF(iData!AD59&lt;0,100,IF(ISNUMBER(iData!AD59),100*ABS($G59-(iData!AD59-$I59)/$M59),0)))</f>
        <v>41.836260570578943</v>
      </c>
      <c r="AL59" s="123" cm="1">
        <f t="array" ref="AL59">CHOOSE($H59,SUMPRODUCT($O60:$O$75*AL60:AL$75*($E60:$E$75=$D59)),IF(ISNUMBER(iData!AE59),100*ABS($G59-(iData!AE59-$K59)/$M59),0),IF(ISNUMBER(iData!AE59),100*ABS($G59-(iData!AE59-$I59)/$M59),0),IF(iData!AE59&gt;tblIndicators!$AI55,100,IF(ISNUMBER(iData!AE59),100*ABS($G59-(iData!AE59-$I59)/$M59),0)),IF(iData!AE59&lt;0,100,IF(ISNUMBER(iData!AE59),100*ABS($G59-(iData!AE59-$I59)/$M59),0)))</f>
        <v>45.604497723259925</v>
      </c>
      <c r="AM59" s="123" cm="1">
        <f t="array" ref="AM59">CHOOSE($H59,SUMPRODUCT($O60:$O$75*AM60:AM$75*($E60:$E$75=$D59)),IF(ISNUMBER(iData!AF59),100*ABS($G59-(iData!AF59-$K59)/$M59),0),IF(ISNUMBER(iData!AF59),100*ABS($G59-(iData!AF59-$I59)/$M59),0),IF(iData!AF59&gt;tblIndicators!$AI55,100,IF(ISNUMBER(iData!AF59),100*ABS($G59-(iData!AF59-$I59)/$M59),0)),IF(iData!AF59&lt;0,100,IF(ISNUMBER(iData!AF59),100*ABS($G59-(iData!AF59-$I59)/$M59),0)))</f>
        <v>26.802806430629118</v>
      </c>
      <c r="AN59" s="123" cm="1">
        <f t="array" ref="AN59">CHOOSE($H59,SUMPRODUCT($O60:$O$75*AN60:AN$75*($E60:$E$75=$D59)),IF(ISNUMBER(iData!AG59),100*ABS($G59-(iData!AG59-$K59)/$M59),0),IF(ISNUMBER(iData!AG59),100*ABS($G59-(iData!AG59-$I59)/$M59),0),IF(iData!AG59&gt;tblIndicators!$AI55,100,IF(ISNUMBER(iData!AG59),100*ABS($G59-(iData!AG59-$I59)/$M59),0)),IF(iData!AG59&lt;0,100,IF(ISNUMBER(iData!AG59),100*ABS($G59-(iData!AG59-$I59)/$M59),0)))</f>
        <v>52.555524579500045</v>
      </c>
      <c r="AO59" s="123" cm="1">
        <f t="array" ref="AO59">CHOOSE($H59,SUMPRODUCT($O60:$O$75*AO60:AO$75*($E60:$E$75=$D59)),IF(ISNUMBER(iData!AH59),100*ABS($G59-(iData!AH59-$K59)/$M59),0),IF(ISNUMBER(iData!AH59),100*ABS($G59-(iData!AH59-$I59)/$M59),0),IF(iData!AH59&gt;tblIndicators!$AI55,100,IF(ISNUMBER(iData!AH59),100*ABS($G59-(iData!AH59-$I59)/$M59),0)),IF(iData!AH59&lt;0,100,IF(ISNUMBER(iData!AH59),100*ABS($G59-(iData!AH59-$I59)/$M59),0)))</f>
        <v>57.373850013939219</v>
      </c>
      <c r="AP59" s="123" cm="1">
        <f t="array" ref="AP59">CHOOSE($H59,SUMPRODUCT($O60:$O$75*AP60:AP$75*($E60:$E$75=$D59)),IF(ISNUMBER(iData!AI59),100*ABS($G59-(iData!AI59-$K59)/$M59),0),IF(ISNUMBER(iData!AI59),100*ABS($G59-(iData!AI59-$I59)/$M59),0),IF(iData!AI59&gt;tblIndicators!$AI55,100,IF(ISNUMBER(iData!AI59),100*ABS($G59-(iData!AI59-$I59)/$M59),0)),IF(iData!AI59&lt;0,100,IF(ISNUMBER(iData!AI59),100*ABS($G59-(iData!AI59-$I59)/$M59),0)))</f>
        <v>31.542142923520117</v>
      </c>
      <c r="AQ59" s="123" cm="1">
        <f t="array" ref="AQ59">CHOOSE($H59,SUMPRODUCT($O60:$O$75*AQ60:AQ$75*($E60:$E$75=$D59)),IF(ISNUMBER(iData!AJ59),100*ABS($G59-(iData!AJ59-$K59)/$M59),0),IF(ISNUMBER(iData!AJ59),100*ABS($G59-(iData!AJ59-$I59)/$M59),0),IF(iData!AJ59&gt;tblIndicators!$AI55,100,IF(ISNUMBER(iData!AJ59),100*ABS($G59-(iData!AJ59-$I59)/$M59),0)),IF(iData!AJ59&lt;0,100,IF(ISNUMBER(iData!AJ59),100*ABS($G59-(iData!AJ59-$I59)/$M59),0)))</f>
        <v>19.930768515937181</v>
      </c>
      <c r="AR59" s="123" cm="1">
        <f t="array" ref="AR59">CHOOSE($H59,SUMPRODUCT($O60:$O$75*AR60:AR$75*($E60:$E$75=$D59)),IF(ISNUMBER(iData!AK59),100*ABS($G59-(iData!AK59-$K59)/$M59),0),IF(ISNUMBER(iData!AK59),100*ABS($G59-(iData!AK59-$I59)/$M59),0),IF(iData!AK59&gt;tblIndicators!$AI55,100,IF(ISNUMBER(iData!AK59),100*ABS($G59-(iData!AK59-$I59)/$M59),0)),IF(iData!AK59&lt;0,100,IF(ISNUMBER(iData!AK59),100*ABS($G59-(iData!AK59-$I59)/$M59),0)))</f>
        <v>20.588235294117645</v>
      </c>
      <c r="AS59" s="123" cm="1">
        <f t="array" ref="AS59">CHOOSE($H59,SUMPRODUCT($O60:$O$75*AS60:AS$75*($E60:$E$75=$D59)),IF(ISNUMBER(iData!AL59),100*ABS($G59-(iData!AL59-$K59)/$M59),0),IF(ISNUMBER(iData!AL59),100*ABS($G59-(iData!AL59-$I59)/$M59),0),IF(iData!AL59&gt;tblIndicators!$AI55,100,IF(ISNUMBER(iData!AL59),100*ABS($G59-(iData!AL59-$I59)/$M59),0)),IF(iData!AL59&lt;0,100,IF(ISNUMBER(iData!AL59),100*ABS($G59-(iData!AL59-$I59)/$M59),0)))</f>
        <v>31.567698169315115</v>
      </c>
      <c r="AT59" s="123" cm="1">
        <f t="array" ref="AT59">CHOOSE($H59,SUMPRODUCT($O60:$O$75*AT60:AT$75*($E60:$E$75=$D59)),IF(ISNUMBER(iData!AM59),100*ABS($G59-(iData!AM59-$K59)/$M59),0),IF(ISNUMBER(iData!AM59),100*ABS($G59-(iData!AM59-$I59)/$M59),0),IF(iData!AM59&gt;tblIndicators!$AI55,100,IF(ISNUMBER(iData!AM59),100*ABS($G59-(iData!AM59-$I59)/$M59),0)),IF(iData!AM59&lt;0,100,IF(ISNUMBER(iData!AM59),100*ABS($G59-(iData!AM59-$I59)/$M59),0)))</f>
        <v>42.468172102964402</v>
      </c>
      <c r="AU59" s="123" cm="1">
        <f t="array" ref="AU59">CHOOSE($H59,SUMPRODUCT($O60:$O$75*AU60:AU$75*($E60:$E$75=$D59)),IF(ISNUMBER(iData!AN59),100*ABS($G59-(iData!AN59-$K59)/$M59),0),IF(ISNUMBER(iData!AN59),100*ABS($G59-(iData!AN59-$I59)/$M59),0),IF(iData!AN59&gt;tblIndicators!$AI55,100,IF(ISNUMBER(iData!AN59),100*ABS($G59-(iData!AN59-$I59)/$M59),0)),IF(iData!AN59&lt;0,100,IF(ISNUMBER(iData!AN59),100*ABS($G59-(iData!AN59-$I59)/$M59),0)))</f>
        <v>39.703559148777984</v>
      </c>
      <c r="AV59" s="367"/>
      <c r="AW59" s="368"/>
      <c r="AX59" s="14"/>
      <c r="AY59" s="871">
        <f t="shared" si="40"/>
        <v>35.1</v>
      </c>
      <c r="AZ59" s="871">
        <f t="shared" si="41"/>
        <v>70.8</v>
      </c>
      <c r="BA59" s="871">
        <f t="shared" si="42"/>
        <v>57.8</v>
      </c>
      <c r="BB59" s="871">
        <f t="shared" si="43"/>
        <v>39.9</v>
      </c>
      <c r="BC59" s="871">
        <f t="shared" si="44"/>
        <v>72.3</v>
      </c>
      <c r="BD59" s="871">
        <f t="shared" si="45"/>
        <v>27.6</v>
      </c>
      <c r="BE59" s="871">
        <f t="shared" si="46"/>
        <v>54.2</v>
      </c>
      <c r="BF59" s="871">
        <f t="shared" si="47"/>
        <v>46.9</v>
      </c>
      <c r="BG59" s="871">
        <f t="shared" si="48"/>
        <v>43.5</v>
      </c>
      <c r="BH59" s="871">
        <f t="shared" si="49"/>
        <v>89.7</v>
      </c>
      <c r="BI59" s="871">
        <f t="shared" si="50"/>
        <v>33.1</v>
      </c>
      <c r="BJ59" s="871">
        <f t="shared" si="51"/>
        <v>12.1</v>
      </c>
      <c r="BK59" s="871">
        <f t="shared" si="52"/>
        <v>78.2</v>
      </c>
      <c r="BL59" s="871">
        <f t="shared" si="53"/>
        <v>61.6</v>
      </c>
      <c r="BM59" s="871">
        <f t="shared" si="54"/>
        <v>19.399999999999999</v>
      </c>
      <c r="BN59" s="871">
        <f t="shared" si="55"/>
        <v>30.4</v>
      </c>
      <c r="BO59" s="871">
        <f t="shared" si="56"/>
        <v>46.3</v>
      </c>
      <c r="BP59" s="871">
        <f t="shared" si="57"/>
        <v>40.200000000000003</v>
      </c>
      <c r="BQ59" s="871">
        <f t="shared" si="58"/>
        <v>78.8</v>
      </c>
      <c r="BR59" s="871">
        <f t="shared" si="59"/>
        <v>41.8</v>
      </c>
      <c r="BS59" s="871">
        <f t="shared" si="60"/>
        <v>45.6</v>
      </c>
      <c r="BT59" s="871">
        <f t="shared" si="61"/>
        <v>26.8</v>
      </c>
      <c r="BU59" s="871">
        <f t="shared" si="62"/>
        <v>52.6</v>
      </c>
      <c r="BV59" s="871">
        <f t="shared" si="63"/>
        <v>57.4</v>
      </c>
      <c r="BW59" s="871">
        <f t="shared" si="64"/>
        <v>31.5</v>
      </c>
      <c r="BX59" s="871">
        <f t="shared" si="65"/>
        <v>19.899999999999999</v>
      </c>
      <c r="BY59" s="871">
        <f t="shared" si="66"/>
        <v>20.6</v>
      </c>
      <c r="BZ59" s="871">
        <f t="shared" si="67"/>
        <v>31.6</v>
      </c>
      <c r="CA59" s="871">
        <f t="shared" si="68"/>
        <v>42.5</v>
      </c>
      <c r="CB59" s="871">
        <f t="shared" si="69"/>
        <v>39.700000000000003</v>
      </c>
      <c r="CD59" s="304">
        <f t="shared" ca="1" si="108"/>
        <v>44.9</v>
      </c>
      <c r="CE59" s="304">
        <f t="shared" ca="1" si="108"/>
        <v>44.9</v>
      </c>
      <c r="CF59" s="304">
        <f t="shared" ca="1" si="108"/>
        <v>50.6</v>
      </c>
      <c r="CG59" s="302">
        <f t="shared" ca="1" si="108"/>
        <v>34.5</v>
      </c>
      <c r="CH59" s="302">
        <f t="shared" ca="1" si="108"/>
        <v>49</v>
      </c>
      <c r="CI59" s="302">
        <f t="shared" ca="1" si="108"/>
        <v>89.7</v>
      </c>
      <c r="CJ59" s="302">
        <f t="shared" ca="1" si="108"/>
        <v>39.9</v>
      </c>
      <c r="CK59" s="302">
        <f t="shared" ca="1" si="108"/>
        <v>67.8</v>
      </c>
      <c r="CL59" s="302">
        <f t="shared" ca="1" si="108"/>
        <v>56.5</v>
      </c>
      <c r="CM59" s="302">
        <f t="shared" ca="1" si="108"/>
        <v>38.4</v>
      </c>
      <c r="CN59" s="302">
        <f t="shared" ca="1" si="105"/>
        <v>45.3</v>
      </c>
      <c r="CO59" s="302">
        <f t="shared" ca="1" si="105"/>
        <v>35.6</v>
      </c>
      <c r="CP59" s="302">
        <f t="shared" ca="1" si="105"/>
        <v>42.3</v>
      </c>
      <c r="CQ59" s="302">
        <f t="shared" ca="1" si="105"/>
        <v>55.1</v>
      </c>
    </row>
    <row r="60" spans="1:95" s="124" customFormat="1" ht="27.75" customHeight="1" thickBot="1">
      <c r="A60" s="118"/>
      <c r="B60" s="119">
        <f>tblIndicators!A56</f>
        <v>55</v>
      </c>
      <c r="C60" s="119">
        <f>tblIndicators!B56</f>
        <v>0</v>
      </c>
      <c r="D60" s="119" t="str">
        <f>tblIndicators!E56</f>
        <v>CULT3_4_1</v>
      </c>
      <c r="E60" s="119" t="str">
        <f>tblIndicators!F56</f>
        <v>CULT3_4</v>
      </c>
      <c r="F60" s="119">
        <f>tblIndicators!G56</f>
        <v>3</v>
      </c>
      <c r="G60" s="119">
        <f>tblIndicators!AF56</f>
        <v>0</v>
      </c>
      <c r="H60" s="119">
        <f>tblIndicators!AG56</f>
        <v>2</v>
      </c>
      <c r="I60" s="120">
        <f>tblIndicators!AH56</f>
        <v>0</v>
      </c>
      <c r="J60" s="119">
        <f>tblIndicators!AI56</f>
        <v>0</v>
      </c>
      <c r="K60" s="119">
        <f t="array" ref="K60">MIN(IF(ISNUMBER(iData!K60:AN60),iData!K60:AN60))</f>
        <v>33</v>
      </c>
      <c r="L60" s="121">
        <f t="array" ref="L60">MAX(IF(ISNUMBER(iData!K60:AN60),iData!K60:AN60))</f>
        <v>67</v>
      </c>
      <c r="M60" s="51">
        <f t="shared" si="106"/>
        <v>34</v>
      </c>
      <c r="N60" s="122" t="str">
        <f>REPT(" ",F60)&amp;tblIndicators!AM56</f>
        <v xml:space="preserve">   3.4.1) Online public comfort</v>
      </c>
      <c r="O60" s="381">
        <f>tblIndicators!AR56</f>
        <v>0.5</v>
      </c>
      <c r="P60" s="381"/>
      <c r="Q60" s="323"/>
      <c r="R60" s="123" cm="1">
        <f t="array" ref="R60">CHOOSE($H60,SUMPRODUCT($O61:$O$75*R61:R$75*($E61:$E$75=$D60)),IF(ISNUMBER(iData!K60),100*ABS($G60-(iData!K60-$K60)/$M60),0),IF(ISNUMBER(iData!K60),100*ABS($G60-(iData!K60-$I60)/$M60),0),IF(iData!K60&gt;tblIndicators!$AI56,100,IF(ISNUMBER(iData!K60),100*ABS($G60-(iData!K60-$I60)/$M60),0)),IF(iData!K60&lt;0,100,IF(ISNUMBER(iData!K60),100*ABS($G60-(iData!K60-$I60)/$M60),0)))</f>
        <v>41.17647058823529</v>
      </c>
      <c r="S60" s="123" cm="1">
        <f t="array" ref="S60">CHOOSE($H60,SUMPRODUCT($O61:$O$75*S61:S$75*($E61:$E$75=$D60)),IF(ISNUMBER(iData!L60),100*ABS($G60-(iData!L60-$K60)/$M60),0),IF(ISNUMBER(iData!L60),100*ABS($G60-(iData!L60-$I60)/$M60),0),IF(iData!L60&gt;tblIndicators!$AI56,100,IF(ISNUMBER(iData!L60),100*ABS($G60-(iData!L60-$I60)/$M60),0)),IF(iData!L60&lt;0,100,IF(ISNUMBER(iData!L60),100*ABS($G60-(iData!L60-$I60)/$M60),0)))</f>
        <v>100</v>
      </c>
      <c r="T60" s="123" cm="1">
        <f t="array" ref="T60">CHOOSE($H60,SUMPRODUCT($O61:$O$75*T61:T$75*($E61:$E$75=$D60)),IF(ISNUMBER(iData!M60),100*ABS($G60-(iData!M60-$K60)/$M60),0),IF(ISNUMBER(iData!M60),100*ABS($G60-(iData!M60-$I60)/$M60),0),IF(iData!M60&gt;tblIndicators!$AI56,100,IF(ISNUMBER(iData!M60),100*ABS($G60-(iData!M60-$I60)/$M60),0)),IF(iData!M60&lt;0,100,IF(ISNUMBER(iData!M60),100*ABS($G60-(iData!M60-$I60)/$M60),0)))</f>
        <v>58.82352941176471</v>
      </c>
      <c r="U60" s="123" cm="1">
        <f t="array" ref="U60">CHOOSE($H60,SUMPRODUCT($O61:$O$75*U61:U$75*($E61:$E$75=$D60)),IF(ISNUMBER(iData!N60),100*ABS($G60-(iData!N60-$K60)/$M60),0),IF(ISNUMBER(iData!N60),100*ABS($G60-(iData!N60-$I60)/$M60),0),IF(iData!N60&gt;tblIndicators!$AI56,100,IF(ISNUMBER(iData!N60),100*ABS($G60-(iData!N60-$I60)/$M60),0)),IF(iData!N60&lt;0,100,IF(ISNUMBER(iData!N60),100*ABS($G60-(iData!N60-$I60)/$M60),0)))</f>
        <v>41.17647058823529</v>
      </c>
      <c r="V60" s="123" cm="1">
        <f t="array" ref="V60">CHOOSE($H60,SUMPRODUCT($O61:$O$75*V61:V$75*($E61:$E$75=$D60)),IF(ISNUMBER(iData!O60),100*ABS($G60-(iData!O60-$K60)/$M60),0),IF(ISNUMBER(iData!O60),100*ABS($G60-(iData!O60-$I60)/$M60),0),IF(iData!O60&gt;tblIndicators!$AI56,100,IF(ISNUMBER(iData!O60),100*ABS($G60-(iData!O60-$I60)/$M60),0)),IF(iData!O60&lt;0,100,IF(ISNUMBER(iData!O60),100*ABS($G60-(iData!O60-$I60)/$M60),0)))</f>
        <v>58.82352941176471</v>
      </c>
      <c r="W60" s="123" cm="1">
        <f t="array" ref="W60">CHOOSE($H60,SUMPRODUCT($O61:$O$75*W61:W$75*($E61:$E$75=$D60)),IF(ISNUMBER(iData!P60),100*ABS($G60-(iData!P60-$K60)/$M60),0),IF(ISNUMBER(iData!P60),100*ABS($G60-(iData!P60-$I60)/$M60),0),IF(iData!P60&gt;tblIndicators!$AI56,100,IF(ISNUMBER(iData!P60),100*ABS($G60-(iData!P60-$I60)/$M60),0)),IF(iData!P60&lt;0,100,IF(ISNUMBER(iData!P60),100*ABS($G60-(iData!P60-$I60)/$M60),0)))</f>
        <v>41.17647058823529</v>
      </c>
      <c r="X60" s="123" cm="1">
        <f t="array" ref="X60">CHOOSE($H60,SUMPRODUCT($O61:$O$75*X61:X$75*($E61:$E$75=$D60)),IF(ISNUMBER(iData!Q60),100*ABS($G60-(iData!Q60-$K60)/$M60),0),IF(ISNUMBER(iData!Q60),100*ABS($G60-(iData!Q60-$I60)/$M60),0),IF(iData!Q60&gt;tblIndicators!$AI56,100,IF(ISNUMBER(iData!Q60),100*ABS($G60-(iData!Q60-$I60)/$M60),0)),IF(iData!Q60&lt;0,100,IF(ISNUMBER(iData!Q60),100*ABS($G60-(iData!Q60-$I60)/$M60),0)))</f>
        <v>79.411764705882348</v>
      </c>
      <c r="Y60" s="123" cm="1">
        <f t="array" ref="Y60">CHOOSE($H60,SUMPRODUCT($O61:$O$75*Y61:Y$75*($E61:$E$75=$D60)),IF(ISNUMBER(iData!R60),100*ABS($G60-(iData!R60-$K60)/$M60),0),IF(ISNUMBER(iData!R60),100*ABS($G60-(iData!R60-$I60)/$M60),0),IF(iData!R60&gt;tblIndicators!$AI56,100,IF(ISNUMBER(iData!R60),100*ABS($G60-(iData!R60-$I60)/$M60),0)),IF(iData!R60&lt;0,100,IF(ISNUMBER(iData!R60),100*ABS($G60-(iData!R60-$I60)/$M60),0)))</f>
        <v>58.82352941176471</v>
      </c>
      <c r="Z60" s="123" cm="1">
        <f t="array" ref="Z60">CHOOSE($H60,SUMPRODUCT($O61:$O$75*Z61:Z$75*($E61:$E$75=$D60)),IF(ISNUMBER(iData!S60),100*ABS($G60-(iData!S60-$K60)/$M60),0),IF(ISNUMBER(iData!S60),100*ABS($G60-(iData!S60-$I60)/$M60),0),IF(iData!S60&gt;tblIndicators!$AI56,100,IF(ISNUMBER(iData!S60),100*ABS($G60-(iData!S60-$I60)/$M60),0)),IF(iData!S60&lt;0,100,IF(ISNUMBER(iData!S60),100*ABS($G60-(iData!S60-$I60)/$M60),0)))</f>
        <v>41.17647058823529</v>
      </c>
      <c r="AA60" s="123" cm="1">
        <f t="array" ref="AA60">CHOOSE($H60,SUMPRODUCT($O61:$O$75*AA61:AA$75*($E61:$E$75=$D60)),IF(ISNUMBER(iData!T60),100*ABS($G60-(iData!T60-$K60)/$M60),0),IF(ISNUMBER(iData!T60),100*ABS($G60-(iData!T60-$I60)/$M60),0),IF(iData!T60&gt;tblIndicators!$AI56,100,IF(ISNUMBER(iData!T60),100*ABS($G60-(iData!T60-$I60)/$M60),0)),IF(iData!T60&lt;0,100,IF(ISNUMBER(iData!T60),100*ABS($G60-(iData!T60-$I60)/$M60),0)))</f>
        <v>79.411764705882348</v>
      </c>
      <c r="AB60" s="123" cm="1">
        <f t="array" ref="AB60">CHOOSE($H60,SUMPRODUCT($O61:$O$75*AB61:AB$75*($E61:$E$75=$D60)),IF(ISNUMBER(iData!U60),100*ABS($G60-(iData!U60-$K60)/$M60),0),IF(ISNUMBER(iData!U60),100*ABS($G60-(iData!U60-$I60)/$M60),0),IF(iData!U60&gt;tblIndicators!$AI56,100,IF(ISNUMBER(iData!U60),100*ABS($G60-(iData!U60-$I60)/$M60),0)),IF(iData!U60&lt;0,100,IF(ISNUMBER(iData!U60),100*ABS($G60-(iData!U60-$I60)/$M60),0)))</f>
        <v>41.17647058823529</v>
      </c>
      <c r="AC60" s="123" cm="1">
        <f t="array" ref="AC60">CHOOSE($H60,SUMPRODUCT($O61:$O$75*AC61:AC$75*($E61:$E$75=$D60)),IF(ISNUMBER(iData!V60),100*ABS($G60-(iData!V60-$K60)/$M60),0),IF(ISNUMBER(iData!V60),100*ABS($G60-(iData!V60-$I60)/$M60),0),IF(iData!V60&gt;tblIndicators!$AI56,100,IF(ISNUMBER(iData!V60),100*ABS($G60-(iData!V60-$I60)/$M60),0)),IF(iData!V60&lt;0,100,IF(ISNUMBER(iData!V60),100*ABS($G60-(iData!V60-$I60)/$M60),0)))</f>
        <v>0</v>
      </c>
      <c r="AD60" s="123" cm="1">
        <f t="array" ref="AD60">CHOOSE($H60,SUMPRODUCT($O61:$O$75*AD61:AD$75*($E61:$E$75=$D60)),IF(ISNUMBER(iData!W60),100*ABS($G60-(iData!W60-$K60)/$M60),0),IF(ISNUMBER(iData!W60),100*ABS($G60-(iData!W60-$I60)/$M60),0),IF(iData!W60&gt;tblIndicators!$AI56,100,IF(ISNUMBER(iData!W60),100*ABS($G60-(iData!W60-$I60)/$M60),0)),IF(iData!W60&lt;0,100,IF(ISNUMBER(iData!W60),100*ABS($G60-(iData!W60-$I60)/$M60),0)))</f>
        <v>79.411764705882348</v>
      </c>
      <c r="AE60" s="123" cm="1">
        <f t="array" ref="AE60">CHOOSE($H60,SUMPRODUCT($O61:$O$75*AE61:AE$75*($E61:$E$75=$D60)),IF(ISNUMBER(iData!X60),100*ABS($G60-(iData!X60-$K60)/$M60),0),IF(ISNUMBER(iData!X60),100*ABS($G60-(iData!X60-$I60)/$M60),0),IF(iData!X60&gt;tblIndicators!$AI56,100,IF(ISNUMBER(iData!X60),100*ABS($G60-(iData!X60-$I60)/$M60),0)),IF(iData!X60&lt;0,100,IF(ISNUMBER(iData!X60),100*ABS($G60-(iData!X60-$I60)/$M60),0)))</f>
        <v>79.411764705882348</v>
      </c>
      <c r="AF60" s="123" cm="1">
        <f t="array" ref="AF60">CHOOSE($H60,SUMPRODUCT($O61:$O$75*AF61:AF$75*($E61:$E$75=$D60)),IF(ISNUMBER(iData!Y60),100*ABS($G60-(iData!Y60-$K60)/$M60),0),IF(ISNUMBER(iData!Y60),100*ABS($G60-(iData!Y60-$I60)/$M60),0),IF(iData!Y60&gt;tblIndicators!$AI56,100,IF(ISNUMBER(iData!Y60),100*ABS($G60-(iData!Y60-$I60)/$M60),0)),IF(iData!Y60&lt;0,100,IF(ISNUMBER(iData!Y60),100*ABS($G60-(iData!Y60-$I60)/$M60),0)))</f>
        <v>20.588235294117645</v>
      </c>
      <c r="AG60" s="123" cm="1">
        <f t="array" ref="AG60">CHOOSE($H60,SUMPRODUCT($O61:$O$75*AG61:AG$75*($E61:$E$75=$D60)),IF(ISNUMBER(iData!Z60),100*ABS($G60-(iData!Z60-$K60)/$M60),0),IF(ISNUMBER(iData!Z60),100*ABS($G60-(iData!Z60-$I60)/$M60),0),IF(iData!Z60&gt;tblIndicators!$AI56,100,IF(ISNUMBER(iData!Z60),100*ABS($G60-(iData!Z60-$I60)/$M60),0)),IF(iData!Z60&lt;0,100,IF(ISNUMBER(iData!Z60),100*ABS($G60-(iData!Z60-$I60)/$M60),0)))</f>
        <v>20.588235294117645</v>
      </c>
      <c r="AH60" s="123" cm="1">
        <f t="array" ref="AH60">CHOOSE($H60,SUMPRODUCT($O61:$O$75*AH61:AH$75*($E61:$E$75=$D60)),IF(ISNUMBER(iData!AA60),100*ABS($G60-(iData!AA60-$K60)/$M60),0),IF(ISNUMBER(iData!AA60),100*ABS($G60-(iData!AA60-$I60)/$M60),0),IF(iData!AA60&gt;tblIndicators!$AI56,100,IF(ISNUMBER(iData!AA60),100*ABS($G60-(iData!AA60-$I60)/$M60),0)),IF(iData!AA60&lt;0,100,IF(ISNUMBER(iData!AA60),100*ABS($G60-(iData!AA60-$I60)/$M60),0)))</f>
        <v>41.17647058823529</v>
      </c>
      <c r="AI60" s="123" cm="1">
        <f t="array" ref="AI60">CHOOSE($H60,SUMPRODUCT($O61:$O$75*AI61:AI$75*($E61:$E$75=$D60)),IF(ISNUMBER(iData!AB60),100*ABS($G60-(iData!AB60-$K60)/$M60),0),IF(ISNUMBER(iData!AB60),100*ABS($G60-(iData!AB60-$I60)/$M60),0),IF(iData!AB60&gt;tblIndicators!$AI56,100,IF(ISNUMBER(iData!AB60),100*ABS($G60-(iData!AB60-$I60)/$M60),0)),IF(iData!AB60&lt;0,100,IF(ISNUMBER(iData!AB60),100*ABS($G60-(iData!AB60-$I60)/$M60),0)))</f>
        <v>41.17647058823529</v>
      </c>
      <c r="AJ60" s="123" cm="1">
        <f t="array" ref="AJ60">CHOOSE($H60,SUMPRODUCT($O61:$O$75*AJ61:AJ$75*($E61:$E$75=$D60)),IF(ISNUMBER(iData!AC60),100*ABS($G60-(iData!AC60-$K60)/$M60),0),IF(ISNUMBER(iData!AC60),100*ABS($G60-(iData!AC60-$I60)/$M60),0),IF(iData!AC60&gt;tblIndicators!$AI56,100,IF(ISNUMBER(iData!AC60),100*ABS($G60-(iData!AC60-$I60)/$M60),0)),IF(iData!AC60&lt;0,100,IF(ISNUMBER(iData!AC60),100*ABS($G60-(iData!AC60-$I60)/$M60),0)))</f>
        <v>58.82352941176471</v>
      </c>
      <c r="AK60" s="123" cm="1">
        <f t="array" ref="AK60">CHOOSE($H60,SUMPRODUCT($O61:$O$75*AK61:AK$75*($E61:$E$75=$D60)),IF(ISNUMBER(iData!AD60),100*ABS($G60-(iData!AD60-$K60)/$M60),0),IF(ISNUMBER(iData!AD60),100*ABS($G60-(iData!AD60-$I60)/$M60),0),IF(iData!AD60&gt;tblIndicators!$AI56,100,IF(ISNUMBER(iData!AD60),100*ABS($G60-(iData!AD60-$I60)/$M60),0)),IF(iData!AD60&lt;0,100,IF(ISNUMBER(iData!AD60),100*ABS($G60-(iData!AD60-$I60)/$M60),0)))</f>
        <v>41.17647058823529</v>
      </c>
      <c r="AL60" s="123" cm="1">
        <f t="array" ref="AL60">CHOOSE($H60,SUMPRODUCT($O61:$O$75*AL61:AL$75*($E61:$E$75=$D60)),IF(ISNUMBER(iData!AE60),100*ABS($G60-(iData!AE60-$K60)/$M60),0),IF(ISNUMBER(iData!AE60),100*ABS($G60-(iData!AE60-$I60)/$M60),0),IF(iData!AE60&gt;tblIndicators!$AI56,100,IF(ISNUMBER(iData!AE60),100*ABS($G60-(iData!AE60-$I60)/$M60),0)),IF(iData!AE60&lt;0,100,IF(ISNUMBER(iData!AE60),100*ABS($G60-(iData!AE60-$I60)/$M60),0)))</f>
        <v>58.82352941176471</v>
      </c>
      <c r="AM60" s="123" cm="1">
        <f t="array" ref="AM60">CHOOSE($H60,SUMPRODUCT($O61:$O$75*AM61:AM$75*($E61:$E$75=$D60)),IF(ISNUMBER(iData!AF60),100*ABS($G60-(iData!AF60-$K60)/$M60),0),IF(ISNUMBER(iData!AF60),100*ABS($G60-(iData!AF60-$I60)/$M60),0),IF(iData!AF60&gt;tblIndicators!$AI56,100,IF(ISNUMBER(iData!AF60),100*ABS($G60-(iData!AF60-$I60)/$M60),0)),IF(iData!AF60&lt;0,100,IF(ISNUMBER(iData!AF60),100*ABS($G60-(iData!AF60-$I60)/$M60),0)))</f>
        <v>20.588235294117645</v>
      </c>
      <c r="AN60" s="123" cm="1">
        <f t="array" ref="AN60">CHOOSE($H60,SUMPRODUCT($O61:$O$75*AN61:AN$75*($E61:$E$75=$D60)),IF(ISNUMBER(iData!AG60),100*ABS($G60-(iData!AG60-$K60)/$M60),0),IF(ISNUMBER(iData!AG60),100*ABS($G60-(iData!AG60-$I60)/$M60),0),IF(iData!AG60&gt;tblIndicators!$AI56,100,IF(ISNUMBER(iData!AG60),100*ABS($G60-(iData!AG60-$I60)/$M60),0)),IF(iData!AG60&lt;0,100,IF(ISNUMBER(iData!AG60),100*ABS($G60-(iData!AG60-$I60)/$M60),0)))</f>
        <v>58.82352941176471</v>
      </c>
      <c r="AO60" s="123" cm="1">
        <f t="array" ref="AO60">CHOOSE($H60,SUMPRODUCT($O61:$O$75*AO61:AO$75*($E61:$E$75=$D60)),IF(ISNUMBER(iData!AH60),100*ABS($G60-(iData!AH60-$K60)/$M60),0),IF(ISNUMBER(iData!AH60),100*ABS($G60-(iData!AH60-$I60)/$M60),0),IF(iData!AH60&gt;tblIndicators!$AI56,100,IF(ISNUMBER(iData!AH60),100*ABS($G60-(iData!AH60-$I60)/$M60),0)),IF(iData!AH60&lt;0,100,IF(ISNUMBER(iData!AH60),100*ABS($G60-(iData!AH60-$I60)/$M60),0)))</f>
        <v>58.82352941176471</v>
      </c>
      <c r="AP60" s="123" cm="1">
        <f t="array" ref="AP60">CHOOSE($H60,SUMPRODUCT($O61:$O$75*AP61:AP$75*($E61:$E$75=$D60)),IF(ISNUMBER(iData!AI60),100*ABS($G60-(iData!AI60-$K60)/$M60),0),IF(ISNUMBER(iData!AI60),100*ABS($G60-(iData!AI60-$I60)/$M60),0),IF(iData!AI60&gt;tblIndicators!$AI56,100,IF(ISNUMBER(iData!AI60),100*ABS($G60-(iData!AI60-$I60)/$M60),0)),IF(iData!AI60&lt;0,100,IF(ISNUMBER(iData!AI60),100*ABS($G60-(iData!AI60-$I60)/$M60),0)))</f>
        <v>20.588235294117645</v>
      </c>
      <c r="AQ60" s="123" cm="1">
        <f t="array" ref="AQ60">CHOOSE($H60,SUMPRODUCT($O61:$O$75*AQ61:AQ$75*($E61:$E$75=$D60)),IF(ISNUMBER(iData!AJ60),100*ABS($G60-(iData!AJ60-$K60)/$M60),0),IF(ISNUMBER(iData!AJ60),100*ABS($G60-(iData!AJ60-$I60)/$M60),0),IF(iData!AJ60&gt;tblIndicators!$AI56,100,IF(ISNUMBER(iData!AJ60),100*ABS($G60-(iData!AJ60-$I60)/$M60),0)),IF(iData!AJ60&lt;0,100,IF(ISNUMBER(iData!AJ60),100*ABS($G60-(iData!AJ60-$I60)/$M60),0)))</f>
        <v>20.588235294117645</v>
      </c>
      <c r="AR60" s="123" cm="1">
        <f t="array" ref="AR60">CHOOSE($H60,SUMPRODUCT($O61:$O$75*AR61:AR$75*($E61:$E$75=$D60)),IF(ISNUMBER(iData!AK60),100*ABS($G60-(iData!AK60-$K60)/$M60),0),IF(ISNUMBER(iData!AK60),100*ABS($G60-(iData!AK60-$I60)/$M60),0),IF(iData!AK60&gt;tblIndicators!$AI56,100,IF(ISNUMBER(iData!AK60),100*ABS($G60-(iData!AK60-$I60)/$M60),0)),IF(iData!AK60&lt;0,100,IF(ISNUMBER(iData!AK60),100*ABS($G60-(iData!AK60-$I60)/$M60),0)))</f>
        <v>41.17647058823529</v>
      </c>
      <c r="AS60" s="123" cm="1">
        <f t="array" ref="AS60">CHOOSE($H60,SUMPRODUCT($O61:$O$75*AS61:AS$75*($E61:$E$75=$D60)),IF(ISNUMBER(iData!AL60),100*ABS($G60-(iData!AL60-$K60)/$M60),0),IF(ISNUMBER(iData!AL60),100*ABS($G60-(iData!AL60-$I60)/$M60),0),IF(iData!AL60&gt;tblIndicators!$AI56,100,IF(ISNUMBER(iData!AL60),100*ABS($G60-(iData!AL60-$I60)/$M60),0)),IF(iData!AL60&lt;0,100,IF(ISNUMBER(iData!AL60),100*ABS($G60-(iData!AL60-$I60)/$M60),0)))</f>
        <v>41.17647058823529</v>
      </c>
      <c r="AT60" s="123" cm="1">
        <f t="array" ref="AT60">CHOOSE($H60,SUMPRODUCT($O61:$O$75*AT61:AT$75*($E61:$E$75=$D60)),IF(ISNUMBER(iData!AM60),100*ABS($G60-(iData!AM60-$K60)/$M60),0),IF(ISNUMBER(iData!AM60),100*ABS($G60-(iData!AM60-$I60)/$M60),0),IF(iData!AM60&gt;tblIndicators!$AI56,100,IF(ISNUMBER(iData!AM60),100*ABS($G60-(iData!AM60-$I60)/$M60),0)),IF(iData!AM60&lt;0,100,IF(ISNUMBER(iData!AM60),100*ABS($G60-(iData!AM60-$I60)/$M60),0)))</f>
        <v>41.17647058823529</v>
      </c>
      <c r="AU60" s="123" cm="1">
        <f t="array" ref="AU60">CHOOSE($H60,SUMPRODUCT($O61:$O$75*AU61:AU$75*($E61:$E$75=$D60)),IF(ISNUMBER(iData!AN60),100*ABS($G60-(iData!AN60-$K60)/$M60),0),IF(ISNUMBER(iData!AN60),100*ABS($G60-(iData!AN60-$I60)/$M60),0),IF(iData!AN60&gt;tblIndicators!$AI56,100,IF(ISNUMBER(iData!AN60),100*ABS($G60-(iData!AN60-$I60)/$M60),0)),IF(iData!AN60&lt;0,100,IF(ISNUMBER(iData!AN60),100*ABS($G60-(iData!AN60-$I60)/$M60),0)))</f>
        <v>41.17647058823529</v>
      </c>
      <c r="AV60" s="367"/>
      <c r="AW60" s="368"/>
      <c r="AX60" s="14"/>
      <c r="AY60" s="871">
        <f t="shared" si="40"/>
        <v>41.2</v>
      </c>
      <c r="AZ60" s="871">
        <f t="shared" si="41"/>
        <v>100</v>
      </c>
      <c r="BA60" s="871">
        <f t="shared" si="42"/>
        <v>58.8</v>
      </c>
      <c r="BB60" s="871">
        <f t="shared" si="43"/>
        <v>41.2</v>
      </c>
      <c r="BC60" s="871">
        <f t="shared" si="44"/>
        <v>58.8</v>
      </c>
      <c r="BD60" s="871">
        <f t="shared" si="45"/>
        <v>41.2</v>
      </c>
      <c r="BE60" s="871">
        <f t="shared" si="46"/>
        <v>79.400000000000006</v>
      </c>
      <c r="BF60" s="871">
        <f t="shared" si="47"/>
        <v>58.8</v>
      </c>
      <c r="BG60" s="871">
        <f t="shared" si="48"/>
        <v>41.2</v>
      </c>
      <c r="BH60" s="871">
        <f t="shared" si="49"/>
        <v>79.400000000000006</v>
      </c>
      <c r="BI60" s="871">
        <f t="shared" si="50"/>
        <v>41.2</v>
      </c>
      <c r="BJ60" s="871">
        <f t="shared" si="51"/>
        <v>0</v>
      </c>
      <c r="BK60" s="871">
        <f t="shared" si="52"/>
        <v>79.400000000000006</v>
      </c>
      <c r="BL60" s="871">
        <f t="shared" si="53"/>
        <v>79.400000000000006</v>
      </c>
      <c r="BM60" s="871">
        <f t="shared" si="54"/>
        <v>20.6</v>
      </c>
      <c r="BN60" s="871">
        <f t="shared" si="55"/>
        <v>20.6</v>
      </c>
      <c r="BO60" s="871">
        <f t="shared" si="56"/>
        <v>41.2</v>
      </c>
      <c r="BP60" s="871">
        <f t="shared" si="57"/>
        <v>41.2</v>
      </c>
      <c r="BQ60" s="871">
        <f t="shared" si="58"/>
        <v>58.8</v>
      </c>
      <c r="BR60" s="871">
        <f t="shared" si="59"/>
        <v>41.2</v>
      </c>
      <c r="BS60" s="871">
        <f t="shared" si="60"/>
        <v>58.8</v>
      </c>
      <c r="BT60" s="871">
        <f t="shared" si="61"/>
        <v>20.6</v>
      </c>
      <c r="BU60" s="871">
        <f t="shared" si="62"/>
        <v>58.8</v>
      </c>
      <c r="BV60" s="871">
        <f t="shared" si="63"/>
        <v>58.8</v>
      </c>
      <c r="BW60" s="871">
        <f t="shared" si="64"/>
        <v>20.6</v>
      </c>
      <c r="BX60" s="871">
        <f t="shared" si="65"/>
        <v>20.6</v>
      </c>
      <c r="BY60" s="871">
        <f t="shared" si="66"/>
        <v>41.2</v>
      </c>
      <c r="BZ60" s="871">
        <f t="shared" si="67"/>
        <v>41.2</v>
      </c>
      <c r="CA60" s="871">
        <f t="shared" si="68"/>
        <v>41.2</v>
      </c>
      <c r="CB60" s="871">
        <f t="shared" si="69"/>
        <v>41.2</v>
      </c>
      <c r="CD60" s="304">
        <f t="shared" ca="1" si="108"/>
        <v>47.6</v>
      </c>
      <c r="CE60" s="304">
        <f t="shared" ca="1" si="108"/>
        <v>47.6</v>
      </c>
      <c r="CF60" s="304">
        <f t="shared" ca="1" si="108"/>
        <v>51.5</v>
      </c>
      <c r="CG60" s="302">
        <f t="shared" ca="1" si="108"/>
        <v>38.5</v>
      </c>
      <c r="CH60" s="302">
        <f t="shared" ca="1" si="108"/>
        <v>59.8</v>
      </c>
      <c r="CI60" s="302">
        <f t="shared" ca="1" si="108"/>
        <v>79.400000000000006</v>
      </c>
      <c r="CJ60" s="302">
        <f t="shared" ca="1" si="108"/>
        <v>41.2</v>
      </c>
      <c r="CK60" s="302">
        <f t="shared" ca="1" si="108"/>
        <v>59.8</v>
      </c>
      <c r="CL60" s="302">
        <f t="shared" ca="1" si="108"/>
        <v>62.7</v>
      </c>
      <c r="CM60" s="302">
        <f t="shared" ca="1" si="108"/>
        <v>41.5</v>
      </c>
      <c r="CN60" s="302">
        <f t="shared" ca="1" si="105"/>
        <v>50.4</v>
      </c>
      <c r="CO60" s="302">
        <f t="shared" ca="1" si="105"/>
        <v>36.299999999999997</v>
      </c>
      <c r="CP60" s="302">
        <f t="shared" ca="1" si="105"/>
        <v>44.9</v>
      </c>
      <c r="CQ60" s="302">
        <f t="shared" ca="1" si="105"/>
        <v>57.5</v>
      </c>
    </row>
    <row r="61" spans="1:95" s="124" customFormat="1" ht="27.75" customHeight="1" thickBot="1">
      <c r="A61" s="118"/>
      <c r="B61" s="119">
        <f>tblIndicators!A57</f>
        <v>56</v>
      </c>
      <c r="C61" s="119">
        <f>tblIndicators!B57</f>
        <v>0</v>
      </c>
      <c r="D61" s="119" t="str">
        <f>tblIndicators!E57</f>
        <v>CULT3_4_2</v>
      </c>
      <c r="E61" s="119" t="str">
        <f>tblIndicators!F57</f>
        <v>CULT3_4</v>
      </c>
      <c r="F61" s="119">
        <f>tblIndicators!G57</f>
        <v>3</v>
      </c>
      <c r="G61" s="119">
        <f>tblIndicators!AF57</f>
        <v>0</v>
      </c>
      <c r="H61" s="119">
        <f>tblIndicators!AG57</f>
        <v>2</v>
      </c>
      <c r="I61" s="120">
        <f>tblIndicators!AH57</f>
        <v>0</v>
      </c>
      <c r="J61" s="119">
        <f>tblIndicators!AI57</f>
        <v>0</v>
      </c>
      <c r="K61" s="119">
        <f t="array" ref="K61">MIN(IF(ISNUMBER(iData!K61:AN61),iData!K61:AN61))</f>
        <v>8.6</v>
      </c>
      <c r="L61" s="121">
        <f t="array" ref="L61">MAX(IF(ISNUMBER(iData!K61:AN61),iData!K61:AN61))</f>
        <v>71.900000000000006</v>
      </c>
      <c r="M61" s="51">
        <f t="shared" si="106"/>
        <v>63.300000000000004</v>
      </c>
      <c r="N61" s="122" t="str">
        <f>REPT(" ",F61)&amp;tblIndicators!AM57</f>
        <v xml:space="preserve">   3.4.2) E-participation on government portals</v>
      </c>
      <c r="O61" s="381">
        <f>tblIndicators!AR57</f>
        <v>0.5</v>
      </c>
      <c r="P61" s="381"/>
      <c r="Q61" s="323"/>
      <c r="R61" s="123" cm="1">
        <f t="array" ref="R61">CHOOSE($H61,SUMPRODUCT($O62:$O$75*R62:R$75*($E62:$E$75=$D61)),IF(ISNUMBER(iData!K61),100*ABS($G61-(iData!K61-$K61)/$M61),0),IF(ISNUMBER(iData!K61),100*ABS($G61-(iData!K61-$I61)/$M61),0),IF(iData!K61&gt;tblIndicators!$AI57,100,IF(ISNUMBER(iData!K61),100*ABS($G61-(iData!K61-$I61)/$M61),0)),IF(iData!K61&lt;0,100,IF(ISNUMBER(iData!K61),100*ABS($G61-(iData!K61-$I61)/$M61),0)))</f>
        <v>29.067930489731435</v>
      </c>
      <c r="S61" s="123" cm="1">
        <f t="array" ref="S61">CHOOSE($H61,SUMPRODUCT($O62:$O$75*S62:S$75*($E62:$E$75=$D61)),IF(ISNUMBER(iData!L61),100*ABS($G61-(iData!L61-$K61)/$M61),0),IF(ISNUMBER(iData!L61),100*ABS($G61-(iData!L61-$I61)/$M61),0),IF(iData!L61&gt;tblIndicators!$AI57,100,IF(ISNUMBER(iData!L61),100*ABS($G61-(iData!L61-$I61)/$M61),0)),IF(iData!L61&lt;0,100,IF(ISNUMBER(iData!L61),100*ABS($G61-(iData!L61-$I61)/$M61),0)))</f>
        <v>41.548183254344387</v>
      </c>
      <c r="T61" s="123" cm="1">
        <f t="array" ref="T61">CHOOSE($H61,SUMPRODUCT($O62:$O$75*T62:T$75*($E62:$E$75=$D61)),IF(ISNUMBER(iData!M61),100*ABS($G61-(iData!M61-$K61)/$M61),0),IF(ISNUMBER(iData!M61),100*ABS($G61-(iData!M61-$I61)/$M61),0),IF(iData!M61&gt;tblIndicators!$AI57,100,IF(ISNUMBER(iData!M61),100*ABS($G61-(iData!M61-$I61)/$M61),0)),IF(iData!M61&lt;0,100,IF(ISNUMBER(iData!M61),100*ABS($G61-(iData!M61-$I61)/$M61),0)))</f>
        <v>56.714060031595572</v>
      </c>
      <c r="U61" s="123" cm="1">
        <f t="array" ref="U61">CHOOSE($H61,SUMPRODUCT($O62:$O$75*U62:U$75*($E62:$E$75=$D61)),IF(ISNUMBER(iData!N61),100*ABS($G61-(iData!N61-$K61)/$M61),0),IF(ISNUMBER(iData!N61),100*ABS($G61-(iData!N61-$I61)/$M61),0),IF(iData!N61&gt;tblIndicators!$AI57,100,IF(ISNUMBER(iData!N61),100*ABS($G61-(iData!N61-$I61)/$M61),0)),IF(iData!N61&lt;0,100,IF(ISNUMBER(iData!N61),100*ABS($G61-(iData!N61-$I61)/$M61),0)))</f>
        <v>38.546603475513422</v>
      </c>
      <c r="V61" s="123" cm="1">
        <f t="array" ref="V61">CHOOSE($H61,SUMPRODUCT($O62:$O$75*V62:V$75*($E62:$E$75=$D61)),IF(ISNUMBER(iData!O61),100*ABS($G61-(iData!O61-$K61)/$M61),0),IF(ISNUMBER(iData!O61),100*ABS($G61-(iData!O61-$I61)/$M61),0),IF(iData!O61&gt;tblIndicators!$AI57,100,IF(ISNUMBER(iData!O61),100*ABS($G61-(iData!O61-$I61)/$M61),0)),IF(iData!O61&lt;0,100,IF(ISNUMBER(iData!O61),100*ABS($G61-(iData!O61-$I61)/$M61),0)))</f>
        <v>85.781990521327003</v>
      </c>
      <c r="W61" s="123" cm="1">
        <f t="array" ref="W61">CHOOSE($H61,SUMPRODUCT($O62:$O$75*W62:W$75*($E62:$E$75=$D61)),IF(ISNUMBER(iData!P61),100*ABS($G61-(iData!P61-$K61)/$M61),0),IF(ISNUMBER(iData!P61),100*ABS($G61-(iData!P61-$I61)/$M61),0),IF(iData!P61&gt;tblIndicators!$AI57,100,IF(ISNUMBER(iData!P61),100*ABS($G61-(iData!P61-$I61)/$M61),0)),IF(iData!P61&lt;0,100,IF(ISNUMBER(iData!P61),100*ABS($G61-(iData!P61-$I61)/$M61),0)))</f>
        <v>14.06003159557662</v>
      </c>
      <c r="X61" s="123" cm="1">
        <f t="array" ref="X61">CHOOSE($H61,SUMPRODUCT($O62:$O$75*X62:X$75*($E62:$E$75=$D61)),IF(ISNUMBER(iData!Q61),100*ABS($G61-(iData!Q61-$K61)/$M61),0),IF(ISNUMBER(iData!Q61),100*ABS($G61-(iData!Q61-$I61)/$M61),0),IF(iData!Q61&gt;tblIndicators!$AI57,100,IF(ISNUMBER(iData!Q61),100*ABS($G61-(iData!Q61-$I61)/$M61),0)),IF(iData!Q61&lt;0,100,IF(ISNUMBER(iData!Q61),100*ABS($G61-(iData!Q61-$I61)/$M61),0)))</f>
        <v>29.067930489731435</v>
      </c>
      <c r="Y61" s="123" cm="1">
        <f t="array" ref="Y61">CHOOSE($H61,SUMPRODUCT($O62:$O$75*Y62:Y$75*($E62:$E$75=$D61)),IF(ISNUMBER(iData!R61),100*ABS($G61-(iData!R61-$K61)/$M61),0),IF(ISNUMBER(iData!R61),100*ABS($G61-(iData!R61-$I61)/$M61),0),IF(iData!R61&gt;tblIndicators!$AI57,100,IF(ISNUMBER(iData!R61),100*ABS($G61-(iData!R61-$I61)/$M61),0)),IF(iData!R61&lt;0,100,IF(ISNUMBER(iData!R61),100*ABS($G61-(iData!R61-$I61)/$M61),0)))</f>
        <v>35.071090047393369</v>
      </c>
      <c r="Z61" s="123" cm="1">
        <f t="array" ref="Z61">CHOOSE($H61,SUMPRODUCT($O62:$O$75*Z62:Z$75*($E62:$E$75=$D61)),IF(ISNUMBER(iData!S61),100*ABS($G61-(iData!S61-$K61)/$M61),0),IF(ISNUMBER(iData!S61),100*ABS($G61-(iData!S61-$I61)/$M61),0),IF(iData!S61&gt;tblIndicators!$AI57,100,IF(ISNUMBER(iData!S61),100*ABS($G61-(iData!S61-$I61)/$M61),0)),IF(iData!S61&lt;0,100,IF(ISNUMBER(iData!S61),100*ABS($G61-(iData!S61-$I61)/$M61),0)))</f>
        <v>45.813586097946285</v>
      </c>
      <c r="AA61" s="123" cm="1">
        <f t="array" ref="AA61">CHOOSE($H61,SUMPRODUCT($O62:$O$75*AA62:AA$75*($E62:$E$75=$D61)),IF(ISNUMBER(iData!T61),100*ABS($G61-(iData!T61-$K61)/$M61),0),IF(ISNUMBER(iData!T61),100*ABS($G61-(iData!T61-$I61)/$M61),0),IF(iData!T61&gt;tblIndicators!$AI57,100,IF(ISNUMBER(iData!T61),100*ABS($G61-(iData!T61-$I61)/$M61),0)),IF(iData!T61&lt;0,100,IF(ISNUMBER(iData!T61),100*ABS($G61-(iData!T61-$I61)/$M61),0)))</f>
        <v>100</v>
      </c>
      <c r="AB61" s="123" cm="1">
        <f t="array" ref="AB61">CHOOSE($H61,SUMPRODUCT($O62:$O$75*AB62:AB$75*($E62:$E$75=$D61)),IF(ISNUMBER(iData!U61),100*ABS($G61-(iData!U61-$K61)/$M61),0),IF(ISNUMBER(iData!U61),100*ABS($G61-(iData!U61-$I61)/$M61),0),IF(iData!U61&gt;tblIndicators!$AI57,100,IF(ISNUMBER(iData!U61),100*ABS($G61-(iData!U61-$I61)/$M61),0)),IF(iData!U61&lt;0,100,IF(ISNUMBER(iData!U61),100*ABS($G61-(iData!U61-$I61)/$M61),0)))</f>
        <v>24.960505529225905</v>
      </c>
      <c r="AC61" s="123" cm="1">
        <f t="array" ref="AC61">CHOOSE($H61,SUMPRODUCT($O62:$O$75*AC62:AC$75*($E62:$E$75=$D61)),IF(ISNUMBER(iData!V61),100*ABS($G61-(iData!V61-$K61)/$M61),0),IF(ISNUMBER(iData!V61),100*ABS($G61-(iData!V61-$I61)/$M61),0),IF(iData!V61&gt;tblIndicators!$AI57,100,IF(ISNUMBER(iData!V61),100*ABS($G61-(iData!V61-$I61)/$M61),0)),IF(iData!V61&lt;0,100,IF(ISNUMBER(iData!V61),100*ABS($G61-(iData!V61-$I61)/$M61),0)))</f>
        <v>24.170616113744074</v>
      </c>
      <c r="AD61" s="123" cm="1">
        <f t="array" ref="AD61">CHOOSE($H61,SUMPRODUCT($O62:$O$75*AD62:AD$75*($E62:$E$75=$D61)),IF(ISNUMBER(iData!W61),100*ABS($G61-(iData!W61-$K61)/$M61),0),IF(ISNUMBER(iData!W61),100*ABS($G61-(iData!W61-$I61)/$M61),0),IF(iData!W61&gt;tblIndicators!$AI57,100,IF(ISNUMBER(iData!W61),100*ABS($G61-(iData!W61-$I61)/$M61),0)),IF(iData!W61&lt;0,100,IF(ISNUMBER(iData!W61),100*ABS($G61-(iData!W61-$I61)/$M61),0)))</f>
        <v>76.935229067930479</v>
      </c>
      <c r="AE61" s="123" cm="1">
        <f t="array" ref="AE61">CHOOSE($H61,SUMPRODUCT($O62:$O$75*AE62:AE$75*($E62:$E$75=$D61)),IF(ISNUMBER(iData!X61),100*ABS($G61-(iData!X61-$K61)/$M61),0),IF(ISNUMBER(iData!X61),100*ABS($G61-(iData!X61-$I61)/$M61),0),IF(iData!X61&gt;tblIndicators!$AI57,100,IF(ISNUMBER(iData!X61),100*ABS($G61-(iData!X61-$I61)/$M61),0)),IF(iData!X61&lt;0,100,IF(ISNUMBER(iData!X61),100*ABS($G61-(iData!X61-$I61)/$M61),0)))</f>
        <v>43.759873617693515</v>
      </c>
      <c r="AF61" s="123" cm="1">
        <f t="array" ref="AF61">CHOOSE($H61,SUMPRODUCT($O62:$O$75*AF62:AF$75*($E62:$E$75=$D61)),IF(ISNUMBER(iData!Y61),100*ABS($G61-(iData!Y61-$K61)/$M61),0),IF(ISNUMBER(iData!Y61),100*ABS($G61-(iData!Y61-$I61)/$M61),0),IF(iData!Y61&gt;tblIndicators!$AI57,100,IF(ISNUMBER(iData!Y61),100*ABS($G61-(iData!Y61-$I61)/$M61),0)),IF(iData!Y61&lt;0,100,IF(ISNUMBER(iData!Y61),100*ABS($G61-(iData!Y61-$I61)/$M61),0)))</f>
        <v>18.167456556082151</v>
      </c>
      <c r="AG61" s="123" cm="1">
        <f t="array" ref="AG61">CHOOSE($H61,SUMPRODUCT($O62:$O$75*AG62:AG$75*($E62:$E$75=$D61)),IF(ISNUMBER(iData!Z61),100*ABS($G61-(iData!Z61-$K61)/$M61),0),IF(ISNUMBER(iData!Z61),100*ABS($G61-(iData!Z61-$I61)/$M61),0),IF(iData!Z61&gt;tblIndicators!$AI57,100,IF(ISNUMBER(iData!Z61),100*ABS($G61-(iData!Z61-$I61)/$M61),0)),IF(iData!Z61&lt;0,100,IF(ISNUMBER(iData!Z61),100*ABS($G61-(iData!Z61-$I61)/$M61),0)))</f>
        <v>40.12638230647709</v>
      </c>
      <c r="AH61" s="123" cm="1">
        <f t="array" ref="AH61">CHOOSE($H61,SUMPRODUCT($O62:$O$75*AH62:AH$75*($E62:$E$75=$D61)),IF(ISNUMBER(iData!AA61),100*ABS($G61-(iData!AA61-$K61)/$M61),0),IF(ISNUMBER(iData!AA61),100*ABS($G61-(iData!AA61-$I61)/$M61),0),IF(iData!AA61&gt;tblIndicators!$AI57,100,IF(ISNUMBER(iData!AA61),100*ABS($G61-(iData!AA61-$I61)/$M61),0)),IF(iData!AA61&lt;0,100,IF(ISNUMBER(iData!AA61),100*ABS($G61-(iData!AA61-$I61)/$M61),0)))</f>
        <v>51.342812006319114</v>
      </c>
      <c r="AI61" s="123" cm="1">
        <f t="array" ref="AI61">CHOOSE($H61,SUMPRODUCT($O62:$O$75*AI62:AI$75*($E62:$E$75=$D61)),IF(ISNUMBER(iData!AB61),100*ABS($G61-(iData!AB61-$K61)/$M61),0),IF(ISNUMBER(iData!AB61),100*ABS($G61-(iData!AB61-$I61)/$M61),0),IF(iData!AB61&gt;tblIndicators!$AI57,100,IF(ISNUMBER(iData!AB61),100*ABS($G61-(iData!AB61-$I61)/$M61),0)),IF(iData!AB61&lt;0,100,IF(ISNUMBER(iData!AB61),100*ABS($G61-(iData!AB61-$I61)/$M61),0)))</f>
        <v>39.178515007898888</v>
      </c>
      <c r="AJ61" s="123" cm="1">
        <f t="array" ref="AJ61">CHOOSE($H61,SUMPRODUCT($O62:$O$75*AJ62:AJ$75*($E62:$E$75=$D61)),IF(ISNUMBER(iData!AC61),100*ABS($G61-(iData!AC61-$K61)/$M61),0),IF(ISNUMBER(iData!AC61),100*ABS($G61-(iData!AC61-$I61)/$M61),0),IF(iData!AC61&gt;tblIndicators!$AI57,100,IF(ISNUMBER(iData!AC61),100*ABS($G61-(iData!AC61-$I61)/$M61),0)),IF(iData!AC61&lt;0,100,IF(ISNUMBER(iData!AC61),100*ABS($G61-(iData!AC61-$I61)/$M61),0)))</f>
        <v>98.736176935229054</v>
      </c>
      <c r="AK61" s="123" cm="1">
        <f t="array" ref="AK61">CHOOSE($H61,SUMPRODUCT($O62:$O$75*AK62:AK$75*($E62:$E$75=$D61)),IF(ISNUMBER(iData!AD61),100*ABS($G61-(iData!AD61-$K61)/$M61),0),IF(ISNUMBER(iData!AD61),100*ABS($G61-(iData!AD61-$I61)/$M61),0),IF(iData!AD61&gt;tblIndicators!$AI57,100,IF(ISNUMBER(iData!AD61),100*ABS($G61-(iData!AD61-$I61)/$M61),0)),IF(iData!AD61&lt;0,100,IF(ISNUMBER(iData!AD61),100*ABS($G61-(iData!AD61-$I61)/$M61),0)))</f>
        <v>42.49605055292259</v>
      </c>
      <c r="AL61" s="123" cm="1">
        <f t="array" ref="AL61">CHOOSE($H61,SUMPRODUCT($O62:$O$75*AL62:AL$75*($E62:$E$75=$D61)),IF(ISNUMBER(iData!AE61),100*ABS($G61-(iData!AE61-$K61)/$M61),0),IF(ISNUMBER(iData!AE61),100*ABS($G61-(iData!AE61-$I61)/$M61),0),IF(iData!AE61&gt;tblIndicators!$AI57,100,IF(ISNUMBER(iData!AE61),100*ABS($G61-(iData!AE61-$I61)/$M61),0)),IF(iData!AE61&lt;0,100,IF(ISNUMBER(iData!AE61),100*ABS($G61-(iData!AE61-$I61)/$M61),0)))</f>
        <v>32.385466034755133</v>
      </c>
      <c r="AM61" s="123" cm="1">
        <f t="array" ref="AM61">CHOOSE($H61,SUMPRODUCT($O62:$O$75*AM62:AM$75*($E62:$E$75=$D61)),IF(ISNUMBER(iData!AF61),100*ABS($G61-(iData!AF61-$K61)/$M61),0),IF(ISNUMBER(iData!AF61),100*ABS($G61-(iData!AF61-$I61)/$M61),0),IF(iData!AF61&gt;tblIndicators!$AI57,100,IF(ISNUMBER(iData!AF61),100*ABS($G61-(iData!AF61-$I61)/$M61),0)),IF(iData!AF61&lt;0,100,IF(ISNUMBER(iData!AF61),100*ABS($G61-(iData!AF61-$I61)/$M61),0)))</f>
        <v>33.017377567140592</v>
      </c>
      <c r="AN61" s="123" cm="1">
        <f t="array" ref="AN61">CHOOSE($H61,SUMPRODUCT($O62:$O$75*AN62:AN$75*($E62:$E$75=$D61)),IF(ISNUMBER(iData!AG61),100*ABS($G61-(iData!AG61-$K61)/$M61),0),IF(ISNUMBER(iData!AG61),100*ABS($G61-(iData!AG61-$I61)/$M61),0),IF(iData!AG61&gt;tblIndicators!$AI57,100,IF(ISNUMBER(iData!AG61),100*ABS($G61-(iData!AG61-$I61)/$M61),0)),IF(iData!AG61&lt;0,100,IF(ISNUMBER(iData!AG61),100*ABS($G61-(iData!AG61-$I61)/$M61),0)))</f>
        <v>46.287519747235379</v>
      </c>
      <c r="AO61" s="123" cm="1">
        <f t="array" ref="AO61">CHOOSE($H61,SUMPRODUCT($O62:$O$75*AO62:AO$75*($E62:$E$75=$D61)),IF(ISNUMBER(iData!AH61),100*ABS($G61-(iData!AH61-$K61)/$M61),0),IF(ISNUMBER(iData!AH61),100*ABS($G61-(iData!AH61-$I61)/$M61),0),IF(iData!AH61&gt;tblIndicators!$AI57,100,IF(ISNUMBER(iData!AH61),100*ABS($G61-(iData!AH61-$I61)/$M61),0)),IF(iData!AH61&lt;0,100,IF(ISNUMBER(iData!AH61),100*ABS($G61-(iData!AH61-$I61)/$M61),0)))</f>
        <v>55.924170616113734</v>
      </c>
      <c r="AP61" s="123" cm="1">
        <f t="array" ref="AP61">CHOOSE($H61,SUMPRODUCT($O62:$O$75*AP62:AP$75*($E62:$E$75=$D61)),IF(ISNUMBER(iData!AI61),100*ABS($G61-(iData!AI61-$K61)/$M61),0),IF(ISNUMBER(iData!AI61),100*ABS($G61-(iData!AI61-$I61)/$M61),0),IF(iData!AI61&gt;tblIndicators!$AI57,100,IF(ISNUMBER(iData!AI61),100*ABS($G61-(iData!AI61-$I61)/$M61),0)),IF(iData!AI61&lt;0,100,IF(ISNUMBER(iData!AI61),100*ABS($G61-(iData!AI61-$I61)/$M61),0)))</f>
        <v>42.49605055292259</v>
      </c>
      <c r="AQ61" s="123" cm="1">
        <f t="array" ref="AQ61">CHOOSE($H61,SUMPRODUCT($O62:$O$75*AQ62:AQ$75*($E62:$E$75=$D61)),IF(ISNUMBER(iData!AJ61),100*ABS($G61-(iData!AJ61-$K61)/$M61),0),IF(ISNUMBER(iData!AJ61),100*ABS($G61-(iData!AJ61-$I61)/$M61),0),IF(iData!AJ61&gt;tblIndicators!$AI57,100,IF(ISNUMBER(iData!AJ61),100*ABS($G61-(iData!AJ61-$I61)/$M61),0)),IF(iData!AJ61&lt;0,100,IF(ISNUMBER(iData!AJ61),100*ABS($G61-(iData!AJ61-$I61)/$M61),0)))</f>
        <v>19.273301737756714</v>
      </c>
      <c r="AR61" s="123" cm="1">
        <f t="array" ref="AR61">CHOOSE($H61,SUMPRODUCT($O62:$O$75*AR62:AR$75*($E62:$E$75=$D61)),IF(ISNUMBER(iData!AK61),100*ABS($G61-(iData!AK61-$K61)/$M61),0),IF(ISNUMBER(iData!AK61),100*ABS($G61-(iData!AK61-$I61)/$M61),0),IF(iData!AK61&gt;tblIndicators!$AI57,100,IF(ISNUMBER(iData!AK61),100*ABS($G61-(iData!AK61-$I61)/$M61),0)),IF(iData!AK61&lt;0,100,IF(ISNUMBER(iData!AK61),100*ABS($G61-(iData!AK61-$I61)/$M61),0)))</f>
        <v>0</v>
      </c>
      <c r="AS61" s="123" cm="1">
        <f t="array" ref="AS61">CHOOSE($H61,SUMPRODUCT($O62:$O$75*AS62:AS$75*($E62:$E$75=$D61)),IF(ISNUMBER(iData!AL61),100*ABS($G61-(iData!AL61-$K61)/$M61),0),IF(ISNUMBER(iData!AL61),100*ABS($G61-(iData!AL61-$I61)/$M61),0),IF(iData!AL61&gt;tblIndicators!$AI57,100,IF(ISNUMBER(iData!AL61),100*ABS($G61-(iData!AL61-$I61)/$M61),0)),IF(iData!AL61&lt;0,100,IF(ISNUMBER(iData!AL61),100*ABS($G61-(iData!AL61-$I61)/$M61),0)))</f>
        <v>21.958925750394943</v>
      </c>
      <c r="AT61" s="123" cm="1">
        <f t="array" ref="AT61">CHOOSE($H61,SUMPRODUCT($O62:$O$75*AT62:AT$75*($E62:$E$75=$D61)),IF(ISNUMBER(iData!AM61),100*ABS($G61-(iData!AM61-$K61)/$M61),0),IF(ISNUMBER(iData!AM61),100*ABS($G61-(iData!AM61-$I61)/$M61),0),IF(iData!AM61&gt;tblIndicators!$AI57,100,IF(ISNUMBER(iData!AM61),100*ABS($G61-(iData!AM61-$I61)/$M61),0)),IF(iData!AM61&lt;0,100,IF(ISNUMBER(iData!AM61),100*ABS($G61-(iData!AM61-$I61)/$M61),0)))</f>
        <v>43.759873617693515</v>
      </c>
      <c r="AU61" s="123" cm="1">
        <f t="array" ref="AU61">CHOOSE($H61,SUMPRODUCT($O62:$O$75*AU62:AU$75*($E62:$E$75=$D61)),IF(ISNUMBER(iData!AN61),100*ABS($G61-(iData!AN61-$K61)/$M61),0),IF(ISNUMBER(iData!AN61),100*ABS($G61-(iData!AN61-$I61)/$M61),0),IF(iData!AN61&gt;tblIndicators!$AI57,100,IF(ISNUMBER(iData!AN61),100*ABS($G61-(iData!AN61-$I61)/$M61),0)),IF(iData!AN61&lt;0,100,IF(ISNUMBER(iData!AN61),100*ABS($G61-(iData!AN61-$I61)/$M61),0)))</f>
        <v>38.230647709320685</v>
      </c>
      <c r="AV61" s="367"/>
      <c r="AW61" s="368"/>
      <c r="AX61" s="14"/>
      <c r="AY61" s="871">
        <f t="shared" si="40"/>
        <v>29.1</v>
      </c>
      <c r="AZ61" s="871">
        <f t="shared" si="41"/>
        <v>41.5</v>
      </c>
      <c r="BA61" s="871">
        <f t="shared" si="42"/>
        <v>56.7</v>
      </c>
      <c r="BB61" s="871">
        <f t="shared" si="43"/>
        <v>38.5</v>
      </c>
      <c r="BC61" s="871">
        <f t="shared" si="44"/>
        <v>85.8</v>
      </c>
      <c r="BD61" s="871">
        <f t="shared" si="45"/>
        <v>14.1</v>
      </c>
      <c r="BE61" s="871">
        <f t="shared" si="46"/>
        <v>29.1</v>
      </c>
      <c r="BF61" s="871">
        <f t="shared" si="47"/>
        <v>35.1</v>
      </c>
      <c r="BG61" s="871">
        <f t="shared" si="48"/>
        <v>45.8</v>
      </c>
      <c r="BH61" s="871">
        <f t="shared" si="49"/>
        <v>100</v>
      </c>
      <c r="BI61" s="871">
        <f t="shared" si="50"/>
        <v>25</v>
      </c>
      <c r="BJ61" s="871">
        <f t="shared" si="51"/>
        <v>24.2</v>
      </c>
      <c r="BK61" s="871">
        <f t="shared" si="52"/>
        <v>76.900000000000006</v>
      </c>
      <c r="BL61" s="871">
        <f t="shared" si="53"/>
        <v>43.8</v>
      </c>
      <c r="BM61" s="871">
        <f t="shared" si="54"/>
        <v>18.2</v>
      </c>
      <c r="BN61" s="871">
        <f t="shared" si="55"/>
        <v>40.1</v>
      </c>
      <c r="BO61" s="871">
        <f t="shared" si="56"/>
        <v>51.3</v>
      </c>
      <c r="BP61" s="871">
        <f t="shared" si="57"/>
        <v>39.200000000000003</v>
      </c>
      <c r="BQ61" s="871">
        <f t="shared" si="58"/>
        <v>98.7</v>
      </c>
      <c r="BR61" s="871">
        <f t="shared" si="59"/>
        <v>42.5</v>
      </c>
      <c r="BS61" s="871">
        <f t="shared" si="60"/>
        <v>32.4</v>
      </c>
      <c r="BT61" s="871">
        <f t="shared" si="61"/>
        <v>33</v>
      </c>
      <c r="BU61" s="871">
        <f t="shared" si="62"/>
        <v>46.3</v>
      </c>
      <c r="BV61" s="871">
        <f t="shared" si="63"/>
        <v>55.9</v>
      </c>
      <c r="BW61" s="871">
        <f t="shared" si="64"/>
        <v>42.5</v>
      </c>
      <c r="BX61" s="871">
        <f t="shared" si="65"/>
        <v>19.3</v>
      </c>
      <c r="BY61" s="871">
        <f t="shared" si="66"/>
        <v>0</v>
      </c>
      <c r="BZ61" s="871">
        <f t="shared" si="67"/>
        <v>22</v>
      </c>
      <c r="CA61" s="871">
        <f t="shared" si="68"/>
        <v>43.8</v>
      </c>
      <c r="CB61" s="871">
        <f t="shared" si="69"/>
        <v>38.200000000000003</v>
      </c>
      <c r="CD61" s="304">
        <f t="shared" ca="1" si="108"/>
        <v>42.3</v>
      </c>
      <c r="CE61" s="304">
        <f t="shared" ca="1" si="108"/>
        <v>42.3</v>
      </c>
      <c r="CF61" s="304">
        <f t="shared" ca="1" si="108"/>
        <v>49.7</v>
      </c>
      <c r="CG61" s="302">
        <f t="shared" ca="1" si="108"/>
        <v>30.4</v>
      </c>
      <c r="CH61" s="302">
        <f t="shared" ca="1" si="108"/>
        <v>38.200000000000003</v>
      </c>
      <c r="CI61" s="302">
        <f t="shared" ca="1" si="108"/>
        <v>100</v>
      </c>
      <c r="CJ61" s="302">
        <f t="shared" ca="1" si="108"/>
        <v>38.5</v>
      </c>
      <c r="CK61" s="302">
        <f t="shared" ca="1" si="108"/>
        <v>75.599999999999994</v>
      </c>
      <c r="CL61" s="302">
        <f t="shared" ca="1" si="108"/>
        <v>50.2</v>
      </c>
      <c r="CM61" s="302">
        <f t="shared" ca="1" si="108"/>
        <v>35.299999999999997</v>
      </c>
      <c r="CN61" s="302">
        <f t="shared" ca="1" si="105"/>
        <v>40.200000000000003</v>
      </c>
      <c r="CO61" s="302">
        <f t="shared" ca="1" si="105"/>
        <v>35</v>
      </c>
      <c r="CP61" s="302">
        <f t="shared" ca="1" si="105"/>
        <v>39.700000000000003</v>
      </c>
      <c r="CQ61" s="302">
        <f t="shared" ca="1" si="105"/>
        <v>52.7</v>
      </c>
    </row>
    <row r="62" spans="1:95" s="124" customFormat="1" ht="27.75" customHeight="1" thickBot="1">
      <c r="A62" s="118"/>
      <c r="B62" s="119">
        <f>tblIndicators!A58</f>
        <v>57</v>
      </c>
      <c r="C62" s="119">
        <f>tblIndicators!B58</f>
        <v>0</v>
      </c>
      <c r="D62" s="119" t="str">
        <f>tblIndicators!E58</f>
        <v>SUST</v>
      </c>
      <c r="E62" s="119" t="str">
        <f>tblIndicators!F58</f>
        <v>OVERALL</v>
      </c>
      <c r="F62" s="119">
        <f>tblIndicators!G58</f>
        <v>1</v>
      </c>
      <c r="G62" s="119">
        <f>tblIndicators!AF58</f>
        <v>0</v>
      </c>
      <c r="H62" s="119">
        <f>tblIndicators!AG58</f>
        <v>1</v>
      </c>
      <c r="I62" s="120">
        <f>tblIndicators!AH58</f>
        <v>0</v>
      </c>
      <c r="J62" s="119">
        <f>tblIndicators!AI58</f>
        <v>0</v>
      </c>
      <c r="K62" s="119">
        <f t="array" ref="K62">MIN(IF(ISNUMBER(iData!K62:AN62),iData!K62:AN62))</f>
        <v>0</v>
      </c>
      <c r="L62" s="121">
        <f t="array" ref="L62">MAX(IF(ISNUMBER(iData!K62:AN62),iData!K62:AN62))</f>
        <v>0</v>
      </c>
      <c r="M62" s="51" t="str">
        <f t="shared" si="106"/>
        <v>-</v>
      </c>
      <c r="N62" s="122" t="str">
        <f>REPT(" ",F62)&amp;tblIndicators!AM58</f>
        <v xml:space="preserve"> 4) SUSTAINABILITY</v>
      </c>
      <c r="O62" s="381">
        <f>tblIndicators!AR58</f>
        <v>0.21</v>
      </c>
      <c r="P62" s="381"/>
      <c r="Q62" s="323"/>
      <c r="R62" s="123" cm="1">
        <f t="array" ref="R62">CHOOSE($H62,SUMPRODUCT($O63:$O$75*R63:R$75*($E63:$E$75=$D62)),IF(ISNUMBER(iData!K62),100*ABS($G62-(iData!K62-$K62)/$M62),0),IF(ISNUMBER(iData!K62),100*ABS($G62-(iData!K62-$I62)/$M62),0),IF(iData!K62&gt;tblIndicators!$AI58,100,IF(ISNUMBER(iData!K62),100*ABS($G62-(iData!K62-$I62)/$M62),0)),IF(iData!K62&lt;0,100,IF(ISNUMBER(iData!K62),100*ABS($G62-(iData!K62-$I62)/$M62),0)))</f>
        <v>85.41758064987863</v>
      </c>
      <c r="S62" s="123" cm="1">
        <f t="array" ref="S62">CHOOSE($H62,SUMPRODUCT($O63:$O$75*S63:S$75*($E63:$E$75=$D62)),IF(ISNUMBER(iData!L62),100*ABS($G62-(iData!L62-$K62)/$M62),0),IF(ISNUMBER(iData!L62),100*ABS($G62-(iData!L62-$I62)/$M62),0),IF(iData!L62&gt;tblIndicators!$AI58,100,IF(ISNUMBER(iData!L62),100*ABS($G62-(iData!L62-$I62)/$M62),0)),IF(iData!L62&lt;0,100,IF(ISNUMBER(iData!L62),100*ABS($G62-(iData!L62-$I62)/$M62),0)))</f>
        <v>68.075238307536296</v>
      </c>
      <c r="T62" s="123" cm="1">
        <f t="array" ref="T62">CHOOSE($H62,SUMPRODUCT($O63:$O$75*T63:T$75*($E63:$E$75=$D62)),IF(ISNUMBER(iData!M62),100*ABS($G62-(iData!M62-$K62)/$M62),0),IF(ISNUMBER(iData!M62),100*ABS($G62-(iData!M62-$I62)/$M62),0),IF(iData!M62&gt;tblIndicators!$AI58,100,IF(ISNUMBER(iData!M62),100*ABS($G62-(iData!M62-$I62)/$M62),0)),IF(iData!M62&lt;0,100,IF(ISNUMBER(iData!M62),100*ABS($G62-(iData!M62-$I62)/$M62),0)))</f>
        <v>41.312802009695929</v>
      </c>
      <c r="U62" s="123" cm="1">
        <f t="array" ref="U62">CHOOSE($H62,SUMPRODUCT($O63:$O$75*U63:U$75*($E63:$E$75=$D62)),IF(ISNUMBER(iData!N62),100*ABS($G62-(iData!N62-$K62)/$M62),0),IF(ISNUMBER(iData!N62),100*ABS($G62-(iData!N62-$I62)/$M62),0),IF(iData!N62&gt;tblIndicators!$AI58,100,IF(ISNUMBER(iData!N62),100*ABS($G62-(iData!N62-$I62)/$M62),0)),IF(iData!N62&lt;0,100,IF(ISNUMBER(iData!N62),100*ABS($G62-(iData!N62-$I62)/$M62),0)))</f>
        <v>87.315887315887309</v>
      </c>
      <c r="V62" s="123" cm="1">
        <f t="array" ref="V62">CHOOSE($H62,SUMPRODUCT($O63:$O$75*V63:V$75*($E63:$E$75=$D62)),IF(ISNUMBER(iData!O62),100*ABS($G62-(iData!O62-$K62)/$M62),0),IF(ISNUMBER(iData!O62),100*ABS($G62-(iData!O62-$I62)/$M62),0),IF(iData!O62&gt;tblIndicators!$AI58,100,IF(ISNUMBER(iData!O62),100*ABS($G62-(iData!O62-$I62)/$M62),0)),IF(iData!O62&lt;0,100,IF(ISNUMBER(iData!O62),100*ABS($G62-(iData!O62-$I62)/$M62),0)))</f>
        <v>86.786786786786791</v>
      </c>
      <c r="W62" s="123" cm="1">
        <f t="array" ref="W62">CHOOSE($H62,SUMPRODUCT($O63:$O$75*W63:W$75*($E63:$E$75=$D62)),IF(ISNUMBER(iData!P62),100*ABS($G62-(iData!P62-$K62)/$M62),0),IF(ISNUMBER(iData!P62),100*ABS($G62-(iData!P62-$I62)/$M62),0),IF(iData!P62&gt;tblIndicators!$AI58,100,IF(ISNUMBER(iData!P62),100*ABS($G62-(iData!P62-$I62)/$M62),0)),IF(iData!P62&lt;0,100,IF(ISNUMBER(iData!P62),100*ABS($G62-(iData!P62-$I62)/$M62),0)))</f>
        <v>69.558864791162776</v>
      </c>
      <c r="X62" s="123" cm="1">
        <f t="array" ref="X62">CHOOSE($H62,SUMPRODUCT($O63:$O$75*X63:X$75*($E63:$E$75=$D62)),IF(ISNUMBER(iData!Q62),100*ABS($G62-(iData!Q62-$K62)/$M62),0),IF(ISNUMBER(iData!Q62),100*ABS($G62-(iData!Q62-$I62)/$M62),0),IF(iData!Q62&gt;tblIndicators!$AI58,100,IF(ISNUMBER(iData!Q62),100*ABS($G62-(iData!Q62-$I62)/$M62),0)),IF(iData!Q62&lt;0,100,IF(ISNUMBER(iData!Q62),100*ABS($G62-(iData!Q62-$I62)/$M62),0)))</f>
        <v>51.53719084029693</v>
      </c>
      <c r="Y62" s="123" cm="1">
        <f t="array" ref="Y62">CHOOSE($H62,SUMPRODUCT($O63:$O$75*Y63:Y$75*($E63:$E$75=$D62)),IF(ISNUMBER(iData!R62),100*ABS($G62-(iData!R62-$K62)/$M62),0),IF(ISNUMBER(iData!R62),100*ABS($G62-(iData!R62-$I62)/$M62),0),IF(iData!R62&gt;tblIndicators!$AI58,100,IF(ISNUMBER(iData!R62),100*ABS($G62-(iData!R62-$I62)/$M62),0)),IF(iData!R62&lt;0,100,IF(ISNUMBER(iData!R62),100*ABS($G62-(iData!R62-$I62)/$M62),0)))</f>
        <v>92.592592592592581</v>
      </c>
      <c r="Z62" s="123" cm="1">
        <f t="array" ref="Z62">CHOOSE($H62,SUMPRODUCT($O63:$O$75*Z63:Z$75*($E63:$E$75=$D62)),IF(ISNUMBER(iData!S62),100*ABS($G62-(iData!S62-$K62)/$M62),0),IF(ISNUMBER(iData!S62),100*ABS($G62-(iData!S62-$I62)/$M62),0),IF(iData!S62&gt;tblIndicators!$AI58,100,IF(ISNUMBER(iData!S62),100*ABS($G62-(iData!S62-$I62)/$M62),0)),IF(iData!S62&lt;0,100,IF(ISNUMBER(iData!S62),100*ABS($G62-(iData!S62-$I62)/$M62),0)))</f>
        <v>63.709372234642046</v>
      </c>
      <c r="AA62" s="123" cm="1">
        <f t="array" ref="AA62">CHOOSE($H62,SUMPRODUCT($O63:$O$75*AA63:AA$75*($E63:$E$75=$D62)),IF(ISNUMBER(iData!T62),100*ABS($G62-(iData!T62-$K62)/$M62),0),IF(ISNUMBER(iData!T62),100*ABS($G62-(iData!T62-$I62)/$M62),0),IF(iData!T62&gt;tblIndicators!$AI58,100,IF(ISNUMBER(iData!T62),100*ABS($G62-(iData!T62-$I62)/$M62),0)),IF(iData!T62&lt;0,100,IF(ISNUMBER(iData!T62),100*ABS($G62-(iData!T62-$I62)/$M62),0)))</f>
        <v>54.75475475475475</v>
      </c>
      <c r="AB62" s="123" cm="1">
        <f t="array" ref="AB62">CHOOSE($H62,SUMPRODUCT($O63:$O$75*AB63:AB$75*($E63:$E$75=$D62)),IF(ISNUMBER(iData!U62),100*ABS($G62-(iData!U62-$K62)/$M62),0),IF(ISNUMBER(iData!U62),100*ABS($G62-(iData!U62-$I62)/$M62),0),IF(iData!U62&gt;tblIndicators!$AI58,100,IF(ISNUMBER(iData!U62),100*ABS($G62-(iData!U62-$I62)/$M62),0)),IF(iData!U62&lt;0,100,IF(ISNUMBER(iData!U62),100*ABS($G62-(iData!U62-$I62)/$M62),0)))</f>
        <v>71.66096689326487</v>
      </c>
      <c r="AC62" s="123" cm="1">
        <f t="array" ref="AC62">CHOOSE($H62,SUMPRODUCT($O63:$O$75*AC63:AC$75*($E63:$E$75=$D62)),IF(ISNUMBER(iData!V62),100*ABS($G62-(iData!V62-$K62)/$M62),0),IF(ISNUMBER(iData!V62),100*ABS($G62-(iData!V62-$I62)/$M62),0),IF(iData!V62&gt;tblIndicators!$AI58,100,IF(ISNUMBER(iData!V62),100*ABS($G62-(iData!V62-$I62)/$M62),0)),IF(iData!V62&lt;0,100,IF(ISNUMBER(iData!V62),100*ABS($G62-(iData!V62-$I62)/$M62),0)))</f>
        <v>72.604747604747601</v>
      </c>
      <c r="AD62" s="123" cm="1">
        <f t="array" ref="AD62">CHOOSE($H62,SUMPRODUCT($O63:$O$75*AD63:AD$75*($E63:$E$75=$D62)),IF(ISNUMBER(iData!W62),100*ABS($G62-(iData!W62-$K62)/$M62),0),IF(ISNUMBER(iData!W62),100*ABS($G62-(iData!W62-$I62)/$M62),0),IF(iData!W62&gt;tblIndicators!$AI58,100,IF(ISNUMBER(iData!W62),100*ABS($G62-(iData!W62-$I62)/$M62),0)),IF(iData!W62&lt;0,100,IF(ISNUMBER(iData!W62),100*ABS($G62-(iData!W62-$I62)/$M62),0)))</f>
        <v>34.662508652374406</v>
      </c>
      <c r="AE62" s="123" cm="1">
        <f t="array" ref="AE62">CHOOSE($H62,SUMPRODUCT($O63:$O$75*AE63:AE$75*($E63:$E$75=$D62)),IF(ISNUMBER(iData!X62),100*ABS($G62-(iData!X62-$K62)/$M62),0),IF(ISNUMBER(iData!X62),100*ABS($G62-(iData!X62-$I62)/$M62),0),IF(iData!X62&gt;tblIndicators!$AI58,100,IF(ISNUMBER(iData!X62),100*ABS($G62-(iData!X62-$I62)/$M62),0)),IF(iData!X62&lt;0,100,IF(ISNUMBER(iData!X62),100*ABS($G62-(iData!X62-$I62)/$M62),0)))</f>
        <v>66.018865008730756</v>
      </c>
      <c r="AF62" s="123" cm="1">
        <f t="array" ref="AF62">CHOOSE($H62,SUMPRODUCT($O63:$O$75*AF63:AF$75*($E63:$E$75=$D62)),IF(ISNUMBER(iData!Y62),100*ABS($G62-(iData!Y62-$K62)/$M62),0),IF(ISNUMBER(iData!Y62),100*ABS($G62-(iData!Y62-$I62)/$M62),0),IF(iData!Y62&gt;tblIndicators!$AI58,100,IF(ISNUMBER(iData!Y62),100*ABS($G62-(iData!Y62-$I62)/$M62),0)),IF(iData!Y62&lt;0,100,IF(ISNUMBER(iData!Y62),100*ABS($G62-(iData!Y62-$I62)/$M62),0)))</f>
        <v>85.213785213785215</v>
      </c>
      <c r="AG62" s="123" cm="1">
        <f t="array" ref="AG62">CHOOSE($H62,SUMPRODUCT($O63:$O$75*AG63:AG$75*($E63:$E$75=$D62)),IF(ISNUMBER(iData!Z62),100*ABS($G62-(iData!Z62-$K62)/$M62),0),IF(ISNUMBER(iData!Z62),100*ABS($G62-(iData!Z62-$I62)/$M62),0),IF(iData!Z62&gt;tblIndicators!$AI58,100,IF(ISNUMBER(iData!Z62),100*ABS($G62-(iData!Z62-$I62)/$M62),0)),IF(iData!Z62&lt;0,100,IF(ISNUMBER(iData!Z62),100*ABS($G62-(iData!Z62-$I62)/$M62),0)))</f>
        <v>69.515178040447836</v>
      </c>
      <c r="AH62" s="123" cm="1">
        <f t="array" ref="AH62">CHOOSE($H62,SUMPRODUCT($O63:$O$75*AH63:AH$75*($E63:$E$75=$D62)),IF(ISNUMBER(iData!AA62),100*ABS($G62-(iData!AA62-$K62)/$M62),0),IF(ISNUMBER(iData!AA62),100*ABS($G62-(iData!AA62-$I62)/$M62),0),IF(iData!AA62&gt;tblIndicators!$AI58,100,IF(ISNUMBER(iData!AA62),100*ABS($G62-(iData!AA62-$I62)/$M62),0)),IF(iData!AA62&lt;0,100,IF(ISNUMBER(iData!AA62),100*ABS($G62-(iData!AA62-$I62)/$M62),0)))</f>
        <v>28.032349274781495</v>
      </c>
      <c r="AI62" s="123" cm="1">
        <f t="array" ref="AI62">CHOOSE($H62,SUMPRODUCT($O63:$O$75*AI63:AI$75*($E63:$E$75=$D62)),IF(ISNUMBER(iData!AB62),100*ABS($G62-(iData!AB62-$K62)/$M62),0),IF(ISNUMBER(iData!AB62),100*ABS($G62-(iData!AB62-$I62)/$M62),0),IF(iData!AB62&gt;tblIndicators!$AI58,100,IF(ISNUMBER(iData!AB62),100*ABS($G62-(iData!AB62-$I62)/$M62),0)),IF(iData!AB62&lt;0,100,IF(ISNUMBER(iData!AB62),100*ABS($G62-(iData!AB62-$I62)/$M62),0)))</f>
        <v>32.82564236104642</v>
      </c>
      <c r="AJ62" s="123" cm="1">
        <f t="array" ref="AJ62">CHOOSE($H62,SUMPRODUCT($O63:$O$75*AJ63:AJ$75*($E63:$E$75=$D62)),IF(ISNUMBER(iData!AC62),100*ABS($G62-(iData!AC62-$K62)/$M62),0),IF(ISNUMBER(iData!AC62),100*ABS($G62-(iData!AC62-$I62)/$M62),0),IF(iData!AC62&gt;tblIndicators!$AI58,100,IF(ISNUMBER(iData!AC62),100*ABS($G62-(iData!AC62-$I62)/$M62),0)),IF(iData!AC62&lt;0,100,IF(ISNUMBER(iData!AC62),100*ABS($G62-(iData!AC62-$I62)/$M62),0)))</f>
        <v>32.893547196653273</v>
      </c>
      <c r="AK62" s="123" cm="1">
        <f t="array" ref="AK62">CHOOSE($H62,SUMPRODUCT($O63:$O$75*AK63:AK$75*($E63:$E$75=$D62)),IF(ISNUMBER(iData!AD62),100*ABS($G62-(iData!AD62-$K62)/$M62),0),IF(ISNUMBER(iData!AD62),100*ABS($G62-(iData!AD62-$I62)/$M62),0),IF(iData!AD62&gt;tblIndicators!$AI58,100,IF(ISNUMBER(iData!AD62),100*ABS($G62-(iData!AD62-$I62)/$M62),0)),IF(iData!AD62&lt;0,100,IF(ISNUMBER(iData!AD62),100*ABS($G62-(iData!AD62-$I62)/$M62),0)))</f>
        <v>76.733876733876727</v>
      </c>
      <c r="AL62" s="123" cm="1">
        <f t="array" ref="AL62">CHOOSE($H62,SUMPRODUCT($O63:$O$75*AL63:AL$75*($E63:$E$75=$D62)),IF(ISNUMBER(iData!AE62),100*ABS($G62-(iData!AE62-$K62)/$M62),0),IF(ISNUMBER(iData!AE62),100*ABS($G62-(iData!AE62-$I62)/$M62),0),IF(iData!AE62&gt;tblIndicators!$AI58,100,IF(ISNUMBER(iData!AE62),100*ABS($G62-(iData!AE62-$I62)/$M62),0)),IF(iData!AE62&lt;0,100,IF(ISNUMBER(iData!AE62),100*ABS($G62-(iData!AE62-$I62)/$M62),0)))</f>
        <v>70.928070928070937</v>
      </c>
      <c r="AM62" s="123" cm="1">
        <f t="array" ref="AM62">CHOOSE($H62,SUMPRODUCT($O63:$O$75*AM63:AM$75*($E63:$E$75=$D62)),IF(ISNUMBER(iData!AF62),100*ABS($G62-(iData!AF62-$K62)/$M62),0),IF(ISNUMBER(iData!AF62),100*ABS($G62-(iData!AF62-$I62)/$M62),0),IF(iData!AF62&gt;tblIndicators!$AI58,100,IF(ISNUMBER(iData!AF62),100*ABS($G62-(iData!AF62-$I62)/$M62),0)),IF(iData!AF62&lt;0,100,IF(ISNUMBER(iData!AF62),100*ABS($G62-(iData!AF62-$I62)/$M62),0)))</f>
        <v>61.748207990640211</v>
      </c>
      <c r="AN62" s="123" cm="1">
        <f t="array" ref="AN62">CHOOSE($H62,SUMPRODUCT($O63:$O$75*AN63:AN$75*($E63:$E$75=$D62)),IF(ISNUMBER(iData!AG62),100*ABS($G62-(iData!AG62-$K62)/$M62),0),IF(ISNUMBER(iData!AG62),100*ABS($G62-(iData!AG62-$I62)/$M62),0),IF(iData!AG62&gt;tblIndicators!$AI58,100,IF(ISNUMBER(iData!AG62),100*ABS($G62-(iData!AG62-$I62)/$M62),0)),IF(iData!AG62&lt;0,100,IF(ISNUMBER(iData!AG62),100*ABS($G62-(iData!AG62-$I62)/$M62),0)))</f>
        <v>48.753049763184009</v>
      </c>
      <c r="AO62" s="123" cm="1">
        <f t="array" ref="AO62">CHOOSE($H62,SUMPRODUCT($O63:$O$75*AO63:AO$75*($E63:$E$75=$D62)),IF(ISNUMBER(iData!AH62),100*ABS($G62-(iData!AH62-$K62)/$M62),0),IF(ISNUMBER(iData!AH62),100*ABS($G62-(iData!AH62-$I62)/$M62),0),IF(iData!AH62&gt;tblIndicators!$AI58,100,IF(ISNUMBER(iData!AH62),100*ABS($G62-(iData!AH62-$I62)/$M62),0)),IF(iData!AH62&lt;0,100,IF(ISNUMBER(iData!AH62),100*ABS($G62-(iData!AH62-$I62)/$M62),0)))</f>
        <v>92.092092092092088</v>
      </c>
      <c r="AP62" s="123" cm="1">
        <f t="array" ref="AP62">CHOOSE($H62,SUMPRODUCT($O63:$O$75*AP63:AP$75*($E63:$E$75=$D62)),IF(ISNUMBER(iData!AI62),100*ABS($G62-(iData!AI62-$K62)/$M62),0),IF(ISNUMBER(iData!AI62),100*ABS($G62-(iData!AI62-$I62)/$M62),0),IF(iData!AI62&gt;tblIndicators!$AI58,100,IF(ISNUMBER(iData!AI62),100*ABS($G62-(iData!AI62-$I62)/$M62),0)),IF(iData!AI62&lt;0,100,IF(ISNUMBER(iData!AI62),100*ABS($G62-(iData!AI62-$I62)/$M62),0)))</f>
        <v>60.782251246847196</v>
      </c>
      <c r="AQ62" s="123" cm="1">
        <f t="array" ref="AQ62">CHOOSE($H62,SUMPRODUCT($O63:$O$75*AQ63:AQ$75*($E63:$E$75=$D62)),IF(ISNUMBER(iData!AJ62),100*ABS($G62-(iData!AJ62-$K62)/$M62),0),IF(ISNUMBER(iData!AJ62),100*ABS($G62-(iData!AJ62-$I62)/$M62),0),IF(iData!AJ62&gt;tblIndicators!$AI58,100,IF(ISNUMBER(iData!AJ62),100*ABS($G62-(iData!AJ62-$I62)/$M62),0)),IF(iData!AJ62&lt;0,100,IF(ISNUMBER(iData!AJ62),100*ABS($G62-(iData!AJ62-$I62)/$M62),0)))</f>
        <v>78.553573785871762</v>
      </c>
      <c r="AR62" s="123" cm="1">
        <f t="array" ref="AR62">CHOOSE($H62,SUMPRODUCT($O63:$O$75*AR63:AR$75*($E63:$E$75=$D62)),IF(ISNUMBER(iData!AK62),100*ABS($G62-(iData!AK62-$K62)/$M62),0),IF(ISNUMBER(iData!AK62),100*ABS($G62-(iData!AK62-$I62)/$M62),0),IF(iData!AK62&gt;tblIndicators!$AI58,100,IF(ISNUMBER(iData!AK62),100*ABS($G62-(iData!AK62-$I62)/$M62),0)),IF(iData!AK62&lt;0,100,IF(ISNUMBER(iData!AK62),100*ABS($G62-(iData!AK62-$I62)/$M62),0)))</f>
        <v>72.232967465265446</v>
      </c>
      <c r="AS62" s="123" cm="1">
        <f t="array" ref="AS62">CHOOSE($H62,SUMPRODUCT($O63:$O$75*AS63:AS$75*($E63:$E$75=$D62)),IF(ISNUMBER(iData!AL62),100*ABS($G62-(iData!AL62-$K62)/$M62),0),IF(ISNUMBER(iData!AL62),100*ABS($G62-(iData!AL62-$I62)/$M62),0),IF(iData!AL62&gt;tblIndicators!$AI58,100,IF(ISNUMBER(iData!AL62),100*ABS($G62-(iData!AL62-$I62)/$M62),0)),IF(iData!AL62&lt;0,100,IF(ISNUMBER(iData!AL62),100*ABS($G62-(iData!AL62-$I62)/$M62),0)))</f>
        <v>90.490490490490487</v>
      </c>
      <c r="AT62" s="123" cm="1">
        <f t="array" ref="AT62">CHOOSE($H62,SUMPRODUCT($O63:$O$75*AT63:AT$75*($E63:$E$75=$D62)),IF(ISNUMBER(iData!AM62),100*ABS($G62-(iData!AM62-$K62)/$M62),0),IF(ISNUMBER(iData!AM62),100*ABS($G62-(iData!AM62-$I62)/$M62),0),IF(iData!AM62&gt;tblIndicators!$AI58,100,IF(ISNUMBER(iData!AM62),100*ABS($G62-(iData!AM62-$I62)/$M62),0)),IF(iData!AM62&lt;0,100,IF(ISNUMBER(iData!AM62),100*ABS($G62-(iData!AM62-$I62)/$M62),0)))</f>
        <v>75.364670596968566</v>
      </c>
      <c r="AU62" s="123" cm="1">
        <f t="array" ref="AU62">CHOOSE($H62,SUMPRODUCT($O63:$O$75*AU63:AU$75*($E63:$E$75=$D62)),IF(ISNUMBER(iData!AN62),100*ABS($G62-(iData!AN62-$K62)/$M62),0),IF(ISNUMBER(iData!AN62),100*ABS($G62-(iData!AN62-$I62)/$M62),0),IF(iData!AN62&gt;tblIndicators!$AI58,100,IF(ISNUMBER(iData!AN62),100*ABS($G62-(iData!AN62-$I62)/$M62),0)),IF(iData!AN62&lt;0,100,IF(ISNUMBER(iData!AN62),100*ABS($G62-(iData!AN62-$I62)/$M62),0)))</f>
        <v>66.319952016845932</v>
      </c>
      <c r="AV62" s="367"/>
      <c r="AW62" s="368"/>
      <c r="AX62" s="14"/>
      <c r="AY62" s="871">
        <f t="shared" si="40"/>
        <v>85.4</v>
      </c>
      <c r="AZ62" s="871">
        <f t="shared" si="41"/>
        <v>68.099999999999994</v>
      </c>
      <c r="BA62" s="871">
        <f t="shared" si="42"/>
        <v>41.3</v>
      </c>
      <c r="BB62" s="871">
        <f t="shared" si="43"/>
        <v>87.3</v>
      </c>
      <c r="BC62" s="871">
        <f t="shared" si="44"/>
        <v>86.8</v>
      </c>
      <c r="BD62" s="871">
        <f t="shared" si="45"/>
        <v>69.599999999999994</v>
      </c>
      <c r="BE62" s="871">
        <f t="shared" si="46"/>
        <v>51.5</v>
      </c>
      <c r="BF62" s="871">
        <f t="shared" si="47"/>
        <v>92.6</v>
      </c>
      <c r="BG62" s="871">
        <f t="shared" si="48"/>
        <v>63.7</v>
      </c>
      <c r="BH62" s="871">
        <f t="shared" si="49"/>
        <v>54.8</v>
      </c>
      <c r="BI62" s="871">
        <f t="shared" si="50"/>
        <v>71.7</v>
      </c>
      <c r="BJ62" s="871">
        <f t="shared" si="51"/>
        <v>72.599999999999994</v>
      </c>
      <c r="BK62" s="871">
        <f t="shared" si="52"/>
        <v>34.700000000000003</v>
      </c>
      <c r="BL62" s="871">
        <f t="shared" si="53"/>
        <v>66</v>
      </c>
      <c r="BM62" s="871">
        <f t="shared" si="54"/>
        <v>85.2</v>
      </c>
      <c r="BN62" s="871">
        <f t="shared" si="55"/>
        <v>69.5</v>
      </c>
      <c r="BO62" s="871">
        <f t="shared" si="56"/>
        <v>28</v>
      </c>
      <c r="BP62" s="871">
        <f t="shared" si="57"/>
        <v>32.799999999999997</v>
      </c>
      <c r="BQ62" s="871">
        <f t="shared" si="58"/>
        <v>32.9</v>
      </c>
      <c r="BR62" s="871">
        <f t="shared" si="59"/>
        <v>76.7</v>
      </c>
      <c r="BS62" s="871">
        <f t="shared" si="60"/>
        <v>70.900000000000006</v>
      </c>
      <c r="BT62" s="871">
        <f t="shared" si="61"/>
        <v>61.7</v>
      </c>
      <c r="BU62" s="871">
        <f t="shared" si="62"/>
        <v>48.8</v>
      </c>
      <c r="BV62" s="871">
        <f t="shared" si="63"/>
        <v>92.1</v>
      </c>
      <c r="BW62" s="871">
        <f t="shared" si="64"/>
        <v>60.8</v>
      </c>
      <c r="BX62" s="871">
        <f t="shared" si="65"/>
        <v>78.599999999999994</v>
      </c>
      <c r="BY62" s="871">
        <f t="shared" si="66"/>
        <v>72.2</v>
      </c>
      <c r="BZ62" s="871">
        <f t="shared" si="67"/>
        <v>90.5</v>
      </c>
      <c r="CA62" s="871">
        <f t="shared" si="68"/>
        <v>75.400000000000006</v>
      </c>
      <c r="CB62" s="871">
        <f t="shared" si="69"/>
        <v>66.3</v>
      </c>
      <c r="CD62" s="304">
        <f t="shared" ca="1" si="108"/>
        <v>66.3</v>
      </c>
      <c r="CE62" s="304">
        <f t="shared" ca="1" si="108"/>
        <v>66.3</v>
      </c>
      <c r="CF62" s="304">
        <f t="shared" ca="1" si="108"/>
        <v>61.2</v>
      </c>
      <c r="CG62" s="302">
        <f t="shared" ca="1" si="108"/>
        <v>76</v>
      </c>
      <c r="CH62" s="302">
        <f t="shared" ca="1" si="108"/>
        <v>44.4</v>
      </c>
      <c r="CI62" s="302">
        <f t="shared" ca="1" si="108"/>
        <v>54.8</v>
      </c>
      <c r="CJ62" s="302">
        <f t="shared" ca="1" si="108"/>
        <v>76.599999999999994</v>
      </c>
      <c r="CK62" s="302">
        <f t="shared" ca="1" si="108"/>
        <v>31.9</v>
      </c>
      <c r="CL62" s="302">
        <f t="shared" ca="1" si="108"/>
        <v>54.5</v>
      </c>
      <c r="CM62" s="302">
        <f t="shared" ca="1" si="108"/>
        <v>74.599999999999994</v>
      </c>
      <c r="CN62" s="302">
        <f t="shared" ca="1" si="105"/>
        <v>72.400000000000006</v>
      </c>
      <c r="CO62" s="302">
        <f t="shared" ca="1" si="105"/>
        <v>72.8</v>
      </c>
      <c r="CP62" s="302">
        <f t="shared" ca="1" si="105"/>
        <v>56.4</v>
      </c>
      <c r="CQ62" s="302">
        <f t="shared" ca="1" si="105"/>
        <v>58.7</v>
      </c>
    </row>
    <row r="63" spans="1:95" s="124" customFormat="1" ht="27.75" customHeight="1" thickBot="1">
      <c r="A63" s="118"/>
      <c r="B63" s="119">
        <f>tblIndicators!A59</f>
        <v>58</v>
      </c>
      <c r="C63" s="119">
        <f>tblIndicators!B59</f>
        <v>0</v>
      </c>
      <c r="D63" s="119" t="str">
        <f>tblIndicators!E59</f>
        <v>SUST4_1</v>
      </c>
      <c r="E63" s="119" t="str">
        <f>tblIndicators!F59</f>
        <v>SUST</v>
      </c>
      <c r="F63" s="119">
        <f>tblIndicators!G59</f>
        <v>2</v>
      </c>
      <c r="G63" s="119">
        <f>tblIndicators!AF59</f>
        <v>0</v>
      </c>
      <c r="H63" s="119">
        <f>tblIndicators!AG59</f>
        <v>1</v>
      </c>
      <c r="I63" s="120">
        <f>tblIndicators!AH59</f>
        <v>0</v>
      </c>
      <c r="J63" s="119">
        <f>tblIndicators!AI59</f>
        <v>0</v>
      </c>
      <c r="K63" s="119">
        <f t="array" ref="K63">MIN(IF(ISNUMBER(iData!K63:AN63),iData!K63:AN63))</f>
        <v>0</v>
      </c>
      <c r="L63" s="121">
        <f t="array" ref="L63">MAX(IF(ISNUMBER(iData!K63:AN63),iData!K63:AN63))</f>
        <v>0</v>
      </c>
      <c r="M63" s="51" t="str">
        <f t="shared" si="106"/>
        <v>-</v>
      </c>
      <c r="N63" s="122" t="str">
        <f>REPT(" ",F63)&amp;tblIndicators!AM59</f>
        <v xml:space="preserve">  4.1) Efficient resource management</v>
      </c>
      <c r="O63" s="381">
        <f>tblIndicators!AR59</f>
        <v>0.27777777777777779</v>
      </c>
      <c r="P63" s="381"/>
      <c r="Q63" s="323"/>
      <c r="R63" s="123" cm="1">
        <f t="array" ref="R63">CHOOSE($H63,SUMPRODUCT($O64:$O$75*R64:R$75*($E64:$E$75=$D63)),IF(ISNUMBER(iData!K63),100*ABS($G63-(iData!K63-$K63)/$M63),0),IF(ISNUMBER(iData!K63),100*ABS($G63-(iData!K63-$I63)/$M63),0),IF(iData!K63&gt;tblIndicators!$AI59,100,IF(ISNUMBER(iData!K63),100*ABS($G63-(iData!K63-$I63)/$M63),0)),IF(iData!K63&lt;0,100,IF(ISNUMBER(iData!K63),100*ABS($G63-(iData!K63-$I63)/$M63),0)))</f>
        <v>87.503290339563051</v>
      </c>
      <c r="S63" s="123" cm="1">
        <f t="array" ref="S63">CHOOSE($H63,SUMPRODUCT($O64:$O$75*S64:S$75*($E64:$E$75=$D63)),IF(ISNUMBER(iData!L63),100*ABS($G63-(iData!L63-$K63)/$M63),0),IF(ISNUMBER(iData!L63),100*ABS($G63-(iData!L63-$I63)/$M63),0),IF(iData!L63&gt;tblIndicators!$AI59,100,IF(ISNUMBER(iData!L63),100*ABS($G63-(iData!L63-$I63)/$M63),0)),IF(iData!L63&lt;0,100,IF(ISNUMBER(iData!L63),100*ABS($G63-(iData!L63-$I63)/$M63),0)))</f>
        <v>87.503290339563051</v>
      </c>
      <c r="T63" s="123" cm="1">
        <f t="array" ref="T63">CHOOSE($H63,SUMPRODUCT($O64:$O$75*T64:T$75*($E64:$E$75=$D63)),IF(ISNUMBER(iData!M63),100*ABS($G63-(iData!M63-$K63)/$M63),0),IF(ISNUMBER(iData!M63),100*ABS($G63-(iData!M63-$I63)/$M63),0),IF(iData!M63&gt;tblIndicators!$AI59,100,IF(ISNUMBER(iData!M63),100*ABS($G63-(iData!M63-$I63)/$M63),0)),IF(iData!M63&lt;0,100,IF(ISNUMBER(iData!M63),100*ABS($G63-(iData!M63-$I63)/$M63),0)))</f>
        <v>62.509871018689132</v>
      </c>
      <c r="U63" s="123" cm="1">
        <f t="array" ref="U63">CHOOSE($H63,SUMPRODUCT($O64:$O$75*U64:U$75*($E64:$E$75=$D63)),IF(ISNUMBER(iData!N63),100*ABS($G63-(iData!N63-$K63)/$M63),0),IF(ISNUMBER(iData!N63),100*ABS($G63-(iData!N63-$I63)/$M63),0),IF(iData!N63&gt;tblIndicators!$AI59,100,IF(ISNUMBER(iData!N63),100*ABS($G63-(iData!N63-$I63)/$M63),0)),IF(iData!N63&lt;0,100,IF(ISNUMBER(iData!N63),100*ABS($G63-(iData!N63-$I63)/$M63),0)))</f>
        <v>100</v>
      </c>
      <c r="V63" s="123" cm="1">
        <f t="array" ref="V63">CHOOSE($H63,SUMPRODUCT($O64:$O$75*V64:V$75*($E64:$E$75=$D63)),IF(ISNUMBER(iData!O63),100*ABS($G63-(iData!O63-$K63)/$M63),0),IF(ISNUMBER(iData!O63),100*ABS($G63-(iData!O63-$I63)/$M63),0),IF(iData!O63&gt;tblIndicators!$AI59,100,IF(ISNUMBER(iData!O63),100*ABS($G63-(iData!O63-$I63)/$M63),0)),IF(iData!O63&lt;0,100,IF(ISNUMBER(iData!O63),100*ABS($G63-(iData!O63-$I63)/$M63),0)))</f>
        <v>100</v>
      </c>
      <c r="W63" s="123" cm="1">
        <f t="array" ref="W63">CHOOSE($H63,SUMPRODUCT($O64:$O$75*W64:W$75*($E64:$E$75=$D63)),IF(ISNUMBER(iData!P63),100*ABS($G63-(iData!P63-$K63)/$M63),0),IF(ISNUMBER(iData!P63),100*ABS($G63-(iData!P63-$I63)/$M63),0),IF(iData!P63&gt;tblIndicators!$AI59,100,IF(ISNUMBER(iData!P63),100*ABS($G63-(iData!P63-$I63)/$M63),0)),IF(iData!P63&lt;0,100,IF(ISNUMBER(iData!P63),100*ABS($G63-(iData!P63-$I63)/$M63),0)))</f>
        <v>87.503290339563051</v>
      </c>
      <c r="X63" s="123" cm="1">
        <f t="array" ref="X63">CHOOSE($H63,SUMPRODUCT($O64:$O$75*X64:X$75*($E64:$E$75=$D63)),IF(ISNUMBER(iData!Q63),100*ABS($G63-(iData!Q63-$K63)/$M63),0),IF(ISNUMBER(iData!Q63),100*ABS($G63-(iData!Q63-$I63)/$M63),0),IF(iData!Q63&gt;tblIndicators!$AI59,100,IF(ISNUMBER(iData!Q63),100*ABS($G63-(iData!Q63-$I63)/$M63),0)),IF(iData!Q63&lt;0,100,IF(ISNUMBER(iData!Q63),100*ABS($G63-(iData!Q63-$I63)/$M63),0)))</f>
        <v>37.490128981310875</v>
      </c>
      <c r="Y63" s="123" cm="1">
        <f t="array" ref="Y63">CHOOSE($H63,SUMPRODUCT($O64:$O$75*Y64:Y$75*($E64:$E$75=$D63)),IF(ISNUMBER(iData!R63),100*ABS($G63-(iData!R63-$K63)/$M63),0),IF(ISNUMBER(iData!R63),100*ABS($G63-(iData!R63-$I63)/$M63),0),IF(iData!R63&gt;tblIndicators!$AI59,100,IF(ISNUMBER(iData!R63),100*ABS($G63-(iData!R63-$I63)/$M63),0)),IF(iData!R63&lt;0,100,IF(ISNUMBER(iData!R63),100*ABS($G63-(iData!R63-$I63)/$M63),0)))</f>
        <v>100</v>
      </c>
      <c r="Z63" s="123" cm="1">
        <f t="array" ref="Z63">CHOOSE($H63,SUMPRODUCT($O64:$O$75*Z64:Z$75*($E64:$E$75=$D63)),IF(ISNUMBER(iData!S63),100*ABS($G63-(iData!S63-$K63)/$M63),0),IF(ISNUMBER(iData!S63),100*ABS($G63-(iData!S63-$I63)/$M63),0),IF(iData!S63&gt;tblIndicators!$AI59,100,IF(ISNUMBER(iData!S63),100*ABS($G63-(iData!S63-$I63)/$M63),0)),IF(iData!S63&lt;0,100,IF(ISNUMBER(iData!S63),100*ABS($G63-(iData!S63-$I63)/$M63),0)))</f>
        <v>66.445117136088442</v>
      </c>
      <c r="AA63" s="123" cm="1">
        <f t="array" ref="AA63">CHOOSE($H63,SUMPRODUCT($O64:$O$75*AA64:AA$75*($E64:$E$75=$D63)),IF(ISNUMBER(iData!T63),100*ABS($G63-(iData!T63-$K63)/$M63),0),IF(ISNUMBER(iData!T63),100*ABS($G63-(iData!T63-$I63)/$M63),0),IF(iData!T63&gt;tblIndicators!$AI59,100,IF(ISNUMBER(iData!T63),100*ABS($G63-(iData!T63-$I63)/$M63),0)),IF(iData!T63&lt;0,100,IF(ISNUMBER(iData!T63),100*ABS($G63-(iData!T63-$I63)/$M63),0)))</f>
        <v>100</v>
      </c>
      <c r="AB63" s="123" cm="1">
        <f t="array" ref="AB63">CHOOSE($H63,SUMPRODUCT($O64:$O$75*AB64:AB$75*($E64:$E$75=$D63)),IF(ISNUMBER(iData!U63),100*ABS($G63-(iData!U63-$K63)/$M63),0),IF(ISNUMBER(iData!U63),100*ABS($G63-(iData!U63-$I63)/$M63),0),IF(iData!U63&gt;tblIndicators!$AI59,100,IF(ISNUMBER(iData!U63),100*ABS($G63-(iData!U63-$I63)/$M63),0)),IF(iData!U63&lt;0,100,IF(ISNUMBER(iData!U63),100*ABS($G63-(iData!U63-$I63)/$M63),0)))</f>
        <v>87.503290339563051</v>
      </c>
      <c r="AC63" s="123" cm="1">
        <f t="array" ref="AC63">CHOOSE($H63,SUMPRODUCT($O64:$O$75*AC64:AC$75*($E64:$E$75=$D63)),IF(ISNUMBER(iData!V63),100*ABS($G63-(iData!V63-$K63)/$M63),0),IF(ISNUMBER(iData!V63),100*ABS($G63-(iData!V63-$I63)/$M63),0),IF(iData!V63&gt;tblIndicators!$AI59,100,IF(ISNUMBER(iData!V63),100*ABS($G63-(iData!V63-$I63)/$M63),0)),IF(iData!V63&lt;0,100,IF(ISNUMBER(iData!V63),100*ABS($G63-(iData!V63-$I63)/$M63),0)))</f>
        <v>100</v>
      </c>
      <c r="AD63" s="123" cm="1">
        <f t="array" ref="AD63">CHOOSE($H63,SUMPRODUCT($O64:$O$75*AD64:AD$75*($E64:$E$75=$D63)),IF(ISNUMBER(iData!W63),100*ABS($G63-(iData!W63-$K63)/$M63),0),IF(ISNUMBER(iData!W63),100*ABS($G63-(iData!W63-$I63)/$M63),0),IF(iData!W63&gt;tblIndicators!$AI59,100,IF(ISNUMBER(iData!W63),100*ABS($G63-(iData!W63-$I63)/$M63),0)),IF(iData!W63&lt;0,100,IF(ISNUMBER(iData!W63),100*ABS($G63-(iData!W63-$I63)/$M63),0)))</f>
        <v>41.45169781521453</v>
      </c>
      <c r="AE63" s="123" cm="1">
        <f t="array" ref="AE63">CHOOSE($H63,SUMPRODUCT($O64:$O$75*AE64:AE$75*($E64:$E$75=$D63)),IF(ISNUMBER(iData!X63),100*ABS($G63-(iData!X63-$K63)/$M63),0),IF(ISNUMBER(iData!X63),100*ABS($G63-(iData!X63-$I63)/$M63),0),IF(iData!X63&gt;tblIndicators!$AI59,100,IF(ISNUMBER(iData!X63),100*ABS($G63-(iData!X63-$I63)/$M63),0)),IF(iData!X63&lt;0,100,IF(ISNUMBER(iData!X63),100*ABS($G63-(iData!X63-$I63)/$M63),0)))</f>
        <v>41.45169781521453</v>
      </c>
      <c r="AF63" s="123" cm="1">
        <f t="array" ref="AF63">CHOOSE($H63,SUMPRODUCT($O64:$O$75*AF64:AF$75*($E64:$E$75=$D63)),IF(ISNUMBER(iData!Y63),100*ABS($G63-(iData!Y63-$K63)/$M63),0),IF(ISNUMBER(iData!Y63),100*ABS($G63-(iData!Y63-$I63)/$M63),0),IF(iData!Y63&gt;tblIndicators!$AI59,100,IF(ISNUMBER(iData!Y63),100*ABS($G63-(iData!Y63-$I63)/$M63),0)),IF(iData!Y63&lt;0,100,IF(ISNUMBER(iData!Y63),100*ABS($G63-(iData!Y63-$I63)/$M63),0)))</f>
        <v>100</v>
      </c>
      <c r="AG63" s="123" cm="1">
        <f t="array" ref="AG63">CHOOSE($H63,SUMPRODUCT($O64:$O$75*AG64:AG$75*($E64:$E$75=$D63)),IF(ISNUMBER(iData!Z63),100*ABS($G63-(iData!Z63-$K63)/$M63),0),IF(ISNUMBER(iData!Z63),100*ABS($G63-(iData!Z63-$I63)/$M63),0),IF(iData!Z63&gt;tblIndicators!$AI59,100,IF(ISNUMBER(iData!Z63),100*ABS($G63-(iData!Z63-$I63)/$M63),0)),IF(iData!Z63&lt;0,100,IF(ISNUMBER(iData!Z63),100*ABS($G63-(iData!Z63-$I63)/$M63),0)))</f>
        <v>66.445117136088442</v>
      </c>
      <c r="AH63" s="123" cm="1">
        <f t="array" ref="AH63">CHOOSE($H63,SUMPRODUCT($O64:$O$75*AH64:AH$75*($E64:$E$75=$D63)),IF(ISNUMBER(iData!AA63),100*ABS($G63-(iData!AA63-$K63)/$M63),0),IF(ISNUMBER(iData!AA63),100*ABS($G63-(iData!AA63-$I63)/$M63),0),IF(iData!AA63&gt;tblIndicators!$AI59,100,IF(ISNUMBER(iData!AA63),100*ABS($G63-(iData!AA63-$I63)/$M63),0)),IF(iData!AA63&lt;0,100,IF(ISNUMBER(iData!AA63),100*ABS($G63-(iData!AA63-$I63)/$M63),0)))</f>
        <v>46.051592524348514</v>
      </c>
      <c r="AI63" s="123" cm="1">
        <f t="array" ref="AI63">CHOOSE($H63,SUMPRODUCT($O64:$O$75*AI64:AI$75*($E64:$E$75=$D63)),IF(ISNUMBER(iData!AB63),100*ABS($G63-(iData!AB63-$K63)/$M63),0),IF(ISNUMBER(iData!AB63),100*ABS($G63-(iData!AB63-$I63)/$M63),0),IF(iData!AB63&gt;tblIndicators!$AI59,100,IF(ISNUMBER(iData!AB63),100*ABS($G63-(iData!AB63-$I63)/$M63),0)),IF(iData!AB63&lt;0,100,IF(ISNUMBER(iData!AB63),100*ABS($G63-(iData!AB63-$I63)/$M63),0)))</f>
        <v>24.993419320873915</v>
      </c>
      <c r="AJ63" s="123" cm="1">
        <f t="array" ref="AJ63">CHOOSE($H63,SUMPRODUCT($O64:$O$75*AJ64:AJ$75*($E64:$E$75=$D63)),IF(ISNUMBER(iData!AC63),100*ABS($G63-(iData!AC63-$K63)/$M63),0),IF(ISNUMBER(iData!AC63),100*ABS($G63-(iData!AC63-$I63)/$M63),0),IF(iData!AC63&gt;tblIndicators!$AI59,100,IF(ISNUMBER(iData!AC63),100*ABS($G63-(iData!AC63-$I63)/$M63),0)),IF(iData!AC63&lt;0,100,IF(ISNUMBER(iData!AC63),100*ABS($G63-(iData!AC63-$I63)/$M63),0)))</f>
        <v>37.490128981310875</v>
      </c>
      <c r="AK63" s="123" cm="1">
        <f t="array" ref="AK63">CHOOSE($H63,SUMPRODUCT($O64:$O$75*AK64:AK$75*($E64:$E$75=$D63)),IF(ISNUMBER(iData!AD63),100*ABS($G63-(iData!AD63-$K63)/$M63),0),IF(ISNUMBER(iData!AD63),100*ABS($G63-(iData!AD63-$I63)/$M63),0),IF(iData!AD63&gt;tblIndicators!$AI59,100,IF(ISNUMBER(iData!AD63),100*ABS($G63-(iData!AD63-$I63)/$M63),0)),IF(iData!AD63&lt;0,100,IF(ISNUMBER(iData!AD63),100*ABS($G63-(iData!AD63-$I63)/$M63),0)))</f>
        <v>100</v>
      </c>
      <c r="AL63" s="123" cm="1">
        <f t="array" ref="AL63">CHOOSE($H63,SUMPRODUCT($O64:$O$75*AL64:AL$75*($E64:$E$75=$D63)),IF(ISNUMBER(iData!AE63),100*ABS($G63-(iData!AE63-$K63)/$M63),0),IF(ISNUMBER(iData!AE63),100*ABS($G63-(iData!AE63-$I63)/$M63),0),IF(iData!AE63&gt;tblIndicators!$AI59,100,IF(ISNUMBER(iData!AE63),100*ABS($G63-(iData!AE63-$I63)/$M63),0)),IF(iData!AE63&lt;0,100,IF(ISNUMBER(iData!AE63),100*ABS($G63-(iData!AE63-$I63)/$M63),0)))</f>
        <v>100</v>
      </c>
      <c r="AM63" s="123" cm="1">
        <f t="array" ref="AM63">CHOOSE($H63,SUMPRODUCT($O64:$O$75*AM64:AM$75*($E64:$E$75=$D63)),IF(ISNUMBER(iData!AF63),100*ABS($G63-(iData!AF63-$K63)/$M63),0),IF(ISNUMBER(iData!AF63),100*ABS($G63-(iData!AF63-$I63)/$M63),0),IF(iData!AF63&gt;tblIndicators!$AI59,100,IF(ISNUMBER(iData!AF63),100*ABS($G63-(iData!AF63-$I63)/$M63),0)),IF(iData!AF63&lt;0,100,IF(ISNUMBER(iData!AF63),100*ABS($G63-(iData!AF63-$I63)/$M63),0)))</f>
        <v>46.051592524348514</v>
      </c>
      <c r="AN63" s="123" cm="1">
        <f t="array" ref="AN63">CHOOSE($H63,SUMPRODUCT($O64:$O$75*AN64:AN$75*($E64:$E$75=$D63)),IF(ISNUMBER(iData!AG63),100*ABS($G63-(iData!AG63-$K63)/$M63),0),IF(ISNUMBER(iData!AG63),100*ABS($G63-(iData!AG63-$I63)/$M63),0),IF(iData!AG63&gt;tblIndicators!$AI59,100,IF(ISNUMBER(iData!AG63),100*ABS($G63-(iData!AG63-$I63)/$M63),0)),IF(iData!AG63&lt;0,100,IF(ISNUMBER(iData!AG63),100*ABS($G63-(iData!AG63-$I63)/$M63),0)))</f>
        <v>58.54830218478547</v>
      </c>
      <c r="AO63" s="123" cm="1">
        <f t="array" ref="AO63">CHOOSE($H63,SUMPRODUCT($O64:$O$75*AO64:AO$75*($E64:$E$75=$D63)),IF(ISNUMBER(iData!AH63),100*ABS($G63-(iData!AH63-$K63)/$M63),0),IF(ISNUMBER(iData!AH63),100*ABS($G63-(iData!AH63-$I63)/$M63),0),IF(iData!AH63&gt;tblIndicators!$AI59,100,IF(ISNUMBER(iData!AH63),100*ABS($G63-(iData!AH63-$I63)/$M63),0)),IF(iData!AH63&lt;0,100,IF(ISNUMBER(iData!AH63),100*ABS($G63-(iData!AH63-$I63)/$M63),0)))</f>
        <v>100</v>
      </c>
      <c r="AP63" s="123" cm="1">
        <f t="array" ref="AP63">CHOOSE($H63,SUMPRODUCT($O64:$O$75*AP64:AP$75*($E64:$E$75=$D63)),IF(ISNUMBER(iData!AI63),100*ABS($G63-(iData!AI63-$K63)/$M63),0),IF(ISNUMBER(iData!AI63),100*ABS($G63-(iData!AI63-$I63)/$M63),0),IF(iData!AI63&gt;tblIndicators!$AI59,100,IF(ISNUMBER(iData!AI63),100*ABS($G63-(iData!AI63-$I63)/$M63),0)),IF(iData!AI63&lt;0,100,IF(ISNUMBER(iData!AI63),100*ABS($G63-(iData!AI63-$I63)/$M63),0)))</f>
        <v>75.006580679126088</v>
      </c>
      <c r="AQ63" s="123" cm="1">
        <f t="array" ref="AQ63">CHOOSE($H63,SUMPRODUCT($O64:$O$75*AQ64:AQ$75*($E64:$E$75=$D63)),IF(ISNUMBER(iData!AJ63),100*ABS($G63-(iData!AJ63-$K63)/$M63),0),IF(ISNUMBER(iData!AJ63),100*ABS($G63-(iData!AJ63-$I63)/$M63),0),IF(iData!AJ63&gt;tblIndicators!$AI59,100,IF(ISNUMBER(iData!AJ63),100*ABS($G63-(iData!AJ63-$I63)/$M63),0)),IF(iData!AJ63&lt;0,100,IF(ISNUMBER(iData!AJ63),100*ABS($G63-(iData!AJ63-$I63)/$M63),0)))</f>
        <v>87.503290339563051</v>
      </c>
      <c r="AR63" s="123" cm="1">
        <f t="array" ref="AR63">CHOOSE($H63,SUMPRODUCT($O64:$O$75*AR64:AR$75*($E64:$E$75=$D63)),IF(ISNUMBER(iData!AK63),100*ABS($G63-(iData!AK63-$K63)/$M63),0),IF(ISNUMBER(iData!AK63),100*ABS($G63-(iData!AK63-$I63)/$M63),0),IF(iData!AK63&gt;tblIndicators!$AI59,100,IF(ISNUMBER(iData!AK63),100*ABS($G63-(iData!AK63-$I63)/$M63),0)),IF(iData!AK63&lt;0,100,IF(ISNUMBER(iData!AK63),100*ABS($G63-(iData!AK63-$I63)/$M63),0)))</f>
        <v>87.503290339563051</v>
      </c>
      <c r="AS63" s="123" cm="1">
        <f t="array" ref="AS63">CHOOSE($H63,SUMPRODUCT($O64:$O$75*AS64:AS$75*($E64:$E$75=$D63)),IF(ISNUMBER(iData!AL63),100*ABS($G63-(iData!AL63-$K63)/$M63),0),IF(ISNUMBER(iData!AL63),100*ABS($G63-(iData!AL63-$I63)/$M63),0),IF(iData!AL63&gt;tblIndicators!$AI59,100,IF(ISNUMBER(iData!AL63),100*ABS($G63-(iData!AL63-$I63)/$M63),0)),IF(iData!AL63&lt;0,100,IF(ISNUMBER(iData!AL63),100*ABS($G63-(iData!AL63-$I63)/$M63),0)))</f>
        <v>100</v>
      </c>
      <c r="AT63" s="123" cm="1">
        <f t="array" ref="AT63">CHOOSE($H63,SUMPRODUCT($O64:$O$75*AT64:AT$75*($E64:$E$75=$D63)),IF(ISNUMBER(iData!AM63),100*ABS($G63-(iData!AM63-$K63)/$M63),0),IF(ISNUMBER(iData!AM63),100*ABS($G63-(iData!AM63-$I63)/$M63),0),IF(iData!AM63&gt;tblIndicators!$AI59,100,IF(ISNUMBER(iData!AM63),100*ABS($G63-(iData!AM63-$I63)/$M63),0)),IF(iData!AM63&lt;0,100,IF(ISNUMBER(iData!AM63),100*ABS($G63-(iData!AM63-$I63)/$M63),0)))</f>
        <v>87.503290339563051</v>
      </c>
      <c r="AU63" s="123" cm="1">
        <f t="array" ref="AU63">CHOOSE($H63,SUMPRODUCT($O64:$O$75*AU64:AU$75*($E64:$E$75=$D63)),IF(ISNUMBER(iData!AN63),100*ABS($G63-(iData!AN63-$K63)/$M63),0),IF(ISNUMBER(iData!AN63),100*ABS($G63-(iData!AN63-$I63)/$M63),0),IF(iData!AN63&gt;tblIndicators!$AI59,100,IF(ISNUMBER(iData!AN63),100*ABS($G63-(iData!AN63-$I63)/$M63),0)),IF(iData!AN63&lt;0,100,IF(ISNUMBER(iData!AN63),100*ABS($G63-(iData!AN63-$I63)/$M63),0)))</f>
        <v>62.509871018689132</v>
      </c>
      <c r="AV63" s="367"/>
      <c r="AW63" s="368"/>
      <c r="AX63" s="14"/>
      <c r="AY63" s="871">
        <f t="shared" si="40"/>
        <v>87.5</v>
      </c>
      <c r="AZ63" s="871">
        <f t="shared" si="41"/>
        <v>87.5</v>
      </c>
      <c r="BA63" s="871">
        <f t="shared" si="42"/>
        <v>62.5</v>
      </c>
      <c r="BB63" s="871">
        <f t="shared" si="43"/>
        <v>100</v>
      </c>
      <c r="BC63" s="871">
        <f t="shared" si="44"/>
        <v>100</v>
      </c>
      <c r="BD63" s="871">
        <f t="shared" si="45"/>
        <v>87.5</v>
      </c>
      <c r="BE63" s="871">
        <f t="shared" si="46"/>
        <v>37.5</v>
      </c>
      <c r="BF63" s="871">
        <f t="shared" si="47"/>
        <v>100</v>
      </c>
      <c r="BG63" s="871">
        <f t="shared" si="48"/>
        <v>66.400000000000006</v>
      </c>
      <c r="BH63" s="871">
        <f t="shared" si="49"/>
        <v>100</v>
      </c>
      <c r="BI63" s="871">
        <f t="shared" si="50"/>
        <v>87.5</v>
      </c>
      <c r="BJ63" s="871">
        <f t="shared" si="51"/>
        <v>100</v>
      </c>
      <c r="BK63" s="871">
        <f t="shared" si="52"/>
        <v>41.5</v>
      </c>
      <c r="BL63" s="871">
        <f t="shared" si="53"/>
        <v>41.5</v>
      </c>
      <c r="BM63" s="871">
        <f t="shared" si="54"/>
        <v>100</v>
      </c>
      <c r="BN63" s="871">
        <f t="shared" si="55"/>
        <v>66.400000000000006</v>
      </c>
      <c r="BO63" s="871">
        <f t="shared" si="56"/>
        <v>46.1</v>
      </c>
      <c r="BP63" s="871">
        <f t="shared" si="57"/>
        <v>25</v>
      </c>
      <c r="BQ63" s="871">
        <f t="shared" si="58"/>
        <v>37.5</v>
      </c>
      <c r="BR63" s="871">
        <f t="shared" si="59"/>
        <v>100</v>
      </c>
      <c r="BS63" s="871">
        <f t="shared" si="60"/>
        <v>100</v>
      </c>
      <c r="BT63" s="871">
        <f t="shared" si="61"/>
        <v>46.1</v>
      </c>
      <c r="BU63" s="871">
        <f t="shared" si="62"/>
        <v>58.5</v>
      </c>
      <c r="BV63" s="871">
        <f t="shared" si="63"/>
        <v>100</v>
      </c>
      <c r="BW63" s="871">
        <f t="shared" si="64"/>
        <v>75</v>
      </c>
      <c r="BX63" s="871">
        <f t="shared" si="65"/>
        <v>87.5</v>
      </c>
      <c r="BY63" s="871">
        <f t="shared" si="66"/>
        <v>87.5</v>
      </c>
      <c r="BZ63" s="871">
        <f t="shared" si="67"/>
        <v>100</v>
      </c>
      <c r="CA63" s="871">
        <f t="shared" si="68"/>
        <v>87.5</v>
      </c>
      <c r="CB63" s="871">
        <f t="shared" si="69"/>
        <v>62.5</v>
      </c>
      <c r="CD63" s="304">
        <f t="shared" ca="1" si="108"/>
        <v>76</v>
      </c>
      <c r="CE63" s="304">
        <f t="shared" ca="1" si="108"/>
        <v>76</v>
      </c>
      <c r="CF63" s="304">
        <f t="shared" ca="1" si="108"/>
        <v>72.2</v>
      </c>
      <c r="CG63" s="302">
        <f t="shared" ca="1" si="108"/>
        <v>83.8</v>
      </c>
      <c r="CH63" s="302">
        <f t="shared" ca="1" si="108"/>
        <v>40.299999999999997</v>
      </c>
      <c r="CI63" s="302">
        <f t="shared" ca="1" si="108"/>
        <v>100</v>
      </c>
      <c r="CJ63" s="302">
        <f t="shared" ca="1" si="108"/>
        <v>88.5</v>
      </c>
      <c r="CK63" s="302">
        <f t="shared" ca="1" si="108"/>
        <v>41.7</v>
      </c>
      <c r="CL63" s="302">
        <f t="shared" ca="1" si="108"/>
        <v>54.2</v>
      </c>
      <c r="CM63" s="302">
        <f t="shared" ca="1" si="108"/>
        <v>87.1</v>
      </c>
      <c r="CN63" s="302">
        <f t="shared" ca="1" si="105"/>
        <v>82.3</v>
      </c>
      <c r="CO63" s="302">
        <f t="shared" ca="1" si="105"/>
        <v>80.5</v>
      </c>
      <c r="CP63" s="302">
        <f t="shared" ca="1" si="105"/>
        <v>77.2</v>
      </c>
      <c r="CQ63" s="302">
        <f t="shared" ca="1" si="105"/>
        <v>65.3</v>
      </c>
    </row>
    <row r="64" spans="1:95" s="124" customFormat="1" ht="27.75" customHeight="1" thickBot="1">
      <c r="A64" s="118"/>
      <c r="B64" s="119">
        <f>tblIndicators!A60</f>
        <v>59</v>
      </c>
      <c r="C64" s="119">
        <f>tblIndicators!B60</f>
        <v>0</v>
      </c>
      <c r="D64" s="119" t="str">
        <f>tblIndicators!E60</f>
        <v>SUST4_1_1</v>
      </c>
      <c r="E64" s="119" t="str">
        <f>tblIndicators!F60</f>
        <v>SUST4_1</v>
      </c>
      <c r="F64" s="119">
        <f>tblIndicators!G60</f>
        <v>3</v>
      </c>
      <c r="G64" s="119">
        <f>tblIndicators!AF60</f>
        <v>0</v>
      </c>
      <c r="H64" s="119">
        <f>tblIndicators!AG60</f>
        <v>3</v>
      </c>
      <c r="I64" s="120">
        <f>tblIndicators!AH60</f>
        <v>0</v>
      </c>
      <c r="J64" s="119">
        <f>tblIndicators!AI60</f>
        <v>4</v>
      </c>
      <c r="K64" s="119">
        <f t="array" ref="K64">MIN(IF(ISNUMBER(iData!K64:AN64),iData!K64:AN64))</f>
        <v>1</v>
      </c>
      <c r="L64" s="121">
        <f t="array" ref="L64">MAX(IF(ISNUMBER(iData!K64:AN64),iData!K64:AN64))</f>
        <v>4</v>
      </c>
      <c r="M64" s="51">
        <f t="shared" si="106"/>
        <v>4</v>
      </c>
      <c r="N64" s="122" t="str">
        <f>REPT(" ",F64)&amp;tblIndicators!AM60</f>
        <v xml:space="preserve">   4.1.1) Smart utility management</v>
      </c>
      <c r="O64" s="381">
        <f>tblIndicators!AR60</f>
        <v>0.49986838641747833</v>
      </c>
      <c r="P64" s="381"/>
      <c r="Q64" s="323"/>
      <c r="R64" s="123" cm="1">
        <f t="array" ref="R64">CHOOSE($H64,SUMPRODUCT($O65:$O$75*R65:R$75*($E65:$E$75=$D64)),IF(ISNUMBER(iData!K64),100*ABS($G64-(iData!K64-$K64)/$M64),0),IF(ISNUMBER(iData!K64),100*ABS($G64-(iData!K64-$I64)/$M64),0),IF(iData!K64&gt;tblIndicators!$AI60,100,IF(ISNUMBER(iData!K64),100*ABS($G64-(iData!K64-$I64)/$M64),0)),IF(iData!K64&lt;0,100,IF(ISNUMBER(iData!K64),100*ABS($G64-(iData!K64-$I64)/$M64),0)))</f>
        <v>75</v>
      </c>
      <c r="S64" s="123" cm="1">
        <f t="array" ref="S64">CHOOSE($H64,SUMPRODUCT($O65:$O$75*S65:S$75*($E65:$E$75=$D64)),IF(ISNUMBER(iData!L64),100*ABS($G64-(iData!L64-$K64)/$M64),0),IF(ISNUMBER(iData!L64),100*ABS($G64-(iData!L64-$I64)/$M64),0),IF(iData!L64&gt;tblIndicators!$AI60,100,IF(ISNUMBER(iData!L64),100*ABS($G64-(iData!L64-$I64)/$M64),0)),IF(iData!L64&lt;0,100,IF(ISNUMBER(iData!L64),100*ABS($G64-(iData!L64-$I64)/$M64),0)))</f>
        <v>75</v>
      </c>
      <c r="T64" s="123" cm="1">
        <f t="array" ref="T64">CHOOSE($H64,SUMPRODUCT($O65:$O$75*T65:T$75*($E65:$E$75=$D64)),IF(ISNUMBER(iData!M64),100*ABS($G64-(iData!M64-$K64)/$M64),0),IF(ISNUMBER(iData!M64),100*ABS($G64-(iData!M64-$I64)/$M64),0),IF(iData!M64&gt;tblIndicators!$AI60,100,IF(ISNUMBER(iData!M64),100*ABS($G64-(iData!M64-$I64)/$M64),0)),IF(iData!M64&lt;0,100,IF(ISNUMBER(iData!M64),100*ABS($G64-(iData!M64-$I64)/$M64),0)))</f>
        <v>25</v>
      </c>
      <c r="U64" s="123" cm="1">
        <f t="array" ref="U64">CHOOSE($H64,SUMPRODUCT($O65:$O$75*U65:U$75*($E65:$E$75=$D64)),IF(ISNUMBER(iData!N64),100*ABS($G64-(iData!N64-$K64)/$M64),0),IF(ISNUMBER(iData!N64),100*ABS($G64-(iData!N64-$I64)/$M64),0),IF(iData!N64&gt;tblIndicators!$AI60,100,IF(ISNUMBER(iData!N64),100*ABS($G64-(iData!N64-$I64)/$M64),0)),IF(iData!N64&lt;0,100,IF(ISNUMBER(iData!N64),100*ABS($G64-(iData!N64-$I64)/$M64),0)))</f>
        <v>100</v>
      </c>
      <c r="V64" s="123" cm="1">
        <f t="array" ref="V64">CHOOSE($H64,SUMPRODUCT($O65:$O$75*V65:V$75*($E65:$E$75=$D64)),IF(ISNUMBER(iData!O64),100*ABS($G64-(iData!O64-$K64)/$M64),0),IF(ISNUMBER(iData!O64),100*ABS($G64-(iData!O64-$I64)/$M64),0),IF(iData!O64&gt;tblIndicators!$AI60,100,IF(ISNUMBER(iData!O64),100*ABS($G64-(iData!O64-$I64)/$M64),0)),IF(iData!O64&lt;0,100,IF(ISNUMBER(iData!O64),100*ABS($G64-(iData!O64-$I64)/$M64),0)))</f>
        <v>100</v>
      </c>
      <c r="W64" s="123" cm="1">
        <f t="array" ref="W64">CHOOSE($H64,SUMPRODUCT($O65:$O$75*W65:W$75*($E65:$E$75=$D64)),IF(ISNUMBER(iData!P64),100*ABS($G64-(iData!P64-$K64)/$M64),0),IF(ISNUMBER(iData!P64),100*ABS($G64-(iData!P64-$I64)/$M64),0),IF(iData!P64&gt;tblIndicators!$AI60,100,IF(ISNUMBER(iData!P64),100*ABS($G64-(iData!P64-$I64)/$M64),0)),IF(iData!P64&lt;0,100,IF(ISNUMBER(iData!P64),100*ABS($G64-(iData!P64-$I64)/$M64),0)))</f>
        <v>75</v>
      </c>
      <c r="X64" s="123" cm="1">
        <f t="array" ref="X64">CHOOSE($H64,SUMPRODUCT($O65:$O$75*X65:X$75*($E65:$E$75=$D64)),IF(ISNUMBER(iData!Q64),100*ABS($G64-(iData!Q64-$K64)/$M64),0),IF(ISNUMBER(iData!Q64),100*ABS($G64-(iData!Q64-$I64)/$M64),0),IF(iData!Q64&gt;tblIndicators!$AI60,100,IF(ISNUMBER(iData!Q64),100*ABS($G64-(iData!Q64-$I64)/$M64),0)),IF(iData!Q64&lt;0,100,IF(ISNUMBER(iData!Q64),100*ABS($G64-(iData!Q64-$I64)/$M64),0)))</f>
        <v>75</v>
      </c>
      <c r="Y64" s="123" cm="1">
        <f t="array" ref="Y64">CHOOSE($H64,SUMPRODUCT($O65:$O$75*Y65:Y$75*($E65:$E$75=$D64)),IF(ISNUMBER(iData!R64),100*ABS($G64-(iData!R64-$K64)/$M64),0),IF(ISNUMBER(iData!R64),100*ABS($G64-(iData!R64-$I64)/$M64),0),IF(iData!R64&gt;tblIndicators!$AI60,100,IF(ISNUMBER(iData!R64),100*ABS($G64-(iData!R64-$I64)/$M64),0)),IF(iData!R64&lt;0,100,IF(ISNUMBER(iData!R64),100*ABS($G64-(iData!R64-$I64)/$M64),0)))</f>
        <v>100</v>
      </c>
      <c r="Z64" s="123" cm="1">
        <f t="array" ref="Z64">CHOOSE($H64,SUMPRODUCT($O65:$O$75*Z65:Z$75*($E65:$E$75=$D64)),IF(ISNUMBER(iData!S64),100*ABS($G64-(iData!S64-$K64)/$M64),0),IF(ISNUMBER(iData!S64),100*ABS($G64-(iData!S64-$I64)/$M64),0),IF(iData!S64&gt;tblIndicators!$AI60,100,IF(ISNUMBER(iData!S64),100*ABS($G64-(iData!S64-$I64)/$M64),0)),IF(iData!S64&lt;0,100,IF(ISNUMBER(iData!S64),100*ABS($G64-(iData!S64-$I64)/$M64),0)))</f>
        <v>75</v>
      </c>
      <c r="AA64" s="123" cm="1">
        <f t="array" ref="AA64">CHOOSE($H64,SUMPRODUCT($O65:$O$75*AA65:AA$75*($E65:$E$75=$D64)),IF(ISNUMBER(iData!T64),100*ABS($G64-(iData!T64-$K64)/$M64),0),IF(ISNUMBER(iData!T64),100*ABS($G64-(iData!T64-$I64)/$M64),0),IF(iData!T64&gt;tblIndicators!$AI60,100,IF(ISNUMBER(iData!T64),100*ABS($G64-(iData!T64-$I64)/$M64),0)),IF(iData!T64&lt;0,100,IF(ISNUMBER(iData!T64),100*ABS($G64-(iData!T64-$I64)/$M64),0)))</f>
        <v>100</v>
      </c>
      <c r="AB64" s="123" cm="1">
        <f t="array" ref="AB64">CHOOSE($H64,SUMPRODUCT($O65:$O$75*AB65:AB$75*($E65:$E$75=$D64)),IF(ISNUMBER(iData!U64),100*ABS($G64-(iData!U64-$K64)/$M64),0),IF(ISNUMBER(iData!U64),100*ABS($G64-(iData!U64-$I64)/$M64),0),IF(iData!U64&gt;tblIndicators!$AI60,100,IF(ISNUMBER(iData!U64),100*ABS($G64-(iData!U64-$I64)/$M64),0)),IF(iData!U64&lt;0,100,IF(ISNUMBER(iData!U64),100*ABS($G64-(iData!U64-$I64)/$M64),0)))</f>
        <v>75</v>
      </c>
      <c r="AC64" s="123" cm="1">
        <f t="array" ref="AC64">CHOOSE($H64,SUMPRODUCT($O65:$O$75*AC65:AC$75*($E65:$E$75=$D64)),IF(ISNUMBER(iData!V64),100*ABS($G64-(iData!V64-$K64)/$M64),0),IF(ISNUMBER(iData!V64),100*ABS($G64-(iData!V64-$I64)/$M64),0),IF(iData!V64&gt;tblIndicators!$AI60,100,IF(ISNUMBER(iData!V64),100*ABS($G64-(iData!V64-$I64)/$M64),0)),IF(iData!V64&lt;0,100,IF(ISNUMBER(iData!V64),100*ABS($G64-(iData!V64-$I64)/$M64),0)))</f>
        <v>100</v>
      </c>
      <c r="AD64" s="123" cm="1">
        <f t="array" ref="AD64">CHOOSE($H64,SUMPRODUCT($O65:$O$75*AD65:AD$75*($E65:$E$75=$D64)),IF(ISNUMBER(iData!W64),100*ABS($G64-(iData!W64-$K64)/$M64),0),IF(ISNUMBER(iData!W64),100*ABS($G64-(iData!W64-$I64)/$M64),0),IF(iData!W64&gt;tblIndicators!$AI60,100,IF(ISNUMBER(iData!W64),100*ABS($G64-(iData!W64-$I64)/$M64),0)),IF(iData!W64&lt;0,100,IF(ISNUMBER(iData!W64),100*ABS($G64-(iData!W64-$I64)/$M64),0)))</f>
        <v>25</v>
      </c>
      <c r="AE64" s="123" cm="1">
        <f t="array" ref="AE64">CHOOSE($H64,SUMPRODUCT($O65:$O$75*AE65:AE$75*($E65:$E$75=$D64)),IF(ISNUMBER(iData!X64),100*ABS($G64-(iData!X64-$K64)/$M64),0),IF(ISNUMBER(iData!X64),100*ABS($G64-(iData!X64-$I64)/$M64),0),IF(iData!X64&gt;tblIndicators!$AI60,100,IF(ISNUMBER(iData!X64),100*ABS($G64-(iData!X64-$I64)/$M64),0)),IF(iData!X64&lt;0,100,IF(ISNUMBER(iData!X64),100*ABS($G64-(iData!X64-$I64)/$M64),0)))</f>
        <v>25</v>
      </c>
      <c r="AF64" s="123" cm="1">
        <f t="array" ref="AF64">CHOOSE($H64,SUMPRODUCT($O65:$O$75*AF65:AF$75*($E65:$E$75=$D64)),IF(ISNUMBER(iData!Y64),100*ABS($G64-(iData!Y64-$K64)/$M64),0),IF(ISNUMBER(iData!Y64),100*ABS($G64-(iData!Y64-$I64)/$M64),0),IF(iData!Y64&gt;tblIndicators!$AI60,100,IF(ISNUMBER(iData!Y64),100*ABS($G64-(iData!Y64-$I64)/$M64),0)),IF(iData!Y64&lt;0,100,IF(ISNUMBER(iData!Y64),100*ABS($G64-(iData!Y64-$I64)/$M64),0)))</f>
        <v>100</v>
      </c>
      <c r="AG64" s="123" cm="1">
        <f t="array" ref="AG64">CHOOSE($H64,SUMPRODUCT($O65:$O$75*AG65:AG$75*($E65:$E$75=$D64)),IF(ISNUMBER(iData!Z64),100*ABS($G64-(iData!Z64-$K64)/$M64),0),IF(ISNUMBER(iData!Z64),100*ABS($G64-(iData!Z64-$I64)/$M64),0),IF(iData!Z64&gt;tblIndicators!$AI60,100,IF(ISNUMBER(iData!Z64),100*ABS($G64-(iData!Z64-$I64)/$M64),0)),IF(iData!Z64&lt;0,100,IF(ISNUMBER(iData!Z64),100*ABS($G64-(iData!Z64-$I64)/$M64),0)))</f>
        <v>75</v>
      </c>
      <c r="AH64" s="123" cm="1">
        <f t="array" ref="AH64">CHOOSE($H64,SUMPRODUCT($O65:$O$75*AH65:AH$75*($E65:$E$75=$D64)),IF(ISNUMBER(iData!AA64),100*ABS($G64-(iData!AA64-$K64)/$M64),0),IF(ISNUMBER(iData!AA64),100*ABS($G64-(iData!AA64-$I64)/$M64),0),IF(iData!AA64&gt;tblIndicators!$AI60,100,IF(ISNUMBER(iData!AA64),100*ABS($G64-(iData!AA64-$I64)/$M64),0)),IF(iData!AA64&lt;0,100,IF(ISNUMBER(iData!AA64),100*ABS($G64-(iData!AA64-$I64)/$M64),0)))</f>
        <v>50</v>
      </c>
      <c r="AI64" s="123" cm="1">
        <f t="array" ref="AI64">CHOOSE($H64,SUMPRODUCT($O65:$O$75*AI65:AI$75*($E65:$E$75=$D64)),IF(ISNUMBER(iData!AB64),100*ABS($G64-(iData!AB64-$K64)/$M64),0),IF(ISNUMBER(iData!AB64),100*ABS($G64-(iData!AB64-$I64)/$M64),0),IF(iData!AB64&gt;tblIndicators!$AI60,100,IF(ISNUMBER(iData!AB64),100*ABS($G64-(iData!AB64-$I64)/$M64),0)),IF(iData!AB64&lt;0,100,IF(ISNUMBER(iData!AB64),100*ABS($G64-(iData!AB64-$I64)/$M64),0)))</f>
        <v>50</v>
      </c>
      <c r="AJ64" s="123" cm="1">
        <f t="array" ref="AJ64">CHOOSE($H64,SUMPRODUCT($O65:$O$75*AJ65:AJ$75*($E65:$E$75=$D64)),IF(ISNUMBER(iData!AC64),100*ABS($G64-(iData!AC64-$K64)/$M64),0),IF(ISNUMBER(iData!AC64),100*ABS($G64-(iData!AC64-$I64)/$M64),0),IF(iData!AC64&gt;tblIndicators!$AI60,100,IF(ISNUMBER(iData!AC64),100*ABS($G64-(iData!AC64-$I64)/$M64),0)),IF(iData!AC64&lt;0,100,IF(ISNUMBER(iData!AC64),100*ABS($G64-(iData!AC64-$I64)/$M64),0)))</f>
        <v>75</v>
      </c>
      <c r="AK64" s="123" cm="1">
        <f t="array" ref="AK64">CHOOSE($H64,SUMPRODUCT($O65:$O$75*AK65:AK$75*($E65:$E$75=$D64)),IF(ISNUMBER(iData!AD64),100*ABS($G64-(iData!AD64-$K64)/$M64),0),IF(ISNUMBER(iData!AD64),100*ABS($G64-(iData!AD64-$I64)/$M64),0),IF(iData!AD64&gt;tblIndicators!$AI60,100,IF(ISNUMBER(iData!AD64),100*ABS($G64-(iData!AD64-$I64)/$M64),0)),IF(iData!AD64&lt;0,100,IF(ISNUMBER(iData!AD64),100*ABS($G64-(iData!AD64-$I64)/$M64),0)))</f>
        <v>100</v>
      </c>
      <c r="AL64" s="123" cm="1">
        <f t="array" ref="AL64">CHOOSE($H64,SUMPRODUCT($O65:$O$75*AL65:AL$75*($E65:$E$75=$D64)),IF(ISNUMBER(iData!AE64),100*ABS($G64-(iData!AE64-$K64)/$M64),0),IF(ISNUMBER(iData!AE64),100*ABS($G64-(iData!AE64-$I64)/$M64),0),IF(iData!AE64&gt;tblIndicators!$AI60,100,IF(ISNUMBER(iData!AE64),100*ABS($G64-(iData!AE64-$I64)/$M64),0)),IF(iData!AE64&lt;0,100,IF(ISNUMBER(iData!AE64),100*ABS($G64-(iData!AE64-$I64)/$M64),0)))</f>
        <v>100</v>
      </c>
      <c r="AM64" s="123" cm="1">
        <f t="array" ref="AM64">CHOOSE($H64,SUMPRODUCT($O65:$O$75*AM65:AM$75*($E65:$E$75=$D64)),IF(ISNUMBER(iData!AF64),100*ABS($G64-(iData!AF64-$K64)/$M64),0),IF(ISNUMBER(iData!AF64),100*ABS($G64-(iData!AF64-$I64)/$M64),0),IF(iData!AF64&gt;tblIndicators!$AI60,100,IF(ISNUMBER(iData!AF64),100*ABS($G64-(iData!AF64-$I64)/$M64),0)),IF(iData!AF64&lt;0,100,IF(ISNUMBER(iData!AF64),100*ABS($G64-(iData!AF64-$I64)/$M64),0)))</f>
        <v>50</v>
      </c>
      <c r="AN64" s="123" cm="1">
        <f t="array" ref="AN64">CHOOSE($H64,SUMPRODUCT($O65:$O$75*AN65:AN$75*($E65:$E$75=$D64)),IF(ISNUMBER(iData!AG64),100*ABS($G64-(iData!AG64-$K64)/$M64),0),IF(ISNUMBER(iData!AG64),100*ABS($G64-(iData!AG64-$I64)/$M64),0),IF(iData!AG64&gt;tblIndicators!$AI60,100,IF(ISNUMBER(iData!AG64),100*ABS($G64-(iData!AG64-$I64)/$M64),0)),IF(iData!AG64&lt;0,100,IF(ISNUMBER(iData!AG64),100*ABS($G64-(iData!AG64-$I64)/$M64),0)))</f>
        <v>75</v>
      </c>
      <c r="AO64" s="123" cm="1">
        <f t="array" ref="AO64">CHOOSE($H64,SUMPRODUCT($O65:$O$75*AO65:AO$75*($E65:$E$75=$D64)),IF(ISNUMBER(iData!AH64),100*ABS($G64-(iData!AH64-$K64)/$M64),0),IF(ISNUMBER(iData!AH64),100*ABS($G64-(iData!AH64-$I64)/$M64),0),IF(iData!AH64&gt;tblIndicators!$AI60,100,IF(ISNUMBER(iData!AH64),100*ABS($G64-(iData!AH64-$I64)/$M64),0)),IF(iData!AH64&lt;0,100,IF(ISNUMBER(iData!AH64),100*ABS($G64-(iData!AH64-$I64)/$M64),0)))</f>
        <v>100</v>
      </c>
      <c r="AP64" s="123" cm="1">
        <f t="array" ref="AP64">CHOOSE($H64,SUMPRODUCT($O65:$O$75*AP65:AP$75*($E65:$E$75=$D64)),IF(ISNUMBER(iData!AI64),100*ABS($G64-(iData!AI64-$K64)/$M64),0),IF(ISNUMBER(iData!AI64),100*ABS($G64-(iData!AI64-$I64)/$M64),0),IF(iData!AI64&gt;tblIndicators!$AI60,100,IF(ISNUMBER(iData!AI64),100*ABS($G64-(iData!AI64-$I64)/$M64),0)),IF(iData!AI64&lt;0,100,IF(ISNUMBER(iData!AI64),100*ABS($G64-(iData!AI64-$I64)/$M64),0)))</f>
        <v>50</v>
      </c>
      <c r="AQ64" s="123" cm="1">
        <f t="array" ref="AQ64">CHOOSE($H64,SUMPRODUCT($O65:$O$75*AQ65:AQ$75*($E65:$E$75=$D64)),IF(ISNUMBER(iData!AJ64),100*ABS($G64-(iData!AJ64-$K64)/$M64),0),IF(ISNUMBER(iData!AJ64),100*ABS($G64-(iData!AJ64-$I64)/$M64),0),IF(iData!AJ64&gt;tblIndicators!$AI60,100,IF(ISNUMBER(iData!AJ64),100*ABS($G64-(iData!AJ64-$I64)/$M64),0)),IF(iData!AJ64&lt;0,100,IF(ISNUMBER(iData!AJ64),100*ABS($G64-(iData!AJ64-$I64)/$M64),0)))</f>
        <v>75</v>
      </c>
      <c r="AR64" s="123" cm="1">
        <f t="array" ref="AR64">CHOOSE($H64,SUMPRODUCT($O65:$O$75*AR65:AR$75*($E65:$E$75=$D64)),IF(ISNUMBER(iData!AK64),100*ABS($G64-(iData!AK64-$K64)/$M64),0),IF(ISNUMBER(iData!AK64),100*ABS($G64-(iData!AK64-$I64)/$M64),0),IF(iData!AK64&gt;tblIndicators!$AI60,100,IF(ISNUMBER(iData!AK64),100*ABS($G64-(iData!AK64-$I64)/$M64),0)),IF(iData!AK64&lt;0,100,IF(ISNUMBER(iData!AK64),100*ABS($G64-(iData!AK64-$I64)/$M64),0)))</f>
        <v>75</v>
      </c>
      <c r="AS64" s="123" cm="1">
        <f t="array" ref="AS64">CHOOSE($H64,SUMPRODUCT($O65:$O$75*AS65:AS$75*($E65:$E$75=$D64)),IF(ISNUMBER(iData!AL64),100*ABS($G64-(iData!AL64-$K64)/$M64),0),IF(ISNUMBER(iData!AL64),100*ABS($G64-(iData!AL64-$I64)/$M64),0),IF(iData!AL64&gt;tblIndicators!$AI60,100,IF(ISNUMBER(iData!AL64),100*ABS($G64-(iData!AL64-$I64)/$M64),0)),IF(iData!AL64&lt;0,100,IF(ISNUMBER(iData!AL64),100*ABS($G64-(iData!AL64-$I64)/$M64),0)))</f>
        <v>100</v>
      </c>
      <c r="AT64" s="123" cm="1">
        <f t="array" ref="AT64">CHOOSE($H64,SUMPRODUCT($O65:$O$75*AT65:AT$75*($E65:$E$75=$D64)),IF(ISNUMBER(iData!AM64),100*ABS($G64-(iData!AM64-$K64)/$M64),0),IF(ISNUMBER(iData!AM64),100*ABS($G64-(iData!AM64-$I64)/$M64),0),IF(iData!AM64&gt;tblIndicators!$AI60,100,IF(ISNUMBER(iData!AM64),100*ABS($G64-(iData!AM64-$I64)/$M64),0)),IF(iData!AM64&lt;0,100,IF(ISNUMBER(iData!AM64),100*ABS($G64-(iData!AM64-$I64)/$M64),0)))</f>
        <v>75</v>
      </c>
      <c r="AU64" s="123" cm="1">
        <f t="array" ref="AU64">CHOOSE($H64,SUMPRODUCT($O65:$O$75*AU65:AU$75*($E65:$E$75=$D64)),IF(ISNUMBER(iData!AN64),100*ABS($G64-(iData!AN64-$K64)/$M64),0),IF(ISNUMBER(iData!AN64),100*ABS($G64-(iData!AN64-$I64)/$M64),0),IF(iData!AN64&gt;tblIndicators!$AI60,100,IF(ISNUMBER(iData!AN64),100*ABS($G64-(iData!AN64-$I64)/$M64),0)),IF(iData!AN64&lt;0,100,IF(ISNUMBER(iData!AN64),100*ABS($G64-(iData!AN64-$I64)/$M64),0)))</f>
        <v>25</v>
      </c>
      <c r="AV64" s="367"/>
      <c r="AW64" s="368"/>
      <c r="AX64" s="14"/>
      <c r="AY64" s="871">
        <f t="shared" si="40"/>
        <v>75</v>
      </c>
      <c r="AZ64" s="871">
        <f t="shared" si="41"/>
        <v>75</v>
      </c>
      <c r="BA64" s="871">
        <f t="shared" si="42"/>
        <v>25</v>
      </c>
      <c r="BB64" s="871">
        <f t="shared" si="43"/>
        <v>100</v>
      </c>
      <c r="BC64" s="871">
        <f t="shared" si="44"/>
        <v>100</v>
      </c>
      <c r="BD64" s="871">
        <f t="shared" si="45"/>
        <v>75</v>
      </c>
      <c r="BE64" s="871">
        <f t="shared" si="46"/>
        <v>75</v>
      </c>
      <c r="BF64" s="871">
        <f t="shared" si="47"/>
        <v>100</v>
      </c>
      <c r="BG64" s="871">
        <f t="shared" si="48"/>
        <v>75</v>
      </c>
      <c r="BH64" s="871">
        <f t="shared" si="49"/>
        <v>100</v>
      </c>
      <c r="BI64" s="871">
        <f t="shared" si="50"/>
        <v>75</v>
      </c>
      <c r="BJ64" s="871">
        <f t="shared" si="51"/>
        <v>100</v>
      </c>
      <c r="BK64" s="871">
        <f t="shared" si="52"/>
        <v>25</v>
      </c>
      <c r="BL64" s="871">
        <f t="shared" si="53"/>
        <v>25</v>
      </c>
      <c r="BM64" s="871">
        <f t="shared" si="54"/>
        <v>100</v>
      </c>
      <c r="BN64" s="871">
        <f t="shared" si="55"/>
        <v>75</v>
      </c>
      <c r="BO64" s="871">
        <f t="shared" si="56"/>
        <v>50</v>
      </c>
      <c r="BP64" s="871">
        <f t="shared" si="57"/>
        <v>50</v>
      </c>
      <c r="BQ64" s="871">
        <f t="shared" si="58"/>
        <v>75</v>
      </c>
      <c r="BR64" s="871">
        <f t="shared" si="59"/>
        <v>100</v>
      </c>
      <c r="BS64" s="871">
        <f t="shared" si="60"/>
        <v>100</v>
      </c>
      <c r="BT64" s="871">
        <f t="shared" si="61"/>
        <v>50</v>
      </c>
      <c r="BU64" s="871">
        <f t="shared" si="62"/>
        <v>75</v>
      </c>
      <c r="BV64" s="871">
        <f t="shared" si="63"/>
        <v>100</v>
      </c>
      <c r="BW64" s="871">
        <f t="shared" si="64"/>
        <v>50</v>
      </c>
      <c r="BX64" s="871">
        <f t="shared" si="65"/>
        <v>75</v>
      </c>
      <c r="BY64" s="871">
        <f t="shared" si="66"/>
        <v>75</v>
      </c>
      <c r="BZ64" s="871">
        <f t="shared" si="67"/>
        <v>100</v>
      </c>
      <c r="CA64" s="871">
        <f t="shared" si="68"/>
        <v>75</v>
      </c>
      <c r="CB64" s="871">
        <f t="shared" si="69"/>
        <v>25</v>
      </c>
      <c r="CD64" s="304">
        <f t="shared" ca="1" si="108"/>
        <v>73.3</v>
      </c>
      <c r="CE64" s="304">
        <f t="shared" ca="1" si="108"/>
        <v>73.3</v>
      </c>
      <c r="CF64" s="304">
        <f t="shared" ca="1" si="108"/>
        <v>64.599999999999994</v>
      </c>
      <c r="CG64" s="302">
        <f t="shared" ca="1" si="108"/>
        <v>77.5</v>
      </c>
      <c r="CH64" s="302">
        <f t="shared" ca="1" si="108"/>
        <v>66.7</v>
      </c>
      <c r="CI64" s="302">
        <f t="shared" ca="1" si="108"/>
        <v>100</v>
      </c>
      <c r="CJ64" s="302">
        <f t="shared" ca="1" si="108"/>
        <v>87.5</v>
      </c>
      <c r="CK64" s="302">
        <f t="shared" ca="1" si="108"/>
        <v>50</v>
      </c>
      <c r="CL64" s="302">
        <f t="shared" ca="1" si="108"/>
        <v>58.3</v>
      </c>
      <c r="CM64" s="302">
        <f t="shared" ca="1" si="108"/>
        <v>81</v>
      </c>
      <c r="CN64" s="302">
        <f t="shared" ca="1" si="105"/>
        <v>71.900000000000006</v>
      </c>
      <c r="CO64" s="302">
        <f t="shared" ca="1" si="105"/>
        <v>75</v>
      </c>
      <c r="CP64" s="302">
        <f t="shared" ca="1" si="105"/>
        <v>68.8</v>
      </c>
      <c r="CQ64" s="302">
        <f t="shared" ca="1" si="105"/>
        <v>75</v>
      </c>
    </row>
    <row r="65" spans="1:95" s="124" customFormat="1" ht="27.75" customHeight="1" thickBot="1">
      <c r="A65" s="118"/>
      <c r="B65" s="119">
        <f>tblIndicators!A61</f>
        <v>60</v>
      </c>
      <c r="C65" s="119">
        <f>tblIndicators!B61</f>
        <v>0</v>
      </c>
      <c r="D65" s="119" t="str">
        <f>tblIndicators!E61</f>
        <v>SUST4_1_2</v>
      </c>
      <c r="E65" s="119" t="str">
        <f>tblIndicators!F61</f>
        <v>SUST4_1</v>
      </c>
      <c r="F65" s="119">
        <f>tblIndicators!G61</f>
        <v>3</v>
      </c>
      <c r="G65" s="119">
        <f>tblIndicators!AF61</f>
        <v>0</v>
      </c>
      <c r="H65" s="119">
        <f>tblIndicators!AG61</f>
        <v>3</v>
      </c>
      <c r="I65" s="120">
        <f>tblIndicators!AH61</f>
        <v>0</v>
      </c>
      <c r="J65" s="119">
        <f>tblIndicators!AI61</f>
        <v>1</v>
      </c>
      <c r="K65" s="119">
        <f t="array" ref="K65">MIN(IF(ISNUMBER(iData!K65:AN65),iData!K65:AN65))</f>
        <v>0</v>
      </c>
      <c r="L65" s="121">
        <f t="array" ref="L65">MAX(IF(ISNUMBER(iData!K65:AN65),iData!K65:AN65))</f>
        <v>1</v>
      </c>
      <c r="M65" s="51">
        <f t="shared" si="106"/>
        <v>1</v>
      </c>
      <c r="N65" s="122" t="str">
        <f>REPT(" ",F65)&amp;tblIndicators!AM61</f>
        <v xml:space="preserve">   4.1.2) Smart urban agriculture</v>
      </c>
      <c r="O65" s="381">
        <f>tblIndicators!AR61</f>
        <v>0.21058173203474601</v>
      </c>
      <c r="P65" s="381"/>
      <c r="Q65" s="323"/>
      <c r="R65" s="123" cm="1">
        <f t="array" ref="R65">CHOOSE($H65,SUMPRODUCT($O66:$O$75*R66:R$75*($E66:$E$75=$D65)),IF(ISNUMBER(iData!K65),100*ABS($G65-(iData!K65-$K65)/$M65),0),IF(ISNUMBER(iData!K65),100*ABS($G65-(iData!K65-$I65)/$M65),0),IF(iData!K65&gt;tblIndicators!$AI61,100,IF(ISNUMBER(iData!K65),100*ABS($G65-(iData!K65-$I65)/$M65),0)),IF(iData!K65&lt;0,100,IF(ISNUMBER(iData!K65),100*ABS($G65-(iData!K65-$I65)/$M65),0)))</f>
        <v>100</v>
      </c>
      <c r="S65" s="123" cm="1">
        <f t="array" ref="S65">CHOOSE($H65,SUMPRODUCT($O66:$O$75*S66:S$75*($E66:$E$75=$D65)),IF(ISNUMBER(iData!L65),100*ABS($G65-(iData!L65-$K65)/$M65),0),IF(ISNUMBER(iData!L65),100*ABS($G65-(iData!L65-$I65)/$M65),0),IF(iData!L65&gt;tblIndicators!$AI61,100,IF(ISNUMBER(iData!L65),100*ABS($G65-(iData!L65-$I65)/$M65),0)),IF(iData!L65&lt;0,100,IF(ISNUMBER(iData!L65),100*ABS($G65-(iData!L65-$I65)/$M65),0)))</f>
        <v>100</v>
      </c>
      <c r="T65" s="123" cm="1">
        <f t="array" ref="T65">CHOOSE($H65,SUMPRODUCT($O66:$O$75*T66:T$75*($E66:$E$75=$D65)),IF(ISNUMBER(iData!M65),100*ABS($G65-(iData!M65-$K65)/$M65),0),IF(ISNUMBER(iData!M65),100*ABS($G65-(iData!M65-$I65)/$M65),0),IF(iData!M65&gt;tblIndicators!$AI61,100,IF(ISNUMBER(iData!M65),100*ABS($G65-(iData!M65-$I65)/$M65),0)),IF(iData!M65&lt;0,100,IF(ISNUMBER(iData!M65),100*ABS($G65-(iData!M65-$I65)/$M65),0)))</f>
        <v>100</v>
      </c>
      <c r="U65" s="123" cm="1">
        <f t="array" ref="U65">CHOOSE($H65,SUMPRODUCT($O66:$O$75*U66:U$75*($E66:$E$75=$D65)),IF(ISNUMBER(iData!N65),100*ABS($G65-(iData!N65-$K65)/$M65),0),IF(ISNUMBER(iData!N65),100*ABS($G65-(iData!N65-$I65)/$M65),0),IF(iData!N65&gt;tblIndicators!$AI61,100,IF(ISNUMBER(iData!N65),100*ABS($G65-(iData!N65-$I65)/$M65),0)),IF(iData!N65&lt;0,100,IF(ISNUMBER(iData!N65),100*ABS($G65-(iData!N65-$I65)/$M65),0)))</f>
        <v>100</v>
      </c>
      <c r="V65" s="123" cm="1">
        <f t="array" ref="V65">CHOOSE($H65,SUMPRODUCT($O66:$O$75*V66:V$75*($E66:$E$75=$D65)),IF(ISNUMBER(iData!O65),100*ABS($G65-(iData!O65-$K65)/$M65),0),IF(ISNUMBER(iData!O65),100*ABS($G65-(iData!O65-$I65)/$M65),0),IF(iData!O65&gt;tblIndicators!$AI61,100,IF(ISNUMBER(iData!O65),100*ABS($G65-(iData!O65-$I65)/$M65),0)),IF(iData!O65&lt;0,100,IF(ISNUMBER(iData!O65),100*ABS($G65-(iData!O65-$I65)/$M65),0)))</f>
        <v>100</v>
      </c>
      <c r="W65" s="123" cm="1">
        <f t="array" ref="W65">CHOOSE($H65,SUMPRODUCT($O66:$O$75*W66:W$75*($E66:$E$75=$D65)),IF(ISNUMBER(iData!P65),100*ABS($G65-(iData!P65-$K65)/$M65),0),IF(ISNUMBER(iData!P65),100*ABS($G65-(iData!P65-$I65)/$M65),0),IF(iData!P65&gt;tblIndicators!$AI61,100,IF(ISNUMBER(iData!P65),100*ABS($G65-(iData!P65-$I65)/$M65),0)),IF(iData!P65&lt;0,100,IF(ISNUMBER(iData!P65),100*ABS($G65-(iData!P65-$I65)/$M65),0)))</f>
        <v>100</v>
      </c>
      <c r="X65" s="123" cm="1">
        <f t="array" ref="X65">CHOOSE($H65,SUMPRODUCT($O66:$O$75*X66:X$75*($E66:$E$75=$D65)),IF(ISNUMBER(iData!Q65),100*ABS($G65-(iData!Q65-$K65)/$M65),0),IF(ISNUMBER(iData!Q65),100*ABS($G65-(iData!Q65-$I65)/$M65),0),IF(iData!Q65&gt;tblIndicators!$AI61,100,IF(ISNUMBER(iData!Q65),100*ABS($G65-(iData!Q65-$I65)/$M65),0)),IF(iData!Q65&lt;0,100,IF(ISNUMBER(iData!Q65),100*ABS($G65-(iData!Q65-$I65)/$M65),0)))</f>
        <v>0</v>
      </c>
      <c r="Y65" s="123" cm="1">
        <f t="array" ref="Y65">CHOOSE($H65,SUMPRODUCT($O66:$O$75*Y66:Y$75*($E66:$E$75=$D65)),IF(ISNUMBER(iData!R65),100*ABS($G65-(iData!R65-$K65)/$M65),0),IF(ISNUMBER(iData!R65),100*ABS($G65-(iData!R65-$I65)/$M65),0),IF(iData!R65&gt;tblIndicators!$AI61,100,IF(ISNUMBER(iData!R65),100*ABS($G65-(iData!R65-$I65)/$M65),0)),IF(iData!R65&lt;0,100,IF(ISNUMBER(iData!R65),100*ABS($G65-(iData!R65-$I65)/$M65),0)))</f>
        <v>100</v>
      </c>
      <c r="Z65" s="123" cm="1">
        <f t="array" ref="Z65">CHOOSE($H65,SUMPRODUCT($O66:$O$75*Z66:Z$75*($E66:$E$75=$D65)),IF(ISNUMBER(iData!S65),100*ABS($G65-(iData!S65-$K65)/$M65),0),IF(ISNUMBER(iData!S65),100*ABS($G65-(iData!S65-$I65)/$M65),0),IF(iData!S65&gt;tblIndicators!$AI61,100,IF(ISNUMBER(iData!S65),100*ABS($G65-(iData!S65-$I65)/$M65),0)),IF(iData!S65&lt;0,100,IF(ISNUMBER(iData!S65),100*ABS($G65-(iData!S65-$I65)/$M65),0)))</f>
        <v>0</v>
      </c>
      <c r="AA65" s="123" cm="1">
        <f t="array" ref="AA65">CHOOSE($H65,SUMPRODUCT($O66:$O$75*AA66:AA$75*($E66:$E$75=$D65)),IF(ISNUMBER(iData!T65),100*ABS($G65-(iData!T65-$K65)/$M65),0),IF(ISNUMBER(iData!T65),100*ABS($G65-(iData!T65-$I65)/$M65),0),IF(iData!T65&gt;tblIndicators!$AI61,100,IF(ISNUMBER(iData!T65),100*ABS($G65-(iData!T65-$I65)/$M65),0)),IF(iData!T65&lt;0,100,IF(ISNUMBER(iData!T65),100*ABS($G65-(iData!T65-$I65)/$M65),0)))</f>
        <v>100</v>
      </c>
      <c r="AB65" s="123" cm="1">
        <f t="array" ref="AB65">CHOOSE($H65,SUMPRODUCT($O66:$O$75*AB66:AB$75*($E66:$E$75=$D65)),IF(ISNUMBER(iData!U65),100*ABS($G65-(iData!U65-$K65)/$M65),0),IF(ISNUMBER(iData!U65),100*ABS($G65-(iData!U65-$I65)/$M65),0),IF(iData!U65&gt;tblIndicators!$AI61,100,IF(ISNUMBER(iData!U65),100*ABS($G65-(iData!U65-$I65)/$M65),0)),IF(iData!U65&lt;0,100,IF(ISNUMBER(iData!U65),100*ABS($G65-(iData!U65-$I65)/$M65),0)))</f>
        <v>100</v>
      </c>
      <c r="AC65" s="123" cm="1">
        <f t="array" ref="AC65">CHOOSE($H65,SUMPRODUCT($O66:$O$75*AC66:AC$75*($E66:$E$75=$D65)),IF(ISNUMBER(iData!V65),100*ABS($G65-(iData!V65-$K65)/$M65),0),IF(ISNUMBER(iData!V65),100*ABS($G65-(iData!V65-$I65)/$M65),0),IF(iData!V65&gt;tblIndicators!$AI61,100,IF(ISNUMBER(iData!V65),100*ABS($G65-(iData!V65-$I65)/$M65),0)),IF(iData!V65&lt;0,100,IF(ISNUMBER(iData!V65),100*ABS($G65-(iData!V65-$I65)/$M65),0)))</f>
        <v>100</v>
      </c>
      <c r="AD65" s="123" cm="1">
        <f t="array" ref="AD65">CHOOSE($H65,SUMPRODUCT($O66:$O$75*AD66:AD$75*($E66:$E$75=$D65)),IF(ISNUMBER(iData!W65),100*ABS($G65-(iData!W65-$K65)/$M65),0),IF(ISNUMBER(iData!W65),100*ABS($G65-(iData!W65-$I65)/$M65),0),IF(iData!W65&gt;tblIndicators!$AI61,100,IF(ISNUMBER(iData!W65),100*ABS($G65-(iData!W65-$I65)/$M65),0)),IF(iData!W65&lt;0,100,IF(ISNUMBER(iData!W65),100*ABS($G65-(iData!W65-$I65)/$M65),0)))</f>
        <v>0</v>
      </c>
      <c r="AE65" s="123" cm="1">
        <f t="array" ref="AE65">CHOOSE($H65,SUMPRODUCT($O66:$O$75*AE66:AE$75*($E66:$E$75=$D65)),IF(ISNUMBER(iData!X65),100*ABS($G65-(iData!X65-$K65)/$M65),0),IF(ISNUMBER(iData!X65),100*ABS($G65-(iData!X65-$I65)/$M65),0),IF(iData!X65&gt;tblIndicators!$AI61,100,IF(ISNUMBER(iData!X65),100*ABS($G65-(iData!X65-$I65)/$M65),0)),IF(iData!X65&lt;0,100,IF(ISNUMBER(iData!X65),100*ABS($G65-(iData!X65-$I65)/$M65),0)))</f>
        <v>0</v>
      </c>
      <c r="AF65" s="123" cm="1">
        <f t="array" ref="AF65">CHOOSE($H65,SUMPRODUCT($O66:$O$75*AF66:AF$75*($E66:$E$75=$D65)),IF(ISNUMBER(iData!Y65),100*ABS($G65-(iData!Y65-$K65)/$M65),0),IF(ISNUMBER(iData!Y65),100*ABS($G65-(iData!Y65-$I65)/$M65),0),IF(iData!Y65&gt;tblIndicators!$AI61,100,IF(ISNUMBER(iData!Y65),100*ABS($G65-(iData!Y65-$I65)/$M65),0)),IF(iData!Y65&lt;0,100,IF(ISNUMBER(iData!Y65),100*ABS($G65-(iData!Y65-$I65)/$M65),0)))</f>
        <v>100</v>
      </c>
      <c r="AG65" s="123" cm="1">
        <f t="array" ref="AG65">CHOOSE($H65,SUMPRODUCT($O66:$O$75*AG66:AG$75*($E66:$E$75=$D65)),IF(ISNUMBER(iData!Z65),100*ABS($G65-(iData!Z65-$K65)/$M65),0),IF(ISNUMBER(iData!Z65),100*ABS($G65-(iData!Z65-$I65)/$M65),0),IF(iData!Z65&gt;tblIndicators!$AI61,100,IF(ISNUMBER(iData!Z65),100*ABS($G65-(iData!Z65-$I65)/$M65),0)),IF(iData!Z65&lt;0,100,IF(ISNUMBER(iData!Z65),100*ABS($G65-(iData!Z65-$I65)/$M65),0)))</f>
        <v>0</v>
      </c>
      <c r="AH65" s="123" cm="1">
        <f t="array" ref="AH65">CHOOSE($H65,SUMPRODUCT($O66:$O$75*AH66:AH$75*($E66:$E$75=$D65)),IF(ISNUMBER(iData!AA65),100*ABS($G65-(iData!AA65-$K65)/$M65),0),IF(ISNUMBER(iData!AA65),100*ABS($G65-(iData!AA65-$I65)/$M65),0),IF(iData!AA65&gt;tblIndicators!$AI61,100,IF(ISNUMBER(iData!AA65),100*ABS($G65-(iData!AA65-$I65)/$M65),0)),IF(iData!AA65&lt;0,100,IF(ISNUMBER(iData!AA65),100*ABS($G65-(iData!AA65-$I65)/$M65),0)))</f>
        <v>100</v>
      </c>
      <c r="AI65" s="123" cm="1">
        <f t="array" ref="AI65">CHOOSE($H65,SUMPRODUCT($O66:$O$75*AI66:AI$75*($E66:$E$75=$D65)),IF(ISNUMBER(iData!AB65),100*ABS($G65-(iData!AB65-$K65)/$M65),0),IF(ISNUMBER(iData!AB65),100*ABS($G65-(iData!AB65-$I65)/$M65),0),IF(iData!AB65&gt;tblIndicators!$AI61,100,IF(ISNUMBER(iData!AB65),100*ABS($G65-(iData!AB65-$I65)/$M65),0)),IF(iData!AB65&lt;0,100,IF(ISNUMBER(iData!AB65),100*ABS($G65-(iData!AB65-$I65)/$M65),0)))</f>
        <v>0</v>
      </c>
      <c r="AJ65" s="123" cm="1">
        <f t="array" ref="AJ65">CHOOSE($H65,SUMPRODUCT($O66:$O$75*AJ66:AJ$75*($E66:$E$75=$D65)),IF(ISNUMBER(iData!AC65),100*ABS($G65-(iData!AC65-$K65)/$M65),0),IF(ISNUMBER(iData!AC65),100*ABS($G65-(iData!AC65-$I65)/$M65),0),IF(iData!AC65&gt;tblIndicators!$AI61,100,IF(ISNUMBER(iData!AC65),100*ABS($G65-(iData!AC65-$I65)/$M65),0)),IF(iData!AC65&lt;0,100,IF(ISNUMBER(iData!AC65),100*ABS($G65-(iData!AC65-$I65)/$M65),0)))</f>
        <v>0</v>
      </c>
      <c r="AK65" s="123" cm="1">
        <f t="array" ref="AK65">CHOOSE($H65,SUMPRODUCT($O66:$O$75*AK66:AK$75*($E66:$E$75=$D65)),IF(ISNUMBER(iData!AD65),100*ABS($G65-(iData!AD65-$K65)/$M65),0),IF(ISNUMBER(iData!AD65),100*ABS($G65-(iData!AD65-$I65)/$M65),0),IF(iData!AD65&gt;tblIndicators!$AI61,100,IF(ISNUMBER(iData!AD65),100*ABS($G65-(iData!AD65-$I65)/$M65),0)),IF(iData!AD65&lt;0,100,IF(ISNUMBER(iData!AD65),100*ABS($G65-(iData!AD65-$I65)/$M65),0)))</f>
        <v>100</v>
      </c>
      <c r="AL65" s="123" cm="1">
        <f t="array" ref="AL65">CHOOSE($H65,SUMPRODUCT($O66:$O$75*AL66:AL$75*($E66:$E$75=$D65)),IF(ISNUMBER(iData!AE65),100*ABS($G65-(iData!AE65-$K65)/$M65),0),IF(ISNUMBER(iData!AE65),100*ABS($G65-(iData!AE65-$I65)/$M65),0),IF(iData!AE65&gt;tblIndicators!$AI61,100,IF(ISNUMBER(iData!AE65),100*ABS($G65-(iData!AE65-$I65)/$M65),0)),IF(iData!AE65&lt;0,100,IF(ISNUMBER(iData!AE65),100*ABS($G65-(iData!AE65-$I65)/$M65),0)))</f>
        <v>100</v>
      </c>
      <c r="AM65" s="123" cm="1">
        <f t="array" ref="AM65">CHOOSE($H65,SUMPRODUCT($O66:$O$75*AM66:AM$75*($E66:$E$75=$D65)),IF(ISNUMBER(iData!AF65),100*ABS($G65-(iData!AF65-$K65)/$M65),0),IF(ISNUMBER(iData!AF65),100*ABS($G65-(iData!AF65-$I65)/$M65),0),IF(iData!AF65&gt;tblIndicators!$AI61,100,IF(ISNUMBER(iData!AF65),100*ABS($G65-(iData!AF65-$I65)/$M65),0)),IF(iData!AF65&lt;0,100,IF(ISNUMBER(iData!AF65),100*ABS($G65-(iData!AF65-$I65)/$M65),0)))</f>
        <v>100</v>
      </c>
      <c r="AN65" s="123" cm="1">
        <f t="array" ref="AN65">CHOOSE($H65,SUMPRODUCT($O66:$O$75*AN66:AN$75*($E66:$E$75=$D65)),IF(ISNUMBER(iData!AG65),100*ABS($G65-(iData!AG65-$K65)/$M65),0),IF(ISNUMBER(iData!AG65),100*ABS($G65-(iData!AG65-$I65)/$M65),0),IF(iData!AG65&gt;tblIndicators!$AI61,100,IF(ISNUMBER(iData!AG65),100*ABS($G65-(iData!AG65-$I65)/$M65),0)),IF(iData!AG65&lt;0,100,IF(ISNUMBER(iData!AG65),100*ABS($G65-(iData!AG65-$I65)/$M65),0)))</f>
        <v>100</v>
      </c>
      <c r="AO65" s="123" cm="1">
        <f t="array" ref="AO65">CHOOSE($H65,SUMPRODUCT($O66:$O$75*AO66:AO$75*($E66:$E$75=$D65)),IF(ISNUMBER(iData!AH65),100*ABS($G65-(iData!AH65-$K65)/$M65),0),IF(ISNUMBER(iData!AH65),100*ABS($G65-(iData!AH65-$I65)/$M65),0),IF(iData!AH65&gt;tblIndicators!$AI61,100,IF(ISNUMBER(iData!AH65),100*ABS($G65-(iData!AH65-$I65)/$M65),0)),IF(iData!AH65&lt;0,100,IF(ISNUMBER(iData!AH65),100*ABS($G65-(iData!AH65-$I65)/$M65),0)))</f>
        <v>100</v>
      </c>
      <c r="AP65" s="123" cm="1">
        <f t="array" ref="AP65">CHOOSE($H65,SUMPRODUCT($O66:$O$75*AP66:AP$75*($E66:$E$75=$D65)),IF(ISNUMBER(iData!AI65),100*ABS($G65-(iData!AI65-$K65)/$M65),0),IF(ISNUMBER(iData!AI65),100*ABS($G65-(iData!AI65-$I65)/$M65),0),IF(iData!AI65&gt;tblIndicators!$AI61,100,IF(ISNUMBER(iData!AI65),100*ABS($G65-(iData!AI65-$I65)/$M65),0)),IF(iData!AI65&lt;0,100,IF(ISNUMBER(iData!AI65),100*ABS($G65-(iData!AI65-$I65)/$M65),0)))</f>
        <v>100</v>
      </c>
      <c r="AQ65" s="123" cm="1">
        <f t="array" ref="AQ65">CHOOSE($H65,SUMPRODUCT($O66:$O$75*AQ66:AQ$75*($E66:$E$75=$D65)),IF(ISNUMBER(iData!AJ65),100*ABS($G65-(iData!AJ65-$K65)/$M65),0),IF(ISNUMBER(iData!AJ65),100*ABS($G65-(iData!AJ65-$I65)/$M65),0),IF(iData!AJ65&gt;tblIndicators!$AI61,100,IF(ISNUMBER(iData!AJ65),100*ABS($G65-(iData!AJ65-$I65)/$M65),0)),IF(iData!AJ65&lt;0,100,IF(ISNUMBER(iData!AJ65),100*ABS($G65-(iData!AJ65-$I65)/$M65),0)))</f>
        <v>100</v>
      </c>
      <c r="AR65" s="123" cm="1">
        <f t="array" ref="AR65">CHOOSE($H65,SUMPRODUCT($O66:$O$75*AR66:AR$75*($E66:$E$75=$D65)),IF(ISNUMBER(iData!AK65),100*ABS($G65-(iData!AK65-$K65)/$M65),0),IF(ISNUMBER(iData!AK65),100*ABS($G65-(iData!AK65-$I65)/$M65),0),IF(iData!AK65&gt;tblIndicators!$AI61,100,IF(ISNUMBER(iData!AK65),100*ABS($G65-(iData!AK65-$I65)/$M65),0)),IF(iData!AK65&lt;0,100,IF(ISNUMBER(iData!AK65),100*ABS($G65-(iData!AK65-$I65)/$M65),0)))</f>
        <v>100</v>
      </c>
      <c r="AS65" s="123" cm="1">
        <f t="array" ref="AS65">CHOOSE($H65,SUMPRODUCT($O66:$O$75*AS66:AS$75*($E66:$E$75=$D65)),IF(ISNUMBER(iData!AL65),100*ABS($G65-(iData!AL65-$K65)/$M65),0),IF(ISNUMBER(iData!AL65),100*ABS($G65-(iData!AL65-$I65)/$M65),0),IF(iData!AL65&gt;tblIndicators!$AI61,100,IF(ISNUMBER(iData!AL65),100*ABS($G65-(iData!AL65-$I65)/$M65),0)),IF(iData!AL65&lt;0,100,IF(ISNUMBER(iData!AL65),100*ABS($G65-(iData!AL65-$I65)/$M65),0)))</f>
        <v>100</v>
      </c>
      <c r="AT65" s="123" cm="1">
        <f t="array" ref="AT65">CHOOSE($H65,SUMPRODUCT($O66:$O$75*AT66:AT$75*($E66:$E$75=$D65)),IF(ISNUMBER(iData!AM65),100*ABS($G65-(iData!AM65-$K65)/$M65),0),IF(ISNUMBER(iData!AM65),100*ABS($G65-(iData!AM65-$I65)/$M65),0),IF(iData!AM65&gt;tblIndicators!$AI61,100,IF(ISNUMBER(iData!AM65),100*ABS($G65-(iData!AM65-$I65)/$M65),0)),IF(iData!AM65&lt;0,100,IF(ISNUMBER(iData!AM65),100*ABS($G65-(iData!AM65-$I65)/$M65),0)))</f>
        <v>100</v>
      </c>
      <c r="AU65" s="123" cm="1">
        <f t="array" ref="AU65">CHOOSE($H65,SUMPRODUCT($O66:$O$75*AU66:AU$75*($E66:$E$75=$D65)),IF(ISNUMBER(iData!AN65),100*ABS($G65-(iData!AN65-$K65)/$M65),0),IF(ISNUMBER(iData!AN65),100*ABS($G65-(iData!AN65-$I65)/$M65),0),IF(iData!AN65&gt;tblIndicators!$AI61,100,IF(ISNUMBER(iData!AN65),100*ABS($G65-(iData!AN65-$I65)/$M65),0)),IF(iData!AN65&lt;0,100,IF(ISNUMBER(iData!AN65),100*ABS($G65-(iData!AN65-$I65)/$M65),0)))</f>
        <v>100</v>
      </c>
      <c r="AV65" s="367"/>
      <c r="AW65" s="368"/>
      <c r="AX65" s="14"/>
      <c r="AY65" s="871">
        <f t="shared" si="40"/>
        <v>100</v>
      </c>
      <c r="AZ65" s="871">
        <f t="shared" si="41"/>
        <v>100</v>
      </c>
      <c r="BA65" s="871">
        <f t="shared" si="42"/>
        <v>100</v>
      </c>
      <c r="BB65" s="871">
        <f t="shared" si="43"/>
        <v>100</v>
      </c>
      <c r="BC65" s="871">
        <f t="shared" si="44"/>
        <v>100</v>
      </c>
      <c r="BD65" s="871">
        <f t="shared" si="45"/>
        <v>100</v>
      </c>
      <c r="BE65" s="871">
        <f t="shared" si="46"/>
        <v>0</v>
      </c>
      <c r="BF65" s="871">
        <f t="shared" si="47"/>
        <v>100</v>
      </c>
      <c r="BG65" s="871">
        <f t="shared" si="48"/>
        <v>0</v>
      </c>
      <c r="BH65" s="871">
        <f t="shared" si="49"/>
        <v>100</v>
      </c>
      <c r="BI65" s="871">
        <f t="shared" si="50"/>
        <v>100</v>
      </c>
      <c r="BJ65" s="871">
        <f t="shared" si="51"/>
        <v>100</v>
      </c>
      <c r="BK65" s="871">
        <f t="shared" si="52"/>
        <v>0</v>
      </c>
      <c r="BL65" s="871">
        <f t="shared" si="53"/>
        <v>0</v>
      </c>
      <c r="BM65" s="871">
        <f t="shared" si="54"/>
        <v>100</v>
      </c>
      <c r="BN65" s="871">
        <f t="shared" si="55"/>
        <v>0</v>
      </c>
      <c r="BO65" s="871">
        <f t="shared" si="56"/>
        <v>100</v>
      </c>
      <c r="BP65" s="871">
        <f t="shared" si="57"/>
        <v>0</v>
      </c>
      <c r="BQ65" s="871">
        <f t="shared" si="58"/>
        <v>0</v>
      </c>
      <c r="BR65" s="871">
        <f t="shared" si="59"/>
        <v>100</v>
      </c>
      <c r="BS65" s="871">
        <f t="shared" si="60"/>
        <v>100</v>
      </c>
      <c r="BT65" s="871">
        <f t="shared" si="61"/>
        <v>100</v>
      </c>
      <c r="BU65" s="871">
        <f t="shared" si="62"/>
        <v>100</v>
      </c>
      <c r="BV65" s="871">
        <f t="shared" si="63"/>
        <v>100</v>
      </c>
      <c r="BW65" s="871">
        <f t="shared" si="64"/>
        <v>100</v>
      </c>
      <c r="BX65" s="871">
        <f t="shared" si="65"/>
        <v>100</v>
      </c>
      <c r="BY65" s="871">
        <f t="shared" si="66"/>
        <v>100</v>
      </c>
      <c r="BZ65" s="871">
        <f t="shared" si="67"/>
        <v>100</v>
      </c>
      <c r="CA65" s="871">
        <f t="shared" si="68"/>
        <v>100</v>
      </c>
      <c r="CB65" s="871">
        <f t="shared" si="69"/>
        <v>100</v>
      </c>
      <c r="CD65" s="304">
        <f t="shared" ca="1" si="108"/>
        <v>76.7</v>
      </c>
      <c r="CE65" s="304">
        <f t="shared" ca="1" si="108"/>
        <v>76.7</v>
      </c>
      <c r="CF65" s="304">
        <f t="shared" ca="1" si="108"/>
        <v>75</v>
      </c>
      <c r="CG65" s="302">
        <f t="shared" ca="1" si="108"/>
        <v>90</v>
      </c>
      <c r="CH65" s="302">
        <f t="shared" ca="1" si="108"/>
        <v>33.299999999999997</v>
      </c>
      <c r="CI65" s="302">
        <f t="shared" ca="1" si="108"/>
        <v>100</v>
      </c>
      <c r="CJ65" s="302">
        <f t="shared" ca="1" si="108"/>
        <v>75</v>
      </c>
      <c r="CK65" s="302">
        <f t="shared" ca="1" si="108"/>
        <v>33.299999999999997</v>
      </c>
      <c r="CL65" s="302">
        <f t="shared" ca="1" si="108"/>
        <v>50</v>
      </c>
      <c r="CM65" s="302">
        <f t="shared" ca="1" si="108"/>
        <v>90.5</v>
      </c>
      <c r="CN65" s="302">
        <f t="shared" ca="1" si="105"/>
        <v>100</v>
      </c>
      <c r="CO65" s="302">
        <f t="shared" ca="1" si="105"/>
        <v>66.7</v>
      </c>
      <c r="CP65" s="302">
        <f t="shared" ca="1" si="105"/>
        <v>100</v>
      </c>
      <c r="CQ65" s="302">
        <f t="shared" ca="1" si="105"/>
        <v>55.6</v>
      </c>
    </row>
    <row r="66" spans="1:95" s="124" customFormat="1" ht="27.75" customHeight="1" thickBot="1">
      <c r="A66" s="118"/>
      <c r="B66" s="119">
        <f>tblIndicators!A62</f>
        <v>61</v>
      </c>
      <c r="C66" s="119">
        <f>tblIndicators!B62</f>
        <v>0</v>
      </c>
      <c r="D66" s="119" t="str">
        <f>tblIndicators!E62</f>
        <v>SUST4_1_3</v>
      </c>
      <c r="E66" s="119" t="str">
        <f>tblIndicators!F62</f>
        <v>SUST4_1</v>
      </c>
      <c r="F66" s="119">
        <f>tblIndicators!G62</f>
        <v>3</v>
      </c>
      <c r="G66" s="119">
        <f>tblIndicators!AF62</f>
        <v>0</v>
      </c>
      <c r="H66" s="119">
        <f>tblIndicators!AG62</f>
        <v>3</v>
      </c>
      <c r="I66" s="120">
        <f>tblIndicators!AH62</f>
        <v>0</v>
      </c>
      <c r="J66" s="119">
        <f>tblIndicators!AI62</f>
        <v>1</v>
      </c>
      <c r="K66" s="119">
        <f t="array" ref="K66">MIN(IF(ISNUMBER(iData!K66:AN66),iData!K66:AN66))</f>
        <v>0</v>
      </c>
      <c r="L66" s="121">
        <f t="array" ref="L66">MAX(IF(ISNUMBER(iData!K66:AN66),iData!K66:AN66))</f>
        <v>1</v>
      </c>
      <c r="M66" s="51">
        <f t="shared" si="106"/>
        <v>1</v>
      </c>
      <c r="N66" s="122" t="str">
        <f>REPT(" ",F66)&amp;tblIndicators!AM62</f>
        <v xml:space="preserve">   4.1.3) Smart construction</v>
      </c>
      <c r="O66" s="381">
        <f>tblIndicators!AR62</f>
        <v>0.28954988154777572</v>
      </c>
      <c r="P66" s="381"/>
      <c r="Q66" s="323"/>
      <c r="R66" s="123" cm="1">
        <f t="array" ref="R66">CHOOSE($H66,SUMPRODUCT($O67:$O$75*R67:R$75*($E67:$E$75=$D66)),IF(ISNUMBER(iData!K66),100*ABS($G66-(iData!K66-$K66)/$M66),0),IF(ISNUMBER(iData!K66),100*ABS($G66-(iData!K66-$I66)/$M66),0),IF(iData!K66&gt;tblIndicators!$AI62,100,IF(ISNUMBER(iData!K66),100*ABS($G66-(iData!K66-$I66)/$M66),0)),IF(iData!K66&lt;0,100,IF(ISNUMBER(iData!K66),100*ABS($G66-(iData!K66-$I66)/$M66),0)))</f>
        <v>100</v>
      </c>
      <c r="S66" s="123" cm="1">
        <f t="array" ref="S66">CHOOSE($H66,SUMPRODUCT($O67:$O$75*S67:S$75*($E67:$E$75=$D66)),IF(ISNUMBER(iData!L66),100*ABS($G66-(iData!L66-$K66)/$M66),0),IF(ISNUMBER(iData!L66),100*ABS($G66-(iData!L66-$I66)/$M66),0),IF(iData!L66&gt;tblIndicators!$AI62,100,IF(ISNUMBER(iData!L66),100*ABS($G66-(iData!L66-$I66)/$M66),0)),IF(iData!L66&lt;0,100,IF(ISNUMBER(iData!L66),100*ABS($G66-(iData!L66-$I66)/$M66),0)))</f>
        <v>100</v>
      </c>
      <c r="T66" s="123" cm="1">
        <f t="array" ref="T66">CHOOSE($H66,SUMPRODUCT($O67:$O$75*T67:T$75*($E67:$E$75=$D66)),IF(ISNUMBER(iData!M66),100*ABS($G66-(iData!M66-$K66)/$M66),0),IF(ISNUMBER(iData!M66),100*ABS($G66-(iData!M66-$I66)/$M66),0),IF(iData!M66&gt;tblIndicators!$AI62,100,IF(ISNUMBER(iData!M66),100*ABS($G66-(iData!M66-$I66)/$M66),0)),IF(iData!M66&lt;0,100,IF(ISNUMBER(iData!M66),100*ABS($G66-(iData!M66-$I66)/$M66),0)))</f>
        <v>100</v>
      </c>
      <c r="U66" s="123" cm="1">
        <f t="array" ref="U66">CHOOSE($H66,SUMPRODUCT($O67:$O$75*U67:U$75*($E67:$E$75=$D66)),IF(ISNUMBER(iData!N66),100*ABS($G66-(iData!N66-$K66)/$M66),0),IF(ISNUMBER(iData!N66),100*ABS($G66-(iData!N66-$I66)/$M66),0),IF(iData!N66&gt;tblIndicators!$AI62,100,IF(ISNUMBER(iData!N66),100*ABS($G66-(iData!N66-$I66)/$M66),0)),IF(iData!N66&lt;0,100,IF(ISNUMBER(iData!N66),100*ABS($G66-(iData!N66-$I66)/$M66),0)))</f>
        <v>100</v>
      </c>
      <c r="V66" s="123" cm="1">
        <f t="array" ref="V66">CHOOSE($H66,SUMPRODUCT($O67:$O$75*V67:V$75*($E67:$E$75=$D66)),IF(ISNUMBER(iData!O66),100*ABS($G66-(iData!O66-$K66)/$M66),0),IF(ISNUMBER(iData!O66),100*ABS($G66-(iData!O66-$I66)/$M66),0),IF(iData!O66&gt;tblIndicators!$AI62,100,IF(ISNUMBER(iData!O66),100*ABS($G66-(iData!O66-$I66)/$M66),0)),IF(iData!O66&lt;0,100,IF(ISNUMBER(iData!O66),100*ABS($G66-(iData!O66-$I66)/$M66),0)))</f>
        <v>100</v>
      </c>
      <c r="W66" s="123" cm="1">
        <f t="array" ref="W66">CHOOSE($H66,SUMPRODUCT($O67:$O$75*W67:W$75*($E67:$E$75=$D66)),IF(ISNUMBER(iData!P66),100*ABS($G66-(iData!P66-$K66)/$M66),0),IF(ISNUMBER(iData!P66),100*ABS($G66-(iData!P66-$I66)/$M66),0),IF(iData!P66&gt;tblIndicators!$AI62,100,IF(ISNUMBER(iData!P66),100*ABS($G66-(iData!P66-$I66)/$M66),0)),IF(iData!P66&lt;0,100,IF(ISNUMBER(iData!P66),100*ABS($G66-(iData!P66-$I66)/$M66),0)))</f>
        <v>100</v>
      </c>
      <c r="X66" s="123" cm="1">
        <f t="array" ref="X66">CHOOSE($H66,SUMPRODUCT($O67:$O$75*X67:X$75*($E67:$E$75=$D66)),IF(ISNUMBER(iData!Q66),100*ABS($G66-(iData!Q66-$K66)/$M66),0),IF(ISNUMBER(iData!Q66),100*ABS($G66-(iData!Q66-$I66)/$M66),0),IF(iData!Q66&gt;tblIndicators!$AI62,100,IF(ISNUMBER(iData!Q66),100*ABS($G66-(iData!Q66-$I66)/$M66),0)),IF(iData!Q66&lt;0,100,IF(ISNUMBER(iData!Q66),100*ABS($G66-(iData!Q66-$I66)/$M66),0)))</f>
        <v>0</v>
      </c>
      <c r="Y66" s="123" cm="1">
        <f t="array" ref="Y66">CHOOSE($H66,SUMPRODUCT($O67:$O$75*Y67:Y$75*($E67:$E$75=$D66)),IF(ISNUMBER(iData!R66),100*ABS($G66-(iData!R66-$K66)/$M66),0),IF(ISNUMBER(iData!R66),100*ABS($G66-(iData!R66-$I66)/$M66),0),IF(iData!R66&gt;tblIndicators!$AI62,100,IF(ISNUMBER(iData!R66),100*ABS($G66-(iData!R66-$I66)/$M66),0)),IF(iData!R66&lt;0,100,IF(ISNUMBER(iData!R66),100*ABS($G66-(iData!R66-$I66)/$M66),0)))</f>
        <v>100</v>
      </c>
      <c r="Z66" s="123" cm="1">
        <f t="array" ref="Z66">CHOOSE($H66,SUMPRODUCT($O67:$O$75*Z67:Z$75*($E67:$E$75=$D66)),IF(ISNUMBER(iData!S66),100*ABS($G66-(iData!S66-$K66)/$M66),0),IF(ISNUMBER(iData!S66),100*ABS($G66-(iData!S66-$I66)/$M66),0),IF(iData!S66&gt;tblIndicators!$AI62,100,IF(ISNUMBER(iData!S66),100*ABS($G66-(iData!S66-$I66)/$M66),0)),IF(iData!S66&lt;0,100,IF(ISNUMBER(iData!S66),100*ABS($G66-(iData!S66-$I66)/$M66),0)))</f>
        <v>100</v>
      </c>
      <c r="AA66" s="123" cm="1">
        <f t="array" ref="AA66">CHOOSE($H66,SUMPRODUCT($O67:$O$75*AA67:AA$75*($E67:$E$75=$D66)),IF(ISNUMBER(iData!T66),100*ABS($G66-(iData!T66-$K66)/$M66),0),IF(ISNUMBER(iData!T66),100*ABS($G66-(iData!T66-$I66)/$M66),0),IF(iData!T66&gt;tblIndicators!$AI62,100,IF(ISNUMBER(iData!T66),100*ABS($G66-(iData!T66-$I66)/$M66),0)),IF(iData!T66&lt;0,100,IF(ISNUMBER(iData!T66),100*ABS($G66-(iData!T66-$I66)/$M66),0)))</f>
        <v>100</v>
      </c>
      <c r="AB66" s="123" cm="1">
        <f t="array" ref="AB66">CHOOSE($H66,SUMPRODUCT($O67:$O$75*AB67:AB$75*($E67:$E$75=$D66)),IF(ISNUMBER(iData!U66),100*ABS($G66-(iData!U66-$K66)/$M66),0),IF(ISNUMBER(iData!U66),100*ABS($G66-(iData!U66-$I66)/$M66),0),IF(iData!U66&gt;tblIndicators!$AI62,100,IF(ISNUMBER(iData!U66),100*ABS($G66-(iData!U66-$I66)/$M66),0)),IF(iData!U66&lt;0,100,IF(ISNUMBER(iData!U66),100*ABS($G66-(iData!U66-$I66)/$M66),0)))</f>
        <v>100</v>
      </c>
      <c r="AC66" s="123" cm="1">
        <f t="array" ref="AC66">CHOOSE($H66,SUMPRODUCT($O67:$O$75*AC67:AC$75*($E67:$E$75=$D66)),IF(ISNUMBER(iData!V66),100*ABS($G66-(iData!V66-$K66)/$M66),0),IF(ISNUMBER(iData!V66),100*ABS($G66-(iData!V66-$I66)/$M66),0),IF(iData!V66&gt;tblIndicators!$AI62,100,IF(ISNUMBER(iData!V66),100*ABS($G66-(iData!V66-$I66)/$M66),0)),IF(iData!V66&lt;0,100,IF(ISNUMBER(iData!V66),100*ABS($G66-(iData!V66-$I66)/$M66),0)))</f>
        <v>100</v>
      </c>
      <c r="AD66" s="123" cm="1">
        <f t="array" ref="AD66">CHOOSE($H66,SUMPRODUCT($O67:$O$75*AD67:AD$75*($E67:$E$75=$D66)),IF(ISNUMBER(iData!W66),100*ABS($G66-(iData!W66-$K66)/$M66),0),IF(ISNUMBER(iData!W66),100*ABS($G66-(iData!W66-$I66)/$M66),0),IF(iData!W66&gt;tblIndicators!$AI62,100,IF(ISNUMBER(iData!W66),100*ABS($G66-(iData!W66-$I66)/$M66),0)),IF(iData!W66&lt;0,100,IF(ISNUMBER(iData!W66),100*ABS($G66-(iData!W66-$I66)/$M66),0)))</f>
        <v>100</v>
      </c>
      <c r="AE66" s="123" cm="1">
        <f t="array" ref="AE66">CHOOSE($H66,SUMPRODUCT($O67:$O$75*AE67:AE$75*($E67:$E$75=$D66)),IF(ISNUMBER(iData!X66),100*ABS($G66-(iData!X66-$K66)/$M66),0),IF(ISNUMBER(iData!X66),100*ABS($G66-(iData!X66-$I66)/$M66),0),IF(iData!X66&gt;tblIndicators!$AI62,100,IF(ISNUMBER(iData!X66),100*ABS($G66-(iData!X66-$I66)/$M66),0)),IF(iData!X66&lt;0,100,IF(ISNUMBER(iData!X66),100*ABS($G66-(iData!X66-$I66)/$M66),0)))</f>
        <v>100</v>
      </c>
      <c r="AF66" s="123" cm="1">
        <f t="array" ref="AF66">CHOOSE($H66,SUMPRODUCT($O67:$O$75*AF67:AF$75*($E67:$E$75=$D66)),IF(ISNUMBER(iData!Y66),100*ABS($G66-(iData!Y66-$K66)/$M66),0),IF(ISNUMBER(iData!Y66),100*ABS($G66-(iData!Y66-$I66)/$M66),0),IF(iData!Y66&gt;tblIndicators!$AI62,100,IF(ISNUMBER(iData!Y66),100*ABS($G66-(iData!Y66-$I66)/$M66),0)),IF(iData!Y66&lt;0,100,IF(ISNUMBER(iData!Y66),100*ABS($G66-(iData!Y66-$I66)/$M66),0)))</f>
        <v>100</v>
      </c>
      <c r="AG66" s="123" cm="1">
        <f t="array" ref="AG66">CHOOSE($H66,SUMPRODUCT($O67:$O$75*AG67:AG$75*($E67:$E$75=$D66)),IF(ISNUMBER(iData!Z66),100*ABS($G66-(iData!Z66-$K66)/$M66),0),IF(ISNUMBER(iData!Z66),100*ABS($G66-(iData!Z66-$I66)/$M66),0),IF(iData!Z66&gt;tblIndicators!$AI62,100,IF(ISNUMBER(iData!Z66),100*ABS($G66-(iData!Z66-$I66)/$M66),0)),IF(iData!Z66&lt;0,100,IF(ISNUMBER(iData!Z66),100*ABS($G66-(iData!Z66-$I66)/$M66),0)))</f>
        <v>100</v>
      </c>
      <c r="AH66" s="123" cm="1">
        <f t="array" ref="AH66">CHOOSE($H66,SUMPRODUCT($O67:$O$75*AH67:AH$75*($E67:$E$75=$D66)),IF(ISNUMBER(iData!AA66),100*ABS($G66-(iData!AA66-$K66)/$M66),0),IF(ISNUMBER(iData!AA66),100*ABS($G66-(iData!AA66-$I66)/$M66),0),IF(iData!AA66&gt;tblIndicators!$AI62,100,IF(ISNUMBER(iData!AA66),100*ABS($G66-(iData!AA66-$I66)/$M66),0)),IF(iData!AA66&lt;0,100,IF(ISNUMBER(iData!AA66),100*ABS($G66-(iData!AA66-$I66)/$M66),0)))</f>
        <v>0</v>
      </c>
      <c r="AI66" s="123" cm="1">
        <f t="array" ref="AI66">CHOOSE($H66,SUMPRODUCT($O67:$O$75*AI67:AI$75*($E67:$E$75=$D66)),IF(ISNUMBER(iData!AB66),100*ABS($G66-(iData!AB66-$K66)/$M66),0),IF(ISNUMBER(iData!AB66),100*ABS($G66-(iData!AB66-$I66)/$M66),0),IF(iData!AB66&gt;tblIndicators!$AI62,100,IF(ISNUMBER(iData!AB66),100*ABS($G66-(iData!AB66-$I66)/$M66),0)),IF(iData!AB66&lt;0,100,IF(ISNUMBER(iData!AB66),100*ABS($G66-(iData!AB66-$I66)/$M66),0)))</f>
        <v>0</v>
      </c>
      <c r="AJ66" s="123" cm="1">
        <f t="array" ref="AJ66">CHOOSE($H66,SUMPRODUCT($O67:$O$75*AJ67:AJ$75*($E67:$E$75=$D66)),IF(ISNUMBER(iData!AC66),100*ABS($G66-(iData!AC66-$K66)/$M66),0),IF(ISNUMBER(iData!AC66),100*ABS($G66-(iData!AC66-$I66)/$M66),0),IF(iData!AC66&gt;tblIndicators!$AI62,100,IF(ISNUMBER(iData!AC66),100*ABS($G66-(iData!AC66-$I66)/$M66),0)),IF(iData!AC66&lt;0,100,IF(ISNUMBER(iData!AC66),100*ABS($G66-(iData!AC66-$I66)/$M66),0)))</f>
        <v>0</v>
      </c>
      <c r="AK66" s="123" cm="1">
        <f t="array" ref="AK66">CHOOSE($H66,SUMPRODUCT($O67:$O$75*AK67:AK$75*($E67:$E$75=$D66)),IF(ISNUMBER(iData!AD66),100*ABS($G66-(iData!AD66-$K66)/$M66),0),IF(ISNUMBER(iData!AD66),100*ABS($G66-(iData!AD66-$I66)/$M66),0),IF(iData!AD66&gt;tblIndicators!$AI62,100,IF(ISNUMBER(iData!AD66),100*ABS($G66-(iData!AD66-$I66)/$M66),0)),IF(iData!AD66&lt;0,100,IF(ISNUMBER(iData!AD66),100*ABS($G66-(iData!AD66-$I66)/$M66),0)))</f>
        <v>100</v>
      </c>
      <c r="AL66" s="123" cm="1">
        <f t="array" ref="AL66">CHOOSE($H66,SUMPRODUCT($O67:$O$75*AL67:AL$75*($E67:$E$75=$D66)),IF(ISNUMBER(iData!AE66),100*ABS($G66-(iData!AE66-$K66)/$M66),0),IF(ISNUMBER(iData!AE66),100*ABS($G66-(iData!AE66-$I66)/$M66),0),IF(iData!AE66&gt;tblIndicators!$AI62,100,IF(ISNUMBER(iData!AE66),100*ABS($G66-(iData!AE66-$I66)/$M66),0)),IF(iData!AE66&lt;0,100,IF(ISNUMBER(iData!AE66),100*ABS($G66-(iData!AE66-$I66)/$M66),0)))</f>
        <v>100</v>
      </c>
      <c r="AM66" s="123" cm="1">
        <f t="array" ref="AM66">CHOOSE($H66,SUMPRODUCT($O67:$O$75*AM67:AM$75*($E67:$E$75=$D66)),IF(ISNUMBER(iData!AF66),100*ABS($G66-(iData!AF66-$K66)/$M66),0),IF(ISNUMBER(iData!AF66),100*ABS($G66-(iData!AF66-$I66)/$M66),0),IF(iData!AF66&gt;tblIndicators!$AI62,100,IF(ISNUMBER(iData!AF66),100*ABS($G66-(iData!AF66-$I66)/$M66),0)),IF(iData!AF66&lt;0,100,IF(ISNUMBER(iData!AF66),100*ABS($G66-(iData!AF66-$I66)/$M66),0)))</f>
        <v>0</v>
      </c>
      <c r="AN66" s="123" cm="1">
        <f t="array" ref="AN66">CHOOSE($H66,SUMPRODUCT($O67:$O$75*AN67:AN$75*($E67:$E$75=$D66)),IF(ISNUMBER(iData!AG66),100*ABS($G66-(iData!AG66-$K66)/$M66),0),IF(ISNUMBER(iData!AG66),100*ABS($G66-(iData!AG66-$I66)/$M66),0),IF(iData!AG66&gt;tblIndicators!$AI62,100,IF(ISNUMBER(iData!AG66),100*ABS($G66-(iData!AG66-$I66)/$M66),0)),IF(iData!AG66&lt;0,100,IF(ISNUMBER(iData!AG66),100*ABS($G66-(iData!AG66-$I66)/$M66),0)))</f>
        <v>0</v>
      </c>
      <c r="AO66" s="123" cm="1">
        <f t="array" ref="AO66">CHOOSE($H66,SUMPRODUCT($O67:$O$75*AO67:AO$75*($E67:$E$75=$D66)),IF(ISNUMBER(iData!AH66),100*ABS($G66-(iData!AH66-$K66)/$M66),0),IF(ISNUMBER(iData!AH66),100*ABS($G66-(iData!AH66-$I66)/$M66),0),IF(iData!AH66&gt;tblIndicators!$AI62,100,IF(ISNUMBER(iData!AH66),100*ABS($G66-(iData!AH66-$I66)/$M66),0)),IF(iData!AH66&lt;0,100,IF(ISNUMBER(iData!AH66),100*ABS($G66-(iData!AH66-$I66)/$M66),0)))</f>
        <v>100</v>
      </c>
      <c r="AP66" s="123" cm="1">
        <f t="array" ref="AP66">CHOOSE($H66,SUMPRODUCT($O67:$O$75*AP67:AP$75*($E67:$E$75=$D66)),IF(ISNUMBER(iData!AI66),100*ABS($G66-(iData!AI66-$K66)/$M66),0),IF(ISNUMBER(iData!AI66),100*ABS($G66-(iData!AI66-$I66)/$M66),0),IF(iData!AI66&gt;tblIndicators!$AI62,100,IF(ISNUMBER(iData!AI66),100*ABS($G66-(iData!AI66-$I66)/$M66),0)),IF(iData!AI66&lt;0,100,IF(ISNUMBER(iData!AI66),100*ABS($G66-(iData!AI66-$I66)/$M66),0)))</f>
        <v>100</v>
      </c>
      <c r="AQ66" s="123" cm="1">
        <f t="array" ref="AQ66">CHOOSE($H66,SUMPRODUCT($O67:$O$75*AQ67:AQ$75*($E67:$E$75=$D66)),IF(ISNUMBER(iData!AJ66),100*ABS($G66-(iData!AJ66-$K66)/$M66),0),IF(ISNUMBER(iData!AJ66),100*ABS($G66-(iData!AJ66-$I66)/$M66),0),IF(iData!AJ66&gt;tblIndicators!$AI62,100,IF(ISNUMBER(iData!AJ66),100*ABS($G66-(iData!AJ66-$I66)/$M66),0)),IF(iData!AJ66&lt;0,100,IF(ISNUMBER(iData!AJ66),100*ABS($G66-(iData!AJ66-$I66)/$M66),0)))</f>
        <v>100</v>
      </c>
      <c r="AR66" s="123" cm="1">
        <f t="array" ref="AR66">CHOOSE($H66,SUMPRODUCT($O67:$O$75*AR67:AR$75*($E67:$E$75=$D66)),IF(ISNUMBER(iData!AK66),100*ABS($G66-(iData!AK66-$K66)/$M66),0),IF(ISNUMBER(iData!AK66),100*ABS($G66-(iData!AK66-$I66)/$M66),0),IF(iData!AK66&gt;tblIndicators!$AI62,100,IF(ISNUMBER(iData!AK66),100*ABS($G66-(iData!AK66-$I66)/$M66),0)),IF(iData!AK66&lt;0,100,IF(ISNUMBER(iData!AK66),100*ABS($G66-(iData!AK66-$I66)/$M66),0)))</f>
        <v>100</v>
      </c>
      <c r="AS66" s="123" cm="1">
        <f t="array" ref="AS66">CHOOSE($H66,SUMPRODUCT($O67:$O$75*AS67:AS$75*($E67:$E$75=$D66)),IF(ISNUMBER(iData!AL66),100*ABS($G66-(iData!AL66-$K66)/$M66),0),IF(ISNUMBER(iData!AL66),100*ABS($G66-(iData!AL66-$I66)/$M66),0),IF(iData!AL66&gt;tblIndicators!$AI62,100,IF(ISNUMBER(iData!AL66),100*ABS($G66-(iData!AL66-$I66)/$M66),0)),IF(iData!AL66&lt;0,100,IF(ISNUMBER(iData!AL66),100*ABS($G66-(iData!AL66-$I66)/$M66),0)))</f>
        <v>100</v>
      </c>
      <c r="AT66" s="123" cm="1">
        <f t="array" ref="AT66">CHOOSE($H66,SUMPRODUCT($O67:$O$75*AT67:AT$75*($E67:$E$75=$D66)),IF(ISNUMBER(iData!AM66),100*ABS($G66-(iData!AM66-$K66)/$M66),0),IF(ISNUMBER(iData!AM66),100*ABS($G66-(iData!AM66-$I66)/$M66),0),IF(iData!AM66&gt;tblIndicators!$AI62,100,IF(ISNUMBER(iData!AM66),100*ABS($G66-(iData!AM66-$I66)/$M66),0)),IF(iData!AM66&lt;0,100,IF(ISNUMBER(iData!AM66),100*ABS($G66-(iData!AM66-$I66)/$M66),0)))</f>
        <v>100</v>
      </c>
      <c r="AU66" s="123" cm="1">
        <f t="array" ref="AU66">CHOOSE($H66,SUMPRODUCT($O67:$O$75*AU67:AU$75*($E67:$E$75=$D66)),IF(ISNUMBER(iData!AN66),100*ABS($G66-(iData!AN66-$K66)/$M66),0),IF(ISNUMBER(iData!AN66),100*ABS($G66-(iData!AN66-$I66)/$M66),0),IF(iData!AN66&gt;tblIndicators!$AI62,100,IF(ISNUMBER(iData!AN66),100*ABS($G66-(iData!AN66-$I66)/$M66),0)),IF(iData!AN66&lt;0,100,IF(ISNUMBER(iData!AN66),100*ABS($G66-(iData!AN66-$I66)/$M66),0)))</f>
        <v>100</v>
      </c>
      <c r="AV66" s="367"/>
      <c r="AW66" s="368"/>
      <c r="AX66" s="14"/>
      <c r="AY66" s="871">
        <f t="shared" si="40"/>
        <v>100</v>
      </c>
      <c r="AZ66" s="871">
        <f t="shared" si="41"/>
        <v>100</v>
      </c>
      <c r="BA66" s="871">
        <f t="shared" si="42"/>
        <v>100</v>
      </c>
      <c r="BB66" s="871">
        <f t="shared" si="43"/>
        <v>100</v>
      </c>
      <c r="BC66" s="871">
        <f t="shared" si="44"/>
        <v>100</v>
      </c>
      <c r="BD66" s="871">
        <f t="shared" si="45"/>
        <v>100</v>
      </c>
      <c r="BE66" s="871">
        <f t="shared" si="46"/>
        <v>0</v>
      </c>
      <c r="BF66" s="871">
        <f t="shared" si="47"/>
        <v>100</v>
      </c>
      <c r="BG66" s="871">
        <f t="shared" si="48"/>
        <v>100</v>
      </c>
      <c r="BH66" s="871">
        <f t="shared" si="49"/>
        <v>100</v>
      </c>
      <c r="BI66" s="871">
        <f t="shared" si="50"/>
        <v>100</v>
      </c>
      <c r="BJ66" s="871">
        <f t="shared" si="51"/>
        <v>100</v>
      </c>
      <c r="BK66" s="871">
        <f t="shared" si="52"/>
        <v>100</v>
      </c>
      <c r="BL66" s="871">
        <f t="shared" si="53"/>
        <v>100</v>
      </c>
      <c r="BM66" s="871">
        <f t="shared" si="54"/>
        <v>100</v>
      </c>
      <c r="BN66" s="871">
        <f t="shared" si="55"/>
        <v>100</v>
      </c>
      <c r="BO66" s="871">
        <f t="shared" si="56"/>
        <v>0</v>
      </c>
      <c r="BP66" s="871">
        <f t="shared" si="57"/>
        <v>0</v>
      </c>
      <c r="BQ66" s="871">
        <f t="shared" si="58"/>
        <v>0</v>
      </c>
      <c r="BR66" s="871">
        <f t="shared" si="59"/>
        <v>100</v>
      </c>
      <c r="BS66" s="871">
        <f t="shared" si="60"/>
        <v>100</v>
      </c>
      <c r="BT66" s="871">
        <f t="shared" si="61"/>
        <v>0</v>
      </c>
      <c r="BU66" s="871">
        <f t="shared" si="62"/>
        <v>0</v>
      </c>
      <c r="BV66" s="871">
        <f t="shared" si="63"/>
        <v>100</v>
      </c>
      <c r="BW66" s="871">
        <f t="shared" si="64"/>
        <v>100</v>
      </c>
      <c r="BX66" s="871">
        <f t="shared" si="65"/>
        <v>100</v>
      </c>
      <c r="BY66" s="871">
        <f t="shared" si="66"/>
        <v>100</v>
      </c>
      <c r="BZ66" s="871">
        <f t="shared" si="67"/>
        <v>100</v>
      </c>
      <c r="CA66" s="871">
        <f t="shared" si="68"/>
        <v>100</v>
      </c>
      <c r="CB66" s="871">
        <f t="shared" si="69"/>
        <v>100</v>
      </c>
      <c r="CD66" s="304">
        <f t="shared" ca="1" si="108"/>
        <v>80</v>
      </c>
      <c r="CE66" s="304">
        <f t="shared" ca="1" si="108"/>
        <v>80</v>
      </c>
      <c r="CF66" s="304">
        <f t="shared" ca="1" si="108"/>
        <v>83.3</v>
      </c>
      <c r="CG66" s="302">
        <f t="shared" ca="1" si="108"/>
        <v>90</v>
      </c>
      <c r="CH66" s="302">
        <f t="shared" ca="1" si="108"/>
        <v>0</v>
      </c>
      <c r="CI66" s="302">
        <f t="shared" ca="1" si="108"/>
        <v>100</v>
      </c>
      <c r="CJ66" s="302">
        <f t="shared" ca="1" si="108"/>
        <v>100</v>
      </c>
      <c r="CK66" s="302">
        <f t="shared" ca="1" si="108"/>
        <v>33.299999999999997</v>
      </c>
      <c r="CL66" s="302">
        <f t="shared" ca="1" si="108"/>
        <v>50</v>
      </c>
      <c r="CM66" s="302">
        <f t="shared" ca="1" si="108"/>
        <v>95.2</v>
      </c>
      <c r="CN66" s="302">
        <f t="shared" ca="1" si="105"/>
        <v>87.5</v>
      </c>
      <c r="CO66" s="302">
        <f t="shared" ca="1" si="105"/>
        <v>100</v>
      </c>
      <c r="CP66" s="302">
        <f t="shared" ca="1" si="105"/>
        <v>75</v>
      </c>
      <c r="CQ66" s="302">
        <f t="shared" ref="CQ66" ca="1" si="171">IFERROR(ROUND(SUMIF(OFFSET(tblGroups,CQ$5-1,0,1,$CE$1),1,OFFSET(aScoresRounded,$B66-1,0,1,$CE$1))/SUM(OFFSET(tblGroups,CQ$5-1,0,1,$CE$1)),$CF$1),"n/a")</f>
        <v>55.6</v>
      </c>
    </row>
    <row r="67" spans="1:95" s="124" customFormat="1" ht="27.75" customHeight="1" thickBot="1">
      <c r="A67" s="118"/>
      <c r="B67" s="119">
        <f>tblIndicators!A63</f>
        <v>62</v>
      </c>
      <c r="C67" s="119">
        <f>tblIndicators!B63</f>
        <v>0</v>
      </c>
      <c r="D67" s="119" t="str">
        <f>tblIndicators!E63</f>
        <v>SUST4_2</v>
      </c>
      <c r="E67" s="119" t="str">
        <f>tblIndicators!F63</f>
        <v>SUST</v>
      </c>
      <c r="F67" s="119">
        <f>tblIndicators!G63</f>
        <v>2</v>
      </c>
      <c r="G67" s="119">
        <f>tblIndicators!AF63</f>
        <v>0</v>
      </c>
      <c r="H67" s="119">
        <f>tblIndicators!AG63</f>
        <v>1</v>
      </c>
      <c r="I67" s="120">
        <f>tblIndicators!AH63</f>
        <v>0</v>
      </c>
      <c r="J67" s="119">
        <f>tblIndicators!AI63</f>
        <v>0</v>
      </c>
      <c r="K67" s="119">
        <f t="array" ref="K67">MIN(IF(ISNUMBER(iData!K67:AN67),iData!K67:AN67))</f>
        <v>0</v>
      </c>
      <c r="L67" s="121">
        <f t="array" ref="L67">MAX(IF(ISNUMBER(iData!K67:AN67),iData!K67:AN67))</f>
        <v>0</v>
      </c>
      <c r="M67" s="51" t="str">
        <f t="shared" si="106"/>
        <v>-</v>
      </c>
      <c r="N67" s="122" t="str">
        <f>REPT(" ",F67)&amp;tblIndicators!AM63</f>
        <v xml:space="preserve">  4.2) Emissions reduction</v>
      </c>
      <c r="O67" s="381">
        <f>tblIndicators!AR63</f>
        <v>0.27777777777777779</v>
      </c>
      <c r="P67" s="381"/>
      <c r="Q67" s="323"/>
      <c r="R67" s="123" cm="1">
        <f t="array" ref="R67">CHOOSE($H67,SUMPRODUCT($O68:$O$75*R68:R$75*($E68:$E$75=$D67)),IF(ISNUMBER(iData!K67),100*ABS($G67-(iData!K67-$K67)/$M67),0),IF(ISNUMBER(iData!K67),100*ABS($G67-(iData!K67-$I67)/$M67),0),IF(iData!K67&gt;tblIndicators!$AI63,100,IF(ISNUMBER(iData!K67),100*ABS($G67-(iData!K67-$I67)/$M67),0)),IF(iData!K67&lt;0,100,IF(ISNUMBER(iData!K67),100*ABS($G67-(iData!K67-$I67)/$M67),0)))</f>
        <v>99.999999999999986</v>
      </c>
      <c r="S67" s="123" cm="1">
        <f t="array" ref="S67">CHOOSE($H67,SUMPRODUCT($O68:$O$75*S68:S$75*($E68:$E$75=$D67)),IF(ISNUMBER(iData!L67),100*ABS($G67-(iData!L67-$K67)/$M67),0),IF(ISNUMBER(iData!L67),100*ABS($G67-(iData!L67-$I67)/$M67),0),IF(iData!L67&gt;tblIndicators!$AI63,100,IF(ISNUMBER(iData!L67),100*ABS($G67-(iData!L67-$I67)/$M67),0)),IF(iData!L67&lt;0,100,IF(ISNUMBER(iData!L67),100*ABS($G67-(iData!L67-$I67)/$M67),0)))</f>
        <v>77.567567567567565</v>
      </c>
      <c r="T67" s="123" cm="1">
        <f t="array" ref="T67">CHOOSE($H67,SUMPRODUCT($O68:$O$75*T68:T$75*($E68:$E$75=$D67)),IF(ISNUMBER(iData!M67),100*ABS($G67-(iData!M67-$K67)/$M67),0),IF(ISNUMBER(iData!M67),100*ABS($G67-(iData!M67-$I67)/$M67),0),IF(iData!M67&gt;tblIndicators!$AI63,100,IF(ISNUMBER(iData!M67),100*ABS($G67-(iData!M67-$I67)/$M67),0)),IF(iData!M67&lt;0,100,IF(ISNUMBER(iData!M67),100*ABS($G67-(iData!M67-$I67)/$M67),0)))</f>
        <v>46.21621621621621</v>
      </c>
      <c r="U67" s="123" cm="1">
        <f t="array" ref="U67">CHOOSE($H67,SUMPRODUCT($O68:$O$75*U68:U$75*($E68:$E$75=$D67)),IF(ISNUMBER(iData!N67),100*ABS($G67-(iData!N67-$K67)/$M67),0),IF(ISNUMBER(iData!N67),100*ABS($G67-(iData!N67-$I67)/$M67),0),IF(iData!N67&gt;tblIndicators!$AI63,100,IF(ISNUMBER(iData!N67),100*ABS($G67-(iData!N67-$I67)/$M67),0)),IF(iData!N67&lt;0,100,IF(ISNUMBER(iData!N67),100*ABS($G67-(iData!N67-$I67)/$M67),0)))</f>
        <v>92.432432432432421</v>
      </c>
      <c r="V67" s="123" cm="1">
        <f t="array" ref="V67">CHOOSE($H67,SUMPRODUCT($O68:$O$75*V68:V$75*($E68:$E$75=$D67)),IF(ISNUMBER(iData!O67),100*ABS($G67-(iData!O67-$K67)/$M67),0),IF(ISNUMBER(iData!O67),100*ABS($G67-(iData!O67-$I67)/$M67),0),IF(iData!O67&gt;tblIndicators!$AI63,100,IF(ISNUMBER(iData!O67),100*ABS($G67-(iData!O67-$I67)/$M67),0)),IF(iData!O67&lt;0,100,IF(ISNUMBER(iData!O67),100*ABS($G67-(iData!O67-$I67)/$M67),0)))</f>
        <v>92.432432432432421</v>
      </c>
      <c r="W67" s="123" cm="1">
        <f t="array" ref="W67">CHOOSE($H67,SUMPRODUCT($O68:$O$75*W68:W$75*($E68:$E$75=$D67)),IF(ISNUMBER(iData!P67),100*ABS($G67-(iData!P67-$K67)/$M67),0),IF(ISNUMBER(iData!P67),100*ABS($G67-(iData!P67-$I67)/$M67),0),IF(iData!P67&gt;tblIndicators!$AI63,100,IF(ISNUMBER(iData!P67),100*ABS($G67-(iData!P67-$I67)/$M67),0)),IF(iData!P67&lt;0,100,IF(ISNUMBER(iData!P67),100*ABS($G67-(iData!P67-$I67)/$M67),0)))</f>
        <v>92.432432432432421</v>
      </c>
      <c r="X67" s="123" cm="1">
        <f t="array" ref="X67">CHOOSE($H67,SUMPRODUCT($O68:$O$75*X68:X$75*($E68:$E$75=$D67)),IF(ISNUMBER(iData!Q67),100*ABS($G67-(iData!Q67-$K67)/$M67),0),IF(ISNUMBER(iData!Q67),100*ABS($G67-(iData!Q67-$I67)/$M67),0),IF(iData!Q67&gt;tblIndicators!$AI63,100,IF(ISNUMBER(iData!Q67),100*ABS($G67-(iData!Q67-$I67)/$M67),0)),IF(iData!Q67&lt;0,100,IF(ISNUMBER(iData!Q67),100*ABS($G67-(iData!Q67-$I67)/$M67),0)))</f>
        <v>77.567567567567565</v>
      </c>
      <c r="Y67" s="123" cm="1">
        <f t="array" ref="Y67">CHOOSE($H67,SUMPRODUCT($O68:$O$75*Y68:Y$75*($E68:$E$75=$D67)),IF(ISNUMBER(iData!R67),100*ABS($G67-(iData!R67-$K67)/$M67),0),IF(ISNUMBER(iData!R67),100*ABS($G67-(iData!R67-$I67)/$M67),0),IF(iData!R67&gt;tblIndicators!$AI63,100,IF(ISNUMBER(iData!R67),100*ABS($G67-(iData!R67-$I67)/$M67),0)),IF(iData!R67&lt;0,100,IF(ISNUMBER(iData!R67),100*ABS($G67-(iData!R67-$I67)/$M67),0)))</f>
        <v>99.999999999999986</v>
      </c>
      <c r="Z67" s="123" cm="1">
        <f t="array" ref="Z67">CHOOSE($H67,SUMPRODUCT($O68:$O$75*Z68:Z$75*($E68:$E$75=$D67)),IF(ISNUMBER(iData!S67),100*ABS($G67-(iData!S67-$K67)/$M67),0),IF(ISNUMBER(iData!S67),100*ABS($G67-(iData!S67-$I67)/$M67),0),IF(iData!S67&gt;tblIndicators!$AI63,100,IF(ISNUMBER(iData!S67),100*ABS($G67-(iData!S67-$I67)/$M67),0)),IF(iData!S67&lt;0,100,IF(ISNUMBER(iData!S67),100*ABS($G67-(iData!S67-$I67)/$M67),0)))</f>
        <v>92.432432432432421</v>
      </c>
      <c r="AA67" s="123" cm="1">
        <f t="array" ref="AA67">CHOOSE($H67,SUMPRODUCT($O68:$O$75*AA68:AA$75*($E68:$E$75=$D67)),IF(ISNUMBER(iData!T67),100*ABS($G67-(iData!T67-$K67)/$M67),0),IF(ISNUMBER(iData!T67),100*ABS($G67-(iData!T67-$I67)/$M67),0),IF(iData!T67&gt;tblIndicators!$AI63,100,IF(ISNUMBER(iData!T67),100*ABS($G67-(iData!T67-$I67)/$M67),0)),IF(iData!T67&lt;0,100,IF(ISNUMBER(iData!T67),100*ABS($G67-(iData!T67-$I67)/$M67),0)))</f>
        <v>83.783783783783775</v>
      </c>
      <c r="AB67" s="123" cm="1">
        <f t="array" ref="AB67">CHOOSE($H67,SUMPRODUCT($O68:$O$75*AB68:AB$75*($E68:$E$75=$D67)),IF(ISNUMBER(iData!U67),100*ABS($G67-(iData!U67-$K67)/$M67),0),IF(ISNUMBER(iData!U67),100*ABS($G67-(iData!U67-$I67)/$M67),0),IF(iData!U67&gt;tblIndicators!$AI63,100,IF(ISNUMBER(iData!U67),100*ABS($G67-(iData!U67-$I67)/$M67),0)),IF(iData!U67&lt;0,100,IF(ISNUMBER(iData!U67),100*ABS($G67-(iData!U67-$I67)/$M67),0)))</f>
        <v>99.999999999999986</v>
      </c>
      <c r="AC67" s="123" cm="1">
        <f t="array" ref="AC67">CHOOSE($H67,SUMPRODUCT($O68:$O$75*AC68:AC$75*($E68:$E$75=$D67)),IF(ISNUMBER(iData!V67),100*ABS($G67-(iData!V67-$K67)/$M67),0),IF(ISNUMBER(iData!V67),100*ABS($G67-(iData!V67-$I67)/$M67),0),IF(iData!V67&gt;tblIndicators!$AI63,100,IF(ISNUMBER(iData!V67),100*ABS($G67-(iData!V67-$I67)/$M67),0)),IF(iData!V67&lt;0,100,IF(ISNUMBER(iData!V67),100*ABS($G67-(iData!V67-$I67)/$M67),0)))</f>
        <v>77.567567567567565</v>
      </c>
      <c r="AD67" s="123" cm="1">
        <f t="array" ref="AD67">CHOOSE($H67,SUMPRODUCT($O68:$O$75*AD68:AD$75*($E68:$E$75=$D67)),IF(ISNUMBER(iData!W67),100*ABS($G67-(iData!W67-$K67)/$M67),0),IF(ISNUMBER(iData!W67),100*ABS($G67-(iData!W67-$I67)/$M67),0),IF(iData!W67&gt;tblIndicators!$AI63,100,IF(ISNUMBER(iData!W67),100*ABS($G67-(iData!W67-$I67)/$M67),0)),IF(iData!W67&lt;0,100,IF(ISNUMBER(iData!W67),100*ABS($G67-(iData!W67-$I67)/$M67),0)))</f>
        <v>70</v>
      </c>
      <c r="AE67" s="123" cm="1">
        <f t="array" ref="AE67">CHOOSE($H67,SUMPRODUCT($O68:$O$75*AE68:AE$75*($E68:$E$75=$D67)),IF(ISNUMBER(iData!X67),100*ABS($G67-(iData!X67-$K67)/$M67),0),IF(ISNUMBER(iData!X67),100*ABS($G67-(iData!X67-$I67)/$M67),0),IF(iData!X67&gt;tblIndicators!$AI63,100,IF(ISNUMBER(iData!X67),100*ABS($G67-(iData!X67-$I67)/$M67),0)),IF(iData!X67&lt;0,100,IF(ISNUMBER(iData!X67),100*ABS($G67-(iData!X67-$I67)/$M67),0)))</f>
        <v>76.21621621621621</v>
      </c>
      <c r="AF67" s="123" cm="1">
        <f t="array" ref="AF67">CHOOSE($H67,SUMPRODUCT($O68:$O$75*AF68:AF$75*($E68:$E$75=$D67)),IF(ISNUMBER(iData!Y67),100*ABS($G67-(iData!Y67-$K67)/$M67),0),IF(ISNUMBER(iData!Y67),100*ABS($G67-(iData!Y67-$I67)/$M67),0),IF(iData!Y67&gt;tblIndicators!$AI63,100,IF(ISNUMBER(iData!Y67),100*ABS($G67-(iData!Y67-$I67)/$M67),0)),IF(iData!Y67&lt;0,100,IF(ISNUMBER(iData!Y67),100*ABS($G67-(iData!Y67-$I67)/$M67),0)))</f>
        <v>84.864864864864856</v>
      </c>
      <c r="AG67" s="123" cm="1">
        <f t="array" ref="AG67">CHOOSE($H67,SUMPRODUCT($O68:$O$75*AG68:AG$75*($E68:$E$75=$D67)),IF(ISNUMBER(iData!Z67),100*ABS($G67-(iData!Z67-$K67)/$M67),0),IF(ISNUMBER(iData!Z67),100*ABS($G67-(iData!Z67-$I67)/$M67),0),IF(iData!Z67&gt;tblIndicators!$AI63,100,IF(ISNUMBER(iData!Z67),100*ABS($G67-(iData!Z67-$I67)/$M67),0)),IF(iData!Z67&lt;0,100,IF(ISNUMBER(iData!Z67),100*ABS($G67-(iData!Z67-$I67)/$M67),0)))</f>
        <v>99.999999999999986</v>
      </c>
      <c r="AH67" s="123" cm="1">
        <f t="array" ref="AH67">CHOOSE($H67,SUMPRODUCT($O68:$O$75*AH68:AH$75*($E68:$E$75=$D67)),IF(ISNUMBER(iData!AA67),100*ABS($G67-(iData!AA67-$K67)/$M67),0),IF(ISNUMBER(iData!AA67),100*ABS($G67-(iData!AA67-$I67)/$M67),0),IF(iData!AA67&gt;tblIndicators!$AI63,100,IF(ISNUMBER(iData!AA67),100*ABS($G67-(iData!AA67-$I67)/$M67),0)),IF(iData!AA67&lt;0,100,IF(ISNUMBER(iData!AA67),100*ABS($G67-(iData!AA67-$I67)/$M67),0)))</f>
        <v>14.864864864864863</v>
      </c>
      <c r="AI67" s="123" cm="1">
        <f t="array" ref="AI67">CHOOSE($H67,SUMPRODUCT($O68:$O$75*AI68:AI$75*($E68:$E$75=$D67)),IF(ISNUMBER(iData!AB67),100*ABS($G67-(iData!AB67-$K67)/$M67),0),IF(ISNUMBER(iData!AB67),100*ABS($G67-(iData!AB67-$I67)/$M67),0),IF(iData!AB67&gt;tblIndicators!$AI63,100,IF(ISNUMBER(iData!AB67),100*ABS($G67-(iData!AB67-$I67)/$M67),0)),IF(iData!AB67&lt;0,100,IF(ISNUMBER(iData!AB67),100*ABS($G67-(iData!AB67-$I67)/$M67),0)))</f>
        <v>22.702702702702705</v>
      </c>
      <c r="AJ67" s="123" cm="1">
        <f t="array" ref="AJ67">CHOOSE($H67,SUMPRODUCT($O68:$O$75*AJ68:AJ$75*($E68:$E$75=$D67)),IF(ISNUMBER(iData!AC67),100*ABS($G67-(iData!AC67-$K67)/$M67),0),IF(ISNUMBER(iData!AC67),100*ABS($G67-(iData!AC67-$I67)/$M67),0),IF(iData!AC67&gt;tblIndicators!$AI63,100,IF(ISNUMBER(iData!AC67),100*ABS($G67-(iData!AC67-$I67)/$M67),0)),IF(iData!AC67&lt;0,100,IF(ISNUMBER(iData!AC67),100*ABS($G67-(iData!AC67-$I67)/$M67),0)))</f>
        <v>23.783783783783782</v>
      </c>
      <c r="AK67" s="123" cm="1">
        <f t="array" ref="AK67">CHOOSE($H67,SUMPRODUCT($O68:$O$75*AK68:AK$75*($E68:$E$75=$D67)),IF(ISNUMBER(iData!AD67),100*ABS($G67-(iData!AD67-$K67)/$M67),0),IF(ISNUMBER(iData!AD67),100*ABS($G67-(iData!AD67-$I67)/$M67),0),IF(iData!AD67&gt;tblIndicators!$AI63,100,IF(ISNUMBER(iData!AD67),100*ABS($G67-(iData!AD67-$I67)/$M67),0)),IF(iData!AD67&lt;0,100,IF(ISNUMBER(iData!AD67),100*ABS($G67-(iData!AD67-$I67)/$M67),0)))</f>
        <v>92.432432432432421</v>
      </c>
      <c r="AL67" s="123" cm="1">
        <f t="array" ref="AL67">CHOOSE($H67,SUMPRODUCT($O68:$O$75*AL68:AL$75*($E68:$E$75=$D67)),IF(ISNUMBER(iData!AE67),100*ABS($G67-(iData!AE67-$K67)/$M67),0),IF(ISNUMBER(iData!AE67),100*ABS($G67-(iData!AE67-$I67)/$M67),0),IF(iData!AE67&gt;tblIndicators!$AI63,100,IF(ISNUMBER(iData!AE67),100*ABS($G67-(iData!AE67-$I67)/$M67),0)),IF(iData!AE67&lt;0,100,IF(ISNUMBER(iData!AE67),100*ABS($G67-(iData!AE67-$I67)/$M67),0)))</f>
        <v>84.864864864864856</v>
      </c>
      <c r="AM67" s="123" cm="1">
        <f t="array" ref="AM67">CHOOSE($H67,SUMPRODUCT($O68:$O$75*AM68:AM$75*($E68:$E$75=$D67)),IF(ISNUMBER(iData!AF67),100*ABS($G67-(iData!AF67-$K67)/$M67),0),IF(ISNUMBER(iData!AF67),100*ABS($G67-(iData!AF67-$I67)/$M67),0),IF(iData!AF67&gt;tblIndicators!$AI63,100,IF(ISNUMBER(iData!AF67),100*ABS($G67-(iData!AF67-$I67)/$M67),0)),IF(iData!AF67&lt;0,100,IF(ISNUMBER(iData!AF67),100*ABS($G67-(iData!AF67-$I67)/$M67),0)))</f>
        <v>92.432432432432421</v>
      </c>
      <c r="AN67" s="123" cm="1">
        <f t="array" ref="AN67">CHOOSE($H67,SUMPRODUCT($O68:$O$75*AN68:AN$75*($E68:$E$75=$D67)),IF(ISNUMBER(iData!AG67),100*ABS($G67-(iData!AG67-$K67)/$M67),0),IF(ISNUMBER(iData!AG67),100*ABS($G67-(iData!AG67-$I67)/$M67),0),IF(iData!AG67&gt;tblIndicators!$AI63,100,IF(ISNUMBER(iData!AG67),100*ABS($G67-(iData!AG67-$I67)/$M67),0)),IF(iData!AG67&lt;0,100,IF(ISNUMBER(iData!AG67),100*ABS($G67-(iData!AG67-$I67)/$M67),0)))</f>
        <v>46.486486486486484</v>
      </c>
      <c r="AO67" s="123" cm="1">
        <f t="array" ref="AO67">CHOOSE($H67,SUMPRODUCT($O68:$O$75*AO68:AO$75*($E68:$E$75=$D67)),IF(ISNUMBER(iData!AH67),100*ABS($G67-(iData!AH67-$K67)/$M67),0),IF(ISNUMBER(iData!AH67),100*ABS($G67-(iData!AH67-$I67)/$M67),0),IF(iData!AH67&gt;tblIndicators!$AI63,100,IF(ISNUMBER(iData!AH67),100*ABS($G67-(iData!AH67-$I67)/$M67),0)),IF(iData!AH67&lt;0,100,IF(ISNUMBER(iData!AH67),100*ABS($G67-(iData!AH67-$I67)/$M67),0)))</f>
        <v>84.864864864864856</v>
      </c>
      <c r="AP67" s="123" cm="1">
        <f t="array" ref="AP67">CHOOSE($H67,SUMPRODUCT($O68:$O$75*AP68:AP$75*($E68:$E$75=$D67)),IF(ISNUMBER(iData!AI67),100*ABS($G67-(iData!AI67-$K67)/$M67),0),IF(ISNUMBER(iData!AI67),100*ABS($G67-(iData!AI67-$I67)/$M67),0),IF(iData!AI67&gt;tblIndicators!$AI63,100,IF(ISNUMBER(iData!AI67),100*ABS($G67-(iData!AI67-$I67)/$M67),0)),IF(iData!AI67&lt;0,100,IF(ISNUMBER(iData!AI67),100*ABS($G67-(iData!AI67-$I67)/$M67),0)))</f>
        <v>60</v>
      </c>
      <c r="AQ67" s="123" cm="1">
        <f t="array" ref="AQ67">CHOOSE($H67,SUMPRODUCT($O68:$O$75*AQ68:AQ$75*($E68:$E$75=$D67)),IF(ISNUMBER(iData!AJ67),100*ABS($G67-(iData!AJ67-$K67)/$M67),0),IF(ISNUMBER(iData!AJ67),100*ABS($G67-(iData!AJ67-$I67)/$M67),0),IF(iData!AJ67&gt;tblIndicators!$AI63,100,IF(ISNUMBER(iData!AJ67),100*ABS($G67-(iData!AJ67-$I67)/$M67),0)),IF(iData!AJ67&lt;0,100,IF(ISNUMBER(iData!AJ67),100*ABS($G67-(iData!AJ67-$I67)/$M67),0)))</f>
        <v>92.432432432432421</v>
      </c>
      <c r="AR67" s="123" cm="1">
        <f t="array" ref="AR67">CHOOSE($H67,SUMPRODUCT($O68:$O$75*AR68:AR$75*($E68:$E$75=$D67)),IF(ISNUMBER(iData!AK67),100*ABS($G67-(iData!AK67-$K67)/$M67),0),IF(ISNUMBER(iData!AK67),100*ABS($G67-(iData!AK67-$I67)/$M67),0),IF(iData!AK67&gt;tblIndicators!$AI63,100,IF(ISNUMBER(iData!AK67),100*ABS($G67-(iData!AK67-$I67)/$M67),0)),IF(iData!AK67&lt;0,100,IF(ISNUMBER(iData!AK67),100*ABS($G67-(iData!AK67-$I67)/$M67),0)))</f>
        <v>77.297297297297291</v>
      </c>
      <c r="AS67" s="123" cm="1">
        <f t="array" ref="AS67">CHOOSE($H67,SUMPRODUCT($O68:$O$75*AS68:AS$75*($E68:$E$75=$D67)),IF(ISNUMBER(iData!AL67),100*ABS($G67-(iData!AL67-$K67)/$M67),0),IF(ISNUMBER(iData!AL67),100*ABS($G67-(iData!AL67-$I67)/$M67),0),IF(iData!AL67&gt;tblIndicators!$AI63,100,IF(ISNUMBER(iData!AL67),100*ABS($G67-(iData!AL67-$I67)/$M67),0)),IF(iData!AL67&lt;0,100,IF(ISNUMBER(iData!AL67),100*ABS($G67-(iData!AL67-$I67)/$M67),0)))</f>
        <v>92.432432432432421</v>
      </c>
      <c r="AT67" s="123" cm="1">
        <f t="array" ref="AT67">CHOOSE($H67,SUMPRODUCT($O68:$O$75*AT68:AT$75*($E68:$E$75=$D67)),IF(ISNUMBER(iData!AM67),100*ABS($G67-(iData!AM67-$K67)/$M67),0),IF(ISNUMBER(iData!AM67),100*ABS($G67-(iData!AM67-$I67)/$M67),0),IF(iData!AM67&gt;tblIndicators!$AI63,100,IF(ISNUMBER(iData!AM67),100*ABS($G67-(iData!AM67-$I67)/$M67),0)),IF(iData!AM67&lt;0,100,IF(ISNUMBER(iData!AM67),100*ABS($G67-(iData!AM67-$I67)/$M67),0)))</f>
        <v>99.999999999999986</v>
      </c>
      <c r="AU67" s="123" cm="1">
        <f t="array" ref="AU67">CHOOSE($H67,SUMPRODUCT($O68:$O$75*AU68:AU$75*($E68:$E$75=$D67)),IF(ISNUMBER(iData!AN67),100*ABS($G67-(iData!AN67-$K67)/$M67),0),IF(ISNUMBER(iData!AN67),100*ABS($G67-(iData!AN67-$I67)/$M67),0),IF(iData!AN67&gt;tblIndicators!$AI63,100,IF(ISNUMBER(iData!AN67),100*ABS($G67-(iData!AN67-$I67)/$M67),0)),IF(iData!AN67&lt;0,100,IF(ISNUMBER(iData!AN67),100*ABS($G67-(iData!AN67-$I67)/$M67),0)))</f>
        <v>92.432432432432421</v>
      </c>
      <c r="AV67" s="367"/>
      <c r="AW67" s="368"/>
      <c r="AX67" s="14"/>
      <c r="AY67" s="871">
        <f t="shared" si="40"/>
        <v>100</v>
      </c>
      <c r="AZ67" s="871">
        <f t="shared" si="41"/>
        <v>77.599999999999994</v>
      </c>
      <c r="BA67" s="871">
        <f t="shared" si="42"/>
        <v>46.2</v>
      </c>
      <c r="BB67" s="871">
        <f t="shared" si="43"/>
        <v>92.4</v>
      </c>
      <c r="BC67" s="871">
        <f t="shared" si="44"/>
        <v>92.4</v>
      </c>
      <c r="BD67" s="871">
        <f t="shared" si="45"/>
        <v>92.4</v>
      </c>
      <c r="BE67" s="871">
        <f t="shared" si="46"/>
        <v>77.599999999999994</v>
      </c>
      <c r="BF67" s="871">
        <f t="shared" si="47"/>
        <v>100</v>
      </c>
      <c r="BG67" s="871">
        <f t="shared" si="48"/>
        <v>92.4</v>
      </c>
      <c r="BH67" s="871">
        <f t="shared" si="49"/>
        <v>83.8</v>
      </c>
      <c r="BI67" s="871">
        <f t="shared" si="50"/>
        <v>100</v>
      </c>
      <c r="BJ67" s="871">
        <f t="shared" si="51"/>
        <v>77.599999999999994</v>
      </c>
      <c r="BK67" s="871">
        <f t="shared" si="52"/>
        <v>70</v>
      </c>
      <c r="BL67" s="871">
        <f t="shared" si="53"/>
        <v>76.2</v>
      </c>
      <c r="BM67" s="871">
        <f t="shared" si="54"/>
        <v>84.9</v>
      </c>
      <c r="BN67" s="871">
        <f t="shared" si="55"/>
        <v>100</v>
      </c>
      <c r="BO67" s="871">
        <f t="shared" si="56"/>
        <v>14.9</v>
      </c>
      <c r="BP67" s="871">
        <f t="shared" si="57"/>
        <v>22.7</v>
      </c>
      <c r="BQ67" s="871">
        <f t="shared" si="58"/>
        <v>23.8</v>
      </c>
      <c r="BR67" s="871">
        <f t="shared" si="59"/>
        <v>92.4</v>
      </c>
      <c r="BS67" s="871">
        <f t="shared" si="60"/>
        <v>84.9</v>
      </c>
      <c r="BT67" s="871">
        <f t="shared" si="61"/>
        <v>92.4</v>
      </c>
      <c r="BU67" s="871">
        <f t="shared" si="62"/>
        <v>46.5</v>
      </c>
      <c r="BV67" s="871">
        <f t="shared" si="63"/>
        <v>84.9</v>
      </c>
      <c r="BW67" s="871">
        <f t="shared" si="64"/>
        <v>60</v>
      </c>
      <c r="BX67" s="871">
        <f t="shared" si="65"/>
        <v>92.4</v>
      </c>
      <c r="BY67" s="871">
        <f t="shared" si="66"/>
        <v>77.3</v>
      </c>
      <c r="BZ67" s="871">
        <f t="shared" si="67"/>
        <v>92.4</v>
      </c>
      <c r="CA67" s="871">
        <f t="shared" si="68"/>
        <v>100</v>
      </c>
      <c r="CB67" s="871">
        <f t="shared" si="69"/>
        <v>92.4</v>
      </c>
      <c r="CD67" s="304">
        <f t="shared" ca="1" si="108"/>
        <v>78</v>
      </c>
      <c r="CE67" s="304">
        <f t="shared" ca="1" si="108"/>
        <v>78</v>
      </c>
      <c r="CF67" s="304">
        <f t="shared" ca="1" si="108"/>
        <v>66.099999999999994</v>
      </c>
      <c r="CG67" s="302">
        <f t="shared" ca="1" si="108"/>
        <v>93.9</v>
      </c>
      <c r="CH67" s="302">
        <f t="shared" ca="1" si="108"/>
        <v>48.9</v>
      </c>
      <c r="CI67" s="302">
        <f t="shared" ca="1" si="108"/>
        <v>83.8</v>
      </c>
      <c r="CJ67" s="302">
        <f t="shared" ca="1" si="108"/>
        <v>94.3</v>
      </c>
      <c r="CK67" s="302">
        <f t="shared" ca="1" si="108"/>
        <v>36.200000000000003</v>
      </c>
      <c r="CL67" s="302">
        <f t="shared" ca="1" si="108"/>
        <v>60.3</v>
      </c>
      <c r="CM67" s="302">
        <f t="shared" ca="1" si="108"/>
        <v>89.1</v>
      </c>
      <c r="CN67" s="302">
        <f t="shared" ref="CN67:CQ75" ca="1" si="172">IFERROR(ROUND(SUMIF(OFFSET(tblGroups,CN$5-1,0,1,$CE$1),1,OFFSET(aScoresRounded,$B67-1,0,1,$CE$1))/SUM(OFFSET(tblGroups,CN$5-1,0,1,$CE$1)),$CF$1),"n/a")</f>
        <v>92.3</v>
      </c>
      <c r="CO67" s="302">
        <f t="shared" ca="1" si="172"/>
        <v>87</v>
      </c>
      <c r="CP67" s="302">
        <f t="shared" ca="1" si="172"/>
        <v>57.7</v>
      </c>
      <c r="CQ67" s="302">
        <f t="shared" ca="1" si="172"/>
        <v>65.3</v>
      </c>
    </row>
    <row r="68" spans="1:95" s="124" customFormat="1" ht="27.75" customHeight="1" thickBot="1">
      <c r="A68" s="118"/>
      <c r="B68" s="119">
        <f>tblIndicators!A64</f>
        <v>63</v>
      </c>
      <c r="C68" s="119">
        <f>tblIndicators!B64</f>
        <v>0</v>
      </c>
      <c r="D68" s="119" t="str">
        <f>tblIndicators!E64</f>
        <v>SUST4_2_1</v>
      </c>
      <c r="E68" s="119" t="str">
        <f>tblIndicators!F64</f>
        <v>SUST4_2</v>
      </c>
      <c r="F68" s="119">
        <f>tblIndicators!G64</f>
        <v>3</v>
      </c>
      <c r="G68" s="119">
        <f>tblIndicators!AF64</f>
        <v>0</v>
      </c>
      <c r="H68" s="119">
        <f>tblIndicators!AG64</f>
        <v>3</v>
      </c>
      <c r="I68" s="120">
        <f>tblIndicators!AH64</f>
        <v>0</v>
      </c>
      <c r="J68" s="119">
        <f>tblIndicators!AI64</f>
        <v>2</v>
      </c>
      <c r="K68" s="119">
        <f t="array" ref="K68">MIN(IF(ISNUMBER(iData!K68:AN68),iData!K68:AN68))</f>
        <v>0</v>
      </c>
      <c r="L68" s="121">
        <f t="array" ref="L68">MAX(IF(ISNUMBER(iData!K68:AN68),iData!K68:AN68))</f>
        <v>2</v>
      </c>
      <c r="M68" s="51">
        <f t="shared" si="106"/>
        <v>2</v>
      </c>
      <c r="N68" s="122" t="str">
        <f>REPT(" ",F68)&amp;tblIndicators!AM64</f>
        <v xml:space="preserve">   4.2.1) Net-zero emission</v>
      </c>
      <c r="O68" s="381">
        <f>tblIndicators!AR64</f>
        <v>0.32432432432432429</v>
      </c>
      <c r="P68" s="381"/>
      <c r="Q68" s="323"/>
      <c r="R68" s="123" cm="1">
        <f t="array" ref="R68">CHOOSE($H68,SUMPRODUCT($O69:$O$75*R69:R$75*($E69:$E$75=$D68)),IF(ISNUMBER(iData!K68),100*ABS($G68-(iData!K68-$K68)/$M68),0),IF(ISNUMBER(iData!K68),100*ABS($G68-(iData!K68-$I68)/$M68),0),IF(iData!K68&gt;tblIndicators!$AI64,100,IF(ISNUMBER(iData!K68),100*ABS($G68-(iData!K68-$I68)/$M68),0)),IF(iData!K68&lt;0,100,IF(ISNUMBER(iData!K68),100*ABS($G68-(iData!K68-$I68)/$M68),0)))</f>
        <v>100</v>
      </c>
      <c r="S68" s="123" cm="1">
        <f t="array" ref="S68">CHOOSE($H68,SUMPRODUCT($O69:$O$75*S69:S$75*($E69:$E$75=$D68)),IF(ISNUMBER(iData!L68),100*ABS($G68-(iData!L68-$K68)/$M68),0),IF(ISNUMBER(iData!L68),100*ABS($G68-(iData!L68-$I68)/$M68),0),IF(iData!L68&gt;tblIndicators!$AI64,100,IF(ISNUMBER(iData!L68),100*ABS($G68-(iData!L68-$I68)/$M68),0)),IF(iData!L68&lt;0,100,IF(ISNUMBER(iData!L68),100*ABS($G68-(iData!L68-$I68)/$M68),0)))</f>
        <v>100</v>
      </c>
      <c r="T68" s="123" cm="1">
        <f t="array" ref="T68">CHOOSE($H68,SUMPRODUCT($O69:$O$75*T69:T$75*($E69:$E$75=$D68)),IF(ISNUMBER(iData!M68),100*ABS($G68-(iData!M68-$K68)/$M68),0),IF(ISNUMBER(iData!M68),100*ABS($G68-(iData!M68-$I68)/$M68),0),IF(iData!M68&gt;tblIndicators!$AI64,100,IF(ISNUMBER(iData!M68),100*ABS($G68-(iData!M68-$I68)/$M68),0)),IF(iData!M68&lt;0,100,IF(ISNUMBER(iData!M68),100*ABS($G68-(iData!M68-$I68)/$M68),0)))</f>
        <v>50</v>
      </c>
      <c r="U68" s="123" cm="1">
        <f t="array" ref="U68">CHOOSE($H68,SUMPRODUCT($O69:$O$75*U69:U$75*($E69:$E$75=$D68)),IF(ISNUMBER(iData!N68),100*ABS($G68-(iData!N68-$K68)/$M68),0),IF(ISNUMBER(iData!N68),100*ABS($G68-(iData!N68-$I68)/$M68),0),IF(iData!N68&gt;tblIndicators!$AI64,100,IF(ISNUMBER(iData!N68),100*ABS($G68-(iData!N68-$I68)/$M68),0)),IF(iData!N68&lt;0,100,IF(ISNUMBER(iData!N68),100*ABS($G68-(iData!N68-$I68)/$M68),0)))</f>
        <v>100</v>
      </c>
      <c r="V68" s="123" cm="1">
        <f t="array" ref="V68">CHOOSE($H68,SUMPRODUCT($O69:$O$75*V69:V$75*($E69:$E$75=$D68)),IF(ISNUMBER(iData!O68),100*ABS($G68-(iData!O68-$K68)/$M68),0),IF(ISNUMBER(iData!O68),100*ABS($G68-(iData!O68-$I68)/$M68),0),IF(iData!O68&gt;tblIndicators!$AI64,100,IF(ISNUMBER(iData!O68),100*ABS($G68-(iData!O68-$I68)/$M68),0)),IF(iData!O68&lt;0,100,IF(ISNUMBER(iData!O68),100*ABS($G68-(iData!O68-$I68)/$M68),0)))</f>
        <v>100</v>
      </c>
      <c r="W68" s="123" cm="1">
        <f t="array" ref="W68">CHOOSE($H68,SUMPRODUCT($O69:$O$75*W69:W$75*($E69:$E$75=$D68)),IF(ISNUMBER(iData!P68),100*ABS($G68-(iData!P68-$K68)/$M68),0),IF(ISNUMBER(iData!P68),100*ABS($G68-(iData!P68-$I68)/$M68),0),IF(iData!P68&gt;tblIndicators!$AI64,100,IF(ISNUMBER(iData!P68),100*ABS($G68-(iData!P68-$I68)/$M68),0)),IF(iData!P68&lt;0,100,IF(ISNUMBER(iData!P68),100*ABS($G68-(iData!P68-$I68)/$M68),0)))</f>
        <v>100</v>
      </c>
      <c r="X68" s="123" cm="1">
        <f t="array" ref="X68">CHOOSE($H68,SUMPRODUCT($O69:$O$75*X69:X$75*($E69:$E$75=$D68)),IF(ISNUMBER(iData!Q68),100*ABS($G68-(iData!Q68-$K68)/$M68),0),IF(ISNUMBER(iData!Q68),100*ABS($G68-(iData!Q68-$I68)/$M68),0),IF(iData!Q68&gt;tblIndicators!$AI64,100,IF(ISNUMBER(iData!Q68),100*ABS($G68-(iData!Q68-$I68)/$M68),0)),IF(iData!Q68&lt;0,100,IF(ISNUMBER(iData!Q68),100*ABS($G68-(iData!Q68-$I68)/$M68),0)))</f>
        <v>100</v>
      </c>
      <c r="Y68" s="123" cm="1">
        <f t="array" ref="Y68">CHOOSE($H68,SUMPRODUCT($O69:$O$75*Y69:Y$75*($E69:$E$75=$D68)),IF(ISNUMBER(iData!R68),100*ABS($G68-(iData!R68-$K68)/$M68),0),IF(ISNUMBER(iData!R68),100*ABS($G68-(iData!R68-$I68)/$M68),0),IF(iData!R68&gt;tblIndicators!$AI64,100,IF(ISNUMBER(iData!R68),100*ABS($G68-(iData!R68-$I68)/$M68),0)),IF(iData!R68&lt;0,100,IF(ISNUMBER(iData!R68),100*ABS($G68-(iData!R68-$I68)/$M68),0)))</f>
        <v>100</v>
      </c>
      <c r="Z68" s="123" cm="1">
        <f t="array" ref="Z68">CHOOSE($H68,SUMPRODUCT($O69:$O$75*Z69:Z$75*($E69:$E$75=$D68)),IF(ISNUMBER(iData!S68),100*ABS($G68-(iData!S68-$K68)/$M68),0),IF(ISNUMBER(iData!S68),100*ABS($G68-(iData!S68-$I68)/$M68),0),IF(iData!S68&gt;tblIndicators!$AI64,100,IF(ISNUMBER(iData!S68),100*ABS($G68-(iData!S68-$I68)/$M68),0)),IF(iData!S68&lt;0,100,IF(ISNUMBER(iData!S68),100*ABS($G68-(iData!S68-$I68)/$M68),0)))</f>
        <v>100</v>
      </c>
      <c r="AA68" s="123" cm="1">
        <f t="array" ref="AA68">CHOOSE($H68,SUMPRODUCT($O69:$O$75*AA69:AA$75*($E69:$E$75=$D68)),IF(ISNUMBER(iData!T68),100*ABS($G68-(iData!T68-$K68)/$M68),0),IF(ISNUMBER(iData!T68),100*ABS($G68-(iData!T68-$I68)/$M68),0),IF(iData!T68&gt;tblIndicators!$AI64,100,IF(ISNUMBER(iData!T68),100*ABS($G68-(iData!T68-$I68)/$M68),0)),IF(iData!T68&lt;0,100,IF(ISNUMBER(iData!T68),100*ABS($G68-(iData!T68-$I68)/$M68),0)))</f>
        <v>50</v>
      </c>
      <c r="AB68" s="123" cm="1">
        <f t="array" ref="AB68">CHOOSE($H68,SUMPRODUCT($O69:$O$75*AB69:AB$75*($E69:$E$75=$D68)),IF(ISNUMBER(iData!U68),100*ABS($G68-(iData!U68-$K68)/$M68),0),IF(ISNUMBER(iData!U68),100*ABS($G68-(iData!U68-$I68)/$M68),0),IF(iData!U68&gt;tblIndicators!$AI64,100,IF(ISNUMBER(iData!U68),100*ABS($G68-(iData!U68-$I68)/$M68),0)),IF(iData!U68&lt;0,100,IF(ISNUMBER(iData!U68),100*ABS($G68-(iData!U68-$I68)/$M68),0)))</f>
        <v>100</v>
      </c>
      <c r="AC68" s="123" cm="1">
        <f t="array" ref="AC68">CHOOSE($H68,SUMPRODUCT($O69:$O$75*AC69:AC$75*($E69:$E$75=$D68)),IF(ISNUMBER(iData!V68),100*ABS($G68-(iData!V68-$K68)/$M68),0),IF(ISNUMBER(iData!V68),100*ABS($G68-(iData!V68-$I68)/$M68),0),IF(iData!V68&gt;tblIndicators!$AI64,100,IF(ISNUMBER(iData!V68),100*ABS($G68-(iData!V68-$I68)/$M68),0)),IF(iData!V68&lt;0,100,IF(ISNUMBER(iData!V68),100*ABS($G68-(iData!V68-$I68)/$M68),0)))</f>
        <v>100</v>
      </c>
      <c r="AD68" s="123" cm="1">
        <f t="array" ref="AD68">CHOOSE($H68,SUMPRODUCT($O69:$O$75*AD69:AD$75*($E69:$E$75=$D68)),IF(ISNUMBER(iData!W68),100*ABS($G68-(iData!W68-$K68)/$M68),0),IF(ISNUMBER(iData!W68),100*ABS($G68-(iData!W68-$I68)/$M68),0),IF(iData!W68&gt;tblIndicators!$AI64,100,IF(ISNUMBER(iData!W68),100*ABS($G68-(iData!W68-$I68)/$M68),0)),IF(iData!W68&lt;0,100,IF(ISNUMBER(iData!W68),100*ABS($G68-(iData!W68-$I68)/$M68),0)))</f>
        <v>100</v>
      </c>
      <c r="AE68" s="123" cm="1">
        <f t="array" ref="AE68">CHOOSE($H68,SUMPRODUCT($O69:$O$75*AE69:AE$75*($E69:$E$75=$D68)),IF(ISNUMBER(iData!X68),100*ABS($G68-(iData!X68-$K68)/$M68),0),IF(ISNUMBER(iData!X68),100*ABS($G68-(iData!X68-$I68)/$M68),0),IF(iData!X68&gt;tblIndicators!$AI64,100,IF(ISNUMBER(iData!X68),100*ABS($G68-(iData!X68-$I68)/$M68),0)),IF(iData!X68&lt;0,100,IF(ISNUMBER(iData!X68),100*ABS($G68-(iData!X68-$I68)/$M68),0)))</f>
        <v>50</v>
      </c>
      <c r="AF68" s="123" cm="1">
        <f t="array" ref="AF68">CHOOSE($H68,SUMPRODUCT($O69:$O$75*AF69:AF$75*($E69:$E$75=$D68)),IF(ISNUMBER(iData!Y68),100*ABS($G68-(iData!Y68-$K68)/$M68),0),IF(ISNUMBER(iData!Y68),100*ABS($G68-(iData!Y68-$I68)/$M68),0),IF(iData!Y68&gt;tblIndicators!$AI64,100,IF(ISNUMBER(iData!Y68),100*ABS($G68-(iData!Y68-$I68)/$M68),0)),IF(iData!Y68&lt;0,100,IF(ISNUMBER(iData!Y68),100*ABS($G68-(iData!Y68-$I68)/$M68),0)))</f>
        <v>100</v>
      </c>
      <c r="AG68" s="123" cm="1">
        <f t="array" ref="AG68">CHOOSE($H68,SUMPRODUCT($O69:$O$75*AG69:AG$75*($E69:$E$75=$D68)),IF(ISNUMBER(iData!Z68),100*ABS($G68-(iData!Z68-$K68)/$M68),0),IF(ISNUMBER(iData!Z68),100*ABS($G68-(iData!Z68-$I68)/$M68),0),IF(iData!Z68&gt;tblIndicators!$AI64,100,IF(ISNUMBER(iData!Z68),100*ABS($G68-(iData!Z68-$I68)/$M68),0)),IF(iData!Z68&lt;0,100,IF(ISNUMBER(iData!Z68),100*ABS($G68-(iData!Z68-$I68)/$M68),0)))</f>
        <v>100</v>
      </c>
      <c r="AH68" s="123" cm="1">
        <f t="array" ref="AH68">CHOOSE($H68,SUMPRODUCT($O69:$O$75*AH69:AH$75*($E69:$E$75=$D68)),IF(ISNUMBER(iData!AA68),100*ABS($G68-(iData!AA68-$K68)/$M68),0),IF(ISNUMBER(iData!AA68),100*ABS($G68-(iData!AA68-$I68)/$M68),0),IF(iData!AA68&gt;tblIndicators!$AI64,100,IF(ISNUMBER(iData!AA68),100*ABS($G68-(iData!AA68-$I68)/$M68),0)),IF(iData!AA68&lt;0,100,IF(ISNUMBER(iData!AA68),100*ABS($G68-(iData!AA68-$I68)/$M68),0)))</f>
        <v>0</v>
      </c>
      <c r="AI68" s="123" cm="1">
        <f t="array" ref="AI68">CHOOSE($H68,SUMPRODUCT($O69:$O$75*AI69:AI$75*($E69:$E$75=$D68)),IF(ISNUMBER(iData!AB68),100*ABS($G68-(iData!AB68-$K68)/$M68),0),IF(ISNUMBER(iData!AB68),100*ABS($G68-(iData!AB68-$I68)/$M68),0),IF(iData!AB68&gt;tblIndicators!$AI64,100,IF(ISNUMBER(iData!AB68),100*ABS($G68-(iData!AB68-$I68)/$M68),0)),IF(iData!AB68&lt;0,100,IF(ISNUMBER(iData!AB68),100*ABS($G68-(iData!AB68-$I68)/$M68),0)))</f>
        <v>0</v>
      </c>
      <c r="AJ68" s="123" cm="1">
        <f t="array" ref="AJ68">CHOOSE($H68,SUMPRODUCT($O69:$O$75*AJ69:AJ$75*($E69:$E$75=$D68)),IF(ISNUMBER(iData!AC68),100*ABS($G68-(iData!AC68-$K68)/$M68),0),IF(ISNUMBER(iData!AC68),100*ABS($G68-(iData!AC68-$I68)/$M68),0),IF(iData!AC68&gt;tblIndicators!$AI64,100,IF(ISNUMBER(iData!AC68),100*ABS($G68-(iData!AC68-$I68)/$M68),0)),IF(iData!AC68&lt;0,100,IF(ISNUMBER(iData!AC68),100*ABS($G68-(iData!AC68-$I68)/$M68),0)))</f>
        <v>50</v>
      </c>
      <c r="AK68" s="123" cm="1">
        <f t="array" ref="AK68">CHOOSE($H68,SUMPRODUCT($O69:$O$75*AK69:AK$75*($E69:$E$75=$D68)),IF(ISNUMBER(iData!AD68),100*ABS($G68-(iData!AD68-$K68)/$M68),0),IF(ISNUMBER(iData!AD68),100*ABS($G68-(iData!AD68-$I68)/$M68),0),IF(iData!AD68&gt;tblIndicators!$AI64,100,IF(ISNUMBER(iData!AD68),100*ABS($G68-(iData!AD68-$I68)/$M68),0)),IF(iData!AD68&lt;0,100,IF(ISNUMBER(iData!AD68),100*ABS($G68-(iData!AD68-$I68)/$M68),0)))</f>
        <v>100</v>
      </c>
      <c r="AL68" s="123" cm="1">
        <f t="array" ref="AL68">CHOOSE($H68,SUMPRODUCT($O69:$O$75*AL69:AL$75*($E69:$E$75=$D68)),IF(ISNUMBER(iData!AE68),100*ABS($G68-(iData!AE68-$K68)/$M68),0),IF(ISNUMBER(iData!AE68),100*ABS($G68-(iData!AE68-$I68)/$M68),0),IF(iData!AE68&gt;tblIndicators!$AI64,100,IF(ISNUMBER(iData!AE68),100*ABS($G68-(iData!AE68-$I68)/$M68),0)),IF(iData!AE68&lt;0,100,IF(ISNUMBER(iData!AE68),100*ABS($G68-(iData!AE68-$I68)/$M68),0)))</f>
        <v>100</v>
      </c>
      <c r="AM68" s="123" cm="1">
        <f t="array" ref="AM68">CHOOSE($H68,SUMPRODUCT($O69:$O$75*AM69:AM$75*($E69:$E$75=$D68)),IF(ISNUMBER(iData!AF68),100*ABS($G68-(iData!AF68-$K68)/$M68),0),IF(ISNUMBER(iData!AF68),100*ABS($G68-(iData!AF68-$I68)/$M68),0),IF(iData!AF68&gt;tblIndicators!$AI64,100,IF(ISNUMBER(iData!AF68),100*ABS($G68-(iData!AF68-$I68)/$M68),0)),IF(iData!AF68&lt;0,100,IF(ISNUMBER(iData!AF68),100*ABS($G68-(iData!AF68-$I68)/$M68),0)))</f>
        <v>100</v>
      </c>
      <c r="AN68" s="123" cm="1">
        <f t="array" ref="AN68">CHOOSE($H68,SUMPRODUCT($O69:$O$75*AN69:AN$75*($E69:$E$75=$D68)),IF(ISNUMBER(iData!AG68),100*ABS($G68-(iData!AG68-$K68)/$M68),0),IF(ISNUMBER(iData!AG68),100*ABS($G68-(iData!AG68-$I68)/$M68),0),IF(iData!AG68&gt;tblIndicators!$AI64,100,IF(ISNUMBER(iData!AG68),100*ABS($G68-(iData!AG68-$I68)/$M68),0)),IF(iData!AG68&lt;0,100,IF(ISNUMBER(iData!AG68),100*ABS($G68-(iData!AG68-$I68)/$M68),0)))</f>
        <v>50</v>
      </c>
      <c r="AO68" s="123" cm="1">
        <f t="array" ref="AO68">CHOOSE($H68,SUMPRODUCT($O69:$O$75*AO69:AO$75*($E69:$E$75=$D68)),IF(ISNUMBER(iData!AH68),100*ABS($G68-(iData!AH68-$K68)/$M68),0),IF(ISNUMBER(iData!AH68),100*ABS($G68-(iData!AH68-$I68)/$M68),0),IF(iData!AH68&gt;tblIndicators!$AI64,100,IF(ISNUMBER(iData!AH68),100*ABS($G68-(iData!AH68-$I68)/$M68),0)),IF(iData!AH68&lt;0,100,IF(ISNUMBER(iData!AH68),100*ABS($G68-(iData!AH68-$I68)/$M68),0)))</f>
        <v>100</v>
      </c>
      <c r="AP68" s="123" cm="1">
        <f t="array" ref="AP68">CHOOSE($H68,SUMPRODUCT($O69:$O$75*AP69:AP$75*($E69:$E$75=$D68)),IF(ISNUMBER(iData!AI68),100*ABS($G68-(iData!AI68-$K68)/$M68),0),IF(ISNUMBER(iData!AI68),100*ABS($G68-(iData!AI68-$I68)/$M68),0),IF(iData!AI68&gt;tblIndicators!$AI64,100,IF(ISNUMBER(iData!AI68),100*ABS($G68-(iData!AI68-$I68)/$M68),0)),IF(iData!AI68&lt;0,100,IF(ISNUMBER(iData!AI68),100*ABS($G68-(iData!AI68-$I68)/$M68),0)))</f>
        <v>0</v>
      </c>
      <c r="AQ68" s="123" cm="1">
        <f t="array" ref="AQ68">CHOOSE($H68,SUMPRODUCT($O69:$O$75*AQ69:AQ$75*($E69:$E$75=$D68)),IF(ISNUMBER(iData!AJ68),100*ABS($G68-(iData!AJ68-$K68)/$M68),0),IF(ISNUMBER(iData!AJ68),100*ABS($G68-(iData!AJ68-$I68)/$M68),0),IF(iData!AJ68&gt;tblIndicators!$AI64,100,IF(ISNUMBER(iData!AJ68),100*ABS($G68-(iData!AJ68-$I68)/$M68),0)),IF(iData!AJ68&lt;0,100,IF(ISNUMBER(iData!AJ68),100*ABS($G68-(iData!AJ68-$I68)/$M68),0)))</f>
        <v>100</v>
      </c>
      <c r="AR68" s="123" cm="1">
        <f t="array" ref="AR68">CHOOSE($H68,SUMPRODUCT($O69:$O$75*AR69:AR$75*($E69:$E$75=$D68)),IF(ISNUMBER(iData!AK68),100*ABS($G68-(iData!AK68-$K68)/$M68),0),IF(ISNUMBER(iData!AK68),100*ABS($G68-(iData!AK68-$I68)/$M68),0),IF(iData!AK68&gt;tblIndicators!$AI64,100,IF(ISNUMBER(iData!AK68),100*ABS($G68-(iData!AK68-$I68)/$M68),0)),IF(iData!AK68&lt;0,100,IF(ISNUMBER(iData!AK68),100*ABS($G68-(iData!AK68-$I68)/$M68),0)))</f>
        <v>100</v>
      </c>
      <c r="AS68" s="123" cm="1">
        <f t="array" ref="AS68">CHOOSE($H68,SUMPRODUCT($O69:$O$75*AS69:AS$75*($E69:$E$75=$D68)),IF(ISNUMBER(iData!AL68),100*ABS($G68-(iData!AL68-$K68)/$M68),0),IF(ISNUMBER(iData!AL68),100*ABS($G68-(iData!AL68-$I68)/$M68),0),IF(iData!AL68&gt;tblIndicators!$AI64,100,IF(ISNUMBER(iData!AL68),100*ABS($G68-(iData!AL68-$I68)/$M68),0)),IF(iData!AL68&lt;0,100,IF(ISNUMBER(iData!AL68),100*ABS($G68-(iData!AL68-$I68)/$M68),0)))</f>
        <v>100</v>
      </c>
      <c r="AT68" s="123" cm="1">
        <f t="array" ref="AT68">CHOOSE($H68,SUMPRODUCT($O69:$O$75*AT69:AT$75*($E69:$E$75=$D68)),IF(ISNUMBER(iData!AM68),100*ABS($G68-(iData!AM68-$K68)/$M68),0),IF(ISNUMBER(iData!AM68),100*ABS($G68-(iData!AM68-$I68)/$M68),0),IF(iData!AM68&gt;tblIndicators!$AI64,100,IF(ISNUMBER(iData!AM68),100*ABS($G68-(iData!AM68-$I68)/$M68),0)),IF(iData!AM68&lt;0,100,IF(ISNUMBER(iData!AM68),100*ABS($G68-(iData!AM68-$I68)/$M68),0)))</f>
        <v>100</v>
      </c>
      <c r="AU68" s="123" cm="1">
        <f t="array" ref="AU68">CHOOSE($H68,SUMPRODUCT($O69:$O$75*AU69:AU$75*($E69:$E$75=$D68)),IF(ISNUMBER(iData!AN68),100*ABS($G68-(iData!AN68-$K68)/$M68),0),IF(ISNUMBER(iData!AN68),100*ABS($G68-(iData!AN68-$I68)/$M68),0),IF(iData!AN68&gt;tblIndicators!$AI64,100,IF(ISNUMBER(iData!AN68),100*ABS($G68-(iData!AN68-$I68)/$M68),0)),IF(iData!AN68&lt;0,100,IF(ISNUMBER(iData!AN68),100*ABS($G68-(iData!AN68-$I68)/$M68),0)))</f>
        <v>100</v>
      </c>
      <c r="AV68" s="367"/>
      <c r="AW68" s="368"/>
      <c r="AX68" s="14"/>
      <c r="AY68" s="871">
        <f t="shared" si="40"/>
        <v>100</v>
      </c>
      <c r="AZ68" s="871">
        <f t="shared" si="41"/>
        <v>100</v>
      </c>
      <c r="BA68" s="871">
        <f t="shared" si="42"/>
        <v>50</v>
      </c>
      <c r="BB68" s="871">
        <f t="shared" si="43"/>
        <v>100</v>
      </c>
      <c r="BC68" s="871">
        <f t="shared" si="44"/>
        <v>100</v>
      </c>
      <c r="BD68" s="871">
        <f t="shared" si="45"/>
        <v>100</v>
      </c>
      <c r="BE68" s="871">
        <f t="shared" si="46"/>
        <v>100</v>
      </c>
      <c r="BF68" s="871">
        <f t="shared" si="47"/>
        <v>100</v>
      </c>
      <c r="BG68" s="871">
        <f t="shared" si="48"/>
        <v>100</v>
      </c>
      <c r="BH68" s="871">
        <f t="shared" si="49"/>
        <v>50</v>
      </c>
      <c r="BI68" s="871">
        <f t="shared" si="50"/>
        <v>100</v>
      </c>
      <c r="BJ68" s="871">
        <f t="shared" si="51"/>
        <v>100</v>
      </c>
      <c r="BK68" s="871">
        <f t="shared" si="52"/>
        <v>100</v>
      </c>
      <c r="BL68" s="871">
        <f t="shared" si="53"/>
        <v>50</v>
      </c>
      <c r="BM68" s="871">
        <f t="shared" si="54"/>
        <v>100</v>
      </c>
      <c r="BN68" s="871">
        <f t="shared" si="55"/>
        <v>100</v>
      </c>
      <c r="BO68" s="871">
        <f t="shared" si="56"/>
        <v>0</v>
      </c>
      <c r="BP68" s="871">
        <f t="shared" si="57"/>
        <v>0</v>
      </c>
      <c r="BQ68" s="871">
        <f t="shared" si="58"/>
        <v>50</v>
      </c>
      <c r="BR68" s="871">
        <f t="shared" si="59"/>
        <v>100</v>
      </c>
      <c r="BS68" s="871">
        <f t="shared" si="60"/>
        <v>100</v>
      </c>
      <c r="BT68" s="871">
        <f t="shared" si="61"/>
        <v>100</v>
      </c>
      <c r="BU68" s="871">
        <f t="shared" si="62"/>
        <v>50</v>
      </c>
      <c r="BV68" s="871">
        <f t="shared" si="63"/>
        <v>100</v>
      </c>
      <c r="BW68" s="871">
        <f t="shared" si="64"/>
        <v>0</v>
      </c>
      <c r="BX68" s="871">
        <f t="shared" si="65"/>
        <v>100</v>
      </c>
      <c r="BY68" s="871">
        <f t="shared" si="66"/>
        <v>100</v>
      </c>
      <c r="BZ68" s="871">
        <f t="shared" si="67"/>
        <v>100</v>
      </c>
      <c r="CA68" s="871">
        <f t="shared" si="68"/>
        <v>100</v>
      </c>
      <c r="CB68" s="871">
        <f t="shared" si="69"/>
        <v>100</v>
      </c>
      <c r="CD68" s="304">
        <f t="shared" ca="1" si="108"/>
        <v>81.7</v>
      </c>
      <c r="CE68" s="304">
        <f t="shared" ca="1" si="108"/>
        <v>81.7</v>
      </c>
      <c r="CF68" s="304">
        <f t="shared" ca="1" si="108"/>
        <v>70.8</v>
      </c>
      <c r="CG68" s="302">
        <f t="shared" ca="1" si="108"/>
        <v>100</v>
      </c>
      <c r="CH68" s="302">
        <f t="shared" ca="1" si="108"/>
        <v>50</v>
      </c>
      <c r="CI68" s="302">
        <f t="shared" ca="1" si="108"/>
        <v>50</v>
      </c>
      <c r="CJ68" s="302">
        <f t="shared" ca="1" si="108"/>
        <v>100</v>
      </c>
      <c r="CK68" s="302">
        <f t="shared" ca="1" si="108"/>
        <v>50</v>
      </c>
      <c r="CL68" s="302">
        <f t="shared" ca="1" si="108"/>
        <v>58.3</v>
      </c>
      <c r="CM68" s="302">
        <f t="shared" ca="1" si="108"/>
        <v>92.9</v>
      </c>
      <c r="CN68" s="302">
        <f t="shared" ca="1" si="172"/>
        <v>93.8</v>
      </c>
      <c r="CO68" s="302">
        <f t="shared" ca="1" si="172"/>
        <v>83.3</v>
      </c>
      <c r="CP68" s="302">
        <f t="shared" ca="1" si="172"/>
        <v>62.5</v>
      </c>
      <c r="CQ68" s="302">
        <f t="shared" ca="1" si="172"/>
        <v>77.8</v>
      </c>
    </row>
    <row r="69" spans="1:95" s="124" customFormat="1" ht="27.75" customHeight="1" thickBot="1">
      <c r="A69" s="118"/>
      <c r="B69" s="119">
        <f>tblIndicators!A65</f>
        <v>64</v>
      </c>
      <c r="C69" s="119">
        <f>tblIndicators!B65</f>
        <v>0</v>
      </c>
      <c r="D69" s="119" t="str">
        <f>tblIndicators!E65</f>
        <v>SUST4_2_2</v>
      </c>
      <c r="E69" s="119" t="str">
        <f>tblIndicators!F65</f>
        <v>SUST4_2</v>
      </c>
      <c r="F69" s="119">
        <f>tblIndicators!G65</f>
        <v>3</v>
      </c>
      <c r="G69" s="119">
        <f>tblIndicators!AF65</f>
        <v>0</v>
      </c>
      <c r="H69" s="119">
        <f>tblIndicators!AG65</f>
        <v>3</v>
      </c>
      <c r="I69" s="120">
        <f>tblIndicators!AH65</f>
        <v>0</v>
      </c>
      <c r="J69" s="119">
        <f>tblIndicators!AI65</f>
        <v>5</v>
      </c>
      <c r="K69" s="119">
        <f t="array" ref="K69">MIN(IF(ISNUMBER(iData!K69:AN69),iData!K69:AN69))</f>
        <v>0</v>
      </c>
      <c r="L69" s="121">
        <f t="array" ref="L69">MAX(IF(ISNUMBER(iData!K69:AN69),iData!K69:AN69))</f>
        <v>5</v>
      </c>
      <c r="M69" s="51">
        <f t="shared" si="106"/>
        <v>5</v>
      </c>
      <c r="N69" s="122" t="str">
        <f>REPT(" ",F69)&amp;tblIndicators!AM65</f>
        <v xml:space="preserve">   4.2.2) Traffic management </v>
      </c>
      <c r="O69" s="381">
        <f>tblIndicators!AR65</f>
        <v>0.3783783783783784</v>
      </c>
      <c r="P69" s="381"/>
      <c r="Q69" s="323"/>
      <c r="R69" s="123" cm="1">
        <f t="array" ref="R69">CHOOSE($H69,SUMPRODUCT($O70:$O$75*R70:R$75*($E70:$E$75=$D69)),IF(ISNUMBER(iData!K69),100*ABS($G69-(iData!K69-$K69)/$M69),0),IF(ISNUMBER(iData!K69),100*ABS($G69-(iData!K69-$I69)/$M69),0),IF(iData!K69&gt;tblIndicators!$AI65,100,IF(ISNUMBER(iData!K69),100*ABS($G69-(iData!K69-$I69)/$M69),0)),IF(iData!K69&lt;0,100,IF(ISNUMBER(iData!K69),100*ABS($G69-(iData!K69-$I69)/$M69),0)))</f>
        <v>100</v>
      </c>
      <c r="S69" s="123" cm="1">
        <f t="array" ref="S69">CHOOSE($H69,SUMPRODUCT($O70:$O$75*S70:S$75*($E70:$E$75=$D69)),IF(ISNUMBER(iData!L69),100*ABS($G69-(iData!L69-$K69)/$M69),0),IF(ISNUMBER(iData!L69),100*ABS($G69-(iData!L69-$I69)/$M69),0),IF(iData!L69&gt;tblIndicators!$AI65,100,IF(ISNUMBER(iData!L69),100*ABS($G69-(iData!L69-$I69)/$M69),0)),IF(iData!L69&lt;0,100,IF(ISNUMBER(iData!L69),100*ABS($G69-(iData!L69-$I69)/$M69),0)))</f>
        <v>80</v>
      </c>
      <c r="T69" s="123" cm="1">
        <f t="array" ref="T69">CHOOSE($H69,SUMPRODUCT($O70:$O$75*T70:T$75*($E70:$E$75=$D69)),IF(ISNUMBER(iData!M69),100*ABS($G69-(iData!M69-$K69)/$M69),0),IF(ISNUMBER(iData!M69),100*ABS($G69-(iData!M69-$I69)/$M69),0),IF(iData!M69&gt;tblIndicators!$AI65,100,IF(ISNUMBER(iData!M69),100*ABS($G69-(iData!M69-$I69)/$M69),0)),IF(iData!M69&lt;0,100,IF(ISNUMBER(iData!M69),100*ABS($G69-(iData!M69-$I69)/$M69),0)))</f>
        <v>40</v>
      </c>
      <c r="U69" s="123" cm="1">
        <f t="array" ref="U69">CHOOSE($H69,SUMPRODUCT($O70:$O$75*U70:U$75*($E70:$E$75=$D69)),IF(ISNUMBER(iData!N69),100*ABS($G69-(iData!N69-$K69)/$M69),0),IF(ISNUMBER(iData!N69),100*ABS($G69-(iData!N69-$I69)/$M69),0),IF(iData!N69&gt;tblIndicators!$AI65,100,IF(ISNUMBER(iData!N69),100*ABS($G69-(iData!N69-$I69)/$M69),0)),IF(iData!N69&lt;0,100,IF(ISNUMBER(iData!N69),100*ABS($G69-(iData!N69-$I69)/$M69),0)))</f>
        <v>80</v>
      </c>
      <c r="V69" s="123" cm="1">
        <f t="array" ref="V69">CHOOSE($H69,SUMPRODUCT($O70:$O$75*V70:V$75*($E70:$E$75=$D69)),IF(ISNUMBER(iData!O69),100*ABS($G69-(iData!O69-$K69)/$M69),0),IF(ISNUMBER(iData!O69),100*ABS($G69-(iData!O69-$I69)/$M69),0),IF(iData!O69&gt;tblIndicators!$AI65,100,IF(ISNUMBER(iData!O69),100*ABS($G69-(iData!O69-$I69)/$M69),0)),IF(iData!O69&lt;0,100,IF(ISNUMBER(iData!O69),100*ABS($G69-(iData!O69-$I69)/$M69),0)))</f>
        <v>80</v>
      </c>
      <c r="W69" s="123" cm="1">
        <f t="array" ref="W69">CHOOSE($H69,SUMPRODUCT($O70:$O$75*W70:W$75*($E70:$E$75=$D69)),IF(ISNUMBER(iData!P69),100*ABS($G69-(iData!P69-$K69)/$M69),0),IF(ISNUMBER(iData!P69),100*ABS($G69-(iData!P69-$I69)/$M69),0),IF(iData!P69&gt;tblIndicators!$AI65,100,IF(ISNUMBER(iData!P69),100*ABS($G69-(iData!P69-$I69)/$M69),0)),IF(iData!P69&lt;0,100,IF(ISNUMBER(iData!P69),100*ABS($G69-(iData!P69-$I69)/$M69),0)))</f>
        <v>80</v>
      </c>
      <c r="X69" s="123" cm="1">
        <f t="array" ref="X69">CHOOSE($H69,SUMPRODUCT($O70:$O$75*X70:X$75*($E70:$E$75=$D69)),IF(ISNUMBER(iData!Q69),100*ABS($G69-(iData!Q69-$K69)/$M69),0),IF(ISNUMBER(iData!Q69),100*ABS($G69-(iData!Q69-$I69)/$M69),0),IF(iData!Q69&gt;tblIndicators!$AI65,100,IF(ISNUMBER(iData!Q69),100*ABS($G69-(iData!Q69-$I69)/$M69),0)),IF(iData!Q69&lt;0,100,IF(ISNUMBER(iData!Q69),100*ABS($G69-(iData!Q69-$I69)/$M69),0)))</f>
        <v>80</v>
      </c>
      <c r="Y69" s="123" cm="1">
        <f t="array" ref="Y69">CHOOSE($H69,SUMPRODUCT($O70:$O$75*Y70:Y$75*($E70:$E$75=$D69)),IF(ISNUMBER(iData!R69),100*ABS($G69-(iData!R69-$K69)/$M69),0),IF(ISNUMBER(iData!R69),100*ABS($G69-(iData!R69-$I69)/$M69),0),IF(iData!R69&gt;tblIndicators!$AI65,100,IF(ISNUMBER(iData!R69),100*ABS($G69-(iData!R69-$I69)/$M69),0)),IF(iData!R69&lt;0,100,IF(ISNUMBER(iData!R69),100*ABS($G69-(iData!R69-$I69)/$M69),0)))</f>
        <v>100</v>
      </c>
      <c r="Z69" s="123" cm="1">
        <f t="array" ref="Z69">CHOOSE($H69,SUMPRODUCT($O70:$O$75*Z70:Z$75*($E70:$E$75=$D69)),IF(ISNUMBER(iData!S69),100*ABS($G69-(iData!S69-$K69)/$M69),0),IF(ISNUMBER(iData!S69),100*ABS($G69-(iData!S69-$I69)/$M69),0),IF(iData!S69&gt;tblIndicators!$AI65,100,IF(ISNUMBER(iData!S69),100*ABS($G69-(iData!S69-$I69)/$M69),0)),IF(iData!S69&lt;0,100,IF(ISNUMBER(iData!S69),100*ABS($G69-(iData!S69-$I69)/$M69),0)))</f>
        <v>80</v>
      </c>
      <c r="AA69" s="123" cm="1">
        <f t="array" ref="AA69">CHOOSE($H69,SUMPRODUCT($O70:$O$75*AA70:AA$75*($E70:$E$75=$D69)),IF(ISNUMBER(iData!T69),100*ABS($G69-(iData!T69-$K69)/$M69),0),IF(ISNUMBER(iData!T69),100*ABS($G69-(iData!T69-$I69)/$M69),0),IF(iData!T69&gt;tblIndicators!$AI65,100,IF(ISNUMBER(iData!T69),100*ABS($G69-(iData!T69-$I69)/$M69),0)),IF(iData!T69&lt;0,100,IF(ISNUMBER(iData!T69),100*ABS($G69-(iData!T69-$I69)/$M69),0)))</f>
        <v>100</v>
      </c>
      <c r="AB69" s="123" cm="1">
        <f t="array" ref="AB69">CHOOSE($H69,SUMPRODUCT($O70:$O$75*AB70:AB$75*($E70:$E$75=$D69)),IF(ISNUMBER(iData!U69),100*ABS($G69-(iData!U69-$K69)/$M69),0),IF(ISNUMBER(iData!U69),100*ABS($G69-(iData!U69-$I69)/$M69),0),IF(iData!U69&gt;tblIndicators!$AI65,100,IF(ISNUMBER(iData!U69),100*ABS($G69-(iData!U69-$I69)/$M69),0)),IF(iData!U69&lt;0,100,IF(ISNUMBER(iData!U69),100*ABS($G69-(iData!U69-$I69)/$M69),0)))</f>
        <v>100</v>
      </c>
      <c r="AC69" s="123" cm="1">
        <f t="array" ref="AC69">CHOOSE($H69,SUMPRODUCT($O70:$O$75*AC70:AC$75*($E70:$E$75=$D69)),IF(ISNUMBER(iData!V69),100*ABS($G69-(iData!V69-$K69)/$M69),0),IF(ISNUMBER(iData!V69),100*ABS($G69-(iData!V69-$I69)/$M69),0),IF(iData!V69&gt;tblIndicators!$AI65,100,IF(ISNUMBER(iData!V69),100*ABS($G69-(iData!V69-$I69)/$M69),0)),IF(iData!V69&lt;0,100,IF(ISNUMBER(iData!V69),100*ABS($G69-(iData!V69-$I69)/$M69),0)))</f>
        <v>80</v>
      </c>
      <c r="AD69" s="123" cm="1">
        <f t="array" ref="AD69">CHOOSE($H69,SUMPRODUCT($O70:$O$75*AD70:AD$75*($E70:$E$75=$D69)),IF(ISNUMBER(iData!W69),100*ABS($G69-(iData!W69-$K69)/$M69),0),IF(ISNUMBER(iData!W69),100*ABS($G69-(iData!W69-$I69)/$M69),0),IF(iData!W69&gt;tblIndicators!$AI65,100,IF(ISNUMBER(iData!W69),100*ABS($G69-(iData!W69-$I69)/$M69),0)),IF(iData!W69&lt;0,100,IF(ISNUMBER(iData!W69),100*ABS($G69-(iData!W69-$I69)/$M69),0)))</f>
        <v>60</v>
      </c>
      <c r="AE69" s="123" cm="1">
        <f t="array" ref="AE69">CHOOSE($H69,SUMPRODUCT($O70:$O$75*AE70:AE$75*($E70:$E$75=$D69)),IF(ISNUMBER(iData!X69),100*ABS($G69-(iData!X69-$K69)/$M69),0),IF(ISNUMBER(iData!X69),100*ABS($G69-(iData!X69-$I69)/$M69),0),IF(iData!X69&gt;tblIndicators!$AI65,100,IF(ISNUMBER(iData!X69),100*ABS($G69-(iData!X69-$I69)/$M69),0)),IF(iData!X69&lt;0,100,IF(ISNUMBER(iData!X69),100*ABS($G69-(iData!X69-$I69)/$M69),0)))</f>
        <v>80</v>
      </c>
      <c r="AF69" s="123" cm="1">
        <f t="array" ref="AF69">CHOOSE($H69,SUMPRODUCT($O70:$O$75*AF70:AF$75*($E70:$E$75=$D69)),IF(ISNUMBER(iData!Y69),100*ABS($G69-(iData!Y69-$K69)/$M69),0),IF(ISNUMBER(iData!Y69),100*ABS($G69-(iData!Y69-$I69)/$M69),0),IF(iData!Y69&gt;tblIndicators!$AI65,100,IF(ISNUMBER(iData!Y69),100*ABS($G69-(iData!Y69-$I69)/$M69),0)),IF(iData!Y69&lt;0,100,IF(ISNUMBER(iData!Y69),100*ABS($G69-(iData!Y69-$I69)/$M69),0)))</f>
        <v>60</v>
      </c>
      <c r="AG69" s="123" cm="1">
        <f t="array" ref="AG69">CHOOSE($H69,SUMPRODUCT($O70:$O$75*AG70:AG$75*($E70:$E$75=$D69)),IF(ISNUMBER(iData!Z69),100*ABS($G69-(iData!Z69-$K69)/$M69),0),IF(ISNUMBER(iData!Z69),100*ABS($G69-(iData!Z69-$I69)/$M69),0),IF(iData!Z69&gt;tblIndicators!$AI65,100,IF(ISNUMBER(iData!Z69),100*ABS($G69-(iData!Z69-$I69)/$M69),0)),IF(iData!Z69&lt;0,100,IF(ISNUMBER(iData!Z69),100*ABS($G69-(iData!Z69-$I69)/$M69),0)))</f>
        <v>100</v>
      </c>
      <c r="AH69" s="123" cm="1">
        <f t="array" ref="AH69">CHOOSE($H69,SUMPRODUCT($O70:$O$75*AH70:AH$75*($E70:$E$75=$D69)),IF(ISNUMBER(iData!AA69),100*ABS($G69-(iData!AA69-$K69)/$M69),0),IF(ISNUMBER(iData!AA69),100*ABS($G69-(iData!AA69-$I69)/$M69),0),IF(iData!AA69&gt;tblIndicators!$AI65,100,IF(ISNUMBER(iData!AA69),100*ABS($G69-(iData!AA69-$I69)/$M69),0)),IF(iData!AA69&lt;0,100,IF(ISNUMBER(iData!AA69),100*ABS($G69-(iData!AA69-$I69)/$M69),0)))</f>
        <v>0</v>
      </c>
      <c r="AI69" s="123" cm="1">
        <f t="array" ref="AI69">CHOOSE($H69,SUMPRODUCT($O70:$O$75*AI70:AI$75*($E70:$E$75=$D69)),IF(ISNUMBER(iData!AB69),100*ABS($G69-(iData!AB69-$K69)/$M69),0),IF(ISNUMBER(iData!AB69),100*ABS($G69-(iData!AB69-$I69)/$M69),0),IF(iData!AB69&gt;tblIndicators!$AI65,100,IF(ISNUMBER(iData!AB69),100*ABS($G69-(iData!AB69-$I69)/$M69),0)),IF(iData!AB69&lt;0,100,IF(ISNUMBER(iData!AB69),100*ABS($G69-(iData!AB69-$I69)/$M69),0)))</f>
        <v>60</v>
      </c>
      <c r="AJ69" s="123" cm="1">
        <f t="array" ref="AJ69">CHOOSE($H69,SUMPRODUCT($O70:$O$75*AJ70:AJ$75*($E70:$E$75=$D69)),IF(ISNUMBER(iData!AC69),100*ABS($G69-(iData!AC69-$K69)/$M69),0),IF(ISNUMBER(iData!AC69),100*ABS($G69-(iData!AC69-$I69)/$M69),0),IF(iData!AC69&gt;tblIndicators!$AI65,100,IF(ISNUMBER(iData!AC69),100*ABS($G69-(iData!AC69-$I69)/$M69),0)),IF(iData!AC69&lt;0,100,IF(ISNUMBER(iData!AC69),100*ABS($G69-(iData!AC69-$I69)/$M69),0)))</f>
        <v>20</v>
      </c>
      <c r="AK69" s="123" cm="1">
        <f t="array" ref="AK69">CHOOSE($H69,SUMPRODUCT($O70:$O$75*AK70:AK$75*($E70:$E$75=$D69)),IF(ISNUMBER(iData!AD69),100*ABS($G69-(iData!AD69-$K69)/$M69),0),IF(ISNUMBER(iData!AD69),100*ABS($G69-(iData!AD69-$I69)/$M69),0),IF(iData!AD69&gt;tblIndicators!$AI65,100,IF(ISNUMBER(iData!AD69),100*ABS($G69-(iData!AD69-$I69)/$M69),0)),IF(iData!AD69&lt;0,100,IF(ISNUMBER(iData!AD69),100*ABS($G69-(iData!AD69-$I69)/$M69),0)))</f>
        <v>80</v>
      </c>
      <c r="AL69" s="123" cm="1">
        <f t="array" ref="AL69">CHOOSE($H69,SUMPRODUCT($O70:$O$75*AL70:AL$75*($E70:$E$75=$D69)),IF(ISNUMBER(iData!AE69),100*ABS($G69-(iData!AE69-$K69)/$M69),0),IF(ISNUMBER(iData!AE69),100*ABS($G69-(iData!AE69-$I69)/$M69),0),IF(iData!AE69&gt;tblIndicators!$AI65,100,IF(ISNUMBER(iData!AE69),100*ABS($G69-(iData!AE69-$I69)/$M69),0)),IF(iData!AE69&lt;0,100,IF(ISNUMBER(iData!AE69),100*ABS($G69-(iData!AE69-$I69)/$M69),0)))</f>
        <v>60</v>
      </c>
      <c r="AM69" s="123" cm="1">
        <f t="array" ref="AM69">CHOOSE($H69,SUMPRODUCT($O70:$O$75*AM70:AM$75*($E70:$E$75=$D69)),IF(ISNUMBER(iData!AF69),100*ABS($G69-(iData!AF69-$K69)/$M69),0),IF(ISNUMBER(iData!AF69),100*ABS($G69-(iData!AF69-$I69)/$M69),0),IF(iData!AF69&gt;tblIndicators!$AI65,100,IF(ISNUMBER(iData!AF69),100*ABS($G69-(iData!AF69-$I69)/$M69),0)),IF(iData!AF69&lt;0,100,IF(ISNUMBER(iData!AF69),100*ABS($G69-(iData!AF69-$I69)/$M69),0)))</f>
        <v>80</v>
      </c>
      <c r="AN69" s="123" cm="1">
        <f t="array" ref="AN69">CHOOSE($H69,SUMPRODUCT($O70:$O$75*AN70:AN$75*($E70:$E$75=$D69)),IF(ISNUMBER(iData!AG69),100*ABS($G69-(iData!AG69-$K69)/$M69),0),IF(ISNUMBER(iData!AG69),100*ABS($G69-(iData!AG69-$I69)/$M69),0),IF(iData!AG69&gt;tblIndicators!$AI65,100,IF(ISNUMBER(iData!AG69),100*ABS($G69-(iData!AG69-$I69)/$M69),0)),IF(iData!AG69&lt;0,100,IF(ISNUMBER(iData!AG69),100*ABS($G69-(iData!AG69-$I69)/$M69),0)))</f>
        <v>80</v>
      </c>
      <c r="AO69" s="123" cm="1">
        <f t="array" ref="AO69">CHOOSE($H69,SUMPRODUCT($O70:$O$75*AO70:AO$75*($E70:$E$75=$D69)),IF(ISNUMBER(iData!AH69),100*ABS($G69-(iData!AH69-$K69)/$M69),0),IF(ISNUMBER(iData!AH69),100*ABS($G69-(iData!AH69-$I69)/$M69),0),IF(iData!AH69&gt;tblIndicators!$AI65,100,IF(ISNUMBER(iData!AH69),100*ABS($G69-(iData!AH69-$I69)/$M69),0)),IF(iData!AH69&lt;0,100,IF(ISNUMBER(iData!AH69),100*ABS($G69-(iData!AH69-$I69)/$M69),0)))</f>
        <v>60</v>
      </c>
      <c r="AP69" s="123" cm="1">
        <f t="array" ref="AP69">CHOOSE($H69,SUMPRODUCT($O70:$O$75*AP70:AP$75*($E70:$E$75=$D69)),IF(ISNUMBER(iData!AI69),100*ABS($G69-(iData!AI69-$K69)/$M69),0),IF(ISNUMBER(iData!AI69),100*ABS($G69-(iData!AI69-$I69)/$M69),0),IF(iData!AI69&gt;tblIndicators!$AI65,100,IF(ISNUMBER(iData!AI69),100*ABS($G69-(iData!AI69-$I69)/$M69),0)),IF(iData!AI69&lt;0,100,IF(ISNUMBER(iData!AI69),100*ABS($G69-(iData!AI69-$I69)/$M69),0)))</f>
        <v>80</v>
      </c>
      <c r="AQ69" s="123" cm="1">
        <f t="array" ref="AQ69">CHOOSE($H69,SUMPRODUCT($O70:$O$75*AQ70:AQ$75*($E70:$E$75=$D69)),IF(ISNUMBER(iData!AJ69),100*ABS($G69-(iData!AJ69-$K69)/$M69),0),IF(ISNUMBER(iData!AJ69),100*ABS($G69-(iData!AJ69-$I69)/$M69),0),IF(iData!AJ69&gt;tblIndicators!$AI65,100,IF(ISNUMBER(iData!AJ69),100*ABS($G69-(iData!AJ69-$I69)/$M69),0)),IF(iData!AJ69&lt;0,100,IF(ISNUMBER(iData!AJ69),100*ABS($G69-(iData!AJ69-$I69)/$M69),0)))</f>
        <v>80</v>
      </c>
      <c r="AR69" s="123" cm="1">
        <f t="array" ref="AR69">CHOOSE($H69,SUMPRODUCT($O70:$O$75*AR70:AR$75*($E70:$E$75=$D69)),IF(ISNUMBER(iData!AK69),100*ABS($G69-(iData!AK69-$K69)/$M69),0),IF(ISNUMBER(iData!AK69),100*ABS($G69-(iData!AK69-$I69)/$M69),0),IF(iData!AK69&gt;tblIndicators!$AI65,100,IF(ISNUMBER(iData!AK69),100*ABS($G69-(iData!AK69-$I69)/$M69),0)),IF(iData!AK69&lt;0,100,IF(ISNUMBER(iData!AK69),100*ABS($G69-(iData!AK69-$I69)/$M69),0)))</f>
        <v>40</v>
      </c>
      <c r="AS69" s="123" cm="1">
        <f t="array" ref="AS69">CHOOSE($H69,SUMPRODUCT($O70:$O$75*AS70:AS$75*($E70:$E$75=$D69)),IF(ISNUMBER(iData!AL69),100*ABS($G69-(iData!AL69-$K69)/$M69),0),IF(ISNUMBER(iData!AL69),100*ABS($G69-(iData!AL69-$I69)/$M69),0),IF(iData!AL69&gt;tblIndicators!$AI65,100,IF(ISNUMBER(iData!AL69),100*ABS($G69-(iData!AL69-$I69)/$M69),0)),IF(iData!AL69&lt;0,100,IF(ISNUMBER(iData!AL69),100*ABS($G69-(iData!AL69-$I69)/$M69),0)))</f>
        <v>80</v>
      </c>
      <c r="AT69" s="123" cm="1">
        <f t="array" ref="AT69">CHOOSE($H69,SUMPRODUCT($O70:$O$75*AT70:AT$75*($E70:$E$75=$D69)),IF(ISNUMBER(iData!AM69),100*ABS($G69-(iData!AM69-$K69)/$M69),0),IF(ISNUMBER(iData!AM69),100*ABS($G69-(iData!AM69-$I69)/$M69),0),IF(iData!AM69&gt;tblIndicators!$AI65,100,IF(ISNUMBER(iData!AM69),100*ABS($G69-(iData!AM69-$I69)/$M69),0)),IF(iData!AM69&lt;0,100,IF(ISNUMBER(iData!AM69),100*ABS($G69-(iData!AM69-$I69)/$M69),0)))</f>
        <v>100</v>
      </c>
      <c r="AU69" s="123" cm="1">
        <f t="array" ref="AU69">CHOOSE($H69,SUMPRODUCT($O70:$O$75*AU70:AU$75*($E70:$E$75=$D69)),IF(ISNUMBER(iData!AN69),100*ABS($G69-(iData!AN69-$K69)/$M69),0),IF(ISNUMBER(iData!AN69),100*ABS($G69-(iData!AN69-$I69)/$M69),0),IF(iData!AN69&gt;tblIndicators!$AI65,100,IF(ISNUMBER(iData!AN69),100*ABS($G69-(iData!AN69-$I69)/$M69),0)),IF(iData!AN69&lt;0,100,IF(ISNUMBER(iData!AN69),100*ABS($G69-(iData!AN69-$I69)/$M69),0)))</f>
        <v>80</v>
      </c>
      <c r="AV69" s="367"/>
      <c r="AW69" s="368"/>
      <c r="AX69" s="14"/>
      <c r="AY69" s="871">
        <f t="shared" si="40"/>
        <v>100</v>
      </c>
      <c r="AZ69" s="871">
        <f t="shared" si="41"/>
        <v>80</v>
      </c>
      <c r="BA69" s="871">
        <f t="shared" si="42"/>
        <v>40</v>
      </c>
      <c r="BB69" s="871">
        <f t="shared" si="43"/>
        <v>80</v>
      </c>
      <c r="BC69" s="871">
        <f t="shared" si="44"/>
        <v>80</v>
      </c>
      <c r="BD69" s="871">
        <f t="shared" si="45"/>
        <v>80</v>
      </c>
      <c r="BE69" s="871">
        <f t="shared" si="46"/>
        <v>80</v>
      </c>
      <c r="BF69" s="871">
        <f t="shared" si="47"/>
        <v>100</v>
      </c>
      <c r="BG69" s="871">
        <f t="shared" si="48"/>
        <v>80</v>
      </c>
      <c r="BH69" s="871">
        <f t="shared" si="49"/>
        <v>100</v>
      </c>
      <c r="BI69" s="871">
        <f t="shared" si="50"/>
        <v>100</v>
      </c>
      <c r="BJ69" s="871">
        <f t="shared" si="51"/>
        <v>80</v>
      </c>
      <c r="BK69" s="871">
        <f t="shared" si="52"/>
        <v>60</v>
      </c>
      <c r="BL69" s="871">
        <f t="shared" si="53"/>
        <v>80</v>
      </c>
      <c r="BM69" s="871">
        <f t="shared" si="54"/>
        <v>60</v>
      </c>
      <c r="BN69" s="871">
        <f t="shared" si="55"/>
        <v>100</v>
      </c>
      <c r="BO69" s="871">
        <f t="shared" si="56"/>
        <v>0</v>
      </c>
      <c r="BP69" s="871">
        <f t="shared" si="57"/>
        <v>60</v>
      </c>
      <c r="BQ69" s="871">
        <f t="shared" si="58"/>
        <v>20</v>
      </c>
      <c r="BR69" s="871">
        <f t="shared" si="59"/>
        <v>80</v>
      </c>
      <c r="BS69" s="871">
        <f t="shared" si="60"/>
        <v>60</v>
      </c>
      <c r="BT69" s="871">
        <f t="shared" si="61"/>
        <v>80</v>
      </c>
      <c r="BU69" s="871">
        <f t="shared" si="62"/>
        <v>80</v>
      </c>
      <c r="BV69" s="871">
        <f t="shared" si="63"/>
        <v>60</v>
      </c>
      <c r="BW69" s="871">
        <f t="shared" si="64"/>
        <v>80</v>
      </c>
      <c r="BX69" s="871">
        <f t="shared" si="65"/>
        <v>80</v>
      </c>
      <c r="BY69" s="871">
        <f t="shared" si="66"/>
        <v>40</v>
      </c>
      <c r="BZ69" s="871">
        <f t="shared" si="67"/>
        <v>80</v>
      </c>
      <c r="CA69" s="871">
        <f t="shared" si="68"/>
        <v>100</v>
      </c>
      <c r="CB69" s="871">
        <f t="shared" si="69"/>
        <v>80</v>
      </c>
      <c r="CD69" s="304">
        <f t="shared" ca="1" si="108"/>
        <v>73.3</v>
      </c>
      <c r="CE69" s="304">
        <f t="shared" ca="1" si="108"/>
        <v>73.3</v>
      </c>
      <c r="CF69" s="304">
        <f t="shared" ca="1" si="108"/>
        <v>58.3</v>
      </c>
      <c r="CG69" s="302">
        <f t="shared" ca="1" si="108"/>
        <v>84</v>
      </c>
      <c r="CH69" s="302">
        <f t="shared" ca="1" si="108"/>
        <v>73.3</v>
      </c>
      <c r="CI69" s="302">
        <f t="shared" ca="1" si="108"/>
        <v>100</v>
      </c>
      <c r="CJ69" s="302">
        <f t="shared" ca="1" si="108"/>
        <v>85</v>
      </c>
      <c r="CK69" s="302">
        <f t="shared" ca="1" si="108"/>
        <v>26.7</v>
      </c>
      <c r="CL69" s="302">
        <f t="shared" ca="1" si="108"/>
        <v>70</v>
      </c>
      <c r="CM69" s="302">
        <f t="shared" ca="1" si="108"/>
        <v>81</v>
      </c>
      <c r="CN69" s="302">
        <f t="shared" ca="1" si="172"/>
        <v>90</v>
      </c>
      <c r="CO69" s="302">
        <f t="shared" ca="1" si="172"/>
        <v>84.4</v>
      </c>
      <c r="CP69" s="302">
        <f t="shared" ca="1" si="172"/>
        <v>40</v>
      </c>
      <c r="CQ69" s="302">
        <f t="shared" ca="1" si="172"/>
        <v>62.2</v>
      </c>
    </row>
    <row r="70" spans="1:95" s="124" customFormat="1" ht="27.75" customHeight="1" thickBot="1">
      <c r="A70" s="118"/>
      <c r="B70" s="119">
        <f>tblIndicators!A66</f>
        <v>65</v>
      </c>
      <c r="C70" s="119">
        <f>tblIndicators!B66</f>
        <v>0</v>
      </c>
      <c r="D70" s="119" t="str">
        <f>tblIndicators!E66</f>
        <v>SUST4_2_3</v>
      </c>
      <c r="E70" s="119" t="str">
        <f>tblIndicators!F66</f>
        <v>SUST4_2</v>
      </c>
      <c r="F70" s="119">
        <f>tblIndicators!G66</f>
        <v>3</v>
      </c>
      <c r="G70" s="119">
        <f>tblIndicators!AF66</f>
        <v>0</v>
      </c>
      <c r="H70" s="119">
        <f>tblIndicators!AG66</f>
        <v>3</v>
      </c>
      <c r="I70" s="120">
        <f>tblIndicators!AH66</f>
        <v>0</v>
      </c>
      <c r="J70" s="119">
        <f>tblIndicators!AI66</f>
        <v>2</v>
      </c>
      <c r="K70" s="119">
        <f t="array" ref="K70">MIN(IF(ISNUMBER(iData!K70:AN70),iData!K70:AN70))</f>
        <v>0</v>
      </c>
      <c r="L70" s="121">
        <f t="array" ref="L70">MAX(IF(ISNUMBER(iData!K70:AN70),iData!K70:AN70))</f>
        <v>2</v>
      </c>
      <c r="M70" s="51">
        <f t="shared" si="106"/>
        <v>2</v>
      </c>
      <c r="N70" s="122" t="str">
        <f>REPT(" ",F70)&amp;tblIndicators!AM66</f>
        <v xml:space="preserve">   4.2.3) Support for autonomous vehicles</v>
      </c>
      <c r="O70" s="381">
        <f>tblIndicators!AR66</f>
        <v>0.29729729729729726</v>
      </c>
      <c r="P70" s="381"/>
      <c r="Q70" s="323"/>
      <c r="R70" s="123" cm="1">
        <f t="array" ref="R70">CHOOSE($H70,SUMPRODUCT($O71:$O$75*R71:R$75*($E71:$E$75=$D70)),IF(ISNUMBER(iData!K70),100*ABS($G70-(iData!K70-$K70)/$M70),0),IF(ISNUMBER(iData!K70),100*ABS($G70-(iData!K70-$I70)/$M70),0),IF(iData!K70&gt;tblIndicators!$AI66,100,IF(ISNUMBER(iData!K70),100*ABS($G70-(iData!K70-$I70)/$M70),0)),IF(iData!K70&lt;0,100,IF(ISNUMBER(iData!K70),100*ABS($G70-(iData!K70-$I70)/$M70),0)))</f>
        <v>100</v>
      </c>
      <c r="S70" s="123" cm="1">
        <f t="array" ref="S70">CHOOSE($H70,SUMPRODUCT($O71:$O$75*S71:S$75*($E71:$E$75=$D70)),IF(ISNUMBER(iData!L70),100*ABS($G70-(iData!L70-$K70)/$M70),0),IF(ISNUMBER(iData!L70),100*ABS($G70-(iData!L70-$I70)/$M70),0),IF(iData!L70&gt;tblIndicators!$AI66,100,IF(ISNUMBER(iData!L70),100*ABS($G70-(iData!L70-$I70)/$M70),0)),IF(iData!L70&lt;0,100,IF(ISNUMBER(iData!L70),100*ABS($G70-(iData!L70-$I70)/$M70),0)))</f>
        <v>50</v>
      </c>
      <c r="T70" s="123" cm="1">
        <f t="array" ref="T70">CHOOSE($H70,SUMPRODUCT($O71:$O$75*T71:T$75*($E71:$E$75=$D70)),IF(ISNUMBER(iData!M70),100*ABS($G70-(iData!M70-$K70)/$M70),0),IF(ISNUMBER(iData!M70),100*ABS($G70-(iData!M70-$I70)/$M70),0),IF(iData!M70&gt;tblIndicators!$AI66,100,IF(ISNUMBER(iData!M70),100*ABS($G70-(iData!M70-$I70)/$M70),0)),IF(iData!M70&lt;0,100,IF(ISNUMBER(iData!M70),100*ABS($G70-(iData!M70-$I70)/$M70),0)))</f>
        <v>50</v>
      </c>
      <c r="U70" s="123" cm="1">
        <f t="array" ref="U70">CHOOSE($H70,SUMPRODUCT($O71:$O$75*U71:U$75*($E71:$E$75=$D70)),IF(ISNUMBER(iData!N70),100*ABS($G70-(iData!N70-$K70)/$M70),0),IF(ISNUMBER(iData!N70),100*ABS($G70-(iData!N70-$I70)/$M70),0),IF(iData!N70&gt;tblIndicators!$AI66,100,IF(ISNUMBER(iData!N70),100*ABS($G70-(iData!N70-$I70)/$M70),0)),IF(iData!N70&lt;0,100,IF(ISNUMBER(iData!N70),100*ABS($G70-(iData!N70-$I70)/$M70),0)))</f>
        <v>100</v>
      </c>
      <c r="V70" s="123" cm="1">
        <f t="array" ref="V70">CHOOSE($H70,SUMPRODUCT($O71:$O$75*V71:V$75*($E71:$E$75=$D70)),IF(ISNUMBER(iData!O70),100*ABS($G70-(iData!O70-$K70)/$M70),0),IF(ISNUMBER(iData!O70),100*ABS($G70-(iData!O70-$I70)/$M70),0),IF(iData!O70&gt;tblIndicators!$AI66,100,IF(ISNUMBER(iData!O70),100*ABS($G70-(iData!O70-$I70)/$M70),0)),IF(iData!O70&lt;0,100,IF(ISNUMBER(iData!O70),100*ABS($G70-(iData!O70-$I70)/$M70),0)))</f>
        <v>100</v>
      </c>
      <c r="W70" s="123" cm="1">
        <f t="array" ref="W70">CHOOSE($H70,SUMPRODUCT($O71:$O$75*W71:W$75*($E71:$E$75=$D70)),IF(ISNUMBER(iData!P70),100*ABS($G70-(iData!P70-$K70)/$M70),0),IF(ISNUMBER(iData!P70),100*ABS($G70-(iData!P70-$I70)/$M70),0),IF(iData!P70&gt;tblIndicators!$AI66,100,IF(ISNUMBER(iData!P70),100*ABS($G70-(iData!P70-$I70)/$M70),0)),IF(iData!P70&lt;0,100,IF(ISNUMBER(iData!P70),100*ABS($G70-(iData!P70-$I70)/$M70),0)))</f>
        <v>100</v>
      </c>
      <c r="X70" s="123" cm="1">
        <f t="array" ref="X70">CHOOSE($H70,SUMPRODUCT($O71:$O$75*X71:X$75*($E71:$E$75=$D70)),IF(ISNUMBER(iData!Q70),100*ABS($G70-(iData!Q70-$K70)/$M70),0),IF(ISNUMBER(iData!Q70),100*ABS($G70-(iData!Q70-$I70)/$M70),0),IF(iData!Q70&gt;tblIndicators!$AI66,100,IF(ISNUMBER(iData!Q70),100*ABS($G70-(iData!Q70-$I70)/$M70),0)),IF(iData!Q70&lt;0,100,IF(ISNUMBER(iData!Q70),100*ABS($G70-(iData!Q70-$I70)/$M70),0)))</f>
        <v>50</v>
      </c>
      <c r="Y70" s="123" cm="1">
        <f t="array" ref="Y70">CHOOSE($H70,SUMPRODUCT($O71:$O$75*Y71:Y$75*($E71:$E$75=$D70)),IF(ISNUMBER(iData!R70),100*ABS($G70-(iData!R70-$K70)/$M70),0),IF(ISNUMBER(iData!R70),100*ABS($G70-(iData!R70-$I70)/$M70),0),IF(iData!R70&gt;tblIndicators!$AI66,100,IF(ISNUMBER(iData!R70),100*ABS($G70-(iData!R70-$I70)/$M70),0)),IF(iData!R70&lt;0,100,IF(ISNUMBER(iData!R70),100*ABS($G70-(iData!R70-$I70)/$M70),0)))</f>
        <v>100</v>
      </c>
      <c r="Z70" s="123" cm="1">
        <f t="array" ref="Z70">CHOOSE($H70,SUMPRODUCT($O71:$O$75*Z71:Z$75*($E71:$E$75=$D70)),IF(ISNUMBER(iData!S70),100*ABS($G70-(iData!S70-$K70)/$M70),0),IF(ISNUMBER(iData!S70),100*ABS($G70-(iData!S70-$I70)/$M70),0),IF(iData!S70&gt;tblIndicators!$AI66,100,IF(ISNUMBER(iData!S70),100*ABS($G70-(iData!S70-$I70)/$M70),0)),IF(iData!S70&lt;0,100,IF(ISNUMBER(iData!S70),100*ABS($G70-(iData!S70-$I70)/$M70),0)))</f>
        <v>100</v>
      </c>
      <c r="AA70" s="123" cm="1">
        <f t="array" ref="AA70">CHOOSE($H70,SUMPRODUCT($O71:$O$75*AA71:AA$75*($E71:$E$75=$D70)),IF(ISNUMBER(iData!T70),100*ABS($G70-(iData!T70-$K70)/$M70),0),IF(ISNUMBER(iData!T70),100*ABS($G70-(iData!T70-$I70)/$M70),0),IF(iData!T70&gt;tblIndicators!$AI66,100,IF(ISNUMBER(iData!T70),100*ABS($G70-(iData!T70-$I70)/$M70),0)),IF(iData!T70&lt;0,100,IF(ISNUMBER(iData!T70),100*ABS($G70-(iData!T70-$I70)/$M70),0)))</f>
        <v>100</v>
      </c>
      <c r="AB70" s="123" cm="1">
        <f t="array" ref="AB70">CHOOSE($H70,SUMPRODUCT($O71:$O$75*AB71:AB$75*($E71:$E$75=$D70)),IF(ISNUMBER(iData!U70),100*ABS($G70-(iData!U70-$K70)/$M70),0),IF(ISNUMBER(iData!U70),100*ABS($G70-(iData!U70-$I70)/$M70),0),IF(iData!U70&gt;tblIndicators!$AI66,100,IF(ISNUMBER(iData!U70),100*ABS($G70-(iData!U70-$I70)/$M70),0)),IF(iData!U70&lt;0,100,IF(ISNUMBER(iData!U70),100*ABS($G70-(iData!U70-$I70)/$M70),0)))</f>
        <v>100</v>
      </c>
      <c r="AC70" s="123" cm="1">
        <f t="array" ref="AC70">CHOOSE($H70,SUMPRODUCT($O71:$O$75*AC71:AC$75*($E71:$E$75=$D70)),IF(ISNUMBER(iData!V70),100*ABS($G70-(iData!V70-$K70)/$M70),0),IF(ISNUMBER(iData!V70),100*ABS($G70-(iData!V70-$I70)/$M70),0),IF(iData!V70&gt;tblIndicators!$AI66,100,IF(ISNUMBER(iData!V70),100*ABS($G70-(iData!V70-$I70)/$M70),0)),IF(iData!V70&lt;0,100,IF(ISNUMBER(iData!V70),100*ABS($G70-(iData!V70-$I70)/$M70),0)))</f>
        <v>50</v>
      </c>
      <c r="AD70" s="123" cm="1">
        <f t="array" ref="AD70">CHOOSE($H70,SUMPRODUCT($O71:$O$75*AD71:AD$75*($E71:$E$75=$D70)),IF(ISNUMBER(iData!W70),100*ABS($G70-(iData!W70-$K70)/$M70),0),IF(ISNUMBER(iData!W70),100*ABS($G70-(iData!W70-$I70)/$M70),0),IF(iData!W70&gt;tblIndicators!$AI66,100,IF(ISNUMBER(iData!W70),100*ABS($G70-(iData!W70-$I70)/$M70),0)),IF(iData!W70&lt;0,100,IF(ISNUMBER(iData!W70),100*ABS($G70-(iData!W70-$I70)/$M70),0)))</f>
        <v>50</v>
      </c>
      <c r="AE70" s="123" cm="1">
        <f t="array" ref="AE70">CHOOSE($H70,SUMPRODUCT($O71:$O$75*AE71:AE$75*($E71:$E$75=$D70)),IF(ISNUMBER(iData!X70),100*ABS($G70-(iData!X70-$K70)/$M70),0),IF(ISNUMBER(iData!X70),100*ABS($G70-(iData!X70-$I70)/$M70),0),IF(iData!X70&gt;tblIndicators!$AI66,100,IF(ISNUMBER(iData!X70),100*ABS($G70-(iData!X70-$I70)/$M70),0)),IF(iData!X70&lt;0,100,IF(ISNUMBER(iData!X70),100*ABS($G70-(iData!X70-$I70)/$M70),0)))</f>
        <v>100</v>
      </c>
      <c r="AF70" s="123" cm="1">
        <f t="array" ref="AF70">CHOOSE($H70,SUMPRODUCT($O71:$O$75*AF71:AF$75*($E71:$E$75=$D70)),IF(ISNUMBER(iData!Y70),100*ABS($G70-(iData!Y70-$K70)/$M70),0),IF(ISNUMBER(iData!Y70),100*ABS($G70-(iData!Y70-$I70)/$M70),0),IF(iData!Y70&gt;tblIndicators!$AI66,100,IF(ISNUMBER(iData!Y70),100*ABS($G70-(iData!Y70-$I70)/$M70),0)),IF(iData!Y70&lt;0,100,IF(ISNUMBER(iData!Y70),100*ABS($G70-(iData!Y70-$I70)/$M70),0)))</f>
        <v>100</v>
      </c>
      <c r="AG70" s="123" cm="1">
        <f t="array" ref="AG70">CHOOSE($H70,SUMPRODUCT($O71:$O$75*AG71:AG$75*($E71:$E$75=$D70)),IF(ISNUMBER(iData!Z70),100*ABS($G70-(iData!Z70-$K70)/$M70),0),IF(ISNUMBER(iData!Z70),100*ABS($G70-(iData!Z70-$I70)/$M70),0),IF(iData!Z70&gt;tblIndicators!$AI66,100,IF(ISNUMBER(iData!Z70),100*ABS($G70-(iData!Z70-$I70)/$M70),0)),IF(iData!Z70&lt;0,100,IF(ISNUMBER(iData!Z70),100*ABS($G70-(iData!Z70-$I70)/$M70),0)))</f>
        <v>100</v>
      </c>
      <c r="AH70" s="123" cm="1">
        <f t="array" ref="AH70">CHOOSE($H70,SUMPRODUCT($O71:$O$75*AH71:AH$75*($E71:$E$75=$D70)),IF(ISNUMBER(iData!AA70),100*ABS($G70-(iData!AA70-$K70)/$M70),0),IF(ISNUMBER(iData!AA70),100*ABS($G70-(iData!AA70-$I70)/$M70),0),IF(iData!AA70&gt;tblIndicators!$AI66,100,IF(ISNUMBER(iData!AA70),100*ABS($G70-(iData!AA70-$I70)/$M70),0)),IF(iData!AA70&lt;0,100,IF(ISNUMBER(iData!AA70),100*ABS($G70-(iData!AA70-$I70)/$M70),0)))</f>
        <v>50</v>
      </c>
      <c r="AI70" s="123" cm="1">
        <f t="array" ref="AI70">CHOOSE($H70,SUMPRODUCT($O71:$O$75*AI71:AI$75*($E71:$E$75=$D70)),IF(ISNUMBER(iData!AB70),100*ABS($G70-(iData!AB70-$K70)/$M70),0),IF(ISNUMBER(iData!AB70),100*ABS($G70-(iData!AB70-$I70)/$M70),0),IF(iData!AB70&gt;tblIndicators!$AI66,100,IF(ISNUMBER(iData!AB70),100*ABS($G70-(iData!AB70-$I70)/$M70),0)),IF(iData!AB70&lt;0,100,IF(ISNUMBER(iData!AB70),100*ABS($G70-(iData!AB70-$I70)/$M70),0)))</f>
        <v>0</v>
      </c>
      <c r="AJ70" s="123" cm="1">
        <f t="array" ref="AJ70">CHOOSE($H70,SUMPRODUCT($O71:$O$75*AJ71:AJ$75*($E71:$E$75=$D70)),IF(ISNUMBER(iData!AC70),100*ABS($G70-(iData!AC70-$K70)/$M70),0),IF(ISNUMBER(iData!AC70),100*ABS($G70-(iData!AC70-$I70)/$M70),0),IF(iData!AC70&gt;tblIndicators!$AI66,100,IF(ISNUMBER(iData!AC70),100*ABS($G70-(iData!AC70-$I70)/$M70),0)),IF(iData!AC70&lt;0,100,IF(ISNUMBER(iData!AC70),100*ABS($G70-(iData!AC70-$I70)/$M70),0)))</f>
        <v>0</v>
      </c>
      <c r="AK70" s="123" cm="1">
        <f t="array" ref="AK70">CHOOSE($H70,SUMPRODUCT($O71:$O$75*AK71:AK$75*($E71:$E$75=$D70)),IF(ISNUMBER(iData!AD70),100*ABS($G70-(iData!AD70-$K70)/$M70),0),IF(ISNUMBER(iData!AD70),100*ABS($G70-(iData!AD70-$I70)/$M70),0),IF(iData!AD70&gt;tblIndicators!$AI66,100,IF(ISNUMBER(iData!AD70),100*ABS($G70-(iData!AD70-$I70)/$M70),0)),IF(iData!AD70&lt;0,100,IF(ISNUMBER(iData!AD70),100*ABS($G70-(iData!AD70-$I70)/$M70),0)))</f>
        <v>100</v>
      </c>
      <c r="AL70" s="123" cm="1">
        <f t="array" ref="AL70">CHOOSE($H70,SUMPRODUCT($O71:$O$75*AL71:AL$75*($E71:$E$75=$D70)),IF(ISNUMBER(iData!AE70),100*ABS($G70-(iData!AE70-$K70)/$M70),0),IF(ISNUMBER(iData!AE70),100*ABS($G70-(iData!AE70-$I70)/$M70),0),IF(iData!AE70&gt;tblIndicators!$AI66,100,IF(ISNUMBER(iData!AE70),100*ABS($G70-(iData!AE70-$I70)/$M70),0)),IF(iData!AE70&lt;0,100,IF(ISNUMBER(iData!AE70),100*ABS($G70-(iData!AE70-$I70)/$M70),0)))</f>
        <v>100</v>
      </c>
      <c r="AM70" s="123" cm="1">
        <f t="array" ref="AM70">CHOOSE($H70,SUMPRODUCT($O71:$O$75*AM71:AM$75*($E71:$E$75=$D70)),IF(ISNUMBER(iData!AF70),100*ABS($G70-(iData!AF70-$K70)/$M70),0),IF(ISNUMBER(iData!AF70),100*ABS($G70-(iData!AF70-$I70)/$M70),0),IF(iData!AF70&gt;tblIndicators!$AI66,100,IF(ISNUMBER(iData!AF70),100*ABS($G70-(iData!AF70-$I70)/$M70),0)),IF(iData!AF70&lt;0,100,IF(ISNUMBER(iData!AF70),100*ABS($G70-(iData!AF70-$I70)/$M70),0)))</f>
        <v>100</v>
      </c>
      <c r="AN70" s="123" cm="1">
        <f t="array" ref="AN70">CHOOSE($H70,SUMPRODUCT($O71:$O$75*AN71:AN$75*($E71:$E$75=$D70)),IF(ISNUMBER(iData!AG70),100*ABS($G70-(iData!AG70-$K70)/$M70),0),IF(ISNUMBER(iData!AG70),100*ABS($G70-(iData!AG70-$I70)/$M70),0),IF(iData!AG70&gt;tblIndicators!$AI66,100,IF(ISNUMBER(iData!AG70),100*ABS($G70-(iData!AG70-$I70)/$M70),0)),IF(iData!AG70&lt;0,100,IF(ISNUMBER(iData!AG70),100*ABS($G70-(iData!AG70-$I70)/$M70),0)))</f>
        <v>0</v>
      </c>
      <c r="AO70" s="123" cm="1">
        <f t="array" ref="AO70">CHOOSE($H70,SUMPRODUCT($O71:$O$75*AO71:AO$75*($E71:$E$75=$D70)),IF(ISNUMBER(iData!AH70),100*ABS($G70-(iData!AH70-$K70)/$M70),0),IF(ISNUMBER(iData!AH70),100*ABS($G70-(iData!AH70-$I70)/$M70),0),IF(iData!AH70&gt;tblIndicators!$AI66,100,IF(ISNUMBER(iData!AH70),100*ABS($G70-(iData!AH70-$I70)/$M70),0)),IF(iData!AH70&lt;0,100,IF(ISNUMBER(iData!AH70),100*ABS($G70-(iData!AH70-$I70)/$M70),0)))</f>
        <v>100</v>
      </c>
      <c r="AP70" s="123" cm="1">
        <f t="array" ref="AP70">CHOOSE($H70,SUMPRODUCT($O71:$O$75*AP71:AP$75*($E71:$E$75=$D70)),IF(ISNUMBER(iData!AI70),100*ABS($G70-(iData!AI70-$K70)/$M70),0),IF(ISNUMBER(iData!AI70),100*ABS($G70-(iData!AI70-$I70)/$M70),0),IF(iData!AI70&gt;tblIndicators!$AI66,100,IF(ISNUMBER(iData!AI70),100*ABS($G70-(iData!AI70-$I70)/$M70),0)),IF(iData!AI70&lt;0,100,IF(ISNUMBER(iData!AI70),100*ABS($G70-(iData!AI70-$I70)/$M70),0)))</f>
        <v>100</v>
      </c>
      <c r="AQ70" s="123" cm="1">
        <f t="array" ref="AQ70">CHOOSE($H70,SUMPRODUCT($O71:$O$75*AQ71:AQ$75*($E71:$E$75=$D70)),IF(ISNUMBER(iData!AJ70),100*ABS($G70-(iData!AJ70-$K70)/$M70),0),IF(ISNUMBER(iData!AJ70),100*ABS($G70-(iData!AJ70-$I70)/$M70),0),IF(iData!AJ70&gt;tblIndicators!$AI66,100,IF(ISNUMBER(iData!AJ70),100*ABS($G70-(iData!AJ70-$I70)/$M70),0)),IF(iData!AJ70&lt;0,100,IF(ISNUMBER(iData!AJ70),100*ABS($G70-(iData!AJ70-$I70)/$M70),0)))</f>
        <v>100</v>
      </c>
      <c r="AR70" s="123" cm="1">
        <f t="array" ref="AR70">CHOOSE($H70,SUMPRODUCT($O71:$O$75*AR71:AR$75*($E71:$E$75=$D70)),IF(ISNUMBER(iData!AK70),100*ABS($G70-(iData!AK70-$K70)/$M70),0),IF(ISNUMBER(iData!AK70),100*ABS($G70-(iData!AK70-$I70)/$M70),0),IF(iData!AK70&gt;tblIndicators!$AI66,100,IF(ISNUMBER(iData!AK70),100*ABS($G70-(iData!AK70-$I70)/$M70),0)),IF(iData!AK70&lt;0,100,IF(ISNUMBER(iData!AK70),100*ABS($G70-(iData!AK70-$I70)/$M70),0)))</f>
        <v>100</v>
      </c>
      <c r="AS70" s="123" cm="1">
        <f t="array" ref="AS70">CHOOSE($H70,SUMPRODUCT($O71:$O$75*AS71:AS$75*($E71:$E$75=$D70)),IF(ISNUMBER(iData!AL70),100*ABS($G70-(iData!AL70-$K70)/$M70),0),IF(ISNUMBER(iData!AL70),100*ABS($G70-(iData!AL70-$I70)/$M70),0),IF(iData!AL70&gt;tblIndicators!$AI66,100,IF(ISNUMBER(iData!AL70),100*ABS($G70-(iData!AL70-$I70)/$M70),0)),IF(iData!AL70&lt;0,100,IF(ISNUMBER(iData!AL70),100*ABS($G70-(iData!AL70-$I70)/$M70),0)))</f>
        <v>100</v>
      </c>
      <c r="AT70" s="123" cm="1">
        <f t="array" ref="AT70">CHOOSE($H70,SUMPRODUCT($O71:$O$75*AT71:AT$75*($E71:$E$75=$D70)),IF(ISNUMBER(iData!AM70),100*ABS($G70-(iData!AM70-$K70)/$M70),0),IF(ISNUMBER(iData!AM70),100*ABS($G70-(iData!AM70-$I70)/$M70),0),IF(iData!AM70&gt;tblIndicators!$AI66,100,IF(ISNUMBER(iData!AM70),100*ABS($G70-(iData!AM70-$I70)/$M70),0)),IF(iData!AM70&lt;0,100,IF(ISNUMBER(iData!AM70),100*ABS($G70-(iData!AM70-$I70)/$M70),0)))</f>
        <v>100</v>
      </c>
      <c r="AU70" s="123" cm="1">
        <f t="array" ref="AU70">CHOOSE($H70,SUMPRODUCT($O71:$O$75*AU71:AU$75*($E71:$E$75=$D70)),IF(ISNUMBER(iData!AN70),100*ABS($G70-(iData!AN70-$K70)/$M70),0),IF(ISNUMBER(iData!AN70),100*ABS($G70-(iData!AN70-$I70)/$M70),0),IF(iData!AN70&gt;tblIndicators!$AI66,100,IF(ISNUMBER(iData!AN70),100*ABS($G70-(iData!AN70-$I70)/$M70),0)),IF(iData!AN70&lt;0,100,IF(ISNUMBER(iData!AN70),100*ABS($G70-(iData!AN70-$I70)/$M70),0)))</f>
        <v>100</v>
      </c>
      <c r="AV70" s="367"/>
      <c r="AW70" s="368"/>
      <c r="AX70" s="14"/>
      <c r="AY70" s="871">
        <f t="shared" si="40"/>
        <v>100</v>
      </c>
      <c r="AZ70" s="871">
        <f t="shared" si="41"/>
        <v>50</v>
      </c>
      <c r="BA70" s="871">
        <f t="shared" si="42"/>
        <v>50</v>
      </c>
      <c r="BB70" s="871">
        <f t="shared" si="43"/>
        <v>100</v>
      </c>
      <c r="BC70" s="871">
        <f t="shared" si="44"/>
        <v>100</v>
      </c>
      <c r="BD70" s="871">
        <f t="shared" si="45"/>
        <v>100</v>
      </c>
      <c r="BE70" s="871">
        <f t="shared" si="46"/>
        <v>50</v>
      </c>
      <c r="BF70" s="871">
        <f t="shared" si="47"/>
        <v>100</v>
      </c>
      <c r="BG70" s="871">
        <f t="shared" si="48"/>
        <v>100</v>
      </c>
      <c r="BH70" s="871">
        <f t="shared" si="49"/>
        <v>100</v>
      </c>
      <c r="BI70" s="871">
        <f t="shared" si="50"/>
        <v>100</v>
      </c>
      <c r="BJ70" s="871">
        <f t="shared" si="51"/>
        <v>50</v>
      </c>
      <c r="BK70" s="871">
        <f t="shared" si="52"/>
        <v>50</v>
      </c>
      <c r="BL70" s="871">
        <f t="shared" si="53"/>
        <v>100</v>
      </c>
      <c r="BM70" s="871">
        <f t="shared" si="54"/>
        <v>100</v>
      </c>
      <c r="BN70" s="871">
        <f t="shared" si="55"/>
        <v>100</v>
      </c>
      <c r="BO70" s="871">
        <f t="shared" si="56"/>
        <v>50</v>
      </c>
      <c r="BP70" s="871">
        <f t="shared" si="57"/>
        <v>0</v>
      </c>
      <c r="BQ70" s="871">
        <f t="shared" si="58"/>
        <v>0</v>
      </c>
      <c r="BR70" s="871">
        <f t="shared" si="59"/>
        <v>100</v>
      </c>
      <c r="BS70" s="871">
        <f t="shared" si="60"/>
        <v>100</v>
      </c>
      <c r="BT70" s="871">
        <f t="shared" si="61"/>
        <v>100</v>
      </c>
      <c r="BU70" s="871">
        <f t="shared" si="62"/>
        <v>0</v>
      </c>
      <c r="BV70" s="871">
        <f t="shared" si="63"/>
        <v>100</v>
      </c>
      <c r="BW70" s="871">
        <f t="shared" si="64"/>
        <v>100</v>
      </c>
      <c r="BX70" s="871">
        <f t="shared" si="65"/>
        <v>100</v>
      </c>
      <c r="BY70" s="871">
        <f t="shared" si="66"/>
        <v>100</v>
      </c>
      <c r="BZ70" s="871">
        <f t="shared" si="67"/>
        <v>100</v>
      </c>
      <c r="CA70" s="871">
        <f t="shared" si="68"/>
        <v>100</v>
      </c>
      <c r="CB70" s="871">
        <f t="shared" si="69"/>
        <v>100</v>
      </c>
      <c r="CD70" s="304">
        <f t="shared" ca="1" si="108"/>
        <v>80</v>
      </c>
      <c r="CE70" s="304">
        <f t="shared" ca="1" si="108"/>
        <v>80</v>
      </c>
      <c r="CF70" s="304">
        <f t="shared" ca="1" si="108"/>
        <v>70.8</v>
      </c>
      <c r="CG70" s="302">
        <f t="shared" ca="1" si="108"/>
        <v>100</v>
      </c>
      <c r="CH70" s="302">
        <f t="shared" ca="1" si="108"/>
        <v>16.7</v>
      </c>
      <c r="CI70" s="302">
        <f t="shared" ca="1" si="108"/>
        <v>100</v>
      </c>
      <c r="CJ70" s="302">
        <f t="shared" ca="1" si="108"/>
        <v>100</v>
      </c>
      <c r="CK70" s="302">
        <f t="shared" ca="1" si="108"/>
        <v>33.299999999999997</v>
      </c>
      <c r="CL70" s="302">
        <f t="shared" ca="1" si="108"/>
        <v>50</v>
      </c>
      <c r="CM70" s="302">
        <f t="shared" ca="1" si="108"/>
        <v>95.2</v>
      </c>
      <c r="CN70" s="302">
        <f t="shared" ca="1" si="172"/>
        <v>93.8</v>
      </c>
      <c r="CO70" s="302">
        <f t="shared" ca="1" si="172"/>
        <v>94.4</v>
      </c>
      <c r="CP70" s="302">
        <f t="shared" ca="1" si="172"/>
        <v>75</v>
      </c>
      <c r="CQ70" s="302">
        <f t="shared" ca="1" si="172"/>
        <v>55.6</v>
      </c>
    </row>
    <row r="71" spans="1:95" s="124" customFormat="1" ht="27.75" customHeight="1" thickBot="1">
      <c r="A71" s="118"/>
      <c r="B71" s="119">
        <f>tblIndicators!A67</f>
        <v>66</v>
      </c>
      <c r="C71" s="119">
        <f>tblIndicators!B67</f>
        <v>0</v>
      </c>
      <c r="D71" s="119" t="str">
        <f>tblIndicators!E67</f>
        <v>SUST4_3</v>
      </c>
      <c r="E71" s="119" t="str">
        <f>tblIndicators!F67</f>
        <v>SUST</v>
      </c>
      <c r="F71" s="119">
        <f>tblIndicators!G67</f>
        <v>2</v>
      </c>
      <c r="G71" s="119">
        <f>tblIndicators!AF67</f>
        <v>0</v>
      </c>
      <c r="H71" s="119">
        <f>tblIndicators!AG67</f>
        <v>1</v>
      </c>
      <c r="I71" s="120">
        <f>tblIndicators!AH67</f>
        <v>0</v>
      </c>
      <c r="J71" s="119">
        <f>tblIndicators!AI67</f>
        <v>0</v>
      </c>
      <c r="K71" s="119">
        <f t="array" ref="K71">MIN(IF(ISNUMBER(iData!K71:AN71),iData!K71:AN71))</f>
        <v>0</v>
      </c>
      <c r="L71" s="121">
        <f t="array" ref="L71">MAX(IF(ISNUMBER(iData!K71:AN71),iData!K71:AN71))</f>
        <v>0</v>
      </c>
      <c r="M71" s="51" t="str">
        <f t="shared" si="106"/>
        <v>-</v>
      </c>
      <c r="N71" s="122" t="str">
        <f>REPT(" ",F71)&amp;tblIndicators!AM67</f>
        <v xml:space="preserve">  4.3) Pollution</v>
      </c>
      <c r="O71" s="381">
        <f>tblIndicators!AR67</f>
        <v>0.22222222222222221</v>
      </c>
      <c r="P71" s="381"/>
      <c r="Q71" s="323"/>
      <c r="R71" s="123" cm="1">
        <f t="array" ref="R71">CHOOSE($H71,SUMPRODUCT($O72:$O$75*R72:R$75*($E72:$E$75=$D71)),IF(ISNUMBER(iData!K71),100*ABS($G71-(iData!K71-$K71)/$M71),0),IF(ISNUMBER(iData!K71),100*ABS($G71-(iData!K71-$I71)/$M71),0),IF(iData!K71&gt;tblIndicators!$AI67,100,IF(ISNUMBER(iData!K71),100*ABS($G71-(iData!K71-$I71)/$M71),0)),IF(iData!K71&lt;0,100,IF(ISNUMBER(iData!K71),100*ABS($G71-(iData!K71-$I71)/$M71),0)))</f>
        <v>50</v>
      </c>
      <c r="S71" s="123" cm="1">
        <f t="array" ref="S71">CHOOSE($H71,SUMPRODUCT($O72:$O$75*S72:S$75*($E72:$E$75=$D71)),IF(ISNUMBER(iData!L71),100*ABS($G71-(iData!L71-$K71)/$M71),0),IF(ISNUMBER(iData!L71),100*ABS($G71-(iData!L71-$I71)/$M71),0),IF(iData!L71&gt;tblIndicators!$AI67,100,IF(ISNUMBER(iData!L71),100*ABS($G71-(iData!L71-$I71)/$M71),0)),IF(iData!L71&lt;0,100,IF(ISNUMBER(iData!L71),100*ABS($G71-(iData!L71-$I71)/$M71),0)))</f>
        <v>100</v>
      </c>
      <c r="T71" s="123" cm="1">
        <f t="array" ref="T71">CHOOSE($H71,SUMPRODUCT($O72:$O$75*T72:T$75*($E72:$E$75=$D71)),IF(ISNUMBER(iData!M71),100*ABS($G71-(iData!M71-$K71)/$M71),0),IF(ISNUMBER(iData!M71),100*ABS($G71-(iData!M71-$I71)/$M71),0),IF(iData!M71&gt;tblIndicators!$AI67,100,IF(ISNUMBER(iData!M71),100*ABS($G71-(iData!M71-$I71)/$M71),0)),IF(iData!M71&lt;0,100,IF(ISNUMBER(iData!M71),100*ABS($G71-(iData!M71-$I71)/$M71),0)))</f>
        <v>50</v>
      </c>
      <c r="U71" s="123" cm="1">
        <f t="array" ref="U71">CHOOSE($H71,SUMPRODUCT($O72:$O$75*U72:U$75*($E72:$E$75=$D71)),IF(ISNUMBER(iData!N71),100*ABS($G71-(iData!N71-$K71)/$M71),0),IF(ISNUMBER(iData!N71),100*ABS($G71-(iData!N71-$I71)/$M71),0),IF(iData!N71&gt;tblIndicators!$AI67,100,IF(ISNUMBER(iData!N71),100*ABS($G71-(iData!N71-$I71)/$M71),0)),IF(iData!N71&lt;0,100,IF(ISNUMBER(iData!N71),100*ABS($G71-(iData!N71-$I71)/$M71),0)))</f>
        <v>83.333333333333343</v>
      </c>
      <c r="V71" s="123" cm="1">
        <f t="array" ref="V71">CHOOSE($H71,SUMPRODUCT($O72:$O$75*V72:V$75*($E72:$E$75=$D71)),IF(ISNUMBER(iData!O71),100*ABS($G71-(iData!O71-$K71)/$M71),0),IF(ISNUMBER(iData!O71),100*ABS($G71-(iData!O71-$I71)/$M71),0),IF(iData!O71&gt;tblIndicators!$AI67,100,IF(ISNUMBER(iData!O71),100*ABS($G71-(iData!O71-$I71)/$M71),0)),IF(iData!O71&lt;0,100,IF(ISNUMBER(iData!O71),100*ABS($G71-(iData!O71-$I71)/$M71),0)))</f>
        <v>50</v>
      </c>
      <c r="W71" s="123" cm="1">
        <f t="array" ref="W71">CHOOSE($H71,SUMPRODUCT($O72:$O$75*W72:W$75*($E72:$E$75=$D71)),IF(ISNUMBER(iData!P71),100*ABS($G71-(iData!P71-$K71)/$M71),0),IF(ISNUMBER(iData!P71),100*ABS($G71-(iData!P71-$I71)/$M71),0),IF(iData!P71&gt;tblIndicators!$AI67,100,IF(ISNUMBER(iData!P71),100*ABS($G71-(iData!P71-$I71)/$M71),0)),IF(iData!P71&lt;0,100,IF(ISNUMBER(iData!P71),100*ABS($G71-(iData!P71-$I71)/$M71),0)))</f>
        <v>50</v>
      </c>
      <c r="X71" s="123" cm="1">
        <f t="array" ref="X71">CHOOSE($H71,SUMPRODUCT($O72:$O$75*X72:X$75*($E72:$E$75=$D71)),IF(ISNUMBER(iData!Q71),100*ABS($G71-(iData!Q71-$K71)/$M71),0),IF(ISNUMBER(iData!Q71),100*ABS($G71-(iData!Q71-$I71)/$M71),0),IF(iData!Q71&gt;tblIndicators!$AI67,100,IF(ISNUMBER(iData!Q71),100*ABS($G71-(iData!Q71-$I71)/$M71),0)),IF(iData!Q71&lt;0,100,IF(ISNUMBER(iData!Q71),100*ABS($G71-(iData!Q71-$I71)/$M71),0)))</f>
        <v>50</v>
      </c>
      <c r="Y71" s="123" cm="1">
        <f t="array" ref="Y71">CHOOSE($H71,SUMPRODUCT($O72:$O$75*Y72:Y$75*($E72:$E$75=$D71)),IF(ISNUMBER(iData!R71),100*ABS($G71-(iData!R71-$K71)/$M71),0),IF(ISNUMBER(iData!R71),100*ABS($G71-(iData!R71-$I71)/$M71),0),IF(iData!R71&gt;tblIndicators!$AI67,100,IF(ISNUMBER(iData!R71),100*ABS($G71-(iData!R71-$I71)/$M71),0)),IF(iData!R71&lt;0,100,IF(ISNUMBER(iData!R71),100*ABS($G71-(iData!R71-$I71)/$M71),0)))</f>
        <v>66.666666666666657</v>
      </c>
      <c r="Z71" s="123" cm="1">
        <f t="array" ref="Z71">CHOOSE($H71,SUMPRODUCT($O72:$O$75*Z72:Z$75*($E72:$E$75=$D71)),IF(ISNUMBER(iData!S71),100*ABS($G71-(iData!S71-$K71)/$M71),0),IF(ISNUMBER(iData!S71),100*ABS($G71-(iData!S71-$I71)/$M71),0),IF(iData!S71&gt;tblIndicators!$AI67,100,IF(ISNUMBER(iData!S71),100*ABS($G71-(iData!S71-$I71)/$M71),0)),IF(iData!S71&lt;0,100,IF(ISNUMBER(iData!S71),100*ABS($G71-(iData!S71-$I71)/$M71),0)))</f>
        <v>50</v>
      </c>
      <c r="AA71" s="123" cm="1">
        <f t="array" ref="AA71">CHOOSE($H71,SUMPRODUCT($O72:$O$75*AA72:AA$75*($E72:$E$75=$D71)),IF(ISNUMBER(iData!T71),100*ABS($G71-(iData!T71-$K71)/$M71),0),IF(ISNUMBER(iData!T71),100*ABS($G71-(iData!T71-$I71)/$M71),0),IF(iData!T71&gt;tblIndicators!$AI67,100,IF(ISNUMBER(iData!T71),100*ABS($G71-(iData!T71-$I71)/$M71),0)),IF(iData!T71&lt;0,100,IF(ISNUMBER(iData!T71),100*ABS($G71-(iData!T71-$I71)/$M71),0)))</f>
        <v>16.666666666666664</v>
      </c>
      <c r="AB71" s="123" cm="1">
        <f t="array" ref="AB71">CHOOSE($H71,SUMPRODUCT($O72:$O$75*AB72:AB$75*($E72:$E$75=$D71)),IF(ISNUMBER(iData!U71),100*ABS($G71-(iData!U71-$K71)/$M71),0),IF(ISNUMBER(iData!U71),100*ABS($G71-(iData!U71-$I71)/$M71),0),IF(iData!U71&gt;tblIndicators!$AI67,100,IF(ISNUMBER(iData!U71),100*ABS($G71-(iData!U71-$I71)/$M71),0)),IF(iData!U71&lt;0,100,IF(ISNUMBER(iData!U71),100*ABS($G71-(iData!U71-$I71)/$M71),0)))</f>
        <v>50</v>
      </c>
      <c r="AC71" s="123" cm="1">
        <f t="array" ref="AC71">CHOOSE($H71,SUMPRODUCT($O72:$O$75*AC72:AC$75*($E72:$E$75=$D71)),IF(ISNUMBER(iData!V71),100*ABS($G71-(iData!V71-$K71)/$M71),0),IF(ISNUMBER(iData!V71),100*ABS($G71-(iData!V71-$I71)/$M71),0),IF(iData!V71&gt;tblIndicators!$AI67,100,IF(ISNUMBER(iData!V71),100*ABS($G71-(iData!V71-$I71)/$M71),0)),IF(iData!V71&lt;0,100,IF(ISNUMBER(iData!V71),100*ABS($G71-(iData!V71-$I71)/$M71),0)))</f>
        <v>66.666666666666657</v>
      </c>
      <c r="AD71" s="123" cm="1">
        <f t="array" ref="AD71">CHOOSE($H71,SUMPRODUCT($O72:$O$75*AD72:AD$75*($E72:$E$75=$D71)),IF(ISNUMBER(iData!W71),100*ABS($G71-(iData!W71-$K71)/$M71),0),IF(ISNUMBER(iData!W71),100*ABS($G71-(iData!W71-$I71)/$M71),0),IF(iData!W71&gt;tblIndicators!$AI67,100,IF(ISNUMBER(iData!W71),100*ABS($G71-(iData!W71-$I71)/$M71),0)),IF(iData!W71&lt;0,100,IF(ISNUMBER(iData!W71),100*ABS($G71-(iData!W71-$I71)/$M71),0)))</f>
        <v>16.666666666666664</v>
      </c>
      <c r="AE71" s="123" cm="1">
        <f t="array" ref="AE71">CHOOSE($H71,SUMPRODUCT($O72:$O$75*AE72:AE$75*($E72:$E$75=$D71)),IF(ISNUMBER(iData!X71),100*ABS($G71-(iData!X71-$K71)/$M71),0),IF(ISNUMBER(iData!X71),100*ABS($G71-(iData!X71-$I71)/$M71),0),IF(iData!X71&gt;tblIndicators!$AI67,100,IF(ISNUMBER(iData!X71),100*ABS($G71-(iData!X71-$I71)/$M71),0)),IF(iData!X71&lt;0,100,IF(ISNUMBER(iData!X71),100*ABS($G71-(iData!X71-$I71)/$M71),0)))</f>
        <v>50</v>
      </c>
      <c r="AF71" s="123" cm="1">
        <f t="array" ref="AF71">CHOOSE($H71,SUMPRODUCT($O72:$O$75*AF72:AF$75*($E72:$E$75=$D71)),IF(ISNUMBER(iData!Y71),100*ABS($G71-(iData!Y71-$K71)/$M71),0),IF(ISNUMBER(iData!Y71),100*ABS($G71-(iData!Y71-$I71)/$M71),0),IF(iData!Y71&gt;tblIndicators!$AI67,100,IF(ISNUMBER(iData!Y71),100*ABS($G71-(iData!Y71-$I71)/$M71),0)),IF(iData!Y71&lt;0,100,IF(ISNUMBER(iData!Y71),100*ABS($G71-(iData!Y71-$I71)/$M71),0)))</f>
        <v>83.333333333333343</v>
      </c>
      <c r="AG71" s="123" cm="1">
        <f t="array" ref="AG71">CHOOSE($H71,SUMPRODUCT($O72:$O$75*AG72:AG$75*($E72:$E$75=$D71)),IF(ISNUMBER(iData!Z71),100*ABS($G71-(iData!Z71-$K71)/$M71),0),IF(ISNUMBER(iData!Z71),100*ABS($G71-(iData!Z71-$I71)/$M71),0),IF(iData!Z71&gt;tblIndicators!$AI67,100,IF(ISNUMBER(iData!Z71),100*ABS($G71-(iData!Z71-$I71)/$M71),0)),IF(iData!Z71&lt;0,100,IF(ISNUMBER(iData!Z71),100*ABS($G71-(iData!Z71-$I71)/$M71),0)))</f>
        <v>66.666666666666657</v>
      </c>
      <c r="AH71" s="123" cm="1">
        <f t="array" ref="AH71">CHOOSE($H71,SUMPRODUCT($O72:$O$75*AH72:AH$75*($E72:$E$75=$D71)),IF(ISNUMBER(iData!AA71),100*ABS($G71-(iData!AA71-$K71)/$M71),0),IF(ISNUMBER(iData!AA71),100*ABS($G71-(iData!AA71-$I71)/$M71),0),IF(iData!AA71&gt;tblIndicators!$AI67,100,IF(ISNUMBER(iData!AA71),100*ABS($G71-(iData!AA71-$I71)/$M71),0)),IF(iData!AA71&lt;0,100,IF(ISNUMBER(iData!AA71),100*ABS($G71-(iData!AA71-$I71)/$M71),0)))</f>
        <v>50</v>
      </c>
      <c r="AI71" s="123" cm="1">
        <f t="array" ref="AI71">CHOOSE($H71,SUMPRODUCT($O72:$O$75*AI72:AI$75*($E72:$E$75=$D71)),IF(ISNUMBER(iData!AB71),100*ABS($G71-(iData!AB71-$K71)/$M71),0),IF(ISNUMBER(iData!AB71),100*ABS($G71-(iData!AB71-$I71)/$M71),0),IF(iData!AB71&gt;tblIndicators!$AI67,100,IF(ISNUMBER(iData!AB71),100*ABS($G71-(iData!AB71-$I71)/$M71),0)),IF(iData!AB71&lt;0,100,IF(ISNUMBER(iData!AB71),100*ABS($G71-(iData!AB71-$I71)/$M71),0)))</f>
        <v>50</v>
      </c>
      <c r="AJ71" s="123" cm="1">
        <f t="array" ref="AJ71">CHOOSE($H71,SUMPRODUCT($O72:$O$75*AJ72:AJ$75*($E72:$E$75=$D71)),IF(ISNUMBER(iData!AC71),100*ABS($G71-(iData!AC71-$K71)/$M71),0),IF(ISNUMBER(iData!AC71),100*ABS($G71-(iData!AC71-$I71)/$M71),0),IF(iData!AC71&gt;tblIndicators!$AI67,100,IF(ISNUMBER(iData!AC71),100*ABS($G71-(iData!AC71-$I71)/$M71),0)),IF(iData!AC71&lt;0,100,IF(ISNUMBER(iData!AC71),100*ABS($G71-(iData!AC71-$I71)/$M71),0)))</f>
        <v>33.333333333333329</v>
      </c>
      <c r="AK71" s="123" cm="1">
        <f t="array" ref="AK71">CHOOSE($H71,SUMPRODUCT($O72:$O$75*AK72:AK$75*($E72:$E$75=$D71)),IF(ISNUMBER(iData!AD71),100*ABS($G71-(iData!AD71-$K71)/$M71),0),IF(ISNUMBER(iData!AD71),100*ABS($G71-(iData!AD71-$I71)/$M71),0),IF(iData!AD71&gt;tblIndicators!$AI67,100,IF(ISNUMBER(iData!AD71),100*ABS($G71-(iData!AD71-$I71)/$M71),0)),IF(iData!AD71&lt;0,100,IF(ISNUMBER(iData!AD71),100*ABS($G71-(iData!AD71-$I71)/$M71),0)))</f>
        <v>66.666666666666657</v>
      </c>
      <c r="AL71" s="123" cm="1">
        <f t="array" ref="AL71">CHOOSE($H71,SUMPRODUCT($O72:$O$75*AL72:AL$75*($E72:$E$75=$D71)),IF(ISNUMBER(iData!AE71),100*ABS($G71-(iData!AE71-$K71)/$M71),0),IF(ISNUMBER(iData!AE71),100*ABS($G71-(iData!AE71-$I71)/$M71),0),IF(iData!AE71&gt;tblIndicators!$AI67,100,IF(ISNUMBER(iData!AE71),100*ABS($G71-(iData!AE71-$I71)/$M71),0)),IF(iData!AE71&lt;0,100,IF(ISNUMBER(iData!AE71),100*ABS($G71-(iData!AE71-$I71)/$M71),0)))</f>
        <v>50</v>
      </c>
      <c r="AM71" s="123" cm="1">
        <f t="array" ref="AM71">CHOOSE($H71,SUMPRODUCT($O72:$O$75*AM72:AM$75*($E72:$E$75=$D71)),IF(ISNUMBER(iData!AF71),100*ABS($G71-(iData!AF71-$K71)/$M71),0),IF(ISNUMBER(iData!AF71),100*ABS($G71-(iData!AF71-$I71)/$M71),0),IF(iData!AF71&gt;tblIndicators!$AI67,100,IF(ISNUMBER(iData!AF71),100*ABS($G71-(iData!AF71-$I71)/$M71),0)),IF(iData!AF71&lt;0,100,IF(ISNUMBER(iData!AF71),100*ABS($G71-(iData!AF71-$I71)/$M71),0)))</f>
        <v>66.666666666666657</v>
      </c>
      <c r="AN71" s="123" cm="1">
        <f t="array" ref="AN71">CHOOSE($H71,SUMPRODUCT($O72:$O$75*AN72:AN$75*($E72:$E$75=$D71)),IF(ISNUMBER(iData!AG71),100*ABS($G71-(iData!AG71-$K71)/$M71),0),IF(ISNUMBER(iData!AG71),100*ABS($G71-(iData!AG71-$I71)/$M71),0),IF(iData!AG71&gt;tblIndicators!$AI67,100,IF(ISNUMBER(iData!AG71),100*ABS($G71-(iData!AG71-$I71)/$M71),0)),IF(iData!AG71&lt;0,100,IF(ISNUMBER(iData!AG71),100*ABS($G71-(iData!AG71-$I71)/$M71),0)))</f>
        <v>50</v>
      </c>
      <c r="AO71" s="123" cm="1">
        <f t="array" ref="AO71">CHOOSE($H71,SUMPRODUCT($O72:$O$75*AO72:AO$75*($E72:$E$75=$D71)),IF(ISNUMBER(iData!AH71),100*ABS($G71-(iData!AH71-$K71)/$M71),0),IF(ISNUMBER(iData!AH71),100*ABS($G71-(iData!AH71-$I71)/$M71),0),IF(iData!AH71&gt;tblIndicators!$AI67,100,IF(ISNUMBER(iData!AH71),100*ABS($G71-(iData!AH71-$I71)/$M71),0)),IF(iData!AH71&lt;0,100,IF(ISNUMBER(iData!AH71),100*ABS($G71-(iData!AH71-$I71)/$M71),0)))</f>
        <v>83.333333333333343</v>
      </c>
      <c r="AP71" s="123" cm="1">
        <f t="array" ref="AP71">CHOOSE($H71,SUMPRODUCT($O72:$O$75*AP72:AP$75*($E72:$E$75=$D71)),IF(ISNUMBER(iData!AI71),100*ABS($G71-(iData!AI71-$K71)/$M71),0),IF(ISNUMBER(iData!AI71),100*ABS($G71-(iData!AI71-$I71)/$M71),0),IF(iData!AI71&gt;tblIndicators!$AI67,100,IF(ISNUMBER(iData!AI71),100*ABS($G71-(iData!AI71-$I71)/$M71),0)),IF(iData!AI71&lt;0,100,IF(ISNUMBER(iData!AI71),100*ABS($G71-(iData!AI71-$I71)/$M71),0)))</f>
        <v>66.666666666666657</v>
      </c>
      <c r="AQ71" s="123" cm="1">
        <f t="array" ref="AQ71">CHOOSE($H71,SUMPRODUCT($O72:$O$75*AQ72:AQ$75*($E72:$E$75=$D71)),IF(ISNUMBER(iData!AJ71),100*ABS($G71-(iData!AJ71-$K71)/$M71),0),IF(ISNUMBER(iData!AJ71),100*ABS($G71-(iData!AJ71-$I71)/$M71),0),IF(iData!AJ71&gt;tblIndicators!$AI67,100,IF(ISNUMBER(iData!AJ71),100*ABS($G71-(iData!AJ71-$I71)/$M71),0)),IF(iData!AJ71&lt;0,100,IF(ISNUMBER(iData!AJ71),100*ABS($G71-(iData!AJ71-$I71)/$M71),0)))</f>
        <v>66.666666666666657</v>
      </c>
      <c r="AR71" s="123" cm="1">
        <f t="array" ref="AR71">CHOOSE($H71,SUMPRODUCT($O72:$O$75*AR72:AR$75*($E72:$E$75=$D71)),IF(ISNUMBER(iData!AK71),100*ABS($G71-(iData!AK71-$K71)/$M71),0),IF(ISNUMBER(iData!AK71),100*ABS($G71-(iData!AK71-$I71)/$M71),0),IF(iData!AK71&gt;tblIndicators!$AI67,100,IF(ISNUMBER(iData!AK71),100*ABS($G71-(iData!AK71-$I71)/$M71),0)),IF(iData!AK71&lt;0,100,IF(ISNUMBER(iData!AK71),100*ABS($G71-(iData!AK71-$I71)/$M71),0)))</f>
        <v>50</v>
      </c>
      <c r="AS71" s="123" cm="1">
        <f t="array" ref="AS71">CHOOSE($H71,SUMPRODUCT($O72:$O$75*AS72:AS$75*($E72:$E$75=$D71)),IF(ISNUMBER(iData!AL71),100*ABS($G71-(iData!AL71-$K71)/$M71),0),IF(ISNUMBER(iData!AL71),100*ABS($G71-(iData!AL71-$I71)/$M71),0),IF(iData!AL71&gt;tblIndicators!$AI67,100,IF(ISNUMBER(iData!AL71),100*ABS($G71-(iData!AL71-$I71)/$M71),0)),IF(iData!AL71&lt;0,100,IF(ISNUMBER(iData!AL71),100*ABS($G71-(iData!AL71-$I71)/$M71),0)))</f>
        <v>66.666666666666657</v>
      </c>
      <c r="AT71" s="123" cm="1">
        <f t="array" ref="AT71">CHOOSE($H71,SUMPRODUCT($O72:$O$75*AT72:AT$75*($E72:$E$75=$D71)),IF(ISNUMBER(iData!AM71),100*ABS($G71-(iData!AM71-$K71)/$M71),0),IF(ISNUMBER(iData!AM71),100*ABS($G71-(iData!AM71-$I71)/$M71),0),IF(iData!AM71&gt;tblIndicators!$AI67,100,IF(ISNUMBER(iData!AM71),100*ABS($G71-(iData!AM71-$I71)/$M71),0)),IF(iData!AM71&lt;0,100,IF(ISNUMBER(iData!AM71),100*ABS($G71-(iData!AM71-$I71)/$M71),0)))</f>
        <v>66.666666666666657</v>
      </c>
      <c r="AU71" s="123" cm="1">
        <f t="array" ref="AU71">CHOOSE($H71,SUMPRODUCT($O72:$O$75*AU72:AU$75*($E72:$E$75=$D71)),IF(ISNUMBER(iData!AN71),100*ABS($G71-(iData!AN71-$K71)/$M71),0),IF(ISNUMBER(iData!AN71),100*ABS($G71-(iData!AN71-$I71)/$M71),0),IF(iData!AN71&gt;tblIndicators!$AI67,100,IF(ISNUMBER(iData!AN71),100*ABS($G71-(iData!AN71-$I71)/$M71),0)),IF(iData!AN71&lt;0,100,IF(ISNUMBER(iData!AN71),100*ABS($G71-(iData!AN71-$I71)/$M71),0)))</f>
        <v>66.666666666666657</v>
      </c>
      <c r="AV71" s="367"/>
      <c r="AW71" s="368"/>
      <c r="AX71" s="14"/>
      <c r="AY71" s="871">
        <f t="shared" si="40"/>
        <v>50</v>
      </c>
      <c r="AZ71" s="871">
        <f t="shared" si="41"/>
        <v>100</v>
      </c>
      <c r="BA71" s="871">
        <f t="shared" si="42"/>
        <v>50</v>
      </c>
      <c r="BB71" s="871">
        <f t="shared" si="43"/>
        <v>83.3</v>
      </c>
      <c r="BC71" s="871">
        <f t="shared" si="44"/>
        <v>50</v>
      </c>
      <c r="BD71" s="871">
        <f t="shared" si="45"/>
        <v>50</v>
      </c>
      <c r="BE71" s="871">
        <f t="shared" si="46"/>
        <v>50</v>
      </c>
      <c r="BF71" s="871">
        <f t="shared" si="47"/>
        <v>66.7</v>
      </c>
      <c r="BG71" s="871">
        <f t="shared" si="48"/>
        <v>50</v>
      </c>
      <c r="BH71" s="871">
        <f t="shared" si="49"/>
        <v>16.7</v>
      </c>
      <c r="BI71" s="871">
        <f t="shared" si="50"/>
        <v>50</v>
      </c>
      <c r="BJ71" s="871">
        <f t="shared" si="51"/>
        <v>66.7</v>
      </c>
      <c r="BK71" s="871">
        <f t="shared" si="52"/>
        <v>16.7</v>
      </c>
      <c r="BL71" s="871">
        <f t="shared" si="53"/>
        <v>50</v>
      </c>
      <c r="BM71" s="871">
        <f t="shared" si="54"/>
        <v>83.3</v>
      </c>
      <c r="BN71" s="871">
        <f t="shared" si="55"/>
        <v>66.7</v>
      </c>
      <c r="BO71" s="871">
        <f t="shared" si="56"/>
        <v>50</v>
      </c>
      <c r="BP71" s="871">
        <f t="shared" si="57"/>
        <v>50</v>
      </c>
      <c r="BQ71" s="871">
        <f t="shared" si="58"/>
        <v>33.299999999999997</v>
      </c>
      <c r="BR71" s="871">
        <f t="shared" si="59"/>
        <v>66.7</v>
      </c>
      <c r="BS71" s="871">
        <f t="shared" si="60"/>
        <v>50</v>
      </c>
      <c r="BT71" s="871">
        <f t="shared" si="61"/>
        <v>66.7</v>
      </c>
      <c r="BU71" s="871">
        <f t="shared" si="62"/>
        <v>50</v>
      </c>
      <c r="BV71" s="871">
        <f t="shared" si="63"/>
        <v>83.3</v>
      </c>
      <c r="BW71" s="871">
        <f t="shared" si="64"/>
        <v>66.7</v>
      </c>
      <c r="BX71" s="871">
        <f t="shared" si="65"/>
        <v>66.7</v>
      </c>
      <c r="BY71" s="871">
        <f t="shared" si="66"/>
        <v>50</v>
      </c>
      <c r="BZ71" s="871">
        <f t="shared" si="67"/>
        <v>66.7</v>
      </c>
      <c r="CA71" s="871">
        <f t="shared" si="68"/>
        <v>66.7</v>
      </c>
      <c r="CB71" s="871">
        <f t="shared" si="69"/>
        <v>66.7</v>
      </c>
      <c r="CD71" s="304">
        <f t="shared" ca="1" si="108"/>
        <v>57.8</v>
      </c>
      <c r="CE71" s="304">
        <f t="shared" ca="1" si="108"/>
        <v>57.8</v>
      </c>
      <c r="CF71" s="304">
        <f t="shared" ca="1" si="108"/>
        <v>57</v>
      </c>
      <c r="CG71" s="302">
        <f t="shared" ca="1" si="108"/>
        <v>63.3</v>
      </c>
      <c r="CH71" s="302">
        <f ca="1">IFERROR(ROUND(SUMIF(OFFSET(tblGroups,CH$5-1,0,1,$CE$1),1,OFFSET(aScoresRounded,$B71-1,0,1,$CE$1))/SUM(OFFSET(tblGroups,CH$5-1,0,1,$CE$1)),$CF$1),"n/a")</f>
        <v>50</v>
      </c>
      <c r="CI71" s="302">
        <f t="shared" ca="1" si="108"/>
        <v>16.7</v>
      </c>
      <c r="CJ71" s="302">
        <f t="shared" ca="1" si="108"/>
        <v>62.5</v>
      </c>
      <c r="CK71" s="302">
        <f t="shared" ca="1" si="108"/>
        <v>33.299999999999997</v>
      </c>
      <c r="CL71" s="302">
        <f t="shared" ca="1" si="108"/>
        <v>50</v>
      </c>
      <c r="CM71" s="302">
        <f t="shared" ca="1" si="108"/>
        <v>63.5</v>
      </c>
      <c r="CN71" s="302">
        <f t="shared" ca="1" si="172"/>
        <v>60.4</v>
      </c>
      <c r="CO71" s="302">
        <f t="shared" ca="1" si="172"/>
        <v>63</v>
      </c>
      <c r="CP71" s="302">
        <f t="shared" ca="1" si="172"/>
        <v>58.3</v>
      </c>
      <c r="CQ71" s="302">
        <f t="shared" ca="1" si="172"/>
        <v>50</v>
      </c>
    </row>
    <row r="72" spans="1:95" s="124" customFormat="1" ht="27.75" customHeight="1" thickBot="1">
      <c r="A72" s="118"/>
      <c r="B72" s="119">
        <f>tblIndicators!A68</f>
        <v>67</v>
      </c>
      <c r="C72" s="119">
        <f>tblIndicators!B68</f>
        <v>0</v>
      </c>
      <c r="D72" s="119" t="str">
        <f>tblIndicators!E68</f>
        <v>SUST4_3_1</v>
      </c>
      <c r="E72" s="119" t="str">
        <f>tblIndicators!F68</f>
        <v>SUST4_3</v>
      </c>
      <c r="F72" s="119">
        <f>tblIndicators!G68</f>
        <v>3</v>
      </c>
      <c r="G72" s="119">
        <f>tblIndicators!AF68</f>
        <v>0</v>
      </c>
      <c r="H72" s="119">
        <f>tblIndicators!AG68</f>
        <v>3</v>
      </c>
      <c r="I72" s="120">
        <f>tblIndicators!AH68</f>
        <v>0</v>
      </c>
      <c r="J72" s="119">
        <f>tblIndicators!AI68</f>
        <v>6</v>
      </c>
      <c r="K72" s="119">
        <f t="array" ref="K72">MIN(IF(ISNUMBER(iData!K72:AN72),iData!K72:AN72))</f>
        <v>1</v>
      </c>
      <c r="L72" s="121">
        <f t="array" ref="L72">MAX(IF(ISNUMBER(iData!K72:AN72),iData!K72:AN72))</f>
        <v>6</v>
      </c>
      <c r="M72" s="51">
        <f t="shared" si="106"/>
        <v>6</v>
      </c>
      <c r="N72" s="122" t="str">
        <f>REPT(" ",F72)&amp;tblIndicators!AM68</f>
        <v xml:space="preserve">   4.3.1) Air pollution</v>
      </c>
      <c r="O72" s="381">
        <f>tblIndicators!AR68</f>
        <v>1</v>
      </c>
      <c r="P72" s="381"/>
      <c r="Q72" s="323"/>
      <c r="R72" s="123" cm="1">
        <f t="array" ref="R72">CHOOSE($H72,SUMPRODUCT($O73:$O$75*R73:R$75*($E73:$E$75=$D72)),IF(ISNUMBER(iData!K72),100*ABS($G72-(iData!K72-$K72)/$M72),0),IF(ISNUMBER(iData!K72),100*ABS($G72-(iData!K72-$I72)/$M72),0),IF(iData!K72&gt;tblIndicators!$AI68,100,IF(ISNUMBER(iData!K72),100*ABS($G72-(iData!K72-$I72)/$M72),0)),IF(iData!K72&lt;0,100,IF(ISNUMBER(iData!K72),100*ABS($G72-(iData!K72-$I72)/$M72),0)))</f>
        <v>50</v>
      </c>
      <c r="S72" s="123" cm="1">
        <f t="array" ref="S72">CHOOSE($H72,SUMPRODUCT($O73:$O$75*S73:S$75*($E73:$E$75=$D72)),IF(ISNUMBER(iData!L72),100*ABS($G72-(iData!L72-$K72)/$M72),0),IF(ISNUMBER(iData!L72),100*ABS($G72-(iData!L72-$I72)/$M72),0),IF(iData!L72&gt;tblIndicators!$AI68,100,IF(ISNUMBER(iData!L72),100*ABS($G72-(iData!L72-$I72)/$M72),0)),IF(iData!L72&lt;0,100,IF(ISNUMBER(iData!L72),100*ABS($G72-(iData!L72-$I72)/$M72),0)))</f>
        <v>100</v>
      </c>
      <c r="T72" s="123" cm="1">
        <f t="array" ref="T72">CHOOSE($H72,SUMPRODUCT($O73:$O$75*T73:T$75*($E73:$E$75=$D72)),IF(ISNUMBER(iData!M72),100*ABS($G72-(iData!M72-$K72)/$M72),0),IF(ISNUMBER(iData!M72),100*ABS($G72-(iData!M72-$I72)/$M72),0),IF(iData!M72&gt;tblIndicators!$AI68,100,IF(ISNUMBER(iData!M72),100*ABS($G72-(iData!M72-$I72)/$M72),0)),IF(iData!M72&lt;0,100,IF(ISNUMBER(iData!M72),100*ABS($G72-(iData!M72-$I72)/$M72),0)))</f>
        <v>50</v>
      </c>
      <c r="U72" s="123" cm="1">
        <f t="array" ref="U72">CHOOSE($H72,SUMPRODUCT($O73:$O$75*U73:U$75*($E73:$E$75=$D72)),IF(ISNUMBER(iData!N72),100*ABS($G72-(iData!N72-$K72)/$M72),0),IF(ISNUMBER(iData!N72),100*ABS($G72-(iData!N72-$I72)/$M72),0),IF(iData!N72&gt;tblIndicators!$AI68,100,IF(ISNUMBER(iData!N72),100*ABS($G72-(iData!N72-$I72)/$M72),0)),IF(iData!N72&lt;0,100,IF(ISNUMBER(iData!N72),100*ABS($G72-(iData!N72-$I72)/$M72),0)))</f>
        <v>83.333333333333343</v>
      </c>
      <c r="V72" s="123" cm="1">
        <f t="array" ref="V72">CHOOSE($H72,SUMPRODUCT($O73:$O$75*V73:V$75*($E73:$E$75=$D72)),IF(ISNUMBER(iData!O72),100*ABS($G72-(iData!O72-$K72)/$M72),0),IF(ISNUMBER(iData!O72),100*ABS($G72-(iData!O72-$I72)/$M72),0),IF(iData!O72&gt;tblIndicators!$AI68,100,IF(ISNUMBER(iData!O72),100*ABS($G72-(iData!O72-$I72)/$M72),0)),IF(iData!O72&lt;0,100,IF(ISNUMBER(iData!O72),100*ABS($G72-(iData!O72-$I72)/$M72),0)))</f>
        <v>50</v>
      </c>
      <c r="W72" s="123" cm="1">
        <f t="array" ref="W72">CHOOSE($H72,SUMPRODUCT($O73:$O$75*W73:W$75*($E73:$E$75=$D72)),IF(ISNUMBER(iData!P72),100*ABS($G72-(iData!P72-$K72)/$M72),0),IF(ISNUMBER(iData!P72),100*ABS($G72-(iData!P72-$I72)/$M72),0),IF(iData!P72&gt;tblIndicators!$AI68,100,IF(ISNUMBER(iData!P72),100*ABS($G72-(iData!P72-$I72)/$M72),0)),IF(iData!P72&lt;0,100,IF(ISNUMBER(iData!P72),100*ABS($G72-(iData!P72-$I72)/$M72),0)))</f>
        <v>50</v>
      </c>
      <c r="X72" s="123" cm="1">
        <f t="array" ref="X72">CHOOSE($H72,SUMPRODUCT($O73:$O$75*X73:X$75*($E73:$E$75=$D72)),IF(ISNUMBER(iData!Q72),100*ABS($G72-(iData!Q72-$K72)/$M72),0),IF(ISNUMBER(iData!Q72),100*ABS($G72-(iData!Q72-$I72)/$M72),0),IF(iData!Q72&gt;tblIndicators!$AI68,100,IF(ISNUMBER(iData!Q72),100*ABS($G72-(iData!Q72-$I72)/$M72),0)),IF(iData!Q72&lt;0,100,IF(ISNUMBER(iData!Q72),100*ABS($G72-(iData!Q72-$I72)/$M72),0)))</f>
        <v>50</v>
      </c>
      <c r="Y72" s="123" cm="1">
        <f t="array" ref="Y72">CHOOSE($H72,SUMPRODUCT($O73:$O$75*Y73:Y$75*($E73:$E$75=$D72)),IF(ISNUMBER(iData!R72),100*ABS($G72-(iData!R72-$K72)/$M72),0),IF(ISNUMBER(iData!R72),100*ABS($G72-(iData!R72-$I72)/$M72),0),IF(iData!R72&gt;tblIndicators!$AI68,100,IF(ISNUMBER(iData!R72),100*ABS($G72-(iData!R72-$I72)/$M72),0)),IF(iData!R72&lt;0,100,IF(ISNUMBER(iData!R72),100*ABS($G72-(iData!R72-$I72)/$M72),0)))</f>
        <v>66.666666666666657</v>
      </c>
      <c r="Z72" s="123" cm="1">
        <f t="array" ref="Z72">CHOOSE($H72,SUMPRODUCT($O73:$O$75*Z73:Z$75*($E73:$E$75=$D72)),IF(ISNUMBER(iData!S72),100*ABS($G72-(iData!S72-$K72)/$M72),0),IF(ISNUMBER(iData!S72),100*ABS($G72-(iData!S72-$I72)/$M72),0),IF(iData!S72&gt;tblIndicators!$AI68,100,IF(ISNUMBER(iData!S72),100*ABS($G72-(iData!S72-$I72)/$M72),0)),IF(iData!S72&lt;0,100,IF(ISNUMBER(iData!S72),100*ABS($G72-(iData!S72-$I72)/$M72),0)))</f>
        <v>50</v>
      </c>
      <c r="AA72" s="123" cm="1">
        <f t="array" ref="AA72">CHOOSE($H72,SUMPRODUCT($O73:$O$75*AA73:AA$75*($E73:$E$75=$D72)),IF(ISNUMBER(iData!T72),100*ABS($G72-(iData!T72-$K72)/$M72),0),IF(ISNUMBER(iData!T72),100*ABS($G72-(iData!T72-$I72)/$M72),0),IF(iData!T72&gt;tblIndicators!$AI68,100,IF(ISNUMBER(iData!T72),100*ABS($G72-(iData!T72-$I72)/$M72),0)),IF(iData!T72&lt;0,100,IF(ISNUMBER(iData!T72),100*ABS($G72-(iData!T72-$I72)/$M72),0)))</f>
        <v>16.666666666666664</v>
      </c>
      <c r="AB72" s="123" cm="1">
        <f t="array" ref="AB72">CHOOSE($H72,SUMPRODUCT($O73:$O$75*AB73:AB$75*($E73:$E$75=$D72)),IF(ISNUMBER(iData!U72),100*ABS($G72-(iData!U72-$K72)/$M72),0),IF(ISNUMBER(iData!U72),100*ABS($G72-(iData!U72-$I72)/$M72),0),IF(iData!U72&gt;tblIndicators!$AI68,100,IF(ISNUMBER(iData!U72),100*ABS($G72-(iData!U72-$I72)/$M72),0)),IF(iData!U72&lt;0,100,IF(ISNUMBER(iData!U72),100*ABS($G72-(iData!U72-$I72)/$M72),0)))</f>
        <v>50</v>
      </c>
      <c r="AC72" s="123" cm="1">
        <f t="array" ref="AC72">CHOOSE($H72,SUMPRODUCT($O73:$O$75*AC73:AC$75*($E73:$E$75=$D72)),IF(ISNUMBER(iData!V72),100*ABS($G72-(iData!V72-$K72)/$M72),0),IF(ISNUMBER(iData!V72),100*ABS($G72-(iData!V72-$I72)/$M72),0),IF(iData!V72&gt;tblIndicators!$AI68,100,IF(ISNUMBER(iData!V72),100*ABS($G72-(iData!V72-$I72)/$M72),0)),IF(iData!V72&lt;0,100,IF(ISNUMBER(iData!V72),100*ABS($G72-(iData!V72-$I72)/$M72),0)))</f>
        <v>66.666666666666657</v>
      </c>
      <c r="AD72" s="123" cm="1">
        <f t="array" ref="AD72">CHOOSE($H72,SUMPRODUCT($O73:$O$75*AD73:AD$75*($E73:$E$75=$D72)),IF(ISNUMBER(iData!W72),100*ABS($G72-(iData!W72-$K72)/$M72),0),IF(ISNUMBER(iData!W72),100*ABS($G72-(iData!W72-$I72)/$M72),0),IF(iData!W72&gt;tblIndicators!$AI68,100,IF(ISNUMBER(iData!W72),100*ABS($G72-(iData!W72-$I72)/$M72),0)),IF(iData!W72&lt;0,100,IF(ISNUMBER(iData!W72),100*ABS($G72-(iData!W72-$I72)/$M72),0)))</f>
        <v>16.666666666666664</v>
      </c>
      <c r="AE72" s="123" cm="1">
        <f t="array" ref="AE72">CHOOSE($H72,SUMPRODUCT($O73:$O$75*AE73:AE$75*($E73:$E$75=$D72)),IF(ISNUMBER(iData!X72),100*ABS($G72-(iData!X72-$K72)/$M72),0),IF(ISNUMBER(iData!X72),100*ABS($G72-(iData!X72-$I72)/$M72),0),IF(iData!X72&gt;tblIndicators!$AI68,100,IF(ISNUMBER(iData!X72),100*ABS($G72-(iData!X72-$I72)/$M72),0)),IF(iData!X72&lt;0,100,IF(ISNUMBER(iData!X72),100*ABS($G72-(iData!X72-$I72)/$M72),0)))</f>
        <v>50</v>
      </c>
      <c r="AF72" s="123" cm="1">
        <f t="array" ref="AF72">CHOOSE($H72,SUMPRODUCT($O73:$O$75*AF73:AF$75*($E73:$E$75=$D72)),IF(ISNUMBER(iData!Y72),100*ABS($G72-(iData!Y72-$K72)/$M72),0),IF(ISNUMBER(iData!Y72),100*ABS($G72-(iData!Y72-$I72)/$M72),0),IF(iData!Y72&gt;tblIndicators!$AI68,100,IF(ISNUMBER(iData!Y72),100*ABS($G72-(iData!Y72-$I72)/$M72),0)),IF(iData!Y72&lt;0,100,IF(ISNUMBER(iData!Y72),100*ABS($G72-(iData!Y72-$I72)/$M72),0)))</f>
        <v>83.333333333333343</v>
      </c>
      <c r="AG72" s="123" cm="1">
        <f t="array" ref="AG72">CHOOSE($H72,SUMPRODUCT($O73:$O$75*AG73:AG$75*($E73:$E$75=$D72)),IF(ISNUMBER(iData!Z72),100*ABS($G72-(iData!Z72-$K72)/$M72),0),IF(ISNUMBER(iData!Z72),100*ABS($G72-(iData!Z72-$I72)/$M72),0),IF(iData!Z72&gt;tblIndicators!$AI68,100,IF(ISNUMBER(iData!Z72),100*ABS($G72-(iData!Z72-$I72)/$M72),0)),IF(iData!Z72&lt;0,100,IF(ISNUMBER(iData!Z72),100*ABS($G72-(iData!Z72-$I72)/$M72),0)))</f>
        <v>66.666666666666657</v>
      </c>
      <c r="AH72" s="123" cm="1">
        <f t="array" ref="AH72">CHOOSE($H72,SUMPRODUCT($O73:$O$75*AH73:AH$75*($E73:$E$75=$D72)),IF(ISNUMBER(iData!AA72),100*ABS($G72-(iData!AA72-$K72)/$M72),0),IF(ISNUMBER(iData!AA72),100*ABS($G72-(iData!AA72-$I72)/$M72),0),IF(iData!AA72&gt;tblIndicators!$AI68,100,IF(ISNUMBER(iData!AA72),100*ABS($G72-(iData!AA72-$I72)/$M72),0)),IF(iData!AA72&lt;0,100,IF(ISNUMBER(iData!AA72),100*ABS($G72-(iData!AA72-$I72)/$M72),0)))</f>
        <v>50</v>
      </c>
      <c r="AI72" s="123" cm="1">
        <f t="array" ref="AI72">CHOOSE($H72,SUMPRODUCT($O73:$O$75*AI73:AI$75*($E73:$E$75=$D72)),IF(ISNUMBER(iData!AB72),100*ABS($G72-(iData!AB72-$K72)/$M72),0),IF(ISNUMBER(iData!AB72),100*ABS($G72-(iData!AB72-$I72)/$M72),0),IF(iData!AB72&gt;tblIndicators!$AI68,100,IF(ISNUMBER(iData!AB72),100*ABS($G72-(iData!AB72-$I72)/$M72),0)),IF(iData!AB72&lt;0,100,IF(ISNUMBER(iData!AB72),100*ABS($G72-(iData!AB72-$I72)/$M72),0)))</f>
        <v>50</v>
      </c>
      <c r="AJ72" s="123" cm="1">
        <f t="array" ref="AJ72">CHOOSE($H72,SUMPRODUCT($O73:$O$75*AJ73:AJ$75*($E73:$E$75=$D72)),IF(ISNUMBER(iData!AC72),100*ABS($G72-(iData!AC72-$K72)/$M72),0),IF(ISNUMBER(iData!AC72),100*ABS($G72-(iData!AC72-$I72)/$M72),0),IF(iData!AC72&gt;tblIndicators!$AI68,100,IF(ISNUMBER(iData!AC72),100*ABS($G72-(iData!AC72-$I72)/$M72),0)),IF(iData!AC72&lt;0,100,IF(ISNUMBER(iData!AC72),100*ABS($G72-(iData!AC72-$I72)/$M72),0)))</f>
        <v>33.333333333333329</v>
      </c>
      <c r="AK72" s="123" cm="1">
        <f t="array" ref="AK72">CHOOSE($H72,SUMPRODUCT($O73:$O$75*AK73:AK$75*($E73:$E$75=$D72)),IF(ISNUMBER(iData!AD72),100*ABS($G72-(iData!AD72-$K72)/$M72),0),IF(ISNUMBER(iData!AD72),100*ABS($G72-(iData!AD72-$I72)/$M72),0),IF(iData!AD72&gt;tblIndicators!$AI68,100,IF(ISNUMBER(iData!AD72),100*ABS($G72-(iData!AD72-$I72)/$M72),0)),IF(iData!AD72&lt;0,100,IF(ISNUMBER(iData!AD72),100*ABS($G72-(iData!AD72-$I72)/$M72),0)))</f>
        <v>66.666666666666657</v>
      </c>
      <c r="AL72" s="123" cm="1">
        <f t="array" ref="AL72">CHOOSE($H72,SUMPRODUCT($O73:$O$75*AL73:AL$75*($E73:$E$75=$D72)),IF(ISNUMBER(iData!AE72),100*ABS($G72-(iData!AE72-$K72)/$M72),0),IF(ISNUMBER(iData!AE72),100*ABS($G72-(iData!AE72-$I72)/$M72),0),IF(iData!AE72&gt;tblIndicators!$AI68,100,IF(ISNUMBER(iData!AE72),100*ABS($G72-(iData!AE72-$I72)/$M72),0)),IF(iData!AE72&lt;0,100,IF(ISNUMBER(iData!AE72),100*ABS($G72-(iData!AE72-$I72)/$M72),0)))</f>
        <v>50</v>
      </c>
      <c r="AM72" s="123" cm="1">
        <f t="array" ref="AM72">CHOOSE($H72,SUMPRODUCT($O73:$O$75*AM73:AM$75*($E73:$E$75=$D72)),IF(ISNUMBER(iData!AF72),100*ABS($G72-(iData!AF72-$K72)/$M72),0),IF(ISNUMBER(iData!AF72),100*ABS($G72-(iData!AF72-$I72)/$M72),0),IF(iData!AF72&gt;tblIndicators!$AI68,100,IF(ISNUMBER(iData!AF72),100*ABS($G72-(iData!AF72-$I72)/$M72),0)),IF(iData!AF72&lt;0,100,IF(ISNUMBER(iData!AF72),100*ABS($G72-(iData!AF72-$I72)/$M72),0)))</f>
        <v>66.666666666666657</v>
      </c>
      <c r="AN72" s="123" cm="1">
        <f t="array" ref="AN72">CHOOSE($H72,SUMPRODUCT($O73:$O$75*AN73:AN$75*($E73:$E$75=$D72)),IF(ISNUMBER(iData!AG72),100*ABS($G72-(iData!AG72-$K72)/$M72),0),IF(ISNUMBER(iData!AG72),100*ABS($G72-(iData!AG72-$I72)/$M72),0),IF(iData!AG72&gt;tblIndicators!$AI68,100,IF(ISNUMBER(iData!AG72),100*ABS($G72-(iData!AG72-$I72)/$M72),0)),IF(iData!AG72&lt;0,100,IF(ISNUMBER(iData!AG72),100*ABS($G72-(iData!AG72-$I72)/$M72),0)))</f>
        <v>50</v>
      </c>
      <c r="AO72" s="123" cm="1">
        <f t="array" ref="AO72">CHOOSE($H72,SUMPRODUCT($O73:$O$75*AO73:AO$75*($E73:$E$75=$D72)),IF(ISNUMBER(iData!AH72),100*ABS($G72-(iData!AH72-$K72)/$M72),0),IF(ISNUMBER(iData!AH72),100*ABS($G72-(iData!AH72-$I72)/$M72),0),IF(iData!AH72&gt;tblIndicators!$AI68,100,IF(ISNUMBER(iData!AH72),100*ABS($G72-(iData!AH72-$I72)/$M72),0)),IF(iData!AH72&lt;0,100,IF(ISNUMBER(iData!AH72),100*ABS($G72-(iData!AH72-$I72)/$M72),0)))</f>
        <v>83.333333333333343</v>
      </c>
      <c r="AP72" s="123" cm="1">
        <f t="array" ref="AP72">CHOOSE($H72,SUMPRODUCT($O73:$O$75*AP73:AP$75*($E73:$E$75=$D72)),IF(ISNUMBER(iData!AI72),100*ABS($G72-(iData!AI72-$K72)/$M72),0),IF(ISNUMBER(iData!AI72),100*ABS($G72-(iData!AI72-$I72)/$M72),0),IF(iData!AI72&gt;tblIndicators!$AI68,100,IF(ISNUMBER(iData!AI72),100*ABS($G72-(iData!AI72-$I72)/$M72),0)),IF(iData!AI72&lt;0,100,IF(ISNUMBER(iData!AI72),100*ABS($G72-(iData!AI72-$I72)/$M72),0)))</f>
        <v>66.666666666666657</v>
      </c>
      <c r="AQ72" s="123" cm="1">
        <f t="array" ref="AQ72">CHOOSE($H72,SUMPRODUCT($O73:$O$75*AQ73:AQ$75*($E73:$E$75=$D72)),IF(ISNUMBER(iData!AJ72),100*ABS($G72-(iData!AJ72-$K72)/$M72),0),IF(ISNUMBER(iData!AJ72),100*ABS($G72-(iData!AJ72-$I72)/$M72),0),IF(iData!AJ72&gt;tblIndicators!$AI68,100,IF(ISNUMBER(iData!AJ72),100*ABS($G72-(iData!AJ72-$I72)/$M72),0)),IF(iData!AJ72&lt;0,100,IF(ISNUMBER(iData!AJ72),100*ABS($G72-(iData!AJ72-$I72)/$M72),0)))</f>
        <v>66.666666666666657</v>
      </c>
      <c r="AR72" s="123" cm="1">
        <f t="array" ref="AR72">CHOOSE($H72,SUMPRODUCT($O73:$O$75*AR73:AR$75*($E73:$E$75=$D72)),IF(ISNUMBER(iData!AK72),100*ABS($G72-(iData!AK72-$K72)/$M72),0),IF(ISNUMBER(iData!AK72),100*ABS($G72-(iData!AK72-$I72)/$M72),0),IF(iData!AK72&gt;tblIndicators!$AI68,100,IF(ISNUMBER(iData!AK72),100*ABS($G72-(iData!AK72-$I72)/$M72),0)),IF(iData!AK72&lt;0,100,IF(ISNUMBER(iData!AK72),100*ABS($G72-(iData!AK72-$I72)/$M72),0)))</f>
        <v>50</v>
      </c>
      <c r="AS72" s="123" cm="1">
        <f t="array" ref="AS72">CHOOSE($H72,SUMPRODUCT($O73:$O$75*AS73:AS$75*($E73:$E$75=$D72)),IF(ISNUMBER(iData!AL72),100*ABS($G72-(iData!AL72-$K72)/$M72),0),IF(ISNUMBER(iData!AL72),100*ABS($G72-(iData!AL72-$I72)/$M72),0),IF(iData!AL72&gt;tblIndicators!$AI68,100,IF(ISNUMBER(iData!AL72),100*ABS($G72-(iData!AL72-$I72)/$M72),0)),IF(iData!AL72&lt;0,100,IF(ISNUMBER(iData!AL72),100*ABS($G72-(iData!AL72-$I72)/$M72),0)))</f>
        <v>66.666666666666657</v>
      </c>
      <c r="AT72" s="123" cm="1">
        <f t="array" ref="AT72">CHOOSE($H72,SUMPRODUCT($O73:$O$75*AT73:AT$75*($E73:$E$75=$D72)),IF(ISNUMBER(iData!AM72),100*ABS($G72-(iData!AM72-$K72)/$M72),0),IF(ISNUMBER(iData!AM72),100*ABS($G72-(iData!AM72-$I72)/$M72),0),IF(iData!AM72&gt;tblIndicators!$AI68,100,IF(ISNUMBER(iData!AM72),100*ABS($G72-(iData!AM72-$I72)/$M72),0)),IF(iData!AM72&lt;0,100,IF(ISNUMBER(iData!AM72),100*ABS($G72-(iData!AM72-$I72)/$M72),0)))</f>
        <v>66.666666666666657</v>
      </c>
      <c r="AU72" s="123" cm="1">
        <f t="array" ref="AU72">CHOOSE($H72,SUMPRODUCT($O73:$O$75*AU73:AU$75*($E73:$E$75=$D72)),IF(ISNUMBER(iData!AN72),100*ABS($G72-(iData!AN72-$K72)/$M72),0),IF(ISNUMBER(iData!AN72),100*ABS($G72-(iData!AN72-$I72)/$M72),0),IF(iData!AN72&gt;tblIndicators!$AI68,100,IF(ISNUMBER(iData!AN72),100*ABS($G72-(iData!AN72-$I72)/$M72),0)),IF(iData!AN72&lt;0,100,IF(ISNUMBER(iData!AN72),100*ABS($G72-(iData!AN72-$I72)/$M72),0)))</f>
        <v>66.666666666666657</v>
      </c>
      <c r="AV72" s="367"/>
      <c r="AW72" s="368"/>
      <c r="AX72" s="14"/>
      <c r="AY72" s="871">
        <f t="shared" si="40"/>
        <v>50</v>
      </c>
      <c r="AZ72" s="871">
        <f t="shared" si="41"/>
        <v>100</v>
      </c>
      <c r="BA72" s="871">
        <f t="shared" si="42"/>
        <v>50</v>
      </c>
      <c r="BB72" s="871">
        <f t="shared" si="43"/>
        <v>83.3</v>
      </c>
      <c r="BC72" s="871">
        <f t="shared" si="44"/>
        <v>50</v>
      </c>
      <c r="BD72" s="871">
        <f t="shared" si="45"/>
        <v>50</v>
      </c>
      <c r="BE72" s="871">
        <f t="shared" si="46"/>
        <v>50</v>
      </c>
      <c r="BF72" s="871">
        <f t="shared" si="47"/>
        <v>66.7</v>
      </c>
      <c r="BG72" s="871">
        <f t="shared" si="48"/>
        <v>50</v>
      </c>
      <c r="BH72" s="871">
        <f t="shared" si="49"/>
        <v>16.7</v>
      </c>
      <c r="BI72" s="871">
        <f t="shared" si="50"/>
        <v>50</v>
      </c>
      <c r="BJ72" s="871">
        <f t="shared" si="51"/>
        <v>66.7</v>
      </c>
      <c r="BK72" s="871">
        <f t="shared" si="52"/>
        <v>16.7</v>
      </c>
      <c r="BL72" s="871">
        <f t="shared" si="53"/>
        <v>50</v>
      </c>
      <c r="BM72" s="871">
        <f t="shared" si="54"/>
        <v>83.3</v>
      </c>
      <c r="BN72" s="871">
        <f t="shared" si="55"/>
        <v>66.7</v>
      </c>
      <c r="BO72" s="871">
        <f t="shared" si="56"/>
        <v>50</v>
      </c>
      <c r="BP72" s="871">
        <f t="shared" si="57"/>
        <v>50</v>
      </c>
      <c r="BQ72" s="871">
        <f t="shared" si="58"/>
        <v>33.299999999999997</v>
      </c>
      <c r="BR72" s="871">
        <f t="shared" si="59"/>
        <v>66.7</v>
      </c>
      <c r="BS72" s="871">
        <f t="shared" si="60"/>
        <v>50</v>
      </c>
      <c r="BT72" s="871">
        <f t="shared" si="61"/>
        <v>66.7</v>
      </c>
      <c r="BU72" s="871">
        <f t="shared" si="62"/>
        <v>50</v>
      </c>
      <c r="BV72" s="871">
        <f t="shared" si="63"/>
        <v>83.3</v>
      </c>
      <c r="BW72" s="871">
        <f t="shared" si="64"/>
        <v>66.7</v>
      </c>
      <c r="BX72" s="871">
        <f t="shared" si="65"/>
        <v>66.7</v>
      </c>
      <c r="BY72" s="871">
        <f t="shared" si="66"/>
        <v>50</v>
      </c>
      <c r="BZ72" s="871">
        <f t="shared" si="67"/>
        <v>66.7</v>
      </c>
      <c r="CA72" s="871">
        <f t="shared" si="68"/>
        <v>66.7</v>
      </c>
      <c r="CB72" s="871">
        <f t="shared" si="69"/>
        <v>66.7</v>
      </c>
      <c r="CD72" s="304">
        <f t="shared" ca="1" si="108"/>
        <v>57.8</v>
      </c>
      <c r="CE72" s="304">
        <f t="shared" ca="1" si="108"/>
        <v>57.8</v>
      </c>
      <c r="CF72" s="304">
        <f t="shared" ca="1" si="108"/>
        <v>57</v>
      </c>
      <c r="CG72" s="302">
        <f t="shared" ca="1" si="108"/>
        <v>63.3</v>
      </c>
      <c r="CH72" s="302">
        <f t="shared" ca="1" si="108"/>
        <v>50</v>
      </c>
      <c r="CI72" s="302">
        <f t="shared" ca="1" si="108"/>
        <v>16.7</v>
      </c>
      <c r="CJ72" s="302">
        <f t="shared" ca="1" si="108"/>
        <v>62.5</v>
      </c>
      <c r="CK72" s="302">
        <f t="shared" ca="1" si="108"/>
        <v>33.299999999999997</v>
      </c>
      <c r="CL72" s="302">
        <f t="shared" ca="1" si="108"/>
        <v>50</v>
      </c>
      <c r="CM72" s="302">
        <f t="shared" ca="1" si="108"/>
        <v>63.5</v>
      </c>
      <c r="CN72" s="302">
        <f t="shared" ca="1" si="172"/>
        <v>60.4</v>
      </c>
      <c r="CO72" s="302">
        <f t="shared" ca="1" si="172"/>
        <v>63</v>
      </c>
      <c r="CP72" s="302">
        <f t="shared" ca="1" si="172"/>
        <v>58.3</v>
      </c>
      <c r="CQ72" s="302">
        <f t="shared" ca="1" si="172"/>
        <v>50</v>
      </c>
    </row>
    <row r="73" spans="1:95" s="124" customFormat="1" ht="27.75" customHeight="1" thickBot="1">
      <c r="A73" s="118"/>
      <c r="B73" s="119">
        <f>tblIndicators!A69</f>
        <v>68</v>
      </c>
      <c r="C73" s="119">
        <f>tblIndicators!B69</f>
        <v>0</v>
      </c>
      <c r="D73" s="119" t="str">
        <f>tblIndicators!E69</f>
        <v>SUST4_4</v>
      </c>
      <c r="E73" s="119" t="str">
        <f>tblIndicators!F69</f>
        <v>SUST</v>
      </c>
      <c r="F73" s="119">
        <f>tblIndicators!G69</f>
        <v>2</v>
      </c>
      <c r="G73" s="119">
        <f>tblIndicators!AF69</f>
        <v>0</v>
      </c>
      <c r="H73" s="119">
        <f>tblIndicators!AG69</f>
        <v>1</v>
      </c>
      <c r="I73" s="120">
        <f>tblIndicators!AH69</f>
        <v>0</v>
      </c>
      <c r="J73" s="119">
        <f>tblIndicators!AI69</f>
        <v>0</v>
      </c>
      <c r="K73" s="119">
        <f t="array" ref="K73">MIN(IF(ISNUMBER(iData!K73:AN73),iData!K73:AN73))</f>
        <v>0</v>
      </c>
      <c r="L73" s="121">
        <f t="array" ref="L73">MAX(IF(ISNUMBER(iData!K73:AN73),iData!K73:AN73))</f>
        <v>0</v>
      </c>
      <c r="M73" s="51" t="str">
        <f t="shared" si="106"/>
        <v>-</v>
      </c>
      <c r="N73" s="122" t="str">
        <f>REPT(" ",F73)&amp;tblIndicators!AM69</f>
        <v xml:space="preserve">  4.4) Circular economy</v>
      </c>
      <c r="O73" s="381">
        <f>tblIndicators!AR69</f>
        <v>0.22222222222222221</v>
      </c>
      <c r="P73" s="381"/>
      <c r="Q73" s="323"/>
      <c r="R73" s="123" cm="1">
        <f t="array" ref="R73">CHOOSE($H73,SUMPRODUCT($O74:$O$75*R74:R$75*($E74:$E$75=$D73)),IF(ISNUMBER(iData!K73),100*ABS($G73-(iData!K73-$K73)/$M73),0),IF(ISNUMBER(iData!K73),100*ABS($G73-(iData!K73-$I73)/$M73),0),IF(iData!K73&gt;tblIndicators!$AI69,100,IF(ISNUMBER(iData!K73),100*ABS($G73-(iData!K73-$I73)/$M73),0)),IF(iData!K73&lt;0,100,IF(ISNUMBER(iData!K73),100*ABS($G73-(iData!K73-$I73)/$M73),0)))</f>
        <v>100</v>
      </c>
      <c r="S73" s="123" cm="1">
        <f t="array" ref="S73">CHOOSE($H73,SUMPRODUCT($O74:$O$75*S74:S$75*($E74:$E$75=$D73)),IF(ISNUMBER(iData!L73),100*ABS($G73-(iData!L73-$K73)/$M73),0),IF(ISNUMBER(iData!L73),100*ABS($G73-(iData!L73-$I73)/$M73),0),IF(iData!L73&gt;tblIndicators!$AI69,100,IF(ISNUMBER(iData!L73),100*ABS($G73-(iData!L73-$I73)/$M73),0)),IF(iData!L73&lt;0,100,IF(ISNUMBER(iData!L73),100*ABS($G73-(iData!L73-$I73)/$M73),0)))</f>
        <v>0</v>
      </c>
      <c r="T73" s="123" cm="1">
        <f t="array" ref="T73">CHOOSE($H73,SUMPRODUCT($O74:$O$75*T74:T$75*($E74:$E$75=$D73)),IF(ISNUMBER(iData!M73),100*ABS($G73-(iData!M73-$K73)/$M73),0),IF(ISNUMBER(iData!M73),100*ABS($G73-(iData!M73-$I73)/$M73),0),IF(iData!M73&gt;tblIndicators!$AI69,100,IF(ISNUMBER(iData!M73),100*ABS($G73-(iData!M73-$I73)/$M73),0)),IF(iData!M73&lt;0,100,IF(ISNUMBER(iData!M73),100*ABS($G73-(iData!M73-$I73)/$M73),0)))</f>
        <v>0</v>
      </c>
      <c r="U73" s="123" cm="1">
        <f t="array" ref="U73">CHOOSE($H73,SUMPRODUCT($O74:$O$75*U74:U$75*($E74:$E$75=$D73)),IF(ISNUMBER(iData!N73),100*ABS($G73-(iData!N73-$K73)/$M73),0),IF(ISNUMBER(iData!N73),100*ABS($G73-(iData!N73-$I73)/$M73),0),IF(iData!N73&gt;tblIndicators!$AI69,100,IF(ISNUMBER(iData!N73),100*ABS($G73-(iData!N73-$I73)/$M73),0)),IF(iData!N73&lt;0,100,IF(ISNUMBER(iData!N73),100*ABS($G73-(iData!N73-$I73)/$M73),0)))</f>
        <v>69.047619047619037</v>
      </c>
      <c r="V73" s="123" cm="1">
        <f t="array" ref="V73">CHOOSE($H73,SUMPRODUCT($O74:$O$75*V74:V$75*($E74:$E$75=$D73)),IF(ISNUMBER(iData!O73),100*ABS($G73-(iData!O73-$K73)/$M73),0),IF(ISNUMBER(iData!O73),100*ABS($G73-(iData!O73-$I73)/$M73),0),IF(iData!O73&gt;tblIndicators!$AI69,100,IF(ISNUMBER(iData!O73),100*ABS($G73-(iData!O73-$I73)/$M73),0)),IF(iData!O73&lt;0,100,IF(ISNUMBER(iData!O73),100*ABS($G73-(iData!O73-$I73)/$M73),0)))</f>
        <v>100</v>
      </c>
      <c r="W73" s="123" cm="1">
        <f t="array" ref="W73">CHOOSE($H73,SUMPRODUCT($O74:$O$75*W74:W$75*($E74:$E$75=$D73)),IF(ISNUMBER(iData!P73),100*ABS($G73-(iData!P73-$K73)/$M73),0),IF(ISNUMBER(iData!P73),100*ABS($G73-(iData!P73-$I73)/$M73),0),IF(iData!P73&gt;tblIndicators!$AI69,100,IF(ISNUMBER(iData!P73),100*ABS($G73-(iData!P73-$I73)/$M73),0)),IF(iData!P73&lt;0,100,IF(ISNUMBER(iData!P73),100*ABS($G73-(iData!P73-$I73)/$M73),0)))</f>
        <v>38.095238095238095</v>
      </c>
      <c r="X73" s="123" cm="1">
        <f t="array" ref="X73">CHOOSE($H73,SUMPRODUCT($O74:$O$75*X74:X$75*($E74:$E$75=$D73)),IF(ISNUMBER(iData!Q73),100*ABS($G73-(iData!Q73-$K73)/$M73),0),IF(ISNUMBER(iData!Q73),100*ABS($G73-(iData!Q73-$I73)/$M73),0),IF(iData!Q73&gt;tblIndicators!$AI69,100,IF(ISNUMBER(iData!Q73),100*ABS($G73-(iData!Q73-$I73)/$M73),0)),IF(iData!Q73&lt;0,100,IF(ISNUMBER(iData!Q73),100*ABS($G73-(iData!Q73-$I73)/$M73),0)))</f>
        <v>38.095238095238095</v>
      </c>
      <c r="Y73" s="123" cm="1">
        <f t="array" ref="Y73">CHOOSE($H73,SUMPRODUCT($O74:$O$75*Y74:Y$75*($E74:$E$75=$D73)),IF(ISNUMBER(iData!R73),100*ABS($G73-(iData!R73-$K73)/$M73),0),IF(ISNUMBER(iData!R73),100*ABS($G73-(iData!R73-$I73)/$M73),0),IF(iData!R73&gt;tblIndicators!$AI69,100,IF(ISNUMBER(iData!R73),100*ABS($G73-(iData!R73-$I73)/$M73),0)),IF(iData!R73&lt;0,100,IF(ISNUMBER(iData!R73),100*ABS($G73-(iData!R73-$I73)/$M73),0)))</f>
        <v>100</v>
      </c>
      <c r="Z73" s="123" cm="1">
        <f t="array" ref="Z73">CHOOSE($H73,SUMPRODUCT($O74:$O$75*Z74:Z$75*($E74:$E$75=$D73)),IF(ISNUMBER(iData!S73),100*ABS($G73-(iData!S73-$K73)/$M73),0),IF(ISNUMBER(iData!S73),100*ABS($G73-(iData!S73-$I73)/$M73),0),IF(iData!S73&gt;tblIndicators!$AI69,100,IF(ISNUMBER(iData!S73),100*ABS($G73-(iData!S73-$I73)/$M73),0)),IF(iData!S73&lt;0,100,IF(ISNUMBER(iData!S73),100*ABS($G73-(iData!S73-$I73)/$M73),0)))</f>
        <v>38.095238095238095</v>
      </c>
      <c r="AA73" s="123" cm="1">
        <f t="array" ref="AA73">CHOOSE($H73,SUMPRODUCT($O74:$O$75*AA74:AA$75*($E74:$E$75=$D73)),IF(ISNUMBER(iData!T73),100*ABS($G73-(iData!T73-$K73)/$M73),0),IF(ISNUMBER(iData!T73),100*ABS($G73-(iData!T73-$I73)/$M73),0),IF(iData!T73&gt;tblIndicators!$AI69,100,IF(ISNUMBER(iData!T73),100*ABS($G73-(iData!T73-$I73)/$M73),0)),IF(iData!T73&lt;0,100,IF(ISNUMBER(iData!T73),100*ABS($G73-(iData!T73-$I73)/$M73),0)))</f>
        <v>0</v>
      </c>
      <c r="AB73" s="123" cm="1">
        <f t="array" ref="AB73">CHOOSE($H73,SUMPRODUCT($O74:$O$75*AB74:AB$75*($E74:$E$75=$D73)),IF(ISNUMBER(iData!U73),100*ABS($G73-(iData!U73-$K73)/$M73),0),IF(ISNUMBER(iData!U73),100*ABS($G73-(iData!U73-$I73)/$M73),0),IF(iData!U73&gt;tblIndicators!$AI69,100,IF(ISNUMBER(iData!U73),100*ABS($G73-(iData!U73-$I73)/$M73),0)),IF(iData!U73&lt;0,100,IF(ISNUMBER(iData!U73),100*ABS($G73-(iData!U73-$I73)/$M73),0)))</f>
        <v>38.095238095238095</v>
      </c>
      <c r="AC73" s="123" cm="1">
        <f t="array" ref="AC73">CHOOSE($H73,SUMPRODUCT($O74:$O$75*AC74:AC$75*($E74:$E$75=$D73)),IF(ISNUMBER(iData!V73),100*ABS($G73-(iData!V73-$K73)/$M73),0),IF(ISNUMBER(iData!V73),100*ABS($G73-(iData!V73-$I73)/$M73),0),IF(iData!V73&gt;tblIndicators!$AI69,100,IF(ISNUMBER(iData!V73),100*ABS($G73-(iData!V73-$I73)/$M73),0)),IF(iData!V73&lt;0,100,IF(ISNUMBER(iData!V73),100*ABS($G73-(iData!V73-$I73)/$M73),0)))</f>
        <v>38.095238095238095</v>
      </c>
      <c r="AD73" s="123" cm="1">
        <f t="array" ref="AD73">CHOOSE($H73,SUMPRODUCT($O74:$O$75*AD74:AD$75*($E74:$E$75=$D73)),IF(ISNUMBER(iData!W73),100*ABS($G73-(iData!W73-$K73)/$M73),0),IF(ISNUMBER(iData!W73),100*ABS($G73-(iData!W73-$I73)/$M73),0),IF(iData!W73&gt;tblIndicators!$AI69,100,IF(ISNUMBER(iData!W73),100*ABS($G73-(iData!W73-$I73)/$M73),0)),IF(iData!W73&lt;0,100,IF(ISNUMBER(iData!W73),100*ABS($G73-(iData!W73-$I73)/$M73),0)))</f>
        <v>0</v>
      </c>
      <c r="AE73" s="123" cm="1">
        <f t="array" ref="AE73">CHOOSE($H73,SUMPRODUCT($O74:$O$75*AE74:AE$75*($E74:$E$75=$D73)),IF(ISNUMBER(iData!X73),100*ABS($G73-(iData!X73-$K73)/$M73),0),IF(ISNUMBER(iData!X73),100*ABS($G73-(iData!X73-$I73)/$M73),0),IF(iData!X73&gt;tblIndicators!$AI69,100,IF(ISNUMBER(iData!X73),100*ABS($G73-(iData!X73-$I73)/$M73),0)),IF(iData!X73&lt;0,100,IF(ISNUMBER(iData!X73),100*ABS($G73-(iData!X73-$I73)/$M73),0)))</f>
        <v>100</v>
      </c>
      <c r="AF73" s="123" cm="1">
        <f t="array" ref="AF73">CHOOSE($H73,SUMPRODUCT($O74:$O$75*AF74:AF$75*($E74:$E$75=$D73)),IF(ISNUMBER(iData!Y73),100*ABS($G73-(iData!Y73-$K73)/$M73),0),IF(ISNUMBER(iData!Y73),100*ABS($G73-(iData!Y73-$I73)/$M73),0),IF(iData!Y73&gt;tblIndicators!$AI69,100,IF(ISNUMBER(iData!Y73),100*ABS($G73-(iData!Y73-$I73)/$M73),0)),IF(iData!Y73&lt;0,100,IF(ISNUMBER(iData!Y73),100*ABS($G73-(iData!Y73-$I73)/$M73),0)))</f>
        <v>69.047619047619037</v>
      </c>
      <c r="AG73" s="123" cm="1">
        <f t="array" ref="AG73">CHOOSE($H73,SUMPRODUCT($O74:$O$75*AG74:AG$75*($E74:$E$75=$D73)),IF(ISNUMBER(iData!Z73),100*ABS($G73-(iData!Z73-$K73)/$M73),0),IF(ISNUMBER(iData!Z73),100*ABS($G73-(iData!Z73-$I73)/$M73),0),IF(iData!Z73&gt;tblIndicators!$AI69,100,IF(ISNUMBER(iData!Z73),100*ABS($G73-(iData!Z73-$I73)/$M73),0)),IF(iData!Z73&lt;0,100,IF(ISNUMBER(iData!Z73),100*ABS($G73-(iData!Z73-$I73)/$M73),0)))</f>
        <v>38.095238095238095</v>
      </c>
      <c r="AH73" s="123" cm="1">
        <f t="array" ref="AH73">CHOOSE($H73,SUMPRODUCT($O74:$O$75*AH74:AH$75*($E74:$E$75=$D73)),IF(ISNUMBER(iData!AA73),100*ABS($G73-(iData!AA73-$K73)/$M73),0),IF(ISNUMBER(iData!AA73),100*ABS($G73-(iData!AA73-$I73)/$M73),0),IF(iData!AA73&gt;tblIndicators!$AI69,100,IF(ISNUMBER(iData!AA73),100*ABS($G73-(iData!AA73-$I73)/$M73),0)),IF(iData!AA73&lt;0,100,IF(ISNUMBER(iData!AA73),100*ABS($G73-(iData!AA73-$I73)/$M73),0)))</f>
        <v>0</v>
      </c>
      <c r="AI73" s="123" cm="1">
        <f t="array" ref="AI73">CHOOSE($H73,SUMPRODUCT($O74:$O$75*AI74:AI$75*($E74:$E$75=$D73)),IF(ISNUMBER(iData!AB73),100*ABS($G73-(iData!AB73-$K73)/$M73),0),IF(ISNUMBER(iData!AB73),100*ABS($G73-(iData!AB73-$I73)/$M73),0),IF(iData!AB73&gt;tblIndicators!$AI69,100,IF(ISNUMBER(iData!AB73),100*ABS($G73-(iData!AB73-$I73)/$M73),0)),IF(iData!AB73&lt;0,100,IF(ISNUMBER(iData!AB73),100*ABS($G73-(iData!AB73-$I73)/$M73),0)))</f>
        <v>38.095238095238095</v>
      </c>
      <c r="AJ73" s="123" cm="1">
        <f t="array" ref="AJ73">CHOOSE($H73,SUMPRODUCT($O74:$O$75*AJ74:AJ$75*($E74:$E$75=$D73)),IF(ISNUMBER(iData!AC73),100*ABS($G73-(iData!AC73-$K73)/$M73),0),IF(ISNUMBER(iData!AC73),100*ABS($G73-(iData!AC73-$I73)/$M73),0),IF(iData!AC73&gt;tblIndicators!$AI69,100,IF(ISNUMBER(iData!AC73),100*ABS($G73-(iData!AC73-$I73)/$M73),0)),IF(iData!AC73&lt;0,100,IF(ISNUMBER(iData!AC73),100*ABS($G73-(iData!AC73-$I73)/$M73),0)))</f>
        <v>38.095238095238095</v>
      </c>
      <c r="AK73" s="123" cm="1">
        <f t="array" ref="AK73">CHOOSE($H73,SUMPRODUCT($O74:$O$75*AK74:AK$75*($E74:$E$75=$D73)),IF(ISNUMBER(iData!AD73),100*ABS($G73-(iData!AD73-$K73)/$M73),0),IF(ISNUMBER(iData!AD73),100*ABS($G73-(iData!AD73-$I73)/$M73),0),IF(iData!AD73&gt;tblIndicators!$AI69,100,IF(ISNUMBER(iData!AD73),100*ABS($G73-(iData!AD73-$I73)/$M73),0)),IF(iData!AD73&lt;0,100,IF(ISNUMBER(iData!AD73),100*ABS($G73-(iData!AD73-$I73)/$M73),0)))</f>
        <v>38.095238095238095</v>
      </c>
      <c r="AL73" s="123" cm="1">
        <f t="array" ref="AL73">CHOOSE($H73,SUMPRODUCT($O74:$O$75*AL74:AL$75*($E74:$E$75=$D73)),IF(ISNUMBER(iData!AE73),100*ABS($G73-(iData!AE73-$K73)/$M73),0),IF(ISNUMBER(iData!AE73),100*ABS($G73-(iData!AE73-$I73)/$M73),0),IF(iData!AE73&gt;tblIndicators!$AI69,100,IF(ISNUMBER(iData!AE73),100*ABS($G73-(iData!AE73-$I73)/$M73),0)),IF(iData!AE73&lt;0,100,IF(ISNUMBER(iData!AE73),100*ABS($G73-(iData!AE73-$I73)/$M73),0)))</f>
        <v>38.095238095238095</v>
      </c>
      <c r="AM73" s="123" cm="1">
        <f t="array" ref="AM73">CHOOSE($H73,SUMPRODUCT($O74:$O$75*AM74:AM$75*($E74:$E$75=$D73)),IF(ISNUMBER(iData!AF73),100*ABS($G73-(iData!AF73-$K73)/$M73),0),IF(ISNUMBER(iData!AF73),100*ABS($G73-(iData!AF73-$I73)/$M73),0),IF(iData!AF73&gt;tblIndicators!$AI69,100,IF(ISNUMBER(iData!AF73),100*ABS($G73-(iData!AF73-$I73)/$M73),0)),IF(iData!AF73&lt;0,100,IF(ISNUMBER(iData!AF73),100*ABS($G73-(iData!AF73-$I73)/$M73),0)))</f>
        <v>38.095238095238095</v>
      </c>
      <c r="AN73" s="123" cm="1">
        <f t="array" ref="AN73">CHOOSE($H73,SUMPRODUCT($O74:$O$75*AN74:AN$75*($E74:$E$75=$D73)),IF(ISNUMBER(iData!AG73),100*ABS($G73-(iData!AG73-$K73)/$M73),0),IF(ISNUMBER(iData!AG73),100*ABS($G73-(iData!AG73-$I73)/$M73),0),IF(iData!AG73&gt;tblIndicators!$AI69,100,IF(ISNUMBER(iData!AG73),100*ABS($G73-(iData!AG73-$I73)/$M73),0)),IF(iData!AG73&lt;0,100,IF(ISNUMBER(iData!AG73),100*ABS($G73-(iData!AG73-$I73)/$M73),0)))</f>
        <v>38.095238095238095</v>
      </c>
      <c r="AO73" s="123" cm="1">
        <f t="array" ref="AO73">CHOOSE($H73,SUMPRODUCT($O74:$O$75*AO74:AO$75*($E74:$E$75=$D73)),IF(ISNUMBER(iData!AH73),100*ABS($G73-(iData!AH73-$K73)/$M73),0),IF(ISNUMBER(iData!AH73),100*ABS($G73-(iData!AH73-$I73)/$M73),0),IF(iData!AH73&gt;tblIndicators!$AI69,100,IF(ISNUMBER(iData!AH73),100*ABS($G73-(iData!AH73-$I73)/$M73),0)),IF(iData!AH73&lt;0,100,IF(ISNUMBER(iData!AH73),100*ABS($G73-(iData!AH73-$I73)/$M73),0)))</f>
        <v>100</v>
      </c>
      <c r="AP73" s="123" cm="1">
        <f t="array" ref="AP73">CHOOSE($H73,SUMPRODUCT($O74:$O$75*AP74:AP$75*($E74:$E$75=$D73)),IF(ISNUMBER(iData!AI73),100*ABS($G73-(iData!AI73-$K73)/$M73),0),IF(ISNUMBER(iData!AI73),100*ABS($G73-(iData!AI73-$I73)/$M73),0),IF(iData!AI73&gt;tblIndicators!$AI69,100,IF(ISNUMBER(iData!AI73),100*ABS($G73-(iData!AI73-$I73)/$M73),0)),IF(iData!AI73&lt;0,100,IF(ISNUMBER(iData!AI73),100*ABS($G73-(iData!AI73-$I73)/$M73),0)))</f>
        <v>38.095238095238095</v>
      </c>
      <c r="AQ73" s="123" cm="1">
        <f t="array" ref="AQ73">CHOOSE($H73,SUMPRODUCT($O74:$O$75*AQ74:AQ$75*($E74:$E$75=$D73)),IF(ISNUMBER(iData!AJ73),100*ABS($G73-(iData!AJ73-$K73)/$M73),0),IF(ISNUMBER(iData!AJ73),100*ABS($G73-(iData!AJ73-$I73)/$M73),0),IF(iData!AJ73&gt;tblIndicators!$AI69,100,IF(ISNUMBER(iData!AJ73),100*ABS($G73-(iData!AJ73-$I73)/$M73),0)),IF(iData!AJ73&lt;0,100,IF(ISNUMBER(iData!AJ73),100*ABS($G73-(iData!AJ73-$I73)/$M73),0)))</f>
        <v>61.904761904761898</v>
      </c>
      <c r="AR73" s="123" cm="1">
        <f t="array" ref="AR73">CHOOSE($H73,SUMPRODUCT($O74:$O$75*AR74:AR$75*($E74:$E$75=$D73)),IF(ISNUMBER(iData!AK73),100*ABS($G73-(iData!AK73-$K73)/$M73),0),IF(ISNUMBER(iData!AK73),100*ABS($G73-(iData!AK73-$I73)/$M73),0),IF(iData!AK73&gt;tblIndicators!$AI69,100,IF(ISNUMBER(iData!AK73),100*ABS($G73-(iData!AK73-$I73)/$M73),0)),IF(iData!AK73&lt;0,100,IF(ISNUMBER(iData!AK73),100*ABS($G73-(iData!AK73-$I73)/$M73),0)))</f>
        <v>69.047619047619037</v>
      </c>
      <c r="AS73" s="123" cm="1">
        <f t="array" ref="AS73">CHOOSE($H73,SUMPRODUCT($O74:$O$75*AS74:AS$75*($E74:$E$75=$D73)),IF(ISNUMBER(iData!AL73),100*ABS($G73-(iData!AL73-$K73)/$M73),0),IF(ISNUMBER(iData!AL73),100*ABS($G73-(iData!AL73-$I73)/$M73),0),IF(iData!AL73&gt;tblIndicators!$AI69,100,IF(ISNUMBER(iData!AL73),100*ABS($G73-(iData!AL73-$I73)/$M73),0)),IF(iData!AL73&lt;0,100,IF(ISNUMBER(iData!AL73),100*ABS($G73-(iData!AL73-$I73)/$M73),0)))</f>
        <v>100</v>
      </c>
      <c r="AT73" s="123" cm="1">
        <f t="array" ref="AT73">CHOOSE($H73,SUMPRODUCT($O74:$O$75*AT74:AT$75*($E74:$E$75=$D73)),IF(ISNUMBER(iData!AM73),100*ABS($G73-(iData!AM73-$K73)/$M73),0),IF(ISNUMBER(iData!AM73),100*ABS($G73-(iData!AM73-$I73)/$M73),0),IF(iData!AM73&gt;tblIndicators!$AI69,100,IF(ISNUMBER(iData!AM73),100*ABS($G73-(iData!AM73-$I73)/$M73),0)),IF(iData!AM73&lt;0,100,IF(ISNUMBER(iData!AM73),100*ABS($G73-(iData!AM73-$I73)/$M73),0)))</f>
        <v>38.095238095238095</v>
      </c>
      <c r="AU73" s="123" cm="1">
        <f t="array" ref="AU73">CHOOSE($H73,SUMPRODUCT($O74:$O$75*AU74:AU$75*($E74:$E$75=$D73)),IF(ISNUMBER(iData!AN73),100*ABS($G73-(iData!AN73-$K73)/$M73),0),IF(ISNUMBER(iData!AN73),100*ABS($G73-(iData!AN73-$I73)/$M73),0),IF(iData!AN73&gt;tblIndicators!$AI69,100,IF(ISNUMBER(iData!AN73),100*ABS($G73-(iData!AN73-$I73)/$M73),0)),IF(iData!AN73&lt;0,100,IF(ISNUMBER(iData!AN73),100*ABS($G73-(iData!AN73-$I73)/$M73),0)))</f>
        <v>38.095238095238095</v>
      </c>
      <c r="AV73" s="367"/>
      <c r="AW73" s="368"/>
      <c r="AX73" s="14"/>
      <c r="AY73" s="871">
        <f t="shared" si="40"/>
        <v>100</v>
      </c>
      <c r="AZ73" s="871">
        <f t="shared" si="41"/>
        <v>0</v>
      </c>
      <c r="BA73" s="871">
        <f t="shared" si="42"/>
        <v>0</v>
      </c>
      <c r="BB73" s="871">
        <f t="shared" si="43"/>
        <v>69</v>
      </c>
      <c r="BC73" s="871">
        <f t="shared" si="44"/>
        <v>100</v>
      </c>
      <c r="BD73" s="871">
        <f t="shared" si="45"/>
        <v>38.1</v>
      </c>
      <c r="BE73" s="871">
        <f t="shared" si="46"/>
        <v>38.1</v>
      </c>
      <c r="BF73" s="871">
        <f t="shared" si="47"/>
        <v>100</v>
      </c>
      <c r="BG73" s="871">
        <f t="shared" si="48"/>
        <v>38.1</v>
      </c>
      <c r="BH73" s="871">
        <f t="shared" si="49"/>
        <v>0</v>
      </c>
      <c r="BI73" s="871">
        <f t="shared" si="50"/>
        <v>38.1</v>
      </c>
      <c r="BJ73" s="871">
        <f t="shared" si="51"/>
        <v>38.1</v>
      </c>
      <c r="BK73" s="871">
        <f t="shared" si="52"/>
        <v>0</v>
      </c>
      <c r="BL73" s="871">
        <f t="shared" si="53"/>
        <v>100</v>
      </c>
      <c r="BM73" s="871">
        <f t="shared" si="54"/>
        <v>69</v>
      </c>
      <c r="BN73" s="871">
        <f t="shared" si="55"/>
        <v>38.1</v>
      </c>
      <c r="BO73" s="871">
        <f t="shared" si="56"/>
        <v>0</v>
      </c>
      <c r="BP73" s="871">
        <f t="shared" si="57"/>
        <v>38.1</v>
      </c>
      <c r="BQ73" s="871">
        <f t="shared" si="58"/>
        <v>38.1</v>
      </c>
      <c r="BR73" s="871">
        <f t="shared" si="59"/>
        <v>38.1</v>
      </c>
      <c r="BS73" s="871">
        <f t="shared" si="60"/>
        <v>38.1</v>
      </c>
      <c r="BT73" s="871">
        <f t="shared" si="61"/>
        <v>38.1</v>
      </c>
      <c r="BU73" s="871">
        <f t="shared" si="62"/>
        <v>38.1</v>
      </c>
      <c r="BV73" s="871">
        <f t="shared" si="63"/>
        <v>100</v>
      </c>
      <c r="BW73" s="871">
        <f t="shared" si="64"/>
        <v>38.1</v>
      </c>
      <c r="BX73" s="871">
        <f t="shared" si="65"/>
        <v>61.9</v>
      </c>
      <c r="BY73" s="871">
        <f t="shared" si="66"/>
        <v>69</v>
      </c>
      <c r="BZ73" s="871">
        <f t="shared" si="67"/>
        <v>100</v>
      </c>
      <c r="CA73" s="871">
        <f t="shared" si="68"/>
        <v>38.1</v>
      </c>
      <c r="CB73" s="871">
        <f t="shared" si="69"/>
        <v>38.1</v>
      </c>
      <c r="CD73" s="304">
        <f t="shared" ca="1" si="108"/>
        <v>48</v>
      </c>
      <c r="CE73" s="304">
        <f t="shared" ca="1" si="108"/>
        <v>48</v>
      </c>
      <c r="CF73" s="304">
        <f ca="1">IFERROR(ROUND(SUMIF(OFFSET(tblGroups,CF$5-1,0,1,$CE$1),1,OFFSET(aScoresRounded,$B73-1,0,1,$CE$1))/SUM(OFFSET(tblGroups,CF$5-1,0,1,$CE$1)),$CF$1),"n/a")</f>
        <v>45.4</v>
      </c>
      <c r="CG73" s="302">
        <f t="shared" ca="1" si="108"/>
        <v>56.7</v>
      </c>
      <c r="CH73" s="302">
        <f t="shared" ca="1" si="108"/>
        <v>38.1</v>
      </c>
      <c r="CI73" s="302">
        <f t="shared" ca="1" si="108"/>
        <v>0</v>
      </c>
      <c r="CJ73" s="302">
        <f t="shared" ca="1" si="108"/>
        <v>53.6</v>
      </c>
      <c r="CK73" s="302">
        <f t="shared" ca="1" si="108"/>
        <v>12.7</v>
      </c>
      <c r="CL73" s="302">
        <f t="shared" ca="1" si="108"/>
        <v>52.4</v>
      </c>
      <c r="CM73" s="302">
        <f t="shared" ca="1" si="108"/>
        <v>51.8</v>
      </c>
      <c r="CN73" s="302">
        <f t="shared" ca="1" si="172"/>
        <v>47</v>
      </c>
      <c r="CO73" s="302">
        <f t="shared" ca="1" si="172"/>
        <v>55.3</v>
      </c>
      <c r="CP73" s="302">
        <f t="shared" ca="1" si="172"/>
        <v>26.8</v>
      </c>
      <c r="CQ73" s="302">
        <f t="shared" ca="1" si="172"/>
        <v>51.1</v>
      </c>
    </row>
    <row r="74" spans="1:95" s="124" customFormat="1" ht="27.75" customHeight="1" thickBot="1">
      <c r="A74" s="118"/>
      <c r="B74" s="119">
        <f>tblIndicators!A70</f>
        <v>69</v>
      </c>
      <c r="C74" s="119">
        <f>tblIndicators!B70</f>
        <v>0</v>
      </c>
      <c r="D74" s="119" t="str">
        <f>tblIndicators!E70</f>
        <v>SUST4_4_1</v>
      </c>
      <c r="E74" s="119" t="str">
        <f>tblIndicators!F70</f>
        <v>SUST4_4</v>
      </c>
      <c r="F74" s="119">
        <f>tblIndicators!G70</f>
        <v>3</v>
      </c>
      <c r="G74" s="119">
        <f>tblIndicators!AF70</f>
        <v>0</v>
      </c>
      <c r="H74" s="119">
        <f>tblIndicators!AG70</f>
        <v>3</v>
      </c>
      <c r="I74" s="120">
        <f>tblIndicators!AH70</f>
        <v>0</v>
      </c>
      <c r="J74" s="119">
        <f>tblIndicators!AI70</f>
        <v>2</v>
      </c>
      <c r="K74" s="119">
        <f t="array" ref="K74">MIN(IF(ISNUMBER(iData!K74:AN74),iData!K74:AN74))</f>
        <v>0</v>
      </c>
      <c r="L74" s="121">
        <f t="array" ref="L74">MAX(IF(ISNUMBER(iData!K74:AN74),iData!K74:AN74))</f>
        <v>2</v>
      </c>
      <c r="M74" s="51">
        <f t="shared" si="106"/>
        <v>2</v>
      </c>
      <c r="N74" s="122" t="str">
        <f>REPT(" ",F74)&amp;tblIndicators!AM70</f>
        <v xml:space="preserve">   4.4.1) Development of sharing economy </v>
      </c>
      <c r="O74" s="381">
        <f>tblIndicators!AR70</f>
        <v>0.61904761904761896</v>
      </c>
      <c r="P74" s="381"/>
      <c r="Q74" s="323"/>
      <c r="R74" s="123" cm="1">
        <f t="array" ref="R74">CHOOSE($H74,SUMPRODUCT($O75:$O$75*R75:R$75*($E75:$E$75=$D74)),IF(ISNUMBER(iData!K74),100*ABS($G74-(iData!K74-$K74)/$M74),0),IF(ISNUMBER(iData!K74),100*ABS($G74-(iData!K74-$I74)/$M74),0),IF(iData!K74&gt;tblIndicators!$AI70,100,IF(ISNUMBER(iData!K74),100*ABS($G74-(iData!K74-$I74)/$M74),0)),IF(iData!K74&lt;0,100,IF(ISNUMBER(iData!K74),100*ABS($G74-(iData!K74-$I74)/$M74),0)))</f>
        <v>100</v>
      </c>
      <c r="S74" s="123" cm="1">
        <f t="array" ref="S74">CHOOSE($H74,SUMPRODUCT($O75:$O$75*S75:S$75*($E75:$E$75=$D74)),IF(ISNUMBER(iData!L74),100*ABS($G74-(iData!L74-$K74)/$M74),0),IF(ISNUMBER(iData!L74),100*ABS($G74-(iData!L74-$I74)/$M74),0),IF(iData!L74&gt;tblIndicators!$AI70,100,IF(ISNUMBER(iData!L74),100*ABS($G74-(iData!L74-$I74)/$M74),0)),IF(iData!L74&lt;0,100,IF(ISNUMBER(iData!L74),100*ABS($G74-(iData!L74-$I74)/$M74),0)))</f>
        <v>0</v>
      </c>
      <c r="T74" s="123" cm="1">
        <f t="array" ref="T74">CHOOSE($H74,SUMPRODUCT($O75:$O$75*T75:T$75*($E75:$E$75=$D74)),IF(ISNUMBER(iData!M74),100*ABS($G74-(iData!M74-$K74)/$M74),0),IF(ISNUMBER(iData!M74),100*ABS($G74-(iData!M74-$I74)/$M74),0),IF(iData!M74&gt;tblIndicators!$AI70,100,IF(ISNUMBER(iData!M74),100*ABS($G74-(iData!M74-$I74)/$M74),0)),IF(iData!M74&lt;0,100,IF(ISNUMBER(iData!M74),100*ABS($G74-(iData!M74-$I74)/$M74),0)))</f>
        <v>0</v>
      </c>
      <c r="U74" s="123" cm="1">
        <f t="array" ref="U74">CHOOSE($H74,SUMPRODUCT($O75:$O$75*U75:U$75*($E75:$E$75=$D74)),IF(ISNUMBER(iData!N74),100*ABS($G74-(iData!N74-$K74)/$M74),0),IF(ISNUMBER(iData!N74),100*ABS($G74-(iData!N74-$I74)/$M74),0),IF(iData!N74&gt;tblIndicators!$AI70,100,IF(ISNUMBER(iData!N74),100*ABS($G74-(iData!N74-$I74)/$M74),0)),IF(iData!N74&lt;0,100,IF(ISNUMBER(iData!N74),100*ABS($G74-(iData!N74-$I74)/$M74),0)))</f>
        <v>50</v>
      </c>
      <c r="V74" s="123" cm="1">
        <f t="array" ref="V74">CHOOSE($H74,SUMPRODUCT($O75:$O$75*V75:V$75*($E75:$E$75=$D74)),IF(ISNUMBER(iData!O74),100*ABS($G74-(iData!O74-$K74)/$M74),0),IF(ISNUMBER(iData!O74),100*ABS($G74-(iData!O74-$I74)/$M74),0),IF(iData!O74&gt;tblIndicators!$AI70,100,IF(ISNUMBER(iData!O74),100*ABS($G74-(iData!O74-$I74)/$M74),0)),IF(iData!O74&lt;0,100,IF(ISNUMBER(iData!O74),100*ABS($G74-(iData!O74-$I74)/$M74),0)))</f>
        <v>100</v>
      </c>
      <c r="W74" s="123" cm="1">
        <f t="array" ref="W74">CHOOSE($H74,SUMPRODUCT($O75:$O$75*W75:W$75*($E75:$E$75=$D74)),IF(ISNUMBER(iData!P74),100*ABS($G74-(iData!P74-$K74)/$M74),0),IF(ISNUMBER(iData!P74),100*ABS($G74-(iData!P74-$I74)/$M74),0),IF(iData!P74&gt;tblIndicators!$AI70,100,IF(ISNUMBER(iData!P74),100*ABS($G74-(iData!P74-$I74)/$M74),0)),IF(iData!P74&lt;0,100,IF(ISNUMBER(iData!P74),100*ABS($G74-(iData!P74-$I74)/$M74),0)))</f>
        <v>0</v>
      </c>
      <c r="X74" s="123" cm="1">
        <f t="array" ref="X74">CHOOSE($H74,SUMPRODUCT($O75:$O$75*X75:X$75*($E75:$E$75=$D74)),IF(ISNUMBER(iData!Q74),100*ABS($G74-(iData!Q74-$K74)/$M74),0),IF(ISNUMBER(iData!Q74),100*ABS($G74-(iData!Q74-$I74)/$M74),0),IF(iData!Q74&gt;tblIndicators!$AI70,100,IF(ISNUMBER(iData!Q74),100*ABS($G74-(iData!Q74-$I74)/$M74),0)),IF(iData!Q74&lt;0,100,IF(ISNUMBER(iData!Q74),100*ABS($G74-(iData!Q74-$I74)/$M74),0)))</f>
        <v>0</v>
      </c>
      <c r="Y74" s="123" cm="1">
        <f t="array" ref="Y74">CHOOSE($H74,SUMPRODUCT($O75:$O$75*Y75:Y$75*($E75:$E$75=$D74)),IF(ISNUMBER(iData!R74),100*ABS($G74-(iData!R74-$K74)/$M74),0),IF(ISNUMBER(iData!R74),100*ABS($G74-(iData!R74-$I74)/$M74),0),IF(iData!R74&gt;tblIndicators!$AI70,100,IF(ISNUMBER(iData!R74),100*ABS($G74-(iData!R74-$I74)/$M74),0)),IF(iData!R74&lt;0,100,IF(ISNUMBER(iData!R74),100*ABS($G74-(iData!R74-$I74)/$M74),0)))</f>
        <v>100</v>
      </c>
      <c r="Z74" s="123" cm="1">
        <f t="array" ref="Z74">CHOOSE($H74,SUMPRODUCT($O75:$O$75*Z75:Z$75*($E75:$E$75=$D74)),IF(ISNUMBER(iData!S74),100*ABS($G74-(iData!S74-$K74)/$M74),0),IF(ISNUMBER(iData!S74),100*ABS($G74-(iData!S74-$I74)/$M74),0),IF(iData!S74&gt;tblIndicators!$AI70,100,IF(ISNUMBER(iData!S74),100*ABS($G74-(iData!S74-$I74)/$M74),0)),IF(iData!S74&lt;0,100,IF(ISNUMBER(iData!S74),100*ABS($G74-(iData!S74-$I74)/$M74),0)))</f>
        <v>0</v>
      </c>
      <c r="AA74" s="123" cm="1">
        <f t="array" ref="AA74">CHOOSE($H74,SUMPRODUCT($O75:$O$75*AA75:AA$75*($E75:$E$75=$D74)),IF(ISNUMBER(iData!T74),100*ABS($G74-(iData!T74-$K74)/$M74),0),IF(ISNUMBER(iData!T74),100*ABS($G74-(iData!T74-$I74)/$M74),0),IF(iData!T74&gt;tblIndicators!$AI70,100,IF(ISNUMBER(iData!T74),100*ABS($G74-(iData!T74-$I74)/$M74),0)),IF(iData!T74&lt;0,100,IF(ISNUMBER(iData!T74),100*ABS($G74-(iData!T74-$I74)/$M74),0)))</f>
        <v>0</v>
      </c>
      <c r="AB74" s="123" cm="1">
        <f t="array" ref="AB74">CHOOSE($H74,SUMPRODUCT($O75:$O$75*AB75:AB$75*($E75:$E$75=$D74)),IF(ISNUMBER(iData!U74),100*ABS($G74-(iData!U74-$K74)/$M74),0),IF(ISNUMBER(iData!U74),100*ABS($G74-(iData!U74-$I74)/$M74),0),IF(iData!U74&gt;tblIndicators!$AI70,100,IF(ISNUMBER(iData!U74),100*ABS($G74-(iData!U74-$I74)/$M74),0)),IF(iData!U74&lt;0,100,IF(ISNUMBER(iData!U74),100*ABS($G74-(iData!U74-$I74)/$M74),0)))</f>
        <v>0</v>
      </c>
      <c r="AC74" s="123" cm="1">
        <f t="array" ref="AC74">CHOOSE($H74,SUMPRODUCT($O75:$O$75*AC75:AC$75*($E75:$E$75=$D74)),IF(ISNUMBER(iData!V74),100*ABS($G74-(iData!V74-$K74)/$M74),0),IF(ISNUMBER(iData!V74),100*ABS($G74-(iData!V74-$I74)/$M74),0),IF(iData!V74&gt;tblIndicators!$AI70,100,IF(ISNUMBER(iData!V74),100*ABS($G74-(iData!V74-$I74)/$M74),0)),IF(iData!V74&lt;0,100,IF(ISNUMBER(iData!V74),100*ABS($G74-(iData!V74-$I74)/$M74),0)))</f>
        <v>0</v>
      </c>
      <c r="AD74" s="123" cm="1">
        <f t="array" ref="AD74">CHOOSE($H74,SUMPRODUCT($O75:$O$75*AD75:AD$75*($E75:$E$75=$D74)),IF(ISNUMBER(iData!W74),100*ABS($G74-(iData!W74-$K74)/$M74),0),IF(ISNUMBER(iData!W74),100*ABS($G74-(iData!W74-$I74)/$M74),0),IF(iData!W74&gt;tblIndicators!$AI70,100,IF(ISNUMBER(iData!W74),100*ABS($G74-(iData!W74-$I74)/$M74),0)),IF(iData!W74&lt;0,100,IF(ISNUMBER(iData!W74),100*ABS($G74-(iData!W74-$I74)/$M74),0)))</f>
        <v>0</v>
      </c>
      <c r="AE74" s="123" cm="1">
        <f t="array" ref="AE74">CHOOSE($H74,SUMPRODUCT($O75:$O$75*AE75:AE$75*($E75:$E$75=$D74)),IF(ISNUMBER(iData!X74),100*ABS($G74-(iData!X74-$K74)/$M74),0),IF(ISNUMBER(iData!X74),100*ABS($G74-(iData!X74-$I74)/$M74),0),IF(iData!X74&gt;tblIndicators!$AI70,100,IF(ISNUMBER(iData!X74),100*ABS($G74-(iData!X74-$I74)/$M74),0)),IF(iData!X74&lt;0,100,IF(ISNUMBER(iData!X74),100*ABS($G74-(iData!X74-$I74)/$M74),0)))</f>
        <v>100</v>
      </c>
      <c r="AF74" s="123" cm="1">
        <f t="array" ref="AF74">CHOOSE($H74,SUMPRODUCT($O75:$O$75*AF75:AF$75*($E75:$E$75=$D74)),IF(ISNUMBER(iData!Y74),100*ABS($G74-(iData!Y74-$K74)/$M74),0),IF(ISNUMBER(iData!Y74),100*ABS($G74-(iData!Y74-$I74)/$M74),0),IF(iData!Y74&gt;tblIndicators!$AI70,100,IF(ISNUMBER(iData!Y74),100*ABS($G74-(iData!Y74-$I74)/$M74),0)),IF(iData!Y74&lt;0,100,IF(ISNUMBER(iData!Y74),100*ABS($G74-(iData!Y74-$I74)/$M74),0)))</f>
        <v>50</v>
      </c>
      <c r="AG74" s="123" cm="1">
        <f t="array" ref="AG74">CHOOSE($H74,SUMPRODUCT($O75:$O$75*AG75:AG$75*($E75:$E$75=$D74)),IF(ISNUMBER(iData!Z74),100*ABS($G74-(iData!Z74-$K74)/$M74),0),IF(ISNUMBER(iData!Z74),100*ABS($G74-(iData!Z74-$I74)/$M74),0),IF(iData!Z74&gt;tblIndicators!$AI70,100,IF(ISNUMBER(iData!Z74),100*ABS($G74-(iData!Z74-$I74)/$M74),0)),IF(iData!Z74&lt;0,100,IF(ISNUMBER(iData!Z74),100*ABS($G74-(iData!Z74-$I74)/$M74),0)))</f>
        <v>0</v>
      </c>
      <c r="AH74" s="123" cm="1">
        <f t="array" ref="AH74">CHOOSE($H74,SUMPRODUCT($O75:$O$75*AH75:AH$75*($E75:$E$75=$D74)),IF(ISNUMBER(iData!AA74),100*ABS($G74-(iData!AA74-$K74)/$M74),0),IF(ISNUMBER(iData!AA74),100*ABS($G74-(iData!AA74-$I74)/$M74),0),IF(iData!AA74&gt;tblIndicators!$AI70,100,IF(ISNUMBER(iData!AA74),100*ABS($G74-(iData!AA74-$I74)/$M74),0)),IF(iData!AA74&lt;0,100,IF(ISNUMBER(iData!AA74),100*ABS($G74-(iData!AA74-$I74)/$M74),0)))</f>
        <v>0</v>
      </c>
      <c r="AI74" s="123" cm="1">
        <f t="array" ref="AI74">CHOOSE($H74,SUMPRODUCT($O75:$O$75*AI75:AI$75*($E75:$E$75=$D74)),IF(ISNUMBER(iData!AB74),100*ABS($G74-(iData!AB74-$K74)/$M74),0),IF(ISNUMBER(iData!AB74),100*ABS($G74-(iData!AB74-$I74)/$M74),0),IF(iData!AB74&gt;tblIndicators!$AI70,100,IF(ISNUMBER(iData!AB74),100*ABS($G74-(iData!AB74-$I74)/$M74),0)),IF(iData!AB74&lt;0,100,IF(ISNUMBER(iData!AB74),100*ABS($G74-(iData!AB74-$I74)/$M74),0)))</f>
        <v>0</v>
      </c>
      <c r="AJ74" s="123" cm="1">
        <f t="array" ref="AJ74">CHOOSE($H74,SUMPRODUCT($O75:$O$75*AJ75:AJ$75*($E75:$E$75=$D74)),IF(ISNUMBER(iData!AC74),100*ABS($G74-(iData!AC74-$K74)/$M74),0),IF(ISNUMBER(iData!AC74),100*ABS($G74-(iData!AC74-$I74)/$M74),0),IF(iData!AC74&gt;tblIndicators!$AI70,100,IF(ISNUMBER(iData!AC74),100*ABS($G74-(iData!AC74-$I74)/$M74),0)),IF(iData!AC74&lt;0,100,IF(ISNUMBER(iData!AC74),100*ABS($G74-(iData!AC74-$I74)/$M74),0)))</f>
        <v>0</v>
      </c>
      <c r="AK74" s="123" cm="1">
        <f t="array" ref="AK74">CHOOSE($H74,SUMPRODUCT($O75:$O$75*AK75:AK$75*($E75:$E$75=$D74)),IF(ISNUMBER(iData!AD74),100*ABS($G74-(iData!AD74-$K74)/$M74),0),IF(ISNUMBER(iData!AD74),100*ABS($G74-(iData!AD74-$I74)/$M74),0),IF(iData!AD74&gt;tblIndicators!$AI70,100,IF(ISNUMBER(iData!AD74),100*ABS($G74-(iData!AD74-$I74)/$M74),0)),IF(iData!AD74&lt;0,100,IF(ISNUMBER(iData!AD74),100*ABS($G74-(iData!AD74-$I74)/$M74),0)))</f>
        <v>0</v>
      </c>
      <c r="AL74" s="123" cm="1">
        <f t="array" ref="AL74">CHOOSE($H74,SUMPRODUCT($O75:$O$75*AL75:AL$75*($E75:$E$75=$D74)),IF(ISNUMBER(iData!AE74),100*ABS($G74-(iData!AE74-$K74)/$M74),0),IF(ISNUMBER(iData!AE74),100*ABS($G74-(iData!AE74-$I74)/$M74),0),IF(iData!AE74&gt;tblIndicators!$AI70,100,IF(ISNUMBER(iData!AE74),100*ABS($G74-(iData!AE74-$I74)/$M74),0)),IF(iData!AE74&lt;0,100,IF(ISNUMBER(iData!AE74),100*ABS($G74-(iData!AE74-$I74)/$M74),0)))</f>
        <v>0</v>
      </c>
      <c r="AM74" s="123" cm="1">
        <f t="array" ref="AM74">CHOOSE($H74,SUMPRODUCT($O75:$O$75*AM75:AM$75*($E75:$E$75=$D74)),IF(ISNUMBER(iData!AF74),100*ABS($G74-(iData!AF74-$K74)/$M74),0),IF(ISNUMBER(iData!AF74),100*ABS($G74-(iData!AF74-$I74)/$M74),0),IF(iData!AF74&gt;tblIndicators!$AI70,100,IF(ISNUMBER(iData!AF74),100*ABS($G74-(iData!AF74-$I74)/$M74),0)),IF(iData!AF74&lt;0,100,IF(ISNUMBER(iData!AF74),100*ABS($G74-(iData!AF74-$I74)/$M74),0)))</f>
        <v>0</v>
      </c>
      <c r="AN74" s="123" cm="1">
        <f t="array" ref="AN74">CHOOSE($H74,SUMPRODUCT($O75:$O$75*AN75:AN$75*($E75:$E$75=$D74)),IF(ISNUMBER(iData!AG74),100*ABS($G74-(iData!AG74-$K74)/$M74),0),IF(ISNUMBER(iData!AG74),100*ABS($G74-(iData!AG74-$I74)/$M74),0),IF(iData!AG74&gt;tblIndicators!$AI70,100,IF(ISNUMBER(iData!AG74),100*ABS($G74-(iData!AG74-$I74)/$M74),0)),IF(iData!AG74&lt;0,100,IF(ISNUMBER(iData!AG74),100*ABS($G74-(iData!AG74-$I74)/$M74),0)))</f>
        <v>0</v>
      </c>
      <c r="AO74" s="123" cm="1">
        <f t="array" ref="AO74">CHOOSE($H74,SUMPRODUCT($O75:$O$75*AO75:AO$75*($E75:$E$75=$D74)),IF(ISNUMBER(iData!AH74),100*ABS($G74-(iData!AH74-$K74)/$M74),0),IF(ISNUMBER(iData!AH74),100*ABS($G74-(iData!AH74-$I74)/$M74),0),IF(iData!AH74&gt;tblIndicators!$AI70,100,IF(ISNUMBER(iData!AH74),100*ABS($G74-(iData!AH74-$I74)/$M74),0)),IF(iData!AH74&lt;0,100,IF(ISNUMBER(iData!AH74),100*ABS($G74-(iData!AH74-$I74)/$M74),0)))</f>
        <v>100</v>
      </c>
      <c r="AP74" s="123" cm="1">
        <f t="array" ref="AP74">CHOOSE($H74,SUMPRODUCT($O75:$O$75*AP75:AP$75*($E75:$E$75=$D74)),IF(ISNUMBER(iData!AI74),100*ABS($G74-(iData!AI74-$K74)/$M74),0),IF(ISNUMBER(iData!AI74),100*ABS($G74-(iData!AI74-$I74)/$M74),0),IF(iData!AI74&gt;tblIndicators!$AI70,100,IF(ISNUMBER(iData!AI74),100*ABS($G74-(iData!AI74-$I74)/$M74),0)),IF(iData!AI74&lt;0,100,IF(ISNUMBER(iData!AI74),100*ABS($G74-(iData!AI74-$I74)/$M74),0)))</f>
        <v>0</v>
      </c>
      <c r="AQ74" s="123" cm="1">
        <f t="array" ref="AQ74">CHOOSE($H74,SUMPRODUCT($O75:$O$75*AQ75:AQ$75*($E75:$E$75=$D74)),IF(ISNUMBER(iData!AJ74),100*ABS($G74-(iData!AJ74-$K74)/$M74),0),IF(ISNUMBER(iData!AJ74),100*ABS($G74-(iData!AJ74-$I74)/$M74),0),IF(iData!AJ74&gt;tblIndicators!$AI70,100,IF(ISNUMBER(iData!AJ74),100*ABS($G74-(iData!AJ74-$I74)/$M74),0)),IF(iData!AJ74&lt;0,100,IF(ISNUMBER(iData!AJ74),100*ABS($G74-(iData!AJ74-$I74)/$M74),0)))</f>
        <v>100</v>
      </c>
      <c r="AR74" s="123" cm="1">
        <f t="array" ref="AR74">CHOOSE($H74,SUMPRODUCT($O75:$O$75*AR75:AR$75*($E75:$E$75=$D74)),IF(ISNUMBER(iData!AK74),100*ABS($G74-(iData!AK74-$K74)/$M74),0),IF(ISNUMBER(iData!AK74),100*ABS($G74-(iData!AK74-$I74)/$M74),0),IF(iData!AK74&gt;tblIndicators!$AI70,100,IF(ISNUMBER(iData!AK74),100*ABS($G74-(iData!AK74-$I74)/$M74),0)),IF(iData!AK74&lt;0,100,IF(ISNUMBER(iData!AK74),100*ABS($G74-(iData!AK74-$I74)/$M74),0)))</f>
        <v>50</v>
      </c>
      <c r="AS74" s="123" cm="1">
        <f t="array" ref="AS74">CHOOSE($H74,SUMPRODUCT($O75:$O$75*AS75:AS$75*($E75:$E$75=$D74)),IF(ISNUMBER(iData!AL74),100*ABS($G74-(iData!AL74-$K74)/$M74),0),IF(ISNUMBER(iData!AL74),100*ABS($G74-(iData!AL74-$I74)/$M74),0),IF(iData!AL74&gt;tblIndicators!$AI70,100,IF(ISNUMBER(iData!AL74),100*ABS($G74-(iData!AL74-$I74)/$M74),0)),IF(iData!AL74&lt;0,100,IF(ISNUMBER(iData!AL74),100*ABS($G74-(iData!AL74-$I74)/$M74),0)))</f>
        <v>100</v>
      </c>
      <c r="AT74" s="123" cm="1">
        <f t="array" ref="AT74">CHOOSE($H74,SUMPRODUCT($O75:$O$75*AT75:AT$75*($E75:$E$75=$D74)),IF(ISNUMBER(iData!AM74),100*ABS($G74-(iData!AM74-$K74)/$M74),0),IF(ISNUMBER(iData!AM74),100*ABS($G74-(iData!AM74-$I74)/$M74),0),IF(iData!AM74&gt;tblIndicators!$AI70,100,IF(ISNUMBER(iData!AM74),100*ABS($G74-(iData!AM74-$I74)/$M74),0)),IF(iData!AM74&lt;0,100,IF(ISNUMBER(iData!AM74),100*ABS($G74-(iData!AM74-$I74)/$M74),0)))</f>
        <v>0</v>
      </c>
      <c r="AU74" s="123" cm="1">
        <f t="array" ref="AU74">CHOOSE($H74,SUMPRODUCT($O75:$O$75*AU75:AU$75*($E75:$E$75=$D74)),IF(ISNUMBER(iData!AN74),100*ABS($G74-(iData!AN74-$K74)/$M74),0),IF(ISNUMBER(iData!AN74),100*ABS($G74-(iData!AN74-$I74)/$M74),0),IF(iData!AN74&gt;tblIndicators!$AI70,100,IF(ISNUMBER(iData!AN74),100*ABS($G74-(iData!AN74-$I74)/$M74),0)),IF(iData!AN74&lt;0,100,IF(ISNUMBER(iData!AN74),100*ABS($G74-(iData!AN74-$I74)/$M74),0)))</f>
        <v>0</v>
      </c>
      <c r="AV74" s="367"/>
      <c r="AW74" s="368"/>
      <c r="AX74" s="14"/>
      <c r="AY74" s="871">
        <f t="shared" si="40"/>
        <v>100</v>
      </c>
      <c r="AZ74" s="871">
        <f t="shared" si="41"/>
        <v>0</v>
      </c>
      <c r="BA74" s="871">
        <f t="shared" si="42"/>
        <v>0</v>
      </c>
      <c r="BB74" s="871">
        <f t="shared" si="43"/>
        <v>50</v>
      </c>
      <c r="BC74" s="871">
        <f t="shared" si="44"/>
        <v>100</v>
      </c>
      <c r="BD74" s="871">
        <f t="shared" si="45"/>
        <v>0</v>
      </c>
      <c r="BE74" s="871">
        <f t="shared" si="46"/>
        <v>0</v>
      </c>
      <c r="BF74" s="871">
        <f t="shared" si="47"/>
        <v>100</v>
      </c>
      <c r="BG74" s="871">
        <f t="shared" si="48"/>
        <v>0</v>
      </c>
      <c r="BH74" s="871">
        <f t="shared" si="49"/>
        <v>0</v>
      </c>
      <c r="BI74" s="871">
        <f t="shared" si="50"/>
        <v>0</v>
      </c>
      <c r="BJ74" s="871">
        <f t="shared" si="51"/>
        <v>0</v>
      </c>
      <c r="BK74" s="871">
        <f t="shared" si="52"/>
        <v>0</v>
      </c>
      <c r="BL74" s="871">
        <f t="shared" si="53"/>
        <v>100</v>
      </c>
      <c r="BM74" s="871">
        <f t="shared" si="54"/>
        <v>50</v>
      </c>
      <c r="BN74" s="871">
        <f t="shared" si="55"/>
        <v>0</v>
      </c>
      <c r="BO74" s="871">
        <f t="shared" si="56"/>
        <v>0</v>
      </c>
      <c r="BP74" s="871">
        <f t="shared" si="57"/>
        <v>0</v>
      </c>
      <c r="BQ74" s="871">
        <f t="shared" si="58"/>
        <v>0</v>
      </c>
      <c r="BR74" s="871">
        <f t="shared" si="59"/>
        <v>0</v>
      </c>
      <c r="BS74" s="871">
        <f t="shared" si="60"/>
        <v>0</v>
      </c>
      <c r="BT74" s="871">
        <f t="shared" si="61"/>
        <v>0</v>
      </c>
      <c r="BU74" s="871">
        <f t="shared" si="62"/>
        <v>0</v>
      </c>
      <c r="BV74" s="871">
        <f t="shared" si="63"/>
        <v>100</v>
      </c>
      <c r="BW74" s="871">
        <f t="shared" si="64"/>
        <v>0</v>
      </c>
      <c r="BX74" s="871">
        <f t="shared" si="65"/>
        <v>100</v>
      </c>
      <c r="BY74" s="871">
        <f t="shared" si="66"/>
        <v>50</v>
      </c>
      <c r="BZ74" s="871">
        <f t="shared" si="67"/>
        <v>100</v>
      </c>
      <c r="CA74" s="871">
        <f t="shared" si="68"/>
        <v>0</v>
      </c>
      <c r="CB74" s="871">
        <f t="shared" si="69"/>
        <v>0</v>
      </c>
      <c r="CD74" s="304">
        <f t="shared" ca="1" si="108"/>
        <v>28.3</v>
      </c>
      <c r="CE74" s="304">
        <f t="shared" ca="1" si="108"/>
        <v>28.3</v>
      </c>
      <c r="CF74" s="304">
        <f ca="1">IFERROR(ROUND(SUMIF(OFFSET(tblGroups,CF$5-1,0,1,$CE$1),1,OFFSET(aScoresRounded,$B74-1,0,1,$CE$1))/SUM(OFFSET(tblGroups,CF$5-1,0,1,$CE$1)),$CF$1),"n/a")</f>
        <v>37.5</v>
      </c>
      <c r="CG74" s="302">
        <f t="shared" ca="1" si="108"/>
        <v>30</v>
      </c>
      <c r="CH74" s="302">
        <f t="shared" ca="1" si="108"/>
        <v>0</v>
      </c>
      <c r="CI74" s="302">
        <f t="shared" ca="1" si="108"/>
        <v>0</v>
      </c>
      <c r="CJ74" s="302">
        <f ca="1">IFERROR(ROUND(SUMIF(OFFSET(tblGroups,CJ$5-1,0,1,$CE$1),1,OFFSET(aScoresRounded,$B74-1,0,1,$CE$1))/SUM(OFFSET(tblGroups,CJ$5-1,0,1,$CE$1)),$CF$1),"n/a")</f>
        <v>25</v>
      </c>
      <c r="CK74" s="302">
        <f t="shared" ca="1" si="108"/>
        <v>0</v>
      </c>
      <c r="CL74" s="302">
        <f t="shared" ca="1" si="108"/>
        <v>33.299999999999997</v>
      </c>
      <c r="CM74" s="302">
        <f t="shared" ca="1" si="108"/>
        <v>31</v>
      </c>
      <c r="CN74" s="302">
        <f t="shared" ca="1" si="172"/>
        <v>37.5</v>
      </c>
      <c r="CO74" s="302">
        <f t="shared" ca="1" si="172"/>
        <v>27.8</v>
      </c>
      <c r="CP74" s="302">
        <f t="shared" ca="1" si="172"/>
        <v>12.5</v>
      </c>
      <c r="CQ74" s="302">
        <f t="shared" ca="1" si="172"/>
        <v>27.8</v>
      </c>
    </row>
    <row r="75" spans="1:95" s="124" customFormat="1" ht="27.75" customHeight="1">
      <c r="A75" s="118"/>
      <c r="B75" s="119">
        <f>tblIndicators!A71</f>
        <v>70</v>
      </c>
      <c r="C75" s="119">
        <f>tblIndicators!B71</f>
        <v>0</v>
      </c>
      <c r="D75" s="119" t="str">
        <f>tblIndicators!E71</f>
        <v>SUST4_4_2</v>
      </c>
      <c r="E75" s="119" t="str">
        <f>tblIndicators!F71</f>
        <v>SUST4_4</v>
      </c>
      <c r="F75" s="119">
        <f>tblIndicators!G71</f>
        <v>3</v>
      </c>
      <c r="G75" s="119">
        <f>tblIndicators!AF71</f>
        <v>0</v>
      </c>
      <c r="H75" s="119">
        <f>tblIndicators!AG71</f>
        <v>3</v>
      </c>
      <c r="I75" s="120">
        <f>tblIndicators!AH71</f>
        <v>0</v>
      </c>
      <c r="J75" s="119">
        <f>tblIndicators!AI71</f>
        <v>1</v>
      </c>
      <c r="K75" s="119">
        <f t="array" ref="K75">MIN(IF(ISNUMBER(iData!K75:AN75),iData!K75:AN75))</f>
        <v>0</v>
      </c>
      <c r="L75" s="121">
        <f t="array" ref="L75">MAX(IF(ISNUMBER(iData!K75:AN75),iData!K75:AN75))</f>
        <v>1</v>
      </c>
      <c r="M75" s="51">
        <f t="shared" si="106"/>
        <v>1</v>
      </c>
      <c r="N75" s="122" t="str">
        <f>REPT(" ",F75)&amp;tblIndicators!AM71</f>
        <v xml:space="preserve">   4.4.2) E-waste management</v>
      </c>
      <c r="O75" s="381">
        <f>tblIndicators!AR71</f>
        <v>0.38095238095238093</v>
      </c>
      <c r="P75" s="381"/>
      <c r="Q75" s="323"/>
      <c r="R75" s="123" cm="1">
        <f t="array" ref="R75">CHOOSE($H75,SUMPRODUCT($O$75:$O76*R$75:R76*($E$75:$E76=$D75)),IF(ISNUMBER(iData!K75),100*ABS($G75-(iData!K75-$K75)/$M75),0),IF(ISNUMBER(iData!K75),100*ABS($G75-(iData!K75-$I75)/$M75),0),IF(iData!K75&gt;tblIndicators!$AI71,100,IF(ISNUMBER(iData!K75),100*ABS($G75-(iData!K75-$I75)/$M75),0)),IF(iData!K75&lt;0,100,IF(ISNUMBER(iData!K75),100*ABS($G75-(iData!K75-$I75)/$M75),0)))</f>
        <v>100</v>
      </c>
      <c r="S75" s="123" cm="1">
        <f t="array" ref="S75">CHOOSE($H75,SUMPRODUCT($O$75:$O76*S$75:S76*($E$75:$E76=$D75)),IF(ISNUMBER(iData!L75),100*ABS($G75-(iData!L75-$K75)/$M75),0),IF(ISNUMBER(iData!L75),100*ABS($G75-(iData!L75-$I75)/$M75),0),IF(iData!L75&gt;tblIndicators!$AI71,100,IF(ISNUMBER(iData!L75),100*ABS($G75-(iData!L75-$I75)/$M75),0)),IF(iData!L75&lt;0,100,IF(ISNUMBER(iData!L75),100*ABS($G75-(iData!L75-$I75)/$M75),0)))</f>
        <v>0</v>
      </c>
      <c r="T75" s="123" cm="1">
        <f t="array" ref="T75">CHOOSE($H75,SUMPRODUCT($O$75:$O76*T$75:T76*($E$75:$E76=$D75)),IF(ISNUMBER(iData!M75),100*ABS($G75-(iData!M75-$K75)/$M75),0),IF(ISNUMBER(iData!M75),100*ABS($G75-(iData!M75-$I75)/$M75),0),IF(iData!M75&gt;tblIndicators!$AI71,100,IF(ISNUMBER(iData!M75),100*ABS($G75-(iData!M75-$I75)/$M75),0)),IF(iData!M75&lt;0,100,IF(ISNUMBER(iData!M75),100*ABS($G75-(iData!M75-$I75)/$M75),0)))</f>
        <v>0</v>
      </c>
      <c r="U75" s="123" cm="1">
        <f t="array" ref="U75">CHOOSE($H75,SUMPRODUCT($O$75:$O76*U$75:U76*($E$75:$E76=$D75)),IF(ISNUMBER(iData!N75),100*ABS($G75-(iData!N75-$K75)/$M75),0),IF(ISNUMBER(iData!N75),100*ABS($G75-(iData!N75-$I75)/$M75),0),IF(iData!N75&gt;tblIndicators!$AI71,100,IF(ISNUMBER(iData!N75),100*ABS($G75-(iData!N75-$I75)/$M75),0)),IF(iData!N75&lt;0,100,IF(ISNUMBER(iData!N75),100*ABS($G75-(iData!N75-$I75)/$M75),0)))</f>
        <v>100</v>
      </c>
      <c r="V75" s="123" cm="1">
        <f t="array" ref="V75">CHOOSE($H75,SUMPRODUCT($O$75:$O76*V$75:V76*($E$75:$E76=$D75)),IF(ISNUMBER(iData!O75),100*ABS($G75-(iData!O75-$K75)/$M75),0),IF(ISNUMBER(iData!O75),100*ABS($G75-(iData!O75-$I75)/$M75),0),IF(iData!O75&gt;tblIndicators!$AI71,100,IF(ISNUMBER(iData!O75),100*ABS($G75-(iData!O75-$I75)/$M75),0)),IF(iData!O75&lt;0,100,IF(ISNUMBER(iData!O75),100*ABS($G75-(iData!O75-$I75)/$M75),0)))</f>
        <v>100</v>
      </c>
      <c r="W75" s="123" cm="1">
        <f t="array" ref="W75">CHOOSE($H75,SUMPRODUCT($O$75:$O76*W$75:W76*($E$75:$E76=$D75)),IF(ISNUMBER(iData!P75),100*ABS($G75-(iData!P75-$K75)/$M75),0),IF(ISNUMBER(iData!P75),100*ABS($G75-(iData!P75-$I75)/$M75),0),IF(iData!P75&gt;tblIndicators!$AI71,100,IF(ISNUMBER(iData!P75),100*ABS($G75-(iData!P75-$I75)/$M75),0)),IF(iData!P75&lt;0,100,IF(ISNUMBER(iData!P75),100*ABS($G75-(iData!P75-$I75)/$M75),0)))</f>
        <v>100</v>
      </c>
      <c r="X75" s="123" cm="1">
        <f t="array" ref="X75">CHOOSE($H75,SUMPRODUCT($O$75:$O76*X$75:X76*($E$75:$E76=$D75)),IF(ISNUMBER(iData!Q75),100*ABS($G75-(iData!Q75-$K75)/$M75),0),IF(ISNUMBER(iData!Q75),100*ABS($G75-(iData!Q75-$I75)/$M75),0),IF(iData!Q75&gt;tblIndicators!$AI71,100,IF(ISNUMBER(iData!Q75),100*ABS($G75-(iData!Q75-$I75)/$M75),0)),IF(iData!Q75&lt;0,100,IF(ISNUMBER(iData!Q75),100*ABS($G75-(iData!Q75-$I75)/$M75),0)))</f>
        <v>100</v>
      </c>
      <c r="Y75" s="123" cm="1">
        <f t="array" ref="Y75">CHOOSE($H75,SUMPRODUCT($O$75:$O76*Y$75:Y76*($E$75:$E76=$D75)),IF(ISNUMBER(iData!R75),100*ABS($G75-(iData!R75-$K75)/$M75),0),IF(ISNUMBER(iData!R75),100*ABS($G75-(iData!R75-$I75)/$M75),0),IF(iData!R75&gt;tblIndicators!$AI71,100,IF(ISNUMBER(iData!R75),100*ABS($G75-(iData!R75-$I75)/$M75),0)),IF(iData!R75&lt;0,100,IF(ISNUMBER(iData!R75),100*ABS($G75-(iData!R75-$I75)/$M75),0)))</f>
        <v>100</v>
      </c>
      <c r="Z75" s="123" cm="1">
        <f t="array" ref="Z75">CHOOSE($H75,SUMPRODUCT($O$75:$O76*Z$75:Z76*($E$75:$E76=$D75)),IF(ISNUMBER(iData!S75),100*ABS($G75-(iData!S75-$K75)/$M75),0),IF(ISNUMBER(iData!S75),100*ABS($G75-(iData!S75-$I75)/$M75),0),IF(iData!S75&gt;tblIndicators!$AI71,100,IF(ISNUMBER(iData!S75),100*ABS($G75-(iData!S75-$I75)/$M75),0)),IF(iData!S75&lt;0,100,IF(ISNUMBER(iData!S75),100*ABS($G75-(iData!S75-$I75)/$M75),0)))</f>
        <v>100</v>
      </c>
      <c r="AA75" s="123" cm="1">
        <f t="array" ref="AA75">CHOOSE($H75,SUMPRODUCT($O$75:$O76*AA$75:AA76*($E$75:$E76=$D75)),IF(ISNUMBER(iData!T75),100*ABS($G75-(iData!T75-$K75)/$M75),0),IF(ISNUMBER(iData!T75),100*ABS($G75-(iData!T75-$I75)/$M75),0),IF(iData!T75&gt;tblIndicators!$AI71,100,IF(ISNUMBER(iData!T75),100*ABS($G75-(iData!T75-$I75)/$M75),0)),IF(iData!T75&lt;0,100,IF(ISNUMBER(iData!T75),100*ABS($G75-(iData!T75-$I75)/$M75),0)))</f>
        <v>0</v>
      </c>
      <c r="AB75" s="123" cm="1">
        <f t="array" ref="AB75">CHOOSE($H75,SUMPRODUCT($O$75:$O76*AB$75:AB76*($E$75:$E76=$D75)),IF(ISNUMBER(iData!U75),100*ABS($G75-(iData!U75-$K75)/$M75),0),IF(ISNUMBER(iData!U75),100*ABS($G75-(iData!U75-$I75)/$M75),0),IF(iData!U75&gt;tblIndicators!$AI71,100,IF(ISNUMBER(iData!U75),100*ABS($G75-(iData!U75-$I75)/$M75),0)),IF(iData!U75&lt;0,100,IF(ISNUMBER(iData!U75),100*ABS($G75-(iData!U75-$I75)/$M75),0)))</f>
        <v>100</v>
      </c>
      <c r="AC75" s="123" cm="1">
        <f t="array" ref="AC75">CHOOSE($H75,SUMPRODUCT($O$75:$O76*AC$75:AC76*($E$75:$E76=$D75)),IF(ISNUMBER(iData!V75),100*ABS($G75-(iData!V75-$K75)/$M75),0),IF(ISNUMBER(iData!V75),100*ABS($G75-(iData!V75-$I75)/$M75),0),IF(iData!V75&gt;tblIndicators!$AI71,100,IF(ISNUMBER(iData!V75),100*ABS($G75-(iData!V75-$I75)/$M75),0)),IF(iData!V75&lt;0,100,IF(ISNUMBER(iData!V75),100*ABS($G75-(iData!V75-$I75)/$M75),0)))</f>
        <v>100</v>
      </c>
      <c r="AD75" s="123" cm="1">
        <f t="array" ref="AD75">CHOOSE($H75,SUMPRODUCT($O$75:$O76*AD$75:AD76*($E$75:$E76=$D75)),IF(ISNUMBER(iData!W75),100*ABS($G75-(iData!W75-$K75)/$M75),0),IF(ISNUMBER(iData!W75),100*ABS($G75-(iData!W75-$I75)/$M75),0),IF(iData!W75&gt;tblIndicators!$AI71,100,IF(ISNUMBER(iData!W75),100*ABS($G75-(iData!W75-$I75)/$M75),0)),IF(iData!W75&lt;0,100,IF(ISNUMBER(iData!W75),100*ABS($G75-(iData!W75-$I75)/$M75),0)))</f>
        <v>0</v>
      </c>
      <c r="AE75" s="123" cm="1">
        <f t="array" ref="AE75">CHOOSE($H75,SUMPRODUCT($O$75:$O76*AE$75:AE76*($E$75:$E76=$D75)),IF(ISNUMBER(iData!X75),100*ABS($G75-(iData!X75-$K75)/$M75),0),IF(ISNUMBER(iData!X75),100*ABS($G75-(iData!X75-$I75)/$M75),0),IF(iData!X75&gt;tblIndicators!$AI71,100,IF(ISNUMBER(iData!X75),100*ABS($G75-(iData!X75-$I75)/$M75),0)),IF(iData!X75&lt;0,100,IF(ISNUMBER(iData!X75),100*ABS($G75-(iData!X75-$I75)/$M75),0)))</f>
        <v>100</v>
      </c>
      <c r="AF75" s="123" cm="1">
        <f t="array" ref="AF75">CHOOSE($H75,SUMPRODUCT($O$75:$O76*AF$75:AF76*($E$75:$E76=$D75)),IF(ISNUMBER(iData!Y75),100*ABS($G75-(iData!Y75-$K75)/$M75),0),IF(ISNUMBER(iData!Y75),100*ABS($G75-(iData!Y75-$I75)/$M75),0),IF(iData!Y75&gt;tblIndicators!$AI71,100,IF(ISNUMBER(iData!Y75),100*ABS($G75-(iData!Y75-$I75)/$M75),0)),IF(iData!Y75&lt;0,100,IF(ISNUMBER(iData!Y75),100*ABS($G75-(iData!Y75-$I75)/$M75),0)))</f>
        <v>100</v>
      </c>
      <c r="AG75" s="123" cm="1">
        <f t="array" ref="AG75">CHOOSE($H75,SUMPRODUCT($O$75:$O76*AG$75:AG76*($E$75:$E76=$D75)),IF(ISNUMBER(iData!Z75),100*ABS($G75-(iData!Z75-$K75)/$M75),0),IF(ISNUMBER(iData!Z75),100*ABS($G75-(iData!Z75-$I75)/$M75),0),IF(iData!Z75&gt;tblIndicators!$AI71,100,IF(ISNUMBER(iData!Z75),100*ABS($G75-(iData!Z75-$I75)/$M75),0)),IF(iData!Z75&lt;0,100,IF(ISNUMBER(iData!Z75),100*ABS($G75-(iData!Z75-$I75)/$M75),0)))</f>
        <v>100</v>
      </c>
      <c r="AH75" s="123" cm="1">
        <f t="array" ref="AH75">CHOOSE($H75,SUMPRODUCT($O$75:$O76*AH$75:AH76*($E$75:$E76=$D75)),IF(ISNUMBER(iData!AA75),100*ABS($G75-(iData!AA75-$K75)/$M75),0),IF(ISNUMBER(iData!AA75),100*ABS($G75-(iData!AA75-$I75)/$M75),0),IF(iData!AA75&gt;tblIndicators!$AI71,100,IF(ISNUMBER(iData!AA75),100*ABS($G75-(iData!AA75-$I75)/$M75),0)),IF(iData!AA75&lt;0,100,IF(ISNUMBER(iData!AA75),100*ABS($G75-(iData!AA75-$I75)/$M75),0)))</f>
        <v>0</v>
      </c>
      <c r="AI75" s="123" cm="1">
        <f t="array" ref="AI75">CHOOSE($H75,SUMPRODUCT($O$75:$O76*AI$75:AI76*($E$75:$E76=$D75)),IF(ISNUMBER(iData!AB75),100*ABS($G75-(iData!AB75-$K75)/$M75),0),IF(ISNUMBER(iData!AB75),100*ABS($G75-(iData!AB75-$I75)/$M75),0),IF(iData!AB75&gt;tblIndicators!$AI71,100,IF(ISNUMBER(iData!AB75),100*ABS($G75-(iData!AB75-$I75)/$M75),0)),IF(iData!AB75&lt;0,100,IF(ISNUMBER(iData!AB75),100*ABS($G75-(iData!AB75-$I75)/$M75),0)))</f>
        <v>100</v>
      </c>
      <c r="AJ75" s="123" cm="1">
        <f t="array" ref="AJ75">CHOOSE($H75,SUMPRODUCT($O$75:$O76*AJ$75:AJ76*($E$75:$E76=$D75)),IF(ISNUMBER(iData!AC75),100*ABS($G75-(iData!AC75-$K75)/$M75),0),IF(ISNUMBER(iData!AC75),100*ABS($G75-(iData!AC75-$I75)/$M75),0),IF(iData!AC75&gt;tblIndicators!$AI71,100,IF(ISNUMBER(iData!AC75),100*ABS($G75-(iData!AC75-$I75)/$M75),0)),IF(iData!AC75&lt;0,100,IF(ISNUMBER(iData!AC75),100*ABS($G75-(iData!AC75-$I75)/$M75),0)))</f>
        <v>100</v>
      </c>
      <c r="AK75" s="123" cm="1">
        <f t="array" ref="AK75">CHOOSE($H75,SUMPRODUCT($O$75:$O76*AK$75:AK76*($E$75:$E76=$D75)),IF(ISNUMBER(iData!AD75),100*ABS($G75-(iData!AD75-$K75)/$M75),0),IF(ISNUMBER(iData!AD75),100*ABS($G75-(iData!AD75-$I75)/$M75),0),IF(iData!AD75&gt;tblIndicators!$AI71,100,IF(ISNUMBER(iData!AD75),100*ABS($G75-(iData!AD75-$I75)/$M75),0)),IF(iData!AD75&lt;0,100,IF(ISNUMBER(iData!AD75),100*ABS($G75-(iData!AD75-$I75)/$M75),0)))</f>
        <v>100</v>
      </c>
      <c r="AL75" s="123" cm="1">
        <f t="array" ref="AL75">CHOOSE($H75,SUMPRODUCT($O$75:$O76*AL$75:AL76*($E$75:$E76=$D75)),IF(ISNUMBER(iData!AE75),100*ABS($G75-(iData!AE75-$K75)/$M75),0),IF(ISNUMBER(iData!AE75),100*ABS($G75-(iData!AE75-$I75)/$M75),0),IF(iData!AE75&gt;tblIndicators!$AI71,100,IF(ISNUMBER(iData!AE75),100*ABS($G75-(iData!AE75-$I75)/$M75),0)),IF(iData!AE75&lt;0,100,IF(ISNUMBER(iData!AE75),100*ABS($G75-(iData!AE75-$I75)/$M75),0)))</f>
        <v>100</v>
      </c>
      <c r="AM75" s="123" cm="1">
        <f t="array" ref="AM75">CHOOSE($H75,SUMPRODUCT($O$75:$O76*AM$75:AM76*($E$75:$E76=$D75)),IF(ISNUMBER(iData!AF75),100*ABS($G75-(iData!AF75-$K75)/$M75),0),IF(ISNUMBER(iData!AF75),100*ABS($G75-(iData!AF75-$I75)/$M75),0),IF(iData!AF75&gt;tblIndicators!$AI71,100,IF(ISNUMBER(iData!AF75),100*ABS($G75-(iData!AF75-$I75)/$M75),0)),IF(iData!AF75&lt;0,100,IF(ISNUMBER(iData!AF75),100*ABS($G75-(iData!AF75-$I75)/$M75),0)))</f>
        <v>100</v>
      </c>
      <c r="AN75" s="123" cm="1">
        <f t="array" ref="AN75">CHOOSE($H75,SUMPRODUCT($O$75:$O76*AN$75:AN76*($E$75:$E76=$D75)),IF(ISNUMBER(iData!AG75),100*ABS($G75-(iData!AG75-$K75)/$M75),0),IF(ISNUMBER(iData!AG75),100*ABS($G75-(iData!AG75-$I75)/$M75),0),IF(iData!AG75&gt;tblIndicators!$AI71,100,IF(ISNUMBER(iData!AG75),100*ABS($G75-(iData!AG75-$I75)/$M75),0)),IF(iData!AG75&lt;0,100,IF(ISNUMBER(iData!AG75),100*ABS($G75-(iData!AG75-$I75)/$M75),0)))</f>
        <v>100</v>
      </c>
      <c r="AO75" s="123" cm="1">
        <f t="array" ref="AO75">CHOOSE($H75,SUMPRODUCT($O$75:$O76*AO$75:AO76*($E$75:$E76=$D75)),IF(ISNUMBER(iData!AH75),100*ABS($G75-(iData!AH75-$K75)/$M75),0),IF(ISNUMBER(iData!AH75),100*ABS($G75-(iData!AH75-$I75)/$M75),0),IF(iData!AH75&gt;tblIndicators!$AI71,100,IF(ISNUMBER(iData!AH75),100*ABS($G75-(iData!AH75-$I75)/$M75),0)),IF(iData!AH75&lt;0,100,IF(ISNUMBER(iData!AH75),100*ABS($G75-(iData!AH75-$I75)/$M75),0)))</f>
        <v>100</v>
      </c>
      <c r="AP75" s="123" cm="1">
        <f t="array" ref="AP75">CHOOSE($H75,SUMPRODUCT($O$75:$O76*AP$75:AP76*($E$75:$E76=$D75)),IF(ISNUMBER(iData!AI75),100*ABS($G75-(iData!AI75-$K75)/$M75),0),IF(ISNUMBER(iData!AI75),100*ABS($G75-(iData!AI75-$I75)/$M75),0),IF(iData!AI75&gt;tblIndicators!$AI71,100,IF(ISNUMBER(iData!AI75),100*ABS($G75-(iData!AI75-$I75)/$M75),0)),IF(iData!AI75&lt;0,100,IF(ISNUMBER(iData!AI75),100*ABS($G75-(iData!AI75-$I75)/$M75),0)))</f>
        <v>100</v>
      </c>
      <c r="AQ75" s="123" cm="1">
        <f t="array" ref="AQ75">CHOOSE($H75,SUMPRODUCT($O$75:$O76*AQ$75:AQ76*($E$75:$E76=$D75)),IF(ISNUMBER(iData!AJ75),100*ABS($G75-(iData!AJ75-$K75)/$M75),0),IF(ISNUMBER(iData!AJ75),100*ABS($G75-(iData!AJ75-$I75)/$M75),0),IF(iData!AJ75&gt;tblIndicators!$AI71,100,IF(ISNUMBER(iData!AJ75),100*ABS($G75-(iData!AJ75-$I75)/$M75),0)),IF(iData!AJ75&lt;0,100,IF(ISNUMBER(iData!AJ75),100*ABS($G75-(iData!AJ75-$I75)/$M75),0)))</f>
        <v>0</v>
      </c>
      <c r="AR75" s="123" cm="1">
        <f t="array" ref="AR75">CHOOSE($H75,SUMPRODUCT($O$75:$O76*AR$75:AR76*($E$75:$E76=$D75)),IF(ISNUMBER(iData!AK75),100*ABS($G75-(iData!AK75-$K75)/$M75),0),IF(ISNUMBER(iData!AK75),100*ABS($G75-(iData!AK75-$I75)/$M75),0),IF(iData!AK75&gt;tblIndicators!$AI71,100,IF(ISNUMBER(iData!AK75),100*ABS($G75-(iData!AK75-$I75)/$M75),0)),IF(iData!AK75&lt;0,100,IF(ISNUMBER(iData!AK75),100*ABS($G75-(iData!AK75-$I75)/$M75),0)))</f>
        <v>100</v>
      </c>
      <c r="AS75" s="123" cm="1">
        <f t="array" ref="AS75">CHOOSE($H75,SUMPRODUCT($O$75:$O76*AS$75:AS76*($E$75:$E76=$D75)),IF(ISNUMBER(iData!AL75),100*ABS($G75-(iData!AL75-$K75)/$M75),0),IF(ISNUMBER(iData!AL75),100*ABS($G75-(iData!AL75-$I75)/$M75),0),IF(iData!AL75&gt;tblIndicators!$AI71,100,IF(ISNUMBER(iData!AL75),100*ABS($G75-(iData!AL75-$I75)/$M75),0)),IF(iData!AL75&lt;0,100,IF(ISNUMBER(iData!AL75),100*ABS($G75-(iData!AL75-$I75)/$M75),0)))</f>
        <v>100</v>
      </c>
      <c r="AT75" s="123" cm="1">
        <f t="array" ref="AT75">CHOOSE($H75,SUMPRODUCT($O$75:$O76*AT$75:AT76*($E$75:$E76=$D75)),IF(ISNUMBER(iData!AM75),100*ABS($G75-(iData!AM75-$K75)/$M75),0),IF(ISNUMBER(iData!AM75),100*ABS($G75-(iData!AM75-$I75)/$M75),0),IF(iData!AM75&gt;tblIndicators!$AI71,100,IF(ISNUMBER(iData!AM75),100*ABS($G75-(iData!AM75-$I75)/$M75),0)),IF(iData!AM75&lt;0,100,IF(ISNUMBER(iData!AM75),100*ABS($G75-(iData!AM75-$I75)/$M75),0)))</f>
        <v>100</v>
      </c>
      <c r="AU75" s="123" cm="1">
        <f t="array" ref="AU75">CHOOSE($H75,SUMPRODUCT($O$75:$O76*AU$75:AU76*($E$75:$E76=$D75)),IF(ISNUMBER(iData!AN75),100*ABS($G75-(iData!AN75-$K75)/$M75),0),IF(ISNUMBER(iData!AN75),100*ABS($G75-(iData!AN75-$I75)/$M75),0),IF(iData!AN75&gt;tblIndicators!$AI71,100,IF(ISNUMBER(iData!AN75),100*ABS($G75-(iData!AN75-$I75)/$M75),0)),IF(iData!AN75&lt;0,100,IF(ISNUMBER(iData!AN75),100*ABS($G75-(iData!AN75-$I75)/$M75),0)))</f>
        <v>100</v>
      </c>
      <c r="AV75" s="367"/>
      <c r="AW75" s="368"/>
      <c r="AX75" s="14"/>
      <c r="AY75" s="871">
        <f t="shared" ref="AY75" si="173">ROUND(R75,$AY$2)</f>
        <v>100</v>
      </c>
      <c r="AZ75" s="871">
        <f t="shared" ref="AZ75" si="174">ROUND(S75,$AY$2)</f>
        <v>0</v>
      </c>
      <c r="BA75" s="871">
        <f t="shared" ref="BA75" si="175">ROUND(T75,$AY$2)</f>
        <v>0</v>
      </c>
      <c r="BB75" s="871">
        <f t="shared" ref="BB75" si="176">ROUND(U75,$AY$2)</f>
        <v>100</v>
      </c>
      <c r="BC75" s="871">
        <f t="shared" ref="BC75" si="177">ROUND(V75,$AY$2)</f>
        <v>100</v>
      </c>
      <c r="BD75" s="871">
        <f t="shared" ref="BD75" si="178">ROUND(W75,$AY$2)</f>
        <v>100</v>
      </c>
      <c r="BE75" s="871">
        <f t="shared" ref="BE75" si="179">ROUND(X75,$AY$2)</f>
        <v>100</v>
      </c>
      <c r="BF75" s="871">
        <f t="shared" ref="BF75" si="180">ROUND(Y75,$AY$2)</f>
        <v>100</v>
      </c>
      <c r="BG75" s="871">
        <f t="shared" ref="BG75" si="181">ROUND(Z75,$AY$2)</f>
        <v>100</v>
      </c>
      <c r="BH75" s="871">
        <f t="shared" ref="BH75" si="182">ROUND(AA75,$AY$2)</f>
        <v>0</v>
      </c>
      <c r="BI75" s="871">
        <f t="shared" ref="BI75" si="183">ROUND(AB75,$AY$2)</f>
        <v>100</v>
      </c>
      <c r="BJ75" s="871">
        <f t="shared" ref="BJ75" si="184">ROUND(AC75,$AY$2)</f>
        <v>100</v>
      </c>
      <c r="BK75" s="871">
        <f t="shared" ref="BK75" si="185">ROUND(AD75,$AY$2)</f>
        <v>0</v>
      </c>
      <c r="BL75" s="871">
        <f t="shared" ref="BL75" si="186">ROUND(AE75,$AY$2)</f>
        <v>100</v>
      </c>
      <c r="BM75" s="871">
        <f t="shared" ref="BM75" si="187">ROUND(AF75,$AY$2)</f>
        <v>100</v>
      </c>
      <c r="BN75" s="871">
        <f t="shared" ref="BN75" si="188">ROUND(AG75,$AY$2)</f>
        <v>100</v>
      </c>
      <c r="BO75" s="871">
        <f t="shared" ref="BO75" si="189">ROUND(AH75,$AY$2)</f>
        <v>0</v>
      </c>
      <c r="BP75" s="871">
        <f t="shared" ref="BP75" si="190">ROUND(AI75,$AY$2)</f>
        <v>100</v>
      </c>
      <c r="BQ75" s="871">
        <f t="shared" ref="BQ75" si="191">ROUND(AJ75,$AY$2)</f>
        <v>100</v>
      </c>
      <c r="BR75" s="871">
        <f t="shared" ref="BR75" si="192">ROUND(AK75,$AY$2)</f>
        <v>100</v>
      </c>
      <c r="BS75" s="871">
        <f t="shared" ref="BS75" si="193">ROUND(AL75,$AY$2)</f>
        <v>100</v>
      </c>
      <c r="BT75" s="871">
        <f t="shared" ref="BT75" si="194">ROUND(AM75,$AY$2)</f>
        <v>100</v>
      </c>
      <c r="BU75" s="871">
        <f t="shared" ref="BU75" si="195">ROUND(AN75,$AY$2)</f>
        <v>100</v>
      </c>
      <c r="BV75" s="871">
        <f t="shared" ref="BV75" si="196">ROUND(AO75,$AY$2)</f>
        <v>100</v>
      </c>
      <c r="BW75" s="871">
        <f t="shared" ref="BW75" si="197">ROUND(AP75,$AY$2)</f>
        <v>100</v>
      </c>
      <c r="BX75" s="871">
        <f t="shared" ref="BX75" si="198">ROUND(AQ75,$AY$2)</f>
        <v>0</v>
      </c>
      <c r="BY75" s="871">
        <f t="shared" ref="BY75" si="199">ROUND(AR75,$AY$2)</f>
        <v>100</v>
      </c>
      <c r="BZ75" s="871">
        <f t="shared" ref="BZ75" si="200">ROUND(AS75,$AY$2)</f>
        <v>100</v>
      </c>
      <c r="CA75" s="871">
        <f t="shared" ref="CA75" si="201">ROUND(AT75,$AY$2)</f>
        <v>100</v>
      </c>
      <c r="CB75" s="871">
        <f t="shared" ref="CB75" si="202">ROUND(AU75,$AY$2)</f>
        <v>100</v>
      </c>
      <c r="CD75" s="304">
        <f t="shared" ca="1" si="108"/>
        <v>80</v>
      </c>
      <c r="CE75" s="304">
        <f ca="1">IFERROR(ROUND(SUMIF(OFFSET(tblGroups,CE$5-1,0,1,$CE$1),1,OFFSET(aScoresRounded,$B75-1,0,1,$CE$1))/SUM(OFFSET(tblGroups,CE$5-1,0,1,$CE$1)),$CF$1),"n/a")</f>
        <v>80</v>
      </c>
      <c r="CF75" s="304">
        <f t="shared" ca="1" si="108"/>
        <v>58.3</v>
      </c>
      <c r="CG75" s="302">
        <f t="shared" ca="1" si="108"/>
        <v>100</v>
      </c>
      <c r="CH75" s="302">
        <f t="shared" ca="1" si="108"/>
        <v>100</v>
      </c>
      <c r="CI75" s="302">
        <f t="shared" ca="1" si="108"/>
        <v>0</v>
      </c>
      <c r="CJ75" s="302">
        <f t="shared" ca="1" si="108"/>
        <v>100</v>
      </c>
      <c r="CK75" s="302">
        <f t="shared" ca="1" si="108"/>
        <v>33.299999999999997</v>
      </c>
      <c r="CL75" s="302">
        <f t="shared" ca="1" si="108"/>
        <v>83.3</v>
      </c>
      <c r="CM75" s="302">
        <f t="shared" ca="1" si="108"/>
        <v>85.7</v>
      </c>
      <c r="CN75" s="302">
        <f t="shared" ca="1" si="172"/>
        <v>62.5</v>
      </c>
      <c r="CO75" s="302">
        <f t="shared" ca="1" si="172"/>
        <v>100</v>
      </c>
      <c r="CP75" s="302">
        <f t="shared" ca="1" si="172"/>
        <v>50</v>
      </c>
      <c r="CQ75" s="302">
        <f t="shared" ca="1" si="172"/>
        <v>88.9</v>
      </c>
    </row>
    <row r="76" spans="1:95" s="124" customFormat="1" ht="27.75" customHeight="1">
      <c r="A76" s="118"/>
      <c r="B76" s="119">
        <f>tblIndicators!A72</f>
        <v>71</v>
      </c>
      <c r="C76" s="119">
        <f>tblIndicators!B72</f>
        <v>1</v>
      </c>
      <c r="D76" s="119" t="str">
        <f>tblIndicators!E72</f>
        <v>BG1</v>
      </c>
      <c r="E76" s="119">
        <f>tblIndicators!F72</f>
        <v>0</v>
      </c>
      <c r="F76" s="119">
        <f>tblIndicators!G72</f>
        <v>2</v>
      </c>
      <c r="G76" s="119">
        <f>tblIndicators!AF72</f>
        <v>2</v>
      </c>
      <c r="H76" s="119">
        <f>tblIndicators!AG72</f>
        <v>0</v>
      </c>
      <c r="I76" s="120">
        <f>tblIndicators!AH72</f>
        <v>0</v>
      </c>
      <c r="J76" s="119">
        <f>tblIndicators!AI72</f>
        <v>0</v>
      </c>
      <c r="K76" s="119">
        <f t="array" ref="K76">MIN(IF(ISNUMBER(iData!K76:AN76),iData!K76:AN76))</f>
        <v>0</v>
      </c>
      <c r="L76" s="121">
        <f t="array" ref="L76">MAX(IF(ISNUMBER(iData!K76:AN76),iData!K76:AN76))</f>
        <v>0</v>
      </c>
      <c r="M76" s="51" t="e">
        <f t="shared" ref="M76:M81" si="203">CHOOSE(H76,"-",L76-K76,J76-I76,J76-I76)</f>
        <v>#VALUE!</v>
      </c>
      <c r="N76" s="319" t="str">
        <f>iData!H76</f>
        <v xml:space="preserve">  </v>
      </c>
      <c r="O76" s="319" t="str">
        <f>iData!I76</f>
        <v/>
      </c>
      <c r="P76" s="1076"/>
      <c r="Q76" s="1077"/>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c r="AQ76" s="321"/>
      <c r="AR76" s="321"/>
      <c r="AS76" s="321"/>
      <c r="AT76" s="321"/>
      <c r="AU76" s="321"/>
      <c r="AV76" s="367"/>
      <c r="AW76" s="368"/>
      <c r="AX76" s="14"/>
      <c r="AY76" s="871"/>
      <c r="AZ76" s="871"/>
      <c r="BA76" s="871"/>
      <c r="BB76" s="871"/>
      <c r="BC76" s="871"/>
      <c r="BD76" s="871"/>
      <c r="BE76" s="871"/>
      <c r="BF76" s="871"/>
      <c r="BG76" s="871"/>
      <c r="BH76" s="871"/>
      <c r="BI76" s="871"/>
      <c r="BJ76" s="871"/>
      <c r="BK76" s="871"/>
      <c r="BL76" s="871"/>
      <c r="BM76" s="871"/>
      <c r="BN76" s="871"/>
      <c r="BO76" s="871"/>
      <c r="BP76" s="871"/>
      <c r="BQ76" s="871"/>
      <c r="BR76" s="871"/>
      <c r="BS76" s="871"/>
      <c r="BT76" s="871"/>
      <c r="BU76" s="871"/>
      <c r="BV76" s="871"/>
      <c r="BW76" s="871"/>
      <c r="BX76" s="871"/>
      <c r="BY76" s="871"/>
      <c r="BZ76" s="871"/>
      <c r="CA76" s="871"/>
      <c r="CB76" s="871"/>
      <c r="CD76" s="322"/>
      <c r="CE76" s="322"/>
      <c r="CF76" s="322"/>
      <c r="CG76" s="322"/>
      <c r="CH76" s="322"/>
      <c r="CI76" s="322"/>
      <c r="CJ76" s="322"/>
      <c r="CK76" s="322"/>
      <c r="CL76" s="322"/>
      <c r="CM76" s="322"/>
      <c r="CN76" s="322"/>
      <c r="CO76" s="322"/>
      <c r="CP76" s="322"/>
      <c r="CQ76" s="322"/>
    </row>
    <row r="77" spans="1:95" s="124" customFormat="1" ht="27.75" customHeight="1">
      <c r="A77" s="118"/>
      <c r="B77" s="119">
        <f>tblIndicators!A73</f>
        <v>72</v>
      </c>
      <c r="C77" s="119">
        <f>tblIndicators!B73</f>
        <v>1</v>
      </c>
      <c r="D77" s="119" t="str">
        <f>tblIndicators!E73</f>
        <v>BG.11_1</v>
      </c>
      <c r="E77" s="119" t="str">
        <f>tblIndicators!F73</f>
        <v>BG.1</v>
      </c>
      <c r="F77" s="119">
        <f>tblIndicators!G73</f>
        <v>3</v>
      </c>
      <c r="G77" s="119">
        <f>tblIndicators!AF73</f>
        <v>2</v>
      </c>
      <c r="H77" s="119">
        <f>tblIndicators!AG73</f>
        <v>2</v>
      </c>
      <c r="I77" s="120">
        <f>tblIndicators!AH73</f>
        <v>0</v>
      </c>
      <c r="J77" s="119">
        <f>tblIndicators!AI73</f>
        <v>0</v>
      </c>
      <c r="K77" s="119">
        <f t="array" ref="K77">MIN(IF(ISNUMBER(iData!K77:AN77),iData!K77:AN77))</f>
        <v>1.3</v>
      </c>
      <c r="L77" s="121">
        <f t="array" ref="L77">MAX(IF(ISNUMBER(iData!K77:AN77),iData!K77:AN77))</f>
        <v>9.6999999999999993</v>
      </c>
      <c r="M77" s="51">
        <f t="shared" si="203"/>
        <v>8.3999999999999986</v>
      </c>
      <c r="N77" s="319" t="str">
        <f>iData!H77</f>
        <v xml:space="preserve">   BG_1.1) Real GDP growth</v>
      </c>
      <c r="O77" s="319" t="str">
        <f>iData!I77</f>
        <v>%</v>
      </c>
      <c r="P77" s="1076"/>
      <c r="Q77" s="1077"/>
      <c r="R77" s="321">
        <f>iData!K77</f>
        <v>4.4000000000000004</v>
      </c>
      <c r="S77" s="321">
        <f>iData!L77</f>
        <v>6.1</v>
      </c>
      <c r="T77" s="321">
        <f>iData!M77</f>
        <v>1.3</v>
      </c>
      <c r="U77" s="321">
        <f>iData!N77</f>
        <v>4.7</v>
      </c>
      <c r="V77" s="321">
        <f>iData!O77</f>
        <v>7.9</v>
      </c>
      <c r="W77" s="321">
        <f>iData!P77</f>
        <v>2.7</v>
      </c>
      <c r="X77" s="321">
        <f>iData!Q77</f>
        <v>9.6999999999999993</v>
      </c>
      <c r="Y77" s="321">
        <f>iData!R77</f>
        <v>3.2</v>
      </c>
      <c r="Z77" s="321">
        <f>iData!S77</f>
        <v>5.5</v>
      </c>
      <c r="AA77" s="321">
        <f>iData!T77</f>
        <v>3.8</v>
      </c>
      <c r="AB77" s="321">
        <f>iData!U77</f>
        <v>2.7</v>
      </c>
      <c r="AC77" s="321">
        <f>iData!V77</f>
        <v>6.5</v>
      </c>
      <c r="AD77" s="321">
        <f>iData!W77</f>
        <v>3.1</v>
      </c>
      <c r="AE77" s="321">
        <f>iData!X77</f>
        <v>3</v>
      </c>
      <c r="AF77" s="321">
        <f>iData!Y77</f>
        <v>7.2</v>
      </c>
      <c r="AG77" s="321">
        <f>iData!Z77</f>
        <v>4.7</v>
      </c>
      <c r="AH77" s="321">
        <f>iData!AA77</f>
        <v>4.8</v>
      </c>
      <c r="AI77" s="321">
        <f>iData!AB77</f>
        <v>5.6</v>
      </c>
      <c r="AJ77" s="321">
        <f>iData!AC77</f>
        <v>9.1999999999999993</v>
      </c>
      <c r="AK77" s="321">
        <f>iData!AD77</f>
        <v>5.5</v>
      </c>
      <c r="AL77" s="321">
        <f>iData!AE77</f>
        <v>6.7</v>
      </c>
      <c r="AM77" s="321">
        <f>iData!AF77</f>
        <v>6.3</v>
      </c>
      <c r="AN77" s="321">
        <f>iData!AG77</f>
        <v>4.8</v>
      </c>
      <c r="AO77" s="321">
        <f>iData!AH77</f>
        <v>3.9</v>
      </c>
      <c r="AP77" s="321">
        <f>iData!AI77</f>
        <v>6.8</v>
      </c>
      <c r="AQ77" s="321">
        <f>iData!AJ77</f>
        <v>3.9</v>
      </c>
      <c r="AR77" s="321">
        <f>iData!AK77</f>
        <v>2</v>
      </c>
      <c r="AS77" s="321">
        <f>iData!AL77</f>
        <v>4.7</v>
      </c>
      <c r="AT77" s="321">
        <f>iData!AM77</f>
        <v>5.5</v>
      </c>
      <c r="AU77" s="321">
        <f>iData!AN77</f>
        <v>3.6</v>
      </c>
      <c r="AV77" s="367"/>
      <c r="AW77" s="368"/>
      <c r="AX77" s="14"/>
      <c r="AY77" s="871">
        <f>iData!K77</f>
        <v>4.4000000000000004</v>
      </c>
      <c r="AZ77" s="871">
        <f>iData!L77</f>
        <v>6.1</v>
      </c>
      <c r="BA77" s="871">
        <f>iData!M77</f>
        <v>1.3</v>
      </c>
      <c r="BB77" s="871">
        <f>iData!N77</f>
        <v>4.7</v>
      </c>
      <c r="BC77" s="871">
        <f>iData!O77</f>
        <v>7.9</v>
      </c>
      <c r="BD77" s="871">
        <f>iData!P77</f>
        <v>2.7</v>
      </c>
      <c r="BE77" s="871">
        <f>iData!Q77</f>
        <v>9.6999999999999993</v>
      </c>
      <c r="BF77" s="871">
        <f>iData!R77</f>
        <v>3.2</v>
      </c>
      <c r="BG77" s="871">
        <f>iData!S77</f>
        <v>5.5</v>
      </c>
      <c r="BH77" s="871">
        <f>iData!T77</f>
        <v>3.8</v>
      </c>
      <c r="BI77" s="871">
        <f>iData!U77</f>
        <v>2.7</v>
      </c>
      <c r="BJ77" s="871">
        <f>iData!V77</f>
        <v>6.5</v>
      </c>
      <c r="BK77" s="871">
        <f>iData!W77</f>
        <v>3.1</v>
      </c>
      <c r="BL77" s="871">
        <f>iData!X77</f>
        <v>3</v>
      </c>
      <c r="BM77" s="871">
        <f>iData!Y77</f>
        <v>7.2</v>
      </c>
      <c r="BN77" s="871">
        <f>iData!Z77</f>
        <v>4.7</v>
      </c>
      <c r="BO77" s="871">
        <f>iData!AA77</f>
        <v>4.8</v>
      </c>
      <c r="BP77" s="871">
        <f>iData!AB77</f>
        <v>5.6</v>
      </c>
      <c r="BQ77" s="871">
        <f>iData!AC77</f>
        <v>9.1999999999999993</v>
      </c>
      <c r="BR77" s="871">
        <f>iData!AD77</f>
        <v>5.5</v>
      </c>
      <c r="BS77" s="871">
        <f>iData!AE77</f>
        <v>6.7</v>
      </c>
      <c r="BT77" s="871">
        <f>iData!AF77</f>
        <v>6.3</v>
      </c>
      <c r="BU77" s="871">
        <f>iData!AG77</f>
        <v>4.8</v>
      </c>
      <c r="BV77" s="871">
        <f>iData!AH77</f>
        <v>3.9</v>
      </c>
      <c r="BW77" s="871">
        <f>iData!AI77</f>
        <v>6.8</v>
      </c>
      <c r="BX77" s="871">
        <f>iData!AJ77</f>
        <v>3.9</v>
      </c>
      <c r="BY77" s="871">
        <f>iData!AK77</f>
        <v>2</v>
      </c>
      <c r="BZ77" s="871">
        <f>iData!AL77</f>
        <v>4.7</v>
      </c>
      <c r="CA77" s="871">
        <f>iData!AM77</f>
        <v>5.5</v>
      </c>
      <c r="CB77" s="871">
        <f>iData!AN77</f>
        <v>3.6</v>
      </c>
      <c r="CD77" s="322"/>
      <c r="CE77" s="322"/>
      <c r="CF77" s="322"/>
      <c r="CG77" s="322"/>
      <c r="CH77" s="322"/>
      <c r="CI77" s="322"/>
      <c r="CJ77" s="322"/>
      <c r="CK77" s="322"/>
      <c r="CL77" s="322"/>
      <c r="CM77" s="322"/>
      <c r="CN77" s="322"/>
      <c r="CO77" s="322"/>
      <c r="CP77" s="322"/>
      <c r="CQ77" s="322"/>
    </row>
    <row r="78" spans="1:95" s="124" customFormat="1" ht="27.75" customHeight="1">
      <c r="A78" s="118"/>
      <c r="B78" s="119">
        <f>tblIndicators!A74</f>
        <v>73</v>
      </c>
      <c r="C78" s="119">
        <f>tblIndicators!B74</f>
        <v>1</v>
      </c>
      <c r="D78" s="119" t="str">
        <f>tblIndicators!E74</f>
        <v>BG.11_2</v>
      </c>
      <c r="E78" s="119" t="str">
        <f>tblIndicators!F74</f>
        <v>BG.1</v>
      </c>
      <c r="F78" s="119">
        <f>tblIndicators!G74</f>
        <v>3</v>
      </c>
      <c r="G78" s="119">
        <f>tblIndicators!AF74</f>
        <v>2</v>
      </c>
      <c r="H78" s="119">
        <f>tblIndicators!AG74</f>
        <v>2</v>
      </c>
      <c r="I78" s="120">
        <f>tblIndicators!AH74</f>
        <v>0</v>
      </c>
      <c r="J78" s="119">
        <f>tblIndicators!AI74</f>
        <v>0</v>
      </c>
      <c r="K78" s="119">
        <f t="array" ref="K78">MIN(IF(ISNUMBER(iData!K78:AN78),iData!K78:AN78))</f>
        <v>0</v>
      </c>
      <c r="L78" s="121">
        <f t="array" ref="L78">MAX(IF(ISNUMBER(iData!K78:AN78),iData!K78:AN78))</f>
        <v>3</v>
      </c>
      <c r="M78" s="51">
        <f t="shared" si="203"/>
        <v>3</v>
      </c>
      <c r="N78" s="319" t="str">
        <f>iData!H78</f>
        <v xml:space="preserve">   BG_1.2) Corruption</v>
      </c>
      <c r="O78" s="319" t="str">
        <f>iData!I78</f>
        <v>0-4 score</v>
      </c>
      <c r="P78" s="1076"/>
      <c r="Q78" s="1077"/>
      <c r="R78" s="321">
        <f>iData!K78</f>
        <v>0</v>
      </c>
      <c r="S78" s="321">
        <f>iData!L78</f>
        <v>0</v>
      </c>
      <c r="T78" s="321">
        <f>iData!M78</f>
        <v>3</v>
      </c>
      <c r="U78" s="321">
        <f>iData!N78</f>
        <v>2</v>
      </c>
      <c r="V78" s="321">
        <f>iData!O78</f>
        <v>2</v>
      </c>
      <c r="W78" s="321">
        <f>iData!P78</f>
        <v>0</v>
      </c>
      <c r="X78" s="321">
        <f>iData!Q78</f>
        <v>2</v>
      </c>
      <c r="Y78" s="321">
        <f>iData!R78</f>
        <v>0</v>
      </c>
      <c r="Z78" s="321">
        <f>iData!S78</f>
        <v>0</v>
      </c>
      <c r="AA78" s="321">
        <f>iData!T78</f>
        <v>0</v>
      </c>
      <c r="AB78" s="321">
        <f>iData!U78</f>
        <v>0</v>
      </c>
      <c r="AC78" s="321">
        <f>iData!V78</f>
        <v>0</v>
      </c>
      <c r="AD78" s="321">
        <f>iData!W78</f>
        <v>3</v>
      </c>
      <c r="AE78" s="321">
        <f>iData!X78</f>
        <v>2</v>
      </c>
      <c r="AF78" s="321">
        <f>iData!Y78</f>
        <v>0</v>
      </c>
      <c r="AG78" s="321">
        <f>iData!Z78</f>
        <v>2</v>
      </c>
      <c r="AH78" s="321">
        <f>iData!AA78</f>
        <v>3</v>
      </c>
      <c r="AI78" s="321">
        <f>iData!AB78</f>
        <v>3</v>
      </c>
      <c r="AJ78" s="321">
        <f>iData!AC78</f>
        <v>3</v>
      </c>
      <c r="AK78" s="321">
        <f>iData!AD78</f>
        <v>0</v>
      </c>
      <c r="AL78" s="321">
        <f>iData!AE78</f>
        <v>1</v>
      </c>
      <c r="AM78" s="321">
        <f>iData!AF78</f>
        <v>2</v>
      </c>
      <c r="AN78" s="321">
        <f>iData!AG78</f>
        <v>3</v>
      </c>
      <c r="AO78" s="321">
        <f>iData!AH78</f>
        <v>2</v>
      </c>
      <c r="AP78" s="321">
        <f>iData!AI78</f>
        <v>0</v>
      </c>
      <c r="AQ78" s="321">
        <f>iData!AJ78</f>
        <v>0</v>
      </c>
      <c r="AR78" s="321">
        <f>iData!AK78</f>
        <v>1</v>
      </c>
      <c r="AS78" s="321">
        <f>iData!AL78</f>
        <v>0</v>
      </c>
      <c r="AT78" s="321">
        <f>iData!AM78</f>
        <v>0</v>
      </c>
      <c r="AU78" s="321">
        <f>iData!AN78</f>
        <v>0</v>
      </c>
      <c r="AV78" s="367"/>
      <c r="AW78" s="368"/>
      <c r="AX78" s="14"/>
      <c r="AY78" s="871">
        <f>iData!K78</f>
        <v>0</v>
      </c>
      <c r="AZ78" s="871">
        <f>iData!L78</f>
        <v>0</v>
      </c>
      <c r="BA78" s="871">
        <f>iData!M78</f>
        <v>3</v>
      </c>
      <c r="BB78" s="871">
        <f>iData!N78</f>
        <v>2</v>
      </c>
      <c r="BC78" s="871">
        <f>iData!O78</f>
        <v>2</v>
      </c>
      <c r="BD78" s="871">
        <f>iData!P78</f>
        <v>0</v>
      </c>
      <c r="BE78" s="871">
        <f>iData!Q78</f>
        <v>2</v>
      </c>
      <c r="BF78" s="871">
        <f>iData!R78</f>
        <v>0</v>
      </c>
      <c r="BG78" s="871">
        <f>iData!S78</f>
        <v>0</v>
      </c>
      <c r="BH78" s="871">
        <f>iData!T78</f>
        <v>0</v>
      </c>
      <c r="BI78" s="871">
        <f>iData!U78</f>
        <v>0</v>
      </c>
      <c r="BJ78" s="871">
        <f>iData!V78</f>
        <v>0</v>
      </c>
      <c r="BK78" s="871">
        <f>iData!W78</f>
        <v>3</v>
      </c>
      <c r="BL78" s="871">
        <f>iData!X78</f>
        <v>2</v>
      </c>
      <c r="BM78" s="871">
        <f>iData!Y78</f>
        <v>0</v>
      </c>
      <c r="BN78" s="871">
        <f>iData!Z78</f>
        <v>2</v>
      </c>
      <c r="BO78" s="871">
        <f>iData!AA78</f>
        <v>3</v>
      </c>
      <c r="BP78" s="871">
        <f>iData!AB78</f>
        <v>3</v>
      </c>
      <c r="BQ78" s="871">
        <f>iData!AC78</f>
        <v>3</v>
      </c>
      <c r="BR78" s="871">
        <f>iData!AD78</f>
        <v>0</v>
      </c>
      <c r="BS78" s="871">
        <f>iData!AE78</f>
        <v>1</v>
      </c>
      <c r="BT78" s="871">
        <f>iData!AF78</f>
        <v>2</v>
      </c>
      <c r="BU78" s="871">
        <f>iData!AG78</f>
        <v>3</v>
      </c>
      <c r="BV78" s="871">
        <f>iData!AH78</f>
        <v>2</v>
      </c>
      <c r="BW78" s="871">
        <f>iData!AI78</f>
        <v>0</v>
      </c>
      <c r="BX78" s="871">
        <f>iData!AJ78</f>
        <v>0</v>
      </c>
      <c r="BY78" s="871">
        <f>iData!AK78</f>
        <v>1</v>
      </c>
      <c r="BZ78" s="871">
        <f>iData!AL78</f>
        <v>0</v>
      </c>
      <c r="CA78" s="871">
        <f>iData!AM78</f>
        <v>0</v>
      </c>
      <c r="CB78" s="871">
        <f>iData!AN78</f>
        <v>0</v>
      </c>
      <c r="CD78" s="322"/>
      <c r="CE78" s="322"/>
      <c r="CF78" s="322"/>
      <c r="CG78" s="322"/>
      <c r="CH78" s="322"/>
      <c r="CI78" s="322"/>
      <c r="CJ78" s="322"/>
      <c r="CK78" s="322"/>
      <c r="CL78" s="322"/>
      <c r="CM78" s="322"/>
      <c r="CN78" s="322"/>
      <c r="CO78" s="322"/>
      <c r="CP78" s="322"/>
      <c r="CQ78" s="322"/>
    </row>
    <row r="79" spans="1:95" s="124" customFormat="1" ht="27.75" customHeight="1">
      <c r="A79" s="118"/>
      <c r="B79" s="119">
        <f>tblIndicators!A75</f>
        <v>74</v>
      </c>
      <c r="C79" s="119">
        <f>tblIndicators!B75</f>
        <v>1</v>
      </c>
      <c r="D79" s="119" t="str">
        <f>tblIndicators!E75</f>
        <v>BG.11_3</v>
      </c>
      <c r="E79" s="119" t="str">
        <f>tblIndicators!F75</f>
        <v>BG.1</v>
      </c>
      <c r="F79" s="119">
        <f>tblIndicators!G75</f>
        <v>3</v>
      </c>
      <c r="G79" s="119">
        <f>tblIndicators!AF75</f>
        <v>2</v>
      </c>
      <c r="H79" s="119">
        <f>tblIndicators!AG75</f>
        <v>2</v>
      </c>
      <c r="I79" s="120">
        <f>tblIndicators!AH75</f>
        <v>0</v>
      </c>
      <c r="J79" s="119">
        <f>tblIndicators!AI75</f>
        <v>0</v>
      </c>
      <c r="K79" s="119">
        <f t="array" ref="K79">MIN(IF(ISNUMBER(iData!K79:AN79),iData!K79:AN79))</f>
        <v>0.746</v>
      </c>
      <c r="L79" s="121">
        <f t="array" ref="L79">MAX(IF(ISNUMBER(iData!K79:AN79),iData!K79:AN79))</f>
        <v>0.98</v>
      </c>
      <c r="M79" s="51">
        <f t="shared" si="203"/>
        <v>0.23399999999999999</v>
      </c>
      <c r="N79" s="319" t="str">
        <f>iData!H79</f>
        <v xml:space="preserve">   BG_1.3) Human Development Index</v>
      </c>
      <c r="O79" s="319" t="str">
        <f>iData!I79</f>
        <v>0-1 score (Fragmented into decimal points)</v>
      </c>
      <c r="P79" s="1076"/>
      <c r="Q79" s="1077"/>
      <c r="R79" s="321">
        <f>iData!K79</f>
        <v>0.96299999999999997</v>
      </c>
      <c r="S79" s="321">
        <f>iData!L79</f>
        <v>0.94499999999999995</v>
      </c>
      <c r="T79" s="321">
        <f>iData!M79</f>
        <v>0.81399999999999995</v>
      </c>
      <c r="U79" s="321">
        <f>iData!N79</f>
        <v>0.91600000000000004</v>
      </c>
      <c r="V79" s="321">
        <f>iData!O79</f>
        <v>0.90400000000000003</v>
      </c>
      <c r="W79" s="321">
        <f>iData!P79</f>
        <v>0.96399999999999997</v>
      </c>
      <c r="X79" s="321">
        <f>iData!Q79</f>
        <v>0.88200000000000001</v>
      </c>
      <c r="Y79" s="321">
        <f>iData!R79</f>
        <v>0.96099999999999997</v>
      </c>
      <c r="Z79" s="321">
        <f>iData!S79</f>
        <v>0.91700000000000004</v>
      </c>
      <c r="AA79" s="321">
        <f>iData!T79</f>
        <v>0.88900000000000001</v>
      </c>
      <c r="AB79" s="321">
        <f>iData!U79</f>
        <v>0.95499999999999996</v>
      </c>
      <c r="AC79" s="321">
        <f>iData!V79</f>
        <v>0.94899999999999995</v>
      </c>
      <c r="AD79" s="321">
        <f>iData!W79</f>
        <v>0.77300000000000002</v>
      </c>
      <c r="AE79" s="321">
        <f>iData!X79</f>
        <v>0.86699999999999999</v>
      </c>
      <c r="AF79" s="321">
        <f>iData!Y79</f>
        <v>0.97599999999999998</v>
      </c>
      <c r="AG79" s="321">
        <f>iData!Z79</f>
        <v>0.94099999999999995</v>
      </c>
      <c r="AH79" s="321">
        <f>iData!AA79</f>
        <v>0.78100000000000003</v>
      </c>
      <c r="AI79" s="321">
        <f>iData!AB79</f>
        <v>0.78400000000000003</v>
      </c>
      <c r="AJ79" s="321">
        <f>iData!AC79</f>
        <v>0.746</v>
      </c>
      <c r="AK79" s="321">
        <f>iData!AD79</f>
        <v>0.94399999999999995</v>
      </c>
      <c r="AL79" s="321">
        <f>iData!AE79</f>
        <v>0.94699999999999995</v>
      </c>
      <c r="AM79" s="321">
        <f>iData!AF79</f>
        <v>0.91400000000000003</v>
      </c>
      <c r="AN79" s="321">
        <f>iData!AG79</f>
        <v>0.79100000000000004</v>
      </c>
      <c r="AO79" s="321">
        <f>iData!AH79</f>
        <v>0.94299999999999995</v>
      </c>
      <c r="AP79" s="321">
        <f>iData!AI79</f>
        <v>0.93799999999999994</v>
      </c>
      <c r="AQ79" s="321">
        <f>iData!AJ79</f>
        <v>0.94499999999999995</v>
      </c>
      <c r="AR79" s="321">
        <f>iData!AK79</f>
        <v>0.94399999999999995</v>
      </c>
      <c r="AS79" s="321">
        <f>iData!AL79</f>
        <v>0.93700000000000006</v>
      </c>
      <c r="AT79" s="321">
        <f>iData!AM79</f>
        <v>0.94599999999999995</v>
      </c>
      <c r="AU79" s="321">
        <f>iData!AN79</f>
        <v>0.98</v>
      </c>
      <c r="AV79" s="367"/>
      <c r="AW79" s="368"/>
      <c r="AX79" s="14"/>
      <c r="AY79" s="871">
        <f>iData!K79</f>
        <v>0.96299999999999997</v>
      </c>
      <c r="AZ79" s="871">
        <f>iData!L79</f>
        <v>0.94499999999999995</v>
      </c>
      <c r="BA79" s="871">
        <f>iData!M79</f>
        <v>0.81399999999999995</v>
      </c>
      <c r="BB79" s="871">
        <f>iData!N79</f>
        <v>0.91600000000000004</v>
      </c>
      <c r="BC79" s="871">
        <f>iData!O79</f>
        <v>0.90400000000000003</v>
      </c>
      <c r="BD79" s="871">
        <f>iData!P79</f>
        <v>0.96399999999999997</v>
      </c>
      <c r="BE79" s="871">
        <f>iData!Q79</f>
        <v>0.88200000000000001</v>
      </c>
      <c r="BF79" s="871">
        <f>iData!R79</f>
        <v>0.96099999999999997</v>
      </c>
      <c r="BG79" s="871">
        <f>iData!S79</f>
        <v>0.91700000000000004</v>
      </c>
      <c r="BH79" s="871">
        <f>iData!T79</f>
        <v>0.88900000000000001</v>
      </c>
      <c r="BI79" s="871">
        <f>iData!U79</f>
        <v>0.95499999999999996</v>
      </c>
      <c r="BJ79" s="871">
        <f>iData!V79</f>
        <v>0.94899999999999995</v>
      </c>
      <c r="BK79" s="871">
        <f>iData!W79</f>
        <v>0.77300000000000002</v>
      </c>
      <c r="BL79" s="871">
        <f>iData!X79</f>
        <v>0.86699999999999999</v>
      </c>
      <c r="BM79" s="871">
        <f>iData!Y79</f>
        <v>0.97599999999999998</v>
      </c>
      <c r="BN79" s="871">
        <f>iData!Z79</f>
        <v>0.94099999999999995</v>
      </c>
      <c r="BO79" s="871">
        <f>iData!AA79</f>
        <v>0.78100000000000003</v>
      </c>
      <c r="BP79" s="871">
        <f>iData!AB79</f>
        <v>0.78400000000000003</v>
      </c>
      <c r="BQ79" s="871">
        <f>iData!AC79</f>
        <v>0.746</v>
      </c>
      <c r="BR79" s="871">
        <f>iData!AD79</f>
        <v>0.94399999999999995</v>
      </c>
      <c r="BS79" s="871">
        <f>iData!AE79</f>
        <v>0.94699999999999995</v>
      </c>
      <c r="BT79" s="871">
        <f>iData!AF79</f>
        <v>0.91400000000000003</v>
      </c>
      <c r="BU79" s="871">
        <f>iData!AG79</f>
        <v>0.79100000000000004</v>
      </c>
      <c r="BV79" s="871">
        <f>iData!AH79</f>
        <v>0.94299999999999995</v>
      </c>
      <c r="BW79" s="871">
        <f>iData!AI79</f>
        <v>0.93799999999999994</v>
      </c>
      <c r="BX79" s="871">
        <f>iData!AJ79</f>
        <v>0.94499999999999995</v>
      </c>
      <c r="BY79" s="871">
        <f>iData!AK79</f>
        <v>0.94399999999999995</v>
      </c>
      <c r="BZ79" s="871">
        <f>iData!AL79</f>
        <v>0.93700000000000006</v>
      </c>
      <c r="CA79" s="871">
        <f>iData!AM79</f>
        <v>0.94599999999999995</v>
      </c>
      <c r="CB79" s="871">
        <f>iData!AN79</f>
        <v>0.98</v>
      </c>
      <c r="CD79" s="322"/>
      <c r="CE79" s="322"/>
      <c r="CF79" s="322"/>
      <c r="CG79" s="322"/>
      <c r="CH79" s="322"/>
      <c r="CI79" s="322"/>
      <c r="CJ79" s="322"/>
      <c r="CK79" s="322"/>
      <c r="CL79" s="322"/>
      <c r="CM79" s="322"/>
      <c r="CN79" s="322"/>
      <c r="CO79" s="322"/>
      <c r="CP79" s="322"/>
      <c r="CQ79" s="322"/>
    </row>
    <row r="80" spans="1:95" s="124" customFormat="1" ht="27.75" customHeight="1">
      <c r="A80" s="118"/>
      <c r="B80" s="119">
        <f>tblIndicators!A76</f>
        <v>75</v>
      </c>
      <c r="C80" s="119">
        <f>tblIndicators!B76</f>
        <v>1</v>
      </c>
      <c r="D80" s="119" t="str">
        <f>tblIndicators!E76</f>
        <v>BG.11_4</v>
      </c>
      <c r="E80" s="119" t="str">
        <f>tblIndicators!F76</f>
        <v>BG.1</v>
      </c>
      <c r="F80" s="119">
        <f>tblIndicators!G76</f>
        <v>3</v>
      </c>
      <c r="G80" s="119">
        <f>tblIndicators!AF76</f>
        <v>2</v>
      </c>
      <c r="H80" s="119">
        <f>tblIndicators!AG76</f>
        <v>2</v>
      </c>
      <c r="I80" s="120">
        <f>tblIndicators!AH76</f>
        <v>0</v>
      </c>
      <c r="J80" s="119">
        <f>tblIndicators!AI76</f>
        <v>0</v>
      </c>
      <c r="K80" s="119">
        <f t="array" ref="K80">MIN(IF(ISNUMBER(iData!K80:AN80),iData!K80:AN80))</f>
        <v>0</v>
      </c>
      <c r="L80" s="121">
        <f t="array" ref="L80">MAX(IF(ISNUMBER(iData!K80:AN80),iData!K80:AN80))</f>
        <v>0.48799999999999999</v>
      </c>
      <c r="M80" s="51">
        <f t="shared" si="203"/>
        <v>0.48799999999999999</v>
      </c>
      <c r="N80" s="319" t="str">
        <f>iData!H80</f>
        <v xml:space="preserve">   BG_1.4) Gender Inequality Index</v>
      </c>
      <c r="O80" s="319" t="str">
        <f>iData!I80</f>
        <v>0-1 score (Fragmented into decimal points)</v>
      </c>
      <c r="P80" s="1076"/>
      <c r="Q80" s="1077"/>
      <c r="R80" s="321">
        <f>iData!K80</f>
        <v>4.2999999999999997E-2</v>
      </c>
      <c r="S80" s="321">
        <f>iData!L80</f>
        <v>0.123</v>
      </c>
      <c r="T80" s="321">
        <f>iData!M80</f>
        <v>0.35899999999999999</v>
      </c>
      <c r="U80" s="321">
        <f>iData!N80</f>
        <v>7.0000000000000007E-2</v>
      </c>
      <c r="V80" s="321">
        <f>iData!O80</f>
        <v>0.16800000000000001</v>
      </c>
      <c r="W80" s="321">
        <f>iData!P80</f>
        <v>8.4000000000000005E-2</v>
      </c>
      <c r="X80" s="321">
        <f>iData!Q80</f>
        <v>0.32800000000000001</v>
      </c>
      <c r="Y80" s="321">
        <f>iData!R80</f>
        <v>3.7999999999999999E-2</v>
      </c>
      <c r="Z80" s="321">
        <f>iData!S80</f>
        <v>0.20399999999999999</v>
      </c>
      <c r="AA80" s="321">
        <f>iData!T80</f>
        <v>7.9000000000000001E-2</v>
      </c>
      <c r="AB80" s="321">
        <f>iData!U80</f>
        <v>8.4000000000000005E-2</v>
      </c>
      <c r="AC80" s="321">
        <f>iData!V80</f>
        <v>0</v>
      </c>
      <c r="AD80" s="321">
        <f>iData!W80</f>
        <v>0.48</v>
      </c>
      <c r="AE80" s="321">
        <f>iData!X80</f>
        <v>0.253</v>
      </c>
      <c r="AF80" s="321">
        <f>iData!Y80</f>
        <v>0.11799999999999999</v>
      </c>
      <c r="AG80" s="321">
        <f>iData!Z80</f>
        <v>7.0000000000000007E-2</v>
      </c>
      <c r="AH80" s="321">
        <f>iData!AA80</f>
        <v>0.43</v>
      </c>
      <c r="AI80" s="321">
        <f>iData!AB80</f>
        <v>0.32200000000000001</v>
      </c>
      <c r="AJ80" s="321">
        <f>iData!AC80</f>
        <v>0.48799999999999999</v>
      </c>
      <c r="AK80" s="321">
        <f>iData!AD80</f>
        <v>0.20399999999999999</v>
      </c>
      <c r="AL80" s="321">
        <f>iData!AE80</f>
        <v>4.9000000000000002E-2</v>
      </c>
      <c r="AM80" s="321">
        <f>iData!AF80</f>
        <v>6.9000000000000006E-2</v>
      </c>
      <c r="AN80" s="321">
        <f>iData!AG80</f>
        <v>0.40799999999999997</v>
      </c>
      <c r="AO80" s="321">
        <f>iData!AH80</f>
        <v>6.4000000000000001E-2</v>
      </c>
      <c r="AP80" s="321">
        <f>iData!AI80</f>
        <v>6.5000000000000002E-2</v>
      </c>
      <c r="AQ80" s="321">
        <f>iData!AJ80</f>
        <v>9.7000000000000003E-2</v>
      </c>
      <c r="AR80" s="321">
        <f>iData!AK80</f>
        <v>9.4E-2</v>
      </c>
      <c r="AS80" s="321">
        <f>iData!AL80</f>
        <v>0.08</v>
      </c>
      <c r="AT80" s="321">
        <f>iData!AM80</f>
        <v>0.20399999999999999</v>
      </c>
      <c r="AU80" s="321">
        <f>iData!AN80</f>
        <v>2.5000000000000001E-2</v>
      </c>
      <c r="AV80" s="367"/>
      <c r="AW80" s="368"/>
      <c r="AX80" s="14"/>
      <c r="AY80" s="871">
        <f>iData!K80</f>
        <v>4.2999999999999997E-2</v>
      </c>
      <c r="AZ80" s="871">
        <f>iData!L80</f>
        <v>0.123</v>
      </c>
      <c r="BA80" s="871">
        <f>iData!M80</f>
        <v>0.35899999999999999</v>
      </c>
      <c r="BB80" s="871">
        <f>iData!N80</f>
        <v>7.0000000000000007E-2</v>
      </c>
      <c r="BC80" s="871">
        <f>iData!O80</f>
        <v>0.16800000000000001</v>
      </c>
      <c r="BD80" s="871">
        <f>iData!P80</f>
        <v>8.4000000000000005E-2</v>
      </c>
      <c r="BE80" s="871">
        <f>iData!Q80</f>
        <v>0.32800000000000001</v>
      </c>
      <c r="BF80" s="871">
        <f>iData!R80</f>
        <v>3.7999999999999999E-2</v>
      </c>
      <c r="BG80" s="871">
        <f>iData!S80</f>
        <v>0.20399999999999999</v>
      </c>
      <c r="BH80" s="871">
        <f>iData!T80</f>
        <v>7.9000000000000001E-2</v>
      </c>
      <c r="BI80" s="871">
        <f>iData!U80</f>
        <v>8.4000000000000005E-2</v>
      </c>
      <c r="BJ80" s="871">
        <f>iData!V80</f>
        <v>0</v>
      </c>
      <c r="BK80" s="871">
        <f>iData!W80</f>
        <v>0.48</v>
      </c>
      <c r="BL80" s="871">
        <f>iData!X80</f>
        <v>0.253</v>
      </c>
      <c r="BM80" s="871">
        <f>iData!Y80</f>
        <v>0.11799999999999999</v>
      </c>
      <c r="BN80" s="871">
        <f>iData!Z80</f>
        <v>7.0000000000000007E-2</v>
      </c>
      <c r="BO80" s="871">
        <f>iData!AA80</f>
        <v>0.43</v>
      </c>
      <c r="BP80" s="871">
        <f>iData!AB80</f>
        <v>0.32200000000000001</v>
      </c>
      <c r="BQ80" s="871">
        <f>iData!AC80</f>
        <v>0.48799999999999999</v>
      </c>
      <c r="BR80" s="871">
        <f>iData!AD80</f>
        <v>0.20399999999999999</v>
      </c>
      <c r="BS80" s="871">
        <f>iData!AE80</f>
        <v>4.9000000000000002E-2</v>
      </c>
      <c r="BT80" s="871">
        <f>iData!AF80</f>
        <v>6.9000000000000006E-2</v>
      </c>
      <c r="BU80" s="871">
        <f>iData!AG80</f>
        <v>0.40799999999999997</v>
      </c>
      <c r="BV80" s="871">
        <f>iData!AH80</f>
        <v>6.4000000000000001E-2</v>
      </c>
      <c r="BW80" s="871">
        <f>iData!AI80</f>
        <v>6.5000000000000002E-2</v>
      </c>
      <c r="BX80" s="871">
        <f>iData!AJ80</f>
        <v>9.7000000000000003E-2</v>
      </c>
      <c r="BY80" s="871">
        <f>iData!AK80</f>
        <v>9.4E-2</v>
      </c>
      <c r="BZ80" s="871">
        <f>iData!AL80</f>
        <v>0.08</v>
      </c>
      <c r="CA80" s="871">
        <f>iData!AM80</f>
        <v>0.20399999999999999</v>
      </c>
      <c r="CB80" s="871">
        <f>iData!AN80</f>
        <v>2.5000000000000001E-2</v>
      </c>
      <c r="CD80" s="322"/>
      <c r="CE80" s="322"/>
      <c r="CF80" s="322"/>
      <c r="CG80" s="322"/>
      <c r="CH80" s="322"/>
      <c r="CI80" s="322"/>
      <c r="CJ80" s="322"/>
      <c r="CK80" s="322"/>
      <c r="CL80" s="322"/>
      <c r="CM80" s="322"/>
      <c r="CN80" s="322"/>
      <c r="CO80" s="322"/>
      <c r="CP80" s="322"/>
      <c r="CQ80" s="322"/>
    </row>
    <row r="81" spans="1:96" s="124" customFormat="1" ht="27.75" customHeight="1">
      <c r="A81" s="118"/>
      <c r="B81" s="119">
        <f>tblIndicators!A77</f>
        <v>76</v>
      </c>
      <c r="C81" s="119">
        <f>tblIndicators!B77</f>
        <v>1</v>
      </c>
      <c r="D81" s="119" t="str">
        <f>tblIndicators!E77</f>
        <v>BG.11_5</v>
      </c>
      <c r="E81" s="119" t="str">
        <f>tblIndicators!F77</f>
        <v>BG.1</v>
      </c>
      <c r="F81" s="119">
        <f>tblIndicators!G77</f>
        <v>3</v>
      </c>
      <c r="G81" s="119">
        <f>tblIndicators!AF77</f>
        <v>2</v>
      </c>
      <c r="H81" s="119">
        <f>tblIndicators!AG77</f>
        <v>2</v>
      </c>
      <c r="I81" s="120">
        <f>tblIndicators!AH77</f>
        <v>0</v>
      </c>
      <c r="J81" s="119">
        <f>tblIndicators!AI77</f>
        <v>0</v>
      </c>
      <c r="K81" s="119">
        <f t="array" ref="K81">MIN(IF(ISNUMBER(iData!K81:AN81),iData!K81:AN81))</f>
        <v>2913</v>
      </c>
      <c r="L81" s="121">
        <f t="array" ref="L81">MAX(IF(ISNUMBER(iData!K81:AN81),iData!K81:AN81))</f>
        <v>69395</v>
      </c>
      <c r="M81" s="51">
        <f t="shared" si="203"/>
        <v>66482</v>
      </c>
      <c r="N81" s="319" t="str">
        <f>iData!H81</f>
        <v xml:space="preserve">   BG_1.5) Per capita income</v>
      </c>
      <c r="O81" s="319" t="str">
        <f>iData!I81</f>
        <v>per head, US$</v>
      </c>
      <c r="P81" s="1076"/>
      <c r="Q81" s="1077"/>
      <c r="R81" s="321">
        <f>iData!K81</f>
        <v>31714</v>
      </c>
      <c r="S81" s="321">
        <f>iData!L81</f>
        <v>22293</v>
      </c>
      <c r="T81" s="321">
        <f>iData!M81</f>
        <v>7130</v>
      </c>
      <c r="U81" s="321">
        <f>iData!N81</f>
        <v>20191</v>
      </c>
      <c r="V81" s="321">
        <f>iData!O81</f>
        <v>12810</v>
      </c>
      <c r="W81" s="321">
        <f>iData!P81</f>
        <v>22804</v>
      </c>
      <c r="X81" s="321">
        <f>iData!Q81</f>
        <v>9190</v>
      </c>
      <c r="Y81" s="321">
        <f>iData!R81</f>
        <v>33291</v>
      </c>
      <c r="Z81" s="321">
        <f>iData!S81</f>
        <v>49936</v>
      </c>
      <c r="AA81" s="321">
        <f>iData!T81</f>
        <v>16475</v>
      </c>
      <c r="AB81" s="321">
        <f>iData!U81</f>
        <v>37926</v>
      </c>
      <c r="AC81" s="321">
        <f>iData!V81</f>
        <v>36000</v>
      </c>
      <c r="AD81" s="321">
        <f>iData!W81</f>
        <v>5439</v>
      </c>
      <c r="AE81" s="321">
        <f>iData!X81</f>
        <v>10429</v>
      </c>
      <c r="AF81" s="321">
        <f>iData!Y81</f>
        <v>39776</v>
      </c>
      <c r="AG81" s="321">
        <f>iData!Z81</f>
        <v>23771</v>
      </c>
      <c r="AH81" s="321">
        <f>iData!AA81</f>
        <v>6935</v>
      </c>
      <c r="AI81" s="321">
        <f>iData!AB81</f>
        <v>14963</v>
      </c>
      <c r="AJ81" s="321">
        <f>iData!AC81</f>
        <v>2913</v>
      </c>
      <c r="AK81" s="321">
        <f>iData!AD81</f>
        <v>69395</v>
      </c>
      <c r="AL81" s="321">
        <f>iData!AE81</f>
        <v>37651</v>
      </c>
      <c r="AM81" s="321">
        <f>iData!AF81</f>
        <v>25287</v>
      </c>
      <c r="AN81" s="321">
        <f>iData!AG81</f>
        <v>7160</v>
      </c>
      <c r="AO81" s="321">
        <f>iData!AH81</f>
        <v>17763</v>
      </c>
      <c r="AP81" s="321">
        <f>iData!AI81</f>
        <v>32230</v>
      </c>
      <c r="AQ81" s="321">
        <f>iData!AJ81</f>
        <v>31186</v>
      </c>
      <c r="AR81" s="321">
        <f>iData!AK81</f>
        <v>24962</v>
      </c>
      <c r="AS81" s="321">
        <f>iData!AL81</f>
        <v>26965</v>
      </c>
      <c r="AT81" s="321">
        <f>iData!AM81</f>
        <v>67938</v>
      </c>
      <c r="AU81" s="321">
        <f>iData!AN81</f>
        <v>56646</v>
      </c>
      <c r="AV81" s="367"/>
      <c r="AW81" s="368"/>
      <c r="AX81" s="14"/>
      <c r="AY81" s="871">
        <f>iData!K81</f>
        <v>31714</v>
      </c>
      <c r="AZ81" s="871">
        <f>iData!L81</f>
        <v>22293</v>
      </c>
      <c r="BA81" s="871">
        <f>iData!M81</f>
        <v>7130</v>
      </c>
      <c r="BB81" s="871">
        <f>iData!N81</f>
        <v>20191</v>
      </c>
      <c r="BC81" s="871">
        <f>iData!O81</f>
        <v>12810</v>
      </c>
      <c r="BD81" s="871">
        <f>iData!P81</f>
        <v>22804</v>
      </c>
      <c r="BE81" s="871">
        <f>iData!Q81</f>
        <v>9190</v>
      </c>
      <c r="BF81" s="871">
        <f>iData!R81</f>
        <v>33291</v>
      </c>
      <c r="BG81" s="871">
        <f>iData!S81</f>
        <v>49936</v>
      </c>
      <c r="BH81" s="871">
        <f>iData!T81</f>
        <v>16475</v>
      </c>
      <c r="BI81" s="871">
        <f>iData!U81</f>
        <v>37926</v>
      </c>
      <c r="BJ81" s="871">
        <f>iData!V81</f>
        <v>36000</v>
      </c>
      <c r="BK81" s="871">
        <f>iData!W81</f>
        <v>5439</v>
      </c>
      <c r="BL81" s="871">
        <f>iData!X81</f>
        <v>10429</v>
      </c>
      <c r="BM81" s="871">
        <f>iData!Y81</f>
        <v>39776</v>
      </c>
      <c r="BN81" s="871">
        <f>iData!Z81</f>
        <v>23771</v>
      </c>
      <c r="BO81" s="871">
        <f>iData!AA81</f>
        <v>6935</v>
      </c>
      <c r="BP81" s="871">
        <f>iData!AB81</f>
        <v>14963</v>
      </c>
      <c r="BQ81" s="871">
        <f>iData!AC81</f>
        <v>2913</v>
      </c>
      <c r="BR81" s="871">
        <f>iData!AD81</f>
        <v>69395</v>
      </c>
      <c r="BS81" s="871">
        <f>iData!AE81</f>
        <v>37651</v>
      </c>
      <c r="BT81" s="871">
        <f>iData!AF81</f>
        <v>25287</v>
      </c>
      <c r="BU81" s="871">
        <f>iData!AG81</f>
        <v>7160</v>
      </c>
      <c r="BV81" s="871">
        <f>iData!AH81</f>
        <v>17763</v>
      </c>
      <c r="BW81" s="871">
        <f>iData!AI81</f>
        <v>32230</v>
      </c>
      <c r="BX81" s="871">
        <f>iData!AJ81</f>
        <v>31186</v>
      </c>
      <c r="BY81" s="871">
        <f>iData!AK81</f>
        <v>24962</v>
      </c>
      <c r="BZ81" s="871">
        <f>iData!AL81</f>
        <v>26965</v>
      </c>
      <c r="CA81" s="871">
        <f>iData!AM81</f>
        <v>67938</v>
      </c>
      <c r="CB81" s="871">
        <f>iData!AN81</f>
        <v>56646</v>
      </c>
      <c r="CD81" s="322"/>
      <c r="CE81" s="322"/>
      <c r="CF81" s="322"/>
      <c r="CG81" s="322"/>
      <c r="CH81" s="322"/>
      <c r="CI81" s="322"/>
      <c r="CJ81" s="322"/>
      <c r="CK81" s="322"/>
      <c r="CL81" s="322"/>
      <c r="CM81" s="322"/>
      <c r="CN81" s="322"/>
      <c r="CO81" s="322"/>
      <c r="CP81" s="322"/>
      <c r="CQ81" s="322"/>
    </row>
    <row r="82" spans="1:96" s="124" customFormat="1" ht="27.75" customHeight="1">
      <c r="A82"/>
      <c r="B82"/>
      <c r="C82"/>
      <c r="D82"/>
      <c r="E82"/>
      <c r="F82"/>
      <c r="G82"/>
      <c r="H82"/>
      <c r="I82"/>
      <c r="J82"/>
      <c r="K82"/>
      <c r="L82"/>
      <c r="M82"/>
      <c r="N82"/>
      <c r="O82" s="367"/>
      <c r="P82" s="319"/>
      <c r="Q82" s="320"/>
      <c r="R82" s="321"/>
      <c r="S82" s="321"/>
      <c r="T82" s="321"/>
      <c r="U82" s="321"/>
      <c r="V82" s="321"/>
      <c r="W82" s="321"/>
      <c r="X82" s="321"/>
      <c r="Y82" s="321"/>
      <c r="Z82" s="321"/>
      <c r="AA82" s="321"/>
      <c r="AB82" s="321"/>
      <c r="AC82" s="321"/>
      <c r="AD82" s="321"/>
      <c r="AE82" s="321"/>
      <c r="AF82" s="321"/>
      <c r="AG82" s="321"/>
      <c r="AH82" s="321"/>
      <c r="AI82" s="321"/>
      <c r="AJ82" s="321"/>
      <c r="AK82" s="321"/>
      <c r="AL82" s="321"/>
      <c r="AM82" s="321"/>
      <c r="AN82" s="321"/>
      <c r="AO82" s="321"/>
      <c r="AP82" s="321"/>
      <c r="AQ82" s="321"/>
      <c r="AR82" s="321"/>
      <c r="AS82" s="321"/>
      <c r="AT82" s="321"/>
      <c r="AU82" s="321"/>
      <c r="AV82"/>
      <c r="AW82" s="17"/>
      <c r="AX82"/>
      <c r="AY82" s="871"/>
      <c r="AZ82" s="871"/>
      <c r="BA82" s="871"/>
      <c r="BB82" s="871"/>
      <c r="BC82" s="871"/>
      <c r="BD82" s="871"/>
      <c r="BE82" s="871"/>
      <c r="BF82" s="871"/>
      <c r="BG82" s="871"/>
      <c r="BH82" s="871"/>
      <c r="BI82" s="871"/>
      <c r="BJ82" s="871"/>
      <c r="BK82" s="871"/>
      <c r="BL82" s="871"/>
      <c r="BM82" s="871"/>
      <c r="BN82" s="871"/>
      <c r="BO82" s="871"/>
      <c r="BP82" s="871"/>
      <c r="BQ82" s="871"/>
      <c r="BR82" s="871"/>
      <c r="BS82" s="871"/>
      <c r="BT82" s="871"/>
      <c r="BU82" s="871"/>
      <c r="BV82" s="871"/>
      <c r="BW82" s="871"/>
      <c r="BX82" s="871"/>
      <c r="BY82" s="871"/>
      <c r="BZ82" s="871"/>
      <c r="CA82" s="871"/>
      <c r="CB82" s="871"/>
      <c r="CD82" s="322"/>
      <c r="CE82"/>
      <c r="CF82"/>
      <c r="CG82"/>
      <c r="CH82" s="367"/>
      <c r="CI82" s="367"/>
      <c r="CJ82" s="367"/>
      <c r="CK82" s="367"/>
      <c r="CL82" s="367"/>
      <c r="CM82" s="367"/>
      <c r="CN82" s="367"/>
      <c r="CO82" s="367"/>
      <c r="CP82" s="367"/>
      <c r="CQ82" s="367"/>
      <c r="CR82"/>
    </row>
    <row r="83" spans="1:96" ht="15" thickBot="1">
      <c r="R83">
        <f>iData!K77</f>
        <v>4.4000000000000004</v>
      </c>
      <c r="S83" s="367">
        <f>iData!L77</f>
        <v>6.1</v>
      </c>
      <c r="T83" s="367">
        <f>iData!M77</f>
        <v>1.3</v>
      </c>
      <c r="U83" s="367">
        <f>iData!N77</f>
        <v>4.7</v>
      </c>
      <c r="V83" s="367">
        <f>iData!O77</f>
        <v>7.9</v>
      </c>
      <c r="W83" s="367">
        <f>iData!P77</f>
        <v>2.7</v>
      </c>
      <c r="X83" s="367">
        <f>iData!Q77</f>
        <v>9.6999999999999993</v>
      </c>
      <c r="Y83" s="367">
        <f>iData!R77</f>
        <v>3.2</v>
      </c>
      <c r="Z83" s="367">
        <f>iData!S77</f>
        <v>5.5</v>
      </c>
      <c r="AA83" s="367">
        <f>iData!T77</f>
        <v>3.8</v>
      </c>
      <c r="AB83" s="367">
        <f>iData!U77</f>
        <v>2.7</v>
      </c>
      <c r="AC83" s="367">
        <f>iData!V77</f>
        <v>6.5</v>
      </c>
      <c r="AD83" s="367">
        <f>iData!W77</f>
        <v>3.1</v>
      </c>
      <c r="AE83" s="367">
        <f>iData!X77</f>
        <v>3</v>
      </c>
      <c r="AF83" s="367">
        <f>iData!Y77</f>
        <v>7.2</v>
      </c>
      <c r="AG83" s="367">
        <f>iData!Z77</f>
        <v>4.7</v>
      </c>
      <c r="AH83" s="367">
        <f>iData!AA77</f>
        <v>4.8</v>
      </c>
      <c r="AI83" s="367">
        <f>iData!AB77</f>
        <v>5.6</v>
      </c>
      <c r="AJ83" s="367">
        <f>iData!AC77</f>
        <v>9.1999999999999993</v>
      </c>
      <c r="AK83" s="367">
        <f>iData!AD77</f>
        <v>5.5</v>
      </c>
      <c r="AL83" s="367">
        <f>iData!AE77</f>
        <v>6.7</v>
      </c>
      <c r="AM83" s="367">
        <f>iData!AF77</f>
        <v>6.3</v>
      </c>
      <c r="AN83" s="367">
        <f>iData!AG77</f>
        <v>4.8</v>
      </c>
      <c r="AO83" s="367">
        <f>iData!AH77</f>
        <v>3.9</v>
      </c>
      <c r="AP83" s="367">
        <f>iData!AI77</f>
        <v>6.8</v>
      </c>
      <c r="AQ83" s="367">
        <f>iData!AJ77</f>
        <v>3.9</v>
      </c>
      <c r="AR83" s="367">
        <f>iData!AK77</f>
        <v>2</v>
      </c>
      <c r="AS83" s="367">
        <f>iData!AL77</f>
        <v>4.7</v>
      </c>
      <c r="AT83" s="367">
        <f>iData!AM77</f>
        <v>5.5</v>
      </c>
      <c r="AU83" s="367">
        <f>iData!AN77</f>
        <v>3.6</v>
      </c>
    </row>
    <row r="84" spans="1:96">
      <c r="A84" s="367"/>
      <c r="B84" s="367"/>
      <c r="C84" s="367"/>
      <c r="D84" s="367"/>
      <c r="E84" s="367"/>
      <c r="F84" s="367"/>
      <c r="G84" s="367"/>
      <c r="H84" s="367"/>
      <c r="I84" s="367"/>
      <c r="J84" s="367"/>
      <c r="K84" s="367"/>
      <c r="L84" s="367"/>
      <c r="M84" s="367"/>
      <c r="N84" s="367"/>
      <c r="R84" s="367">
        <f>iData!K78</f>
        <v>0</v>
      </c>
      <c r="S84" s="367">
        <f>iData!L78</f>
        <v>0</v>
      </c>
      <c r="T84" s="367">
        <f>iData!M78</f>
        <v>3</v>
      </c>
      <c r="U84" s="367">
        <f>iData!N78</f>
        <v>2</v>
      </c>
      <c r="V84" s="367">
        <f>iData!O78</f>
        <v>2</v>
      </c>
      <c r="W84" s="367">
        <f>iData!P78</f>
        <v>0</v>
      </c>
      <c r="X84" s="367">
        <f>iData!Q78</f>
        <v>2</v>
      </c>
      <c r="Y84" s="367">
        <f>iData!R78</f>
        <v>0</v>
      </c>
      <c r="Z84" s="367">
        <f>iData!S78</f>
        <v>0</v>
      </c>
      <c r="AA84" s="367">
        <f>iData!T78</f>
        <v>0</v>
      </c>
      <c r="AB84" s="367">
        <f>iData!U78</f>
        <v>0</v>
      </c>
      <c r="AC84" s="367">
        <f>iData!V78</f>
        <v>0</v>
      </c>
      <c r="AD84" s="367">
        <f>iData!W78</f>
        <v>3</v>
      </c>
      <c r="AE84" s="367">
        <f>iData!X78</f>
        <v>2</v>
      </c>
      <c r="AF84" s="367">
        <f>iData!Y78</f>
        <v>0</v>
      </c>
      <c r="AG84" s="367">
        <f>iData!Z78</f>
        <v>2</v>
      </c>
      <c r="AH84" s="367">
        <f>iData!AA78</f>
        <v>3</v>
      </c>
      <c r="AI84" s="367">
        <f>iData!AB78</f>
        <v>3</v>
      </c>
      <c r="AJ84" s="367">
        <f>iData!AC78</f>
        <v>3</v>
      </c>
      <c r="AK84" s="367">
        <f>iData!AD78</f>
        <v>0</v>
      </c>
      <c r="AL84" s="367">
        <f>iData!AE78</f>
        <v>1</v>
      </c>
      <c r="AM84" s="367">
        <f>iData!AF78</f>
        <v>2</v>
      </c>
      <c r="AN84" s="367">
        <f>iData!AG78</f>
        <v>3</v>
      </c>
      <c r="AO84" s="367">
        <f>iData!AH78</f>
        <v>2</v>
      </c>
      <c r="AP84" s="367">
        <f>iData!AI78</f>
        <v>0</v>
      </c>
      <c r="AQ84" s="367">
        <f>iData!AJ78</f>
        <v>0</v>
      </c>
      <c r="AR84" s="367">
        <f>iData!AK78</f>
        <v>1</v>
      </c>
      <c r="AS84" s="367">
        <f>iData!AL78</f>
        <v>0</v>
      </c>
      <c r="AT84" s="367">
        <f>iData!AM78</f>
        <v>0</v>
      </c>
      <c r="AU84" s="367">
        <f>iData!AN78</f>
        <v>0</v>
      </c>
      <c r="AX84">
        <v>0</v>
      </c>
      <c r="AY84" s="872">
        <f>AX84+1</f>
        <v>1</v>
      </c>
      <c r="AZ84" s="872">
        <f t="shared" ref="AZ84" si="204">AY84+1</f>
        <v>2</v>
      </c>
      <c r="BA84" s="872">
        <f t="shared" ref="BA84:CB84" si="205">AZ84+1</f>
        <v>3</v>
      </c>
      <c r="BB84" s="872">
        <f t="shared" si="205"/>
        <v>4</v>
      </c>
      <c r="BC84" s="872">
        <f t="shared" si="205"/>
        <v>5</v>
      </c>
      <c r="BD84" s="872">
        <f t="shared" si="205"/>
        <v>6</v>
      </c>
      <c r="BE84" s="872">
        <f t="shared" si="205"/>
        <v>7</v>
      </c>
      <c r="BF84" s="872">
        <f t="shared" si="205"/>
        <v>8</v>
      </c>
      <c r="BG84" s="872">
        <f t="shared" si="205"/>
        <v>9</v>
      </c>
      <c r="BH84" s="872">
        <f t="shared" si="205"/>
        <v>10</v>
      </c>
      <c r="BI84" s="872">
        <f t="shared" si="205"/>
        <v>11</v>
      </c>
      <c r="BJ84" s="872">
        <f t="shared" si="205"/>
        <v>12</v>
      </c>
      <c r="BK84" s="872">
        <f t="shared" si="205"/>
        <v>13</v>
      </c>
      <c r="BL84" s="872">
        <f t="shared" si="205"/>
        <v>14</v>
      </c>
      <c r="BM84" s="872">
        <f t="shared" si="205"/>
        <v>15</v>
      </c>
      <c r="BN84" s="872">
        <f t="shared" si="205"/>
        <v>16</v>
      </c>
      <c r="BO84" s="872">
        <f t="shared" si="205"/>
        <v>17</v>
      </c>
      <c r="BP84" s="872">
        <f t="shared" si="205"/>
        <v>18</v>
      </c>
      <c r="BQ84" s="872">
        <f t="shared" si="205"/>
        <v>19</v>
      </c>
      <c r="BR84" s="872">
        <f t="shared" si="205"/>
        <v>20</v>
      </c>
      <c r="BS84" s="872">
        <f t="shared" si="205"/>
        <v>21</v>
      </c>
      <c r="BT84" s="872">
        <f t="shared" si="205"/>
        <v>22</v>
      </c>
      <c r="BU84" s="872">
        <f t="shared" si="205"/>
        <v>23</v>
      </c>
      <c r="BV84" s="872">
        <f t="shared" si="205"/>
        <v>24</v>
      </c>
      <c r="BW84" s="872">
        <f t="shared" si="205"/>
        <v>25</v>
      </c>
      <c r="BX84" s="872">
        <f t="shared" si="205"/>
        <v>26</v>
      </c>
      <c r="BY84" s="872">
        <f t="shared" si="205"/>
        <v>27</v>
      </c>
      <c r="BZ84" s="872">
        <f t="shared" si="205"/>
        <v>28</v>
      </c>
      <c r="CA84" s="872">
        <f t="shared" si="205"/>
        <v>29</v>
      </c>
      <c r="CB84" s="872">
        <f t="shared" si="205"/>
        <v>30</v>
      </c>
    </row>
    <row r="85" spans="1:96">
      <c r="A85" s="367"/>
      <c r="B85" s="367"/>
      <c r="C85" s="367"/>
      <c r="D85" s="367"/>
      <c r="E85" s="367"/>
      <c r="F85" s="367"/>
      <c r="G85" s="367"/>
      <c r="H85" s="367"/>
      <c r="I85" s="367"/>
      <c r="J85" s="367"/>
      <c r="K85" s="367"/>
      <c r="L85" s="367"/>
      <c r="M85" s="367"/>
      <c r="N85" s="367"/>
      <c r="R85" s="367">
        <f>iData!K79</f>
        <v>0.96299999999999997</v>
      </c>
      <c r="S85" s="367">
        <f>iData!L79</f>
        <v>0.94499999999999995</v>
      </c>
      <c r="T85" s="367">
        <f>iData!M79</f>
        <v>0.81399999999999995</v>
      </c>
      <c r="U85" s="367">
        <f>iData!N79</f>
        <v>0.91600000000000004</v>
      </c>
      <c r="V85" s="367">
        <f>iData!O79</f>
        <v>0.90400000000000003</v>
      </c>
      <c r="W85" s="367">
        <f>iData!P79</f>
        <v>0.96399999999999997</v>
      </c>
      <c r="X85" s="367">
        <f>iData!Q79</f>
        <v>0.88200000000000001</v>
      </c>
      <c r="Y85" s="367">
        <f>iData!R79</f>
        <v>0.96099999999999997</v>
      </c>
      <c r="Z85" s="367">
        <f>iData!S79</f>
        <v>0.91700000000000004</v>
      </c>
      <c r="AA85" s="367">
        <f>iData!T79</f>
        <v>0.88900000000000001</v>
      </c>
      <c r="AB85" s="367">
        <f>iData!U79</f>
        <v>0.95499999999999996</v>
      </c>
      <c r="AC85" s="367">
        <f>iData!V79</f>
        <v>0.94899999999999995</v>
      </c>
      <c r="AD85" s="367">
        <f>iData!W79</f>
        <v>0.77300000000000002</v>
      </c>
      <c r="AE85" s="367">
        <f>iData!X79</f>
        <v>0.86699999999999999</v>
      </c>
      <c r="AF85" s="367">
        <f>iData!Y79</f>
        <v>0.97599999999999998</v>
      </c>
      <c r="AG85" s="367">
        <f>iData!Z79</f>
        <v>0.94099999999999995</v>
      </c>
      <c r="AH85" s="367">
        <f>iData!AA79</f>
        <v>0.78100000000000003</v>
      </c>
      <c r="AI85" s="367">
        <f>iData!AB79</f>
        <v>0.78400000000000003</v>
      </c>
      <c r="AJ85" s="367">
        <f>iData!AC79</f>
        <v>0.746</v>
      </c>
      <c r="AK85" s="367">
        <f>iData!AD79</f>
        <v>0.94399999999999995</v>
      </c>
      <c r="AL85" s="367">
        <f>iData!AE79</f>
        <v>0.94699999999999995</v>
      </c>
      <c r="AM85" s="367">
        <f>iData!AF79</f>
        <v>0.91400000000000003</v>
      </c>
      <c r="AN85" s="367">
        <f>iData!AG79</f>
        <v>0.79100000000000004</v>
      </c>
      <c r="AO85" s="367">
        <f>iData!AH79</f>
        <v>0.94299999999999995</v>
      </c>
      <c r="AP85" s="367">
        <f>iData!AI79</f>
        <v>0.93799999999999994</v>
      </c>
      <c r="AQ85" s="367">
        <f>iData!AJ79</f>
        <v>0.94499999999999995</v>
      </c>
      <c r="AR85" s="367">
        <f>iData!AK79</f>
        <v>0.94399999999999995</v>
      </c>
      <c r="AS85" s="367">
        <f>iData!AL79</f>
        <v>0.93700000000000006</v>
      </c>
      <c r="AT85" s="367">
        <f>iData!AM79</f>
        <v>0.94599999999999995</v>
      </c>
      <c r="AU85" s="367">
        <f>iData!AN79</f>
        <v>0.98</v>
      </c>
    </row>
    <row r="86" spans="1:96">
      <c r="A86" s="367"/>
      <c r="B86" s="367"/>
      <c r="C86" s="367"/>
      <c r="D86" s="367"/>
      <c r="E86" s="367"/>
      <c r="F86" s="367"/>
      <c r="G86" s="367"/>
      <c r="H86" s="367"/>
      <c r="I86" s="367"/>
      <c r="J86" s="367"/>
      <c r="K86" s="367"/>
      <c r="L86" s="367"/>
      <c r="M86" s="367"/>
      <c r="N86" s="367"/>
      <c r="R86" s="367">
        <f>iData!K80</f>
        <v>4.2999999999999997E-2</v>
      </c>
      <c r="S86" s="367">
        <f>iData!L80</f>
        <v>0.123</v>
      </c>
      <c r="T86" s="367">
        <f>iData!M80</f>
        <v>0.35899999999999999</v>
      </c>
      <c r="U86" s="367">
        <f>iData!N80</f>
        <v>7.0000000000000007E-2</v>
      </c>
      <c r="V86" s="367">
        <f>iData!O80</f>
        <v>0.16800000000000001</v>
      </c>
      <c r="W86" s="367">
        <f>iData!P80</f>
        <v>8.4000000000000005E-2</v>
      </c>
      <c r="X86" s="367">
        <f>iData!Q80</f>
        <v>0.32800000000000001</v>
      </c>
      <c r="Y86" s="367">
        <f>iData!R80</f>
        <v>3.7999999999999999E-2</v>
      </c>
      <c r="Z86" s="367">
        <f>iData!S80</f>
        <v>0.20399999999999999</v>
      </c>
      <c r="AA86" s="367">
        <f>iData!T80</f>
        <v>7.9000000000000001E-2</v>
      </c>
      <c r="AB86" s="367">
        <f>iData!U80</f>
        <v>8.4000000000000005E-2</v>
      </c>
      <c r="AC86" s="367">
        <f>iData!V80</f>
        <v>0</v>
      </c>
      <c r="AD86" s="367">
        <f>iData!W80</f>
        <v>0.48</v>
      </c>
      <c r="AE86" s="367">
        <f>iData!X80</f>
        <v>0.253</v>
      </c>
      <c r="AF86" s="367">
        <f>iData!Y80</f>
        <v>0.11799999999999999</v>
      </c>
      <c r="AG86" s="367">
        <f>iData!Z80</f>
        <v>7.0000000000000007E-2</v>
      </c>
      <c r="AH86" s="367">
        <f>iData!AA80</f>
        <v>0.43</v>
      </c>
      <c r="AI86" s="367">
        <f>iData!AB80</f>
        <v>0.32200000000000001</v>
      </c>
      <c r="AJ86" s="367">
        <f>iData!AC80</f>
        <v>0.48799999999999999</v>
      </c>
      <c r="AK86" s="367">
        <f>iData!AD80</f>
        <v>0.20399999999999999</v>
      </c>
      <c r="AL86" s="367">
        <f>iData!AE80</f>
        <v>4.9000000000000002E-2</v>
      </c>
      <c r="AM86" s="367">
        <f>iData!AF80</f>
        <v>6.9000000000000006E-2</v>
      </c>
      <c r="AN86" s="367">
        <f>iData!AG80</f>
        <v>0.40799999999999997</v>
      </c>
      <c r="AO86" s="367">
        <f>iData!AH80</f>
        <v>6.4000000000000001E-2</v>
      </c>
      <c r="AP86" s="367">
        <f>iData!AI80</f>
        <v>6.5000000000000002E-2</v>
      </c>
      <c r="AQ86" s="367">
        <f>iData!AJ80</f>
        <v>9.7000000000000003E-2</v>
      </c>
      <c r="AR86" s="367">
        <f>iData!AK80</f>
        <v>9.4E-2</v>
      </c>
      <c r="AS86" s="367">
        <f>iData!AL80</f>
        <v>0.08</v>
      </c>
      <c r="AT86" s="367">
        <f>iData!AM80</f>
        <v>0.20399999999999999</v>
      </c>
      <c r="AU86" s="367">
        <f>iData!AN80</f>
        <v>2.5000000000000001E-2</v>
      </c>
      <c r="AW86" s="17" t="s">
        <v>325</v>
      </c>
      <c r="AX86">
        <v>1</v>
      </c>
      <c r="AY86" s="22">
        <f>INDEX(tblTerritories!$Z$3:$AE$32,AY$84,$AX86)</f>
        <v>1</v>
      </c>
      <c r="AZ86" s="22">
        <f>INDEX(tblTerritories!$Z$3:$AE$32,AZ$84,$AX86)</f>
        <v>1</v>
      </c>
      <c r="BA86" s="22">
        <f>INDEX(tblTerritories!$Z$3:$AE$32,BA$84,$AX86)</f>
        <v>1</v>
      </c>
      <c r="BB86" s="22">
        <f>INDEX(tblTerritories!$Z$3:$AE$32,BB$84,$AX86)</f>
        <v>1</v>
      </c>
      <c r="BC86" s="22">
        <f>INDEX(tblTerritories!$Z$3:$AE$32,BC$84,$AX86)</f>
        <v>1</v>
      </c>
      <c r="BD86" s="22">
        <f>INDEX(tblTerritories!$Z$3:$AE$32,BD$84,$AX86)</f>
        <v>1</v>
      </c>
      <c r="BE86" s="22">
        <f>INDEX(tblTerritories!$Z$3:$AE$32,BE$84,$AX86)</f>
        <v>1</v>
      </c>
      <c r="BF86" s="22">
        <f>INDEX(tblTerritories!$Z$3:$AE$32,BF$84,$AX86)</f>
        <v>1</v>
      </c>
      <c r="BG86" s="22">
        <f>INDEX(tblTerritories!$Z$3:$AE$32,BG$84,$AX86)</f>
        <v>1</v>
      </c>
      <c r="BH86" s="22">
        <f>INDEX(tblTerritories!$Z$3:$AE$32,BH$84,$AX86)</f>
        <v>1</v>
      </c>
      <c r="BI86" s="22">
        <f>INDEX(tblTerritories!$Z$3:$AE$32,BI$84,$AX86)</f>
        <v>1</v>
      </c>
      <c r="BJ86" s="22">
        <f>INDEX(tblTerritories!$Z$3:$AE$32,BJ$84,$AX86)</f>
        <v>1</v>
      </c>
      <c r="BK86" s="22">
        <f>INDEX(tblTerritories!$Z$3:$AE$32,BK$84,$AX86)</f>
        <v>1</v>
      </c>
      <c r="BL86" s="22">
        <f>INDEX(tblTerritories!$Z$3:$AE$32,BL$84,$AX86)</f>
        <v>1</v>
      </c>
      <c r="BM86" s="22">
        <f>INDEX(tblTerritories!$Z$3:$AE$32,BM$84,$AX86)</f>
        <v>1</v>
      </c>
      <c r="BN86" s="22">
        <f>INDEX(tblTerritories!$Z$3:$AE$32,BN$84,$AX86)</f>
        <v>1</v>
      </c>
      <c r="BO86" s="22">
        <f>INDEX(tblTerritories!$Z$3:$AE$32,BO$84,$AX86)</f>
        <v>1</v>
      </c>
      <c r="BP86" s="22">
        <f>INDEX(tblTerritories!$Z$3:$AE$32,BP$84,$AX86)</f>
        <v>1</v>
      </c>
      <c r="BQ86" s="22">
        <f>INDEX(tblTerritories!$Z$3:$AE$32,BQ$84,$AX86)</f>
        <v>1</v>
      </c>
      <c r="BR86" s="22">
        <f>INDEX(tblTerritories!$Z$3:$AE$32,BR$84,$AX86)</f>
        <v>1</v>
      </c>
      <c r="BS86" s="22">
        <f>INDEX(tblTerritories!$Z$3:$AE$32,BS$84,$AX86)</f>
        <v>1</v>
      </c>
      <c r="BT86" s="22">
        <f>INDEX(tblTerritories!$Z$3:$AE$32,BT$84,$AX86)</f>
        <v>1</v>
      </c>
      <c r="BU86" s="22">
        <f>INDEX(tblTerritories!$Z$3:$AE$32,BU$84,$AX86)</f>
        <v>1</v>
      </c>
      <c r="BV86" s="22">
        <f>INDEX(tblTerritories!$Z$3:$AE$32,BV$84,$AX86)</f>
        <v>1</v>
      </c>
      <c r="BW86" s="22">
        <f>INDEX(tblTerritories!$Z$3:$AE$32,BW$84,$AX86)</f>
        <v>1</v>
      </c>
      <c r="BX86" s="22">
        <f>INDEX(tblTerritories!$Z$3:$AE$32,BX$84,$AX86)</f>
        <v>1</v>
      </c>
      <c r="BY86" s="22">
        <f>INDEX(tblTerritories!$Z$3:$AE$32,BY$84,$AX86)</f>
        <v>1</v>
      </c>
      <c r="BZ86" s="22">
        <f>INDEX(tblTerritories!$Z$3:$AE$32,BZ$84,$AX86)</f>
        <v>1</v>
      </c>
      <c r="CA86" s="22">
        <f>INDEX(tblTerritories!$Z$3:$AE$32,CA$84,$AX86)</f>
        <v>1</v>
      </c>
      <c r="CB86" s="22">
        <f>INDEX(tblTerritories!$Z$3:$AE$32,CB$84,$AX86)</f>
        <v>1</v>
      </c>
    </row>
    <row r="87" spans="1:96" ht="15" thickBot="1">
      <c r="A87" s="367"/>
      <c r="B87" s="367"/>
      <c r="C87" s="367"/>
      <c r="D87" s="367"/>
      <c r="E87" s="367"/>
      <c r="F87" s="367"/>
      <c r="G87" s="367"/>
      <c r="H87" s="367"/>
      <c r="I87" s="367"/>
      <c r="J87" s="367"/>
      <c r="K87" s="367"/>
      <c r="L87" s="367"/>
      <c r="M87" s="367"/>
      <c r="N87" s="367"/>
      <c r="R87" s="367">
        <f>iData!K81</f>
        <v>31714</v>
      </c>
      <c r="S87" s="367">
        <f>iData!L81</f>
        <v>22293</v>
      </c>
      <c r="T87" s="367">
        <f>iData!M81</f>
        <v>7130</v>
      </c>
      <c r="U87" s="367">
        <f>iData!N81</f>
        <v>20191</v>
      </c>
      <c r="V87" s="367">
        <f>iData!O81</f>
        <v>12810</v>
      </c>
      <c r="W87" s="367">
        <f>iData!P81</f>
        <v>22804</v>
      </c>
      <c r="X87" s="367">
        <f>iData!Q81</f>
        <v>9190</v>
      </c>
      <c r="Y87" s="367">
        <f>iData!R81</f>
        <v>33291</v>
      </c>
      <c r="Z87" s="367">
        <f>iData!S81</f>
        <v>49936</v>
      </c>
      <c r="AA87" s="367">
        <f>iData!T81</f>
        <v>16475</v>
      </c>
      <c r="AB87" s="367">
        <f>iData!U81</f>
        <v>37926</v>
      </c>
      <c r="AC87" s="367">
        <f>iData!V81</f>
        <v>36000</v>
      </c>
      <c r="AD87" s="367">
        <f>iData!W81</f>
        <v>5439</v>
      </c>
      <c r="AE87" s="367">
        <f>iData!X81</f>
        <v>10429</v>
      </c>
      <c r="AF87" s="367">
        <f>iData!Y81</f>
        <v>39776</v>
      </c>
      <c r="AG87" s="367">
        <f>iData!Z81</f>
        <v>23771</v>
      </c>
      <c r="AH87" s="367">
        <f>iData!AA81</f>
        <v>6935</v>
      </c>
      <c r="AI87" s="367">
        <f>iData!AB81</f>
        <v>14963</v>
      </c>
      <c r="AJ87" s="367">
        <f>iData!AC81</f>
        <v>2913</v>
      </c>
      <c r="AK87" s="367">
        <f>iData!AD81</f>
        <v>69395</v>
      </c>
      <c r="AL87" s="367">
        <f>iData!AE81</f>
        <v>37651</v>
      </c>
      <c r="AM87" s="367">
        <f>iData!AF81</f>
        <v>25287</v>
      </c>
      <c r="AN87" s="367">
        <f>iData!AG81</f>
        <v>7160</v>
      </c>
      <c r="AO87" s="367">
        <f>iData!AH81</f>
        <v>17763</v>
      </c>
      <c r="AP87" s="367">
        <f>iData!AI81</f>
        <v>32230</v>
      </c>
      <c r="AQ87" s="367">
        <f>iData!AJ81</f>
        <v>31186</v>
      </c>
      <c r="AR87" s="367">
        <f>iData!AK81</f>
        <v>24962</v>
      </c>
      <c r="AS87" s="367">
        <f>iData!AL81</f>
        <v>26965</v>
      </c>
      <c r="AT87" s="367">
        <f>iData!AM81</f>
        <v>67938</v>
      </c>
      <c r="AU87" s="367">
        <f>iData!AN81</f>
        <v>56646</v>
      </c>
      <c r="AW87" s="17" t="str">
        <f>AW104&amp;" in "&amp;AW105</f>
        <v>All Regions in All Incomes</v>
      </c>
      <c r="AX87">
        <f>AX86+1</f>
        <v>2</v>
      </c>
      <c r="AY87" s="873">
        <f>AY104*AY105*AY106</f>
        <v>1</v>
      </c>
      <c r="AZ87" s="873">
        <f t="shared" ref="AZ87:CB87" si="206">AZ104*AZ105*AZ106</f>
        <v>1</v>
      </c>
      <c r="BA87" s="873">
        <f t="shared" si="206"/>
        <v>1</v>
      </c>
      <c r="BB87" s="873">
        <f t="shared" si="206"/>
        <v>1</v>
      </c>
      <c r="BC87" s="873">
        <f t="shared" si="206"/>
        <v>1</v>
      </c>
      <c r="BD87" s="873">
        <f t="shared" si="206"/>
        <v>1</v>
      </c>
      <c r="BE87" s="873">
        <f t="shared" si="206"/>
        <v>1</v>
      </c>
      <c r="BF87" s="873">
        <f t="shared" si="206"/>
        <v>1</v>
      </c>
      <c r="BG87" s="873">
        <f t="shared" si="206"/>
        <v>1</v>
      </c>
      <c r="BH87" s="873">
        <f t="shared" si="206"/>
        <v>1</v>
      </c>
      <c r="BI87" s="873">
        <f t="shared" si="206"/>
        <v>1</v>
      </c>
      <c r="BJ87" s="873">
        <f t="shared" si="206"/>
        <v>1</v>
      </c>
      <c r="BK87" s="873">
        <f t="shared" si="206"/>
        <v>1</v>
      </c>
      <c r="BL87" s="873">
        <f t="shared" si="206"/>
        <v>1</v>
      </c>
      <c r="BM87" s="873">
        <f t="shared" si="206"/>
        <v>1</v>
      </c>
      <c r="BN87" s="873">
        <f t="shared" si="206"/>
        <v>1</v>
      </c>
      <c r="BO87" s="873">
        <f t="shared" si="206"/>
        <v>1</v>
      </c>
      <c r="BP87" s="873">
        <f t="shared" si="206"/>
        <v>1</v>
      </c>
      <c r="BQ87" s="873">
        <f t="shared" si="206"/>
        <v>1</v>
      </c>
      <c r="BR87" s="873">
        <f t="shared" si="206"/>
        <v>1</v>
      </c>
      <c r="BS87" s="873">
        <f t="shared" si="206"/>
        <v>1</v>
      </c>
      <c r="BT87" s="873">
        <f t="shared" si="206"/>
        <v>1</v>
      </c>
      <c r="BU87" s="873">
        <f t="shared" si="206"/>
        <v>1</v>
      </c>
      <c r="BV87" s="873">
        <f t="shared" si="206"/>
        <v>1</v>
      </c>
      <c r="BW87" s="873">
        <f t="shared" si="206"/>
        <v>1</v>
      </c>
      <c r="BX87" s="873">
        <f t="shared" si="206"/>
        <v>1</v>
      </c>
      <c r="BY87" s="873">
        <f t="shared" si="206"/>
        <v>1</v>
      </c>
      <c r="BZ87" s="873">
        <f t="shared" si="206"/>
        <v>1</v>
      </c>
      <c r="CA87" s="873">
        <f t="shared" si="206"/>
        <v>1</v>
      </c>
      <c r="CB87" s="873">
        <f t="shared" si="206"/>
        <v>1</v>
      </c>
    </row>
    <row r="88" spans="1:96">
      <c r="AW88" s="17" t="s">
        <v>974</v>
      </c>
      <c r="AX88" s="367">
        <f t="shared" ref="AX88:AX102" si="207">AX87+1</f>
        <v>3</v>
      </c>
      <c r="AY88" s="872">
        <v>1</v>
      </c>
      <c r="AZ88" s="872">
        <v>1</v>
      </c>
      <c r="BA88" s="872">
        <v>1</v>
      </c>
      <c r="BB88" s="872">
        <v>1</v>
      </c>
      <c r="BC88" s="872">
        <v>1</v>
      </c>
      <c r="BD88" s="872">
        <v>1</v>
      </c>
      <c r="BE88" s="872">
        <v>1</v>
      </c>
      <c r="BF88" s="872">
        <v>1</v>
      </c>
      <c r="BG88" s="872">
        <v>1</v>
      </c>
      <c r="BH88" s="872">
        <v>1</v>
      </c>
      <c r="BI88" s="872">
        <v>1</v>
      </c>
      <c r="BJ88" s="872">
        <v>1</v>
      </c>
      <c r="BK88" s="872">
        <v>1</v>
      </c>
      <c r="BL88" s="872">
        <v>1</v>
      </c>
      <c r="BM88" s="872">
        <v>1</v>
      </c>
      <c r="BN88" s="872">
        <v>1</v>
      </c>
      <c r="BO88" s="872">
        <v>1</v>
      </c>
      <c r="BP88" s="872">
        <v>1</v>
      </c>
      <c r="BQ88" s="872">
        <v>1</v>
      </c>
      <c r="BR88" s="872">
        <v>1</v>
      </c>
      <c r="BS88" s="872">
        <v>1</v>
      </c>
      <c r="BT88" s="872">
        <v>1</v>
      </c>
      <c r="BU88" s="872">
        <v>1</v>
      </c>
      <c r="BV88" s="872">
        <v>1</v>
      </c>
      <c r="BW88" s="872">
        <v>1</v>
      </c>
      <c r="BX88" s="872">
        <v>1</v>
      </c>
      <c r="BY88" s="872">
        <v>1</v>
      </c>
      <c r="BZ88" s="872">
        <v>1</v>
      </c>
      <c r="CA88" s="872">
        <v>1</v>
      </c>
      <c r="CB88" s="872">
        <v>1</v>
      </c>
    </row>
    <row r="89" spans="1:96">
      <c r="AV89">
        <f>AV88+1</f>
        <v>1</v>
      </c>
      <c r="AW89" s="17" t="str">
        <f>INDEX(tblTerritories!$BG$1:$BK$1,iScores!AV89)</f>
        <v>APAC</v>
      </c>
      <c r="AX89" s="367">
        <f t="shared" si="207"/>
        <v>4</v>
      </c>
      <c r="AY89" s="874">
        <f>INDEX(tblTerritories!$AA$3:$AL$32,iScores!AY$84,iScores!$AV89)</f>
        <v>0</v>
      </c>
      <c r="AZ89" s="874">
        <f>INDEX(tblTerritories!$AA$3:$AL$32,iScores!AZ$84,iScores!$AV89)</f>
        <v>1</v>
      </c>
      <c r="BA89" s="874">
        <f>INDEX(tblTerritories!$AA$3:$AL$32,iScores!BA$84,iScores!$AV89)</f>
        <v>1</v>
      </c>
      <c r="BB89" s="874">
        <f>INDEX(tblTerritories!$AA$3:$AL$32,iScores!BB$84,iScores!$AV89)</f>
        <v>0</v>
      </c>
      <c r="BC89" s="874">
        <f>INDEX(tblTerritories!$AA$3:$AL$32,iScores!BC$84,iScores!$AV89)</f>
        <v>1</v>
      </c>
      <c r="BD89" s="874">
        <f>INDEX(tblTerritories!$AA$3:$AL$32,iScores!BD$84,iScores!$AV89)</f>
        <v>0</v>
      </c>
      <c r="BE89" s="874">
        <f>INDEX(tblTerritories!$AA$3:$AL$32,iScores!BE$84,iScores!$AV89)</f>
        <v>0</v>
      </c>
      <c r="BF89" s="874">
        <f>INDEX(tblTerritories!$AA$3:$AL$32,iScores!BF$84,iScores!$AV89)</f>
        <v>0</v>
      </c>
      <c r="BG89" s="874">
        <f>INDEX(tblTerritories!$AA$3:$AL$32,iScores!BG$84,iScores!$AV89)</f>
        <v>0</v>
      </c>
      <c r="BH89" s="874">
        <f>INDEX(tblTerritories!$AA$3:$AL$32,iScores!BH$84,iScores!$AV89)</f>
        <v>0</v>
      </c>
      <c r="BI89" s="874">
        <f>INDEX(tblTerritories!$AA$3:$AL$32,iScores!BI$84,iScores!$AV89)</f>
        <v>0</v>
      </c>
      <c r="BJ89" s="874">
        <f>INDEX(tblTerritories!$AA$3:$AL$32,iScores!BJ$84,iScores!$AV89)</f>
        <v>1</v>
      </c>
      <c r="BK89" s="874">
        <f>INDEX(tblTerritories!$AA$3:$AL$32,iScores!BK$84,iScores!$AV89)</f>
        <v>1</v>
      </c>
      <c r="BL89" s="874">
        <f>INDEX(tblTerritories!$AA$3:$AL$32,iScores!BL$84,iScores!$AV89)</f>
        <v>1</v>
      </c>
      <c r="BM89" s="874">
        <f>INDEX(tblTerritories!$AA$3:$AL$32,iScores!BM$84,iScores!$AV89)</f>
        <v>0</v>
      </c>
      <c r="BN89" s="874">
        <f>INDEX(tblTerritories!$AA$3:$AL$32,iScores!BN$84,iScores!$AV89)</f>
        <v>0</v>
      </c>
      <c r="BO89" s="874">
        <f>INDEX(tblTerritories!$AA$3:$AL$32,iScores!BO$84,iScores!$AV89)</f>
        <v>1</v>
      </c>
      <c r="BP89" s="874">
        <f>INDEX(tblTerritories!$AA$3:$AL$32,iScores!BP$84,iScores!$AV89)</f>
        <v>0</v>
      </c>
      <c r="BQ89" s="874">
        <f>INDEX(tblTerritories!$AA$3:$AL$32,iScores!BQ$84,iScores!$AV89)</f>
        <v>1</v>
      </c>
      <c r="BR89" s="874">
        <f>INDEX(tblTerritories!$AA$3:$AL$32,iScores!BR$84,iScores!$AV89)</f>
        <v>0</v>
      </c>
      <c r="BS89" s="874">
        <f>INDEX(tblTerritories!$AA$3:$AL$32,iScores!BS$84,iScores!$AV89)</f>
        <v>0</v>
      </c>
      <c r="BT89" s="874">
        <f>INDEX(tblTerritories!$AA$3:$AL$32,iScores!BT$84,iScores!$AV89)</f>
        <v>0</v>
      </c>
      <c r="BU89" s="874">
        <f>INDEX(tblTerritories!$AA$3:$AL$32,iScores!BU$84,iScores!$AV89)</f>
        <v>0</v>
      </c>
      <c r="BV89" s="874">
        <f>INDEX(tblTerritories!$AA$3:$AL$32,iScores!BV$84,iScores!$AV89)</f>
        <v>1</v>
      </c>
      <c r="BW89" s="874">
        <f>INDEX(tblTerritories!$AA$3:$AL$32,iScores!BW$84,iScores!$AV89)</f>
        <v>1</v>
      </c>
      <c r="BX89" s="874">
        <f>INDEX(tblTerritories!$AA$3:$AL$32,iScores!BX$84,iScores!$AV89)</f>
        <v>1</v>
      </c>
      <c r="BY89" s="874">
        <f>INDEX(tblTerritories!$AA$3:$AL$32,iScores!BY$84,iScores!$AV89)</f>
        <v>1</v>
      </c>
      <c r="BZ89" s="874">
        <f>INDEX(tblTerritories!$AA$3:$AL$32,iScores!BZ$84,iScores!$AV89)</f>
        <v>0</v>
      </c>
      <c r="CA89" s="874">
        <f>INDEX(tblTerritories!$AA$3:$AL$32,iScores!CA$84,iScores!$AV89)</f>
        <v>0</v>
      </c>
      <c r="CB89" s="874">
        <f>INDEX(tblTerritories!$AA$3:$AL$32,iScores!CB$84,iScores!$AV89)</f>
        <v>0</v>
      </c>
    </row>
    <row r="90" spans="1:96" s="367" customFormat="1">
      <c r="Q90" s="117"/>
      <c r="AV90" s="367">
        <f t="shared" ref="AV90:AV93" si="208">AV89+1</f>
        <v>2</v>
      </c>
      <c r="AW90" s="17" t="str">
        <f>INDEX(tblTerritories!$BG$1:$BK$1,iScores!AV90)</f>
        <v>EUROPE</v>
      </c>
      <c r="AX90" s="367">
        <f t="shared" ref="AX90:AX94" si="209">AX89+1</f>
        <v>5</v>
      </c>
      <c r="AY90" s="874">
        <f>INDEX(tblTerritories!$AA$3:$AL$32,iScores!AY$84,iScores!$AV90)</f>
        <v>1</v>
      </c>
      <c r="AZ90" s="874">
        <f>INDEX(tblTerritories!$AA$3:$AL$32,iScores!AZ$84,iScores!$AV90)</f>
        <v>0</v>
      </c>
      <c r="BA90" s="874">
        <f>INDEX(tblTerritories!$AA$3:$AL$32,iScores!BA$84,iScores!$AV90)</f>
        <v>0</v>
      </c>
      <c r="BB90" s="874">
        <f>INDEX(tblTerritories!$AA$3:$AL$32,iScores!BB$84,iScores!$AV90)</f>
        <v>1</v>
      </c>
      <c r="BC90" s="874">
        <f>INDEX(tblTerritories!$AA$3:$AL$32,iScores!BC$84,iScores!$AV90)</f>
        <v>0</v>
      </c>
      <c r="BD90" s="874">
        <f>INDEX(tblTerritories!$AA$3:$AL$32,iScores!BD$84,iScores!$AV90)</f>
        <v>1</v>
      </c>
      <c r="BE90" s="874">
        <f>INDEX(tblTerritories!$AA$3:$AL$32,iScores!BE$84,iScores!$AV90)</f>
        <v>0</v>
      </c>
      <c r="BF90" s="874">
        <f>INDEX(tblTerritories!$AA$3:$AL$32,iScores!BF$84,iScores!$AV90)</f>
        <v>1</v>
      </c>
      <c r="BG90" s="874">
        <f>INDEX(tblTerritories!$AA$3:$AL$32,iScores!BG$84,iScores!$AV90)</f>
        <v>0</v>
      </c>
      <c r="BH90" s="874">
        <f>INDEX(tblTerritories!$AA$3:$AL$32,iScores!BH$84,iScores!$AV90)</f>
        <v>0</v>
      </c>
      <c r="BI90" s="874">
        <f>INDEX(tblTerritories!$AA$3:$AL$32,iScores!BI$84,iScores!$AV90)</f>
        <v>1</v>
      </c>
      <c r="BJ90" s="874">
        <f>INDEX(tblTerritories!$AA$3:$AL$32,iScores!BJ$84,iScores!$AV90)</f>
        <v>0</v>
      </c>
      <c r="BK90" s="874">
        <f>INDEX(tblTerritories!$AA$3:$AL$32,iScores!BK$84,iScores!$AV90)</f>
        <v>0</v>
      </c>
      <c r="BL90" s="874">
        <f>INDEX(tblTerritories!$AA$3:$AL$32,iScores!BL$84,iScores!$AV90)</f>
        <v>0</v>
      </c>
      <c r="BM90" s="874">
        <f>INDEX(tblTerritories!$AA$3:$AL$32,iScores!BM$84,iScores!$AV90)</f>
        <v>1</v>
      </c>
      <c r="BN90" s="874">
        <f>INDEX(tblTerritories!$AA$3:$AL$32,iScores!BN$84,iScores!$AV90)</f>
        <v>1</v>
      </c>
      <c r="BO90" s="874">
        <f>INDEX(tblTerritories!$AA$3:$AL$32,iScores!BO$84,iScores!$AV90)</f>
        <v>0</v>
      </c>
      <c r="BP90" s="874">
        <f>INDEX(tblTerritories!$AA$3:$AL$32,iScores!BP$84,iScores!$AV90)</f>
        <v>0</v>
      </c>
      <c r="BQ90" s="874">
        <f>INDEX(tblTerritories!$AA$3:$AL$32,iScores!BQ$84,iScores!$AV90)</f>
        <v>0</v>
      </c>
      <c r="BR90" s="874">
        <f>INDEX(tblTerritories!$AA$3:$AL$32,iScores!BR$84,iScores!$AV90)</f>
        <v>0</v>
      </c>
      <c r="BS90" s="874">
        <f>INDEX(tblTerritories!$AA$3:$AL$32,iScores!BS$84,iScores!$AV90)</f>
        <v>1</v>
      </c>
      <c r="BT90" s="874">
        <f>INDEX(tblTerritories!$AA$3:$AL$32,iScores!BT$84,iScores!$AV90)</f>
        <v>1</v>
      </c>
      <c r="BU90" s="874">
        <f>INDEX(tblTerritories!$AA$3:$AL$32,iScores!BU$84,iScores!$AV90)</f>
        <v>0</v>
      </c>
      <c r="BV90" s="874">
        <f>INDEX(tblTerritories!$AA$3:$AL$32,iScores!BV$84,iScores!$AV90)</f>
        <v>0</v>
      </c>
      <c r="BW90" s="874">
        <f>INDEX(tblTerritories!$AA$3:$AL$32,iScores!BW$84,iScores!$AV90)</f>
        <v>0</v>
      </c>
      <c r="BX90" s="874">
        <f>INDEX(tblTerritories!$AA$3:$AL$32,iScores!BX$84,iScores!$AV90)</f>
        <v>0</v>
      </c>
      <c r="BY90" s="874">
        <f>INDEX(tblTerritories!$AA$3:$AL$32,iScores!BY$84,iScores!$AV90)</f>
        <v>0</v>
      </c>
      <c r="BZ90" s="874">
        <f>INDEX(tblTerritories!$AA$3:$AL$32,iScores!BZ$84,iScores!$AV90)</f>
        <v>0</v>
      </c>
      <c r="CA90" s="874">
        <f>INDEX(tblTerritories!$AA$3:$AL$32,iScores!CA$84,iScores!$AV90)</f>
        <v>0</v>
      </c>
      <c r="CB90" s="874">
        <f>INDEX(tblTerritories!$AA$3:$AL$32,iScores!CB$84,iScores!$AV90)</f>
        <v>1</v>
      </c>
    </row>
    <row r="91" spans="1:96" s="367" customFormat="1">
      <c r="Q91" s="117"/>
      <c r="AV91" s="367">
        <f t="shared" si="208"/>
        <v>3</v>
      </c>
      <c r="AW91" s="17" t="str">
        <f>INDEX(tblTerritories!$BG$1:$BK$1,iScores!AV91)</f>
        <v>LATAM</v>
      </c>
      <c r="AX91" s="367">
        <f t="shared" si="209"/>
        <v>6</v>
      </c>
      <c r="AY91" s="874">
        <f>INDEX(tblTerritories!$AA$3:$AL$32,iScores!AY$84,iScores!$AV91)</f>
        <v>0</v>
      </c>
      <c r="AZ91" s="874">
        <f>INDEX(tblTerritories!$AA$3:$AL$32,iScores!AZ$84,iScores!$AV91)</f>
        <v>0</v>
      </c>
      <c r="BA91" s="874">
        <f>INDEX(tblTerritories!$AA$3:$AL$32,iScores!BA$84,iScores!$AV91)</f>
        <v>0</v>
      </c>
      <c r="BB91" s="874">
        <f>INDEX(tblTerritories!$AA$3:$AL$32,iScores!BB$84,iScores!$AV91)</f>
        <v>0</v>
      </c>
      <c r="BC91" s="874">
        <f>INDEX(tblTerritories!$AA$3:$AL$32,iScores!BC$84,iScores!$AV91)</f>
        <v>0</v>
      </c>
      <c r="BD91" s="874">
        <f>INDEX(tblTerritories!$AA$3:$AL$32,iScores!BD$84,iScores!$AV91)</f>
        <v>0</v>
      </c>
      <c r="BE91" s="874">
        <f>INDEX(tblTerritories!$AA$3:$AL$32,iScores!BE$84,iScores!$AV91)</f>
        <v>1</v>
      </c>
      <c r="BF91" s="874">
        <f>INDEX(tblTerritories!$AA$3:$AL$32,iScores!BF$84,iScores!$AV91)</f>
        <v>0</v>
      </c>
      <c r="BG91" s="874">
        <f>INDEX(tblTerritories!$AA$3:$AL$32,iScores!BG$84,iScores!$AV91)</f>
        <v>0</v>
      </c>
      <c r="BH91" s="874">
        <f>INDEX(tblTerritories!$AA$3:$AL$32,iScores!BH$84,iScores!$AV91)</f>
        <v>0</v>
      </c>
      <c r="BI91" s="874">
        <f>INDEX(tblTerritories!$AA$3:$AL$32,iScores!BI$84,iScores!$AV91)</f>
        <v>0</v>
      </c>
      <c r="BJ91" s="874">
        <f>INDEX(tblTerritories!$AA$3:$AL$32,iScores!BJ$84,iScores!$AV91)</f>
        <v>0</v>
      </c>
      <c r="BK91" s="874">
        <f>INDEX(tblTerritories!$AA$3:$AL$32,iScores!BK$84,iScores!$AV91)</f>
        <v>0</v>
      </c>
      <c r="BL91" s="874">
        <f>INDEX(tblTerritories!$AA$3:$AL$32,iScores!BL$84,iScores!$AV91)</f>
        <v>0</v>
      </c>
      <c r="BM91" s="874">
        <f>INDEX(tblTerritories!$AA$3:$AL$32,iScores!BM$84,iScores!$AV91)</f>
        <v>0</v>
      </c>
      <c r="BN91" s="874">
        <f>INDEX(tblTerritories!$AA$3:$AL$32,iScores!BN$84,iScores!$AV91)</f>
        <v>0</v>
      </c>
      <c r="BO91" s="874">
        <f>INDEX(tblTerritories!$AA$3:$AL$32,iScores!BO$84,iScores!$AV91)</f>
        <v>0</v>
      </c>
      <c r="BP91" s="874">
        <f>INDEX(tblTerritories!$AA$3:$AL$32,iScores!BP$84,iScores!$AV91)</f>
        <v>1</v>
      </c>
      <c r="BQ91" s="874">
        <f>INDEX(tblTerritories!$AA$3:$AL$32,iScores!BQ$84,iScores!$AV91)</f>
        <v>0</v>
      </c>
      <c r="BR91" s="874">
        <f>INDEX(tblTerritories!$AA$3:$AL$32,iScores!BR$84,iScores!$AV91)</f>
        <v>0</v>
      </c>
      <c r="BS91" s="874">
        <f>INDEX(tblTerritories!$AA$3:$AL$32,iScores!BS$84,iScores!$AV91)</f>
        <v>0</v>
      </c>
      <c r="BT91" s="874">
        <f>INDEX(tblTerritories!$AA$3:$AL$32,iScores!BT$84,iScores!$AV91)</f>
        <v>0</v>
      </c>
      <c r="BU91" s="874">
        <f>INDEX(tblTerritories!$AA$3:$AL$32,iScores!BU$84,iScores!$AV91)</f>
        <v>1</v>
      </c>
      <c r="BV91" s="874">
        <f>INDEX(tblTerritories!$AA$3:$AL$32,iScores!BV$84,iScores!$AV91)</f>
        <v>0</v>
      </c>
      <c r="BW91" s="874">
        <f>INDEX(tblTerritories!$AA$3:$AL$32,iScores!BW$84,iScores!$AV91)</f>
        <v>0</v>
      </c>
      <c r="BX91" s="874">
        <f>INDEX(tblTerritories!$AA$3:$AL$32,iScores!BX$84,iScores!$AV91)</f>
        <v>0</v>
      </c>
      <c r="BY91" s="874">
        <f>INDEX(tblTerritories!$AA$3:$AL$32,iScores!BY$84,iScores!$AV91)</f>
        <v>0</v>
      </c>
      <c r="BZ91" s="874">
        <f>INDEX(tblTerritories!$AA$3:$AL$32,iScores!BZ$84,iScores!$AV91)</f>
        <v>0</v>
      </c>
      <c r="CA91" s="874">
        <f>INDEX(tblTerritories!$AA$3:$AL$32,iScores!CA$84,iScores!$AV91)</f>
        <v>0</v>
      </c>
      <c r="CB91" s="874">
        <f>INDEX(tblTerritories!$AA$3:$AL$32,iScores!CB$84,iScores!$AV91)</f>
        <v>0</v>
      </c>
    </row>
    <row r="92" spans="1:96" s="367" customFormat="1">
      <c r="Q92" s="117"/>
      <c r="AV92" s="367">
        <f t="shared" si="208"/>
        <v>4</v>
      </c>
      <c r="AW92" s="17" t="str">
        <f>INDEX(tblTerritories!$BG$1:$BK$1,iScores!AV92)</f>
        <v>MEA</v>
      </c>
      <c r="AX92" s="367">
        <f t="shared" si="209"/>
        <v>7</v>
      </c>
      <c r="AY92" s="874">
        <f>INDEX(tblTerritories!$AA$3:$AL$32,iScores!AY$84,iScores!$AV92)</f>
        <v>0</v>
      </c>
      <c r="AZ92" s="874">
        <f>INDEX(tblTerritories!$AA$3:$AL$32,iScores!AZ$84,iScores!$AV92)</f>
        <v>0</v>
      </c>
      <c r="BA92" s="874">
        <f>INDEX(tblTerritories!$AA$3:$AL$32,iScores!BA$84,iScores!$AV92)</f>
        <v>0</v>
      </c>
      <c r="BB92" s="874">
        <f>INDEX(tblTerritories!$AA$3:$AL$32,iScores!BB$84,iScores!$AV92)</f>
        <v>0</v>
      </c>
      <c r="BC92" s="874">
        <f>INDEX(tblTerritories!$AA$3:$AL$32,iScores!BC$84,iScores!$AV92)</f>
        <v>0</v>
      </c>
      <c r="BD92" s="874">
        <f>INDEX(tblTerritories!$AA$3:$AL$32,iScores!BD$84,iScores!$AV92)</f>
        <v>0</v>
      </c>
      <c r="BE92" s="874">
        <f>INDEX(tblTerritories!$AA$3:$AL$32,iScores!BE$84,iScores!$AV92)</f>
        <v>0</v>
      </c>
      <c r="BF92" s="874">
        <f>INDEX(tblTerritories!$AA$3:$AL$32,iScores!BF$84,iScores!$AV92)</f>
        <v>0</v>
      </c>
      <c r="BG92" s="874">
        <f>INDEX(tblTerritories!$AA$3:$AL$32,iScores!BG$84,iScores!$AV92)</f>
        <v>0</v>
      </c>
      <c r="BH92" s="874">
        <f>INDEX(tblTerritories!$AA$3:$AL$32,iScores!BH$84,iScores!$AV92)</f>
        <v>1</v>
      </c>
      <c r="BI92" s="874">
        <f>INDEX(tblTerritories!$AA$3:$AL$32,iScores!BI$84,iScores!$AV92)</f>
        <v>0</v>
      </c>
      <c r="BJ92" s="874">
        <f>INDEX(tblTerritories!$AA$3:$AL$32,iScores!BJ$84,iScores!$AV92)</f>
        <v>0</v>
      </c>
      <c r="BK92" s="874">
        <f>INDEX(tblTerritories!$AA$3:$AL$32,iScores!BK$84,iScores!$AV92)</f>
        <v>0</v>
      </c>
      <c r="BL92" s="874">
        <f>INDEX(tblTerritories!$AA$3:$AL$32,iScores!BL$84,iScores!$AV92)</f>
        <v>0</v>
      </c>
      <c r="BM92" s="874">
        <f>INDEX(tblTerritories!$AA$3:$AL$32,iScores!BM$84,iScores!$AV92)</f>
        <v>0</v>
      </c>
      <c r="BN92" s="874">
        <f>INDEX(tblTerritories!$AA$3:$AL$32,iScores!BN$84,iScores!$AV92)</f>
        <v>0</v>
      </c>
      <c r="BO92" s="874">
        <f>INDEX(tblTerritories!$AA$3:$AL$32,iScores!BO$84,iScores!$AV92)</f>
        <v>0</v>
      </c>
      <c r="BP92" s="874">
        <f>INDEX(tblTerritories!$AA$3:$AL$32,iScores!BP$84,iScores!$AV92)</f>
        <v>0</v>
      </c>
      <c r="BQ92" s="874">
        <f>INDEX(tblTerritories!$AA$3:$AL$32,iScores!BQ$84,iScores!$AV92)</f>
        <v>0</v>
      </c>
      <c r="BR92" s="874">
        <f>INDEX(tblTerritories!$AA$3:$AL$32,iScores!BR$84,iScores!$AV92)</f>
        <v>0</v>
      </c>
      <c r="BS92" s="874">
        <f>INDEX(tblTerritories!$AA$3:$AL$32,iScores!BS$84,iScores!$AV92)</f>
        <v>0</v>
      </c>
      <c r="BT92" s="874">
        <f>INDEX(tblTerritories!$AA$3:$AL$32,iScores!BT$84,iScores!$AV92)</f>
        <v>0</v>
      </c>
      <c r="BU92" s="874">
        <f>INDEX(tblTerritories!$AA$3:$AL$32,iScores!BU$84,iScores!$AV92)</f>
        <v>0</v>
      </c>
      <c r="BV92" s="874">
        <f>INDEX(tblTerritories!$AA$3:$AL$32,iScores!BV$84,iScores!$AV92)</f>
        <v>0</v>
      </c>
      <c r="BW92" s="874">
        <f>INDEX(tblTerritories!$AA$3:$AL$32,iScores!BW$84,iScores!$AV92)</f>
        <v>0</v>
      </c>
      <c r="BX92" s="874">
        <f>INDEX(tblTerritories!$AA$3:$AL$32,iScores!BX$84,iScores!$AV92)</f>
        <v>0</v>
      </c>
      <c r="BY92" s="874">
        <f>INDEX(tblTerritories!$AA$3:$AL$32,iScores!BY$84,iScores!$AV92)</f>
        <v>0</v>
      </c>
      <c r="BZ92" s="874">
        <f>INDEX(tblTerritories!$AA$3:$AL$32,iScores!BZ$84,iScores!$AV92)</f>
        <v>0</v>
      </c>
      <c r="CA92" s="874">
        <f>INDEX(tblTerritories!$AA$3:$AL$32,iScores!CA$84,iScores!$AV92)</f>
        <v>0</v>
      </c>
      <c r="CB92" s="874">
        <f>INDEX(tblTerritories!$AA$3:$AL$32,iScores!CB$84,iScores!$AV92)</f>
        <v>0</v>
      </c>
    </row>
    <row r="93" spans="1:96" s="367" customFormat="1" ht="15" thickBot="1">
      <c r="Q93" s="117"/>
      <c r="AV93" s="367">
        <f t="shared" si="208"/>
        <v>5</v>
      </c>
      <c r="AW93" s="17" t="str">
        <f>INDEX(tblTerritories!$BG$1:$BK$1,iScores!AV93)</f>
        <v>NA</v>
      </c>
      <c r="AX93" s="367">
        <f t="shared" si="209"/>
        <v>8</v>
      </c>
      <c r="AY93" s="874">
        <f>INDEX(tblTerritories!$AA$3:$AL$32,iScores!AY$84,iScores!$AV93)</f>
        <v>0</v>
      </c>
      <c r="AZ93" s="874">
        <f>INDEX(tblTerritories!$AA$3:$AL$32,iScores!AZ$84,iScores!$AV93)</f>
        <v>0</v>
      </c>
      <c r="BA93" s="874">
        <f>INDEX(tblTerritories!$AA$3:$AL$32,iScores!BA$84,iScores!$AV93)</f>
        <v>0</v>
      </c>
      <c r="BB93" s="874">
        <f>INDEX(tblTerritories!$AA$3:$AL$32,iScores!BB$84,iScores!$AV93)</f>
        <v>0</v>
      </c>
      <c r="BC93" s="874">
        <f>INDEX(tblTerritories!$AA$3:$AL$32,iScores!BC$84,iScores!$AV93)</f>
        <v>0</v>
      </c>
      <c r="BD93" s="874">
        <f>INDEX(tblTerritories!$AA$3:$AL$32,iScores!BD$84,iScores!$AV93)</f>
        <v>0</v>
      </c>
      <c r="BE93" s="874">
        <f>INDEX(tblTerritories!$AA$3:$AL$32,iScores!BE$84,iScores!$AV93)</f>
        <v>0</v>
      </c>
      <c r="BF93" s="874">
        <f>INDEX(tblTerritories!$AA$3:$AL$32,iScores!BF$84,iScores!$AV93)</f>
        <v>0</v>
      </c>
      <c r="BG93" s="874">
        <f>INDEX(tblTerritories!$AA$3:$AL$32,iScores!BG$84,iScores!$AV93)</f>
        <v>1</v>
      </c>
      <c r="BH93" s="874">
        <f>INDEX(tblTerritories!$AA$3:$AL$32,iScores!BH$84,iScores!$AV93)</f>
        <v>0</v>
      </c>
      <c r="BI93" s="874">
        <f>INDEX(tblTerritories!$AA$3:$AL$32,iScores!BI$84,iScores!$AV93)</f>
        <v>0</v>
      </c>
      <c r="BJ93" s="874">
        <f>INDEX(tblTerritories!$AA$3:$AL$32,iScores!BJ$84,iScores!$AV93)</f>
        <v>0</v>
      </c>
      <c r="BK93" s="874">
        <f>INDEX(tblTerritories!$AA$3:$AL$32,iScores!BK$84,iScores!$AV93)</f>
        <v>0</v>
      </c>
      <c r="BL93" s="874">
        <f>INDEX(tblTerritories!$AA$3:$AL$32,iScores!BL$84,iScores!$AV93)</f>
        <v>0</v>
      </c>
      <c r="BM93" s="874">
        <f>INDEX(tblTerritories!$AA$3:$AL$32,iScores!BM$84,iScores!$AV93)</f>
        <v>0</v>
      </c>
      <c r="BN93" s="874">
        <f>INDEX(tblTerritories!$AA$3:$AL$32,iScores!BN$84,iScores!$AV93)</f>
        <v>0</v>
      </c>
      <c r="BO93" s="874">
        <f>INDEX(tblTerritories!$AA$3:$AL$32,iScores!BO$84,iScores!$AV93)</f>
        <v>0</v>
      </c>
      <c r="BP93" s="874">
        <f>INDEX(tblTerritories!$AA$3:$AL$32,iScores!BP$84,iScores!$AV93)</f>
        <v>0</v>
      </c>
      <c r="BQ93" s="874">
        <f>INDEX(tblTerritories!$AA$3:$AL$32,iScores!BQ$84,iScores!$AV93)</f>
        <v>0</v>
      </c>
      <c r="BR93" s="874">
        <f>INDEX(tblTerritories!$AA$3:$AL$32,iScores!BR$84,iScores!$AV93)</f>
        <v>1</v>
      </c>
      <c r="BS93" s="874">
        <f>INDEX(tblTerritories!$AA$3:$AL$32,iScores!BS$84,iScores!$AV93)</f>
        <v>0</v>
      </c>
      <c r="BT93" s="874">
        <f>INDEX(tblTerritories!$AA$3:$AL$32,iScores!BT$84,iScores!$AV93)</f>
        <v>0</v>
      </c>
      <c r="BU93" s="874">
        <f>INDEX(tblTerritories!$AA$3:$AL$32,iScores!BU$84,iScores!$AV93)</f>
        <v>0</v>
      </c>
      <c r="BV93" s="874">
        <f>INDEX(tblTerritories!$AA$3:$AL$32,iScores!BV$84,iScores!$AV93)</f>
        <v>0</v>
      </c>
      <c r="BW93" s="874">
        <f>INDEX(tblTerritories!$AA$3:$AL$32,iScores!BW$84,iScores!$AV93)</f>
        <v>0</v>
      </c>
      <c r="BX93" s="874">
        <f>INDEX(tblTerritories!$AA$3:$AL$32,iScores!BX$84,iScores!$AV93)</f>
        <v>0</v>
      </c>
      <c r="BY93" s="874">
        <f>INDEX(tblTerritories!$AA$3:$AL$32,iScores!BY$84,iScores!$AV93)</f>
        <v>0</v>
      </c>
      <c r="BZ93" s="874">
        <f>INDEX(tblTerritories!$AA$3:$AL$32,iScores!BZ$84,iScores!$AV93)</f>
        <v>1</v>
      </c>
      <c r="CA93" s="874">
        <f>INDEX(tblTerritories!$AA$3:$AL$32,iScores!CA$84,iScores!$AV93)</f>
        <v>1</v>
      </c>
      <c r="CB93" s="874">
        <f>INDEX(tblTerritories!$AA$3:$AL$32,iScores!CB$84,iScores!$AV93)</f>
        <v>0</v>
      </c>
    </row>
    <row r="94" spans="1:96" ht="15" thickBot="1">
      <c r="A94" s="367"/>
      <c r="B94" s="367"/>
      <c r="C94" s="367"/>
      <c r="D94" s="367"/>
      <c r="E94" s="367"/>
      <c r="F94" s="367"/>
      <c r="G94" s="367"/>
      <c r="H94" s="367"/>
      <c r="I94" s="367"/>
      <c r="J94" s="367"/>
      <c r="K94" s="367"/>
      <c r="L94" s="367"/>
      <c r="M94" s="367"/>
      <c r="N94" s="367"/>
      <c r="AW94" s="17" t="s">
        <v>975</v>
      </c>
      <c r="AX94" s="367">
        <f t="shared" si="209"/>
        <v>9</v>
      </c>
      <c r="AY94" s="872">
        <v>1</v>
      </c>
      <c r="AZ94" s="872">
        <v>1</v>
      </c>
      <c r="BA94" s="872">
        <v>1</v>
      </c>
      <c r="BB94" s="872">
        <v>1</v>
      </c>
      <c r="BC94" s="872">
        <v>1</v>
      </c>
      <c r="BD94" s="872">
        <v>1</v>
      </c>
      <c r="BE94" s="872">
        <v>1</v>
      </c>
      <c r="BF94" s="872">
        <v>1</v>
      </c>
      <c r="BG94" s="872">
        <v>1</v>
      </c>
      <c r="BH94" s="872">
        <v>1</v>
      </c>
      <c r="BI94" s="872">
        <v>1</v>
      </c>
      <c r="BJ94" s="872">
        <v>1</v>
      </c>
      <c r="BK94" s="872">
        <v>1</v>
      </c>
      <c r="BL94" s="872">
        <v>1</v>
      </c>
      <c r="BM94" s="872">
        <v>1</v>
      </c>
      <c r="BN94" s="872">
        <v>1</v>
      </c>
      <c r="BO94" s="872">
        <v>1</v>
      </c>
      <c r="BP94" s="872">
        <v>1</v>
      </c>
      <c r="BQ94" s="872">
        <v>1</v>
      </c>
      <c r="BR94" s="872">
        <v>1</v>
      </c>
      <c r="BS94" s="872">
        <v>1</v>
      </c>
      <c r="BT94" s="872">
        <v>1</v>
      </c>
      <c r="BU94" s="872">
        <v>1</v>
      </c>
      <c r="BV94" s="872">
        <v>1</v>
      </c>
      <c r="BW94" s="872">
        <v>1</v>
      </c>
      <c r="BX94" s="872">
        <v>1</v>
      </c>
      <c r="BY94" s="872">
        <v>1</v>
      </c>
      <c r="BZ94" s="872">
        <v>1</v>
      </c>
      <c r="CA94" s="872">
        <v>1</v>
      </c>
      <c r="CB94" s="872">
        <v>1</v>
      </c>
    </row>
    <row r="95" spans="1:96">
      <c r="A95" s="367"/>
      <c r="B95" s="367"/>
      <c r="C95" s="367"/>
      <c r="D95" s="367"/>
      <c r="E95" s="367"/>
      <c r="F95" s="367"/>
      <c r="G95" s="367"/>
      <c r="H95" s="367"/>
      <c r="I95" s="367"/>
      <c r="J95" s="367"/>
      <c r="K95" s="367"/>
      <c r="L95" s="367"/>
      <c r="M95" s="367"/>
      <c r="N95" s="367"/>
      <c r="AV95">
        <f>1+AV94</f>
        <v>1</v>
      </c>
      <c r="AW95" s="17" t="str" cm="1">
        <f t="array" ref="AW95">INDEX(tblTerritories!$AF$2:$AH$2,iScores!AV95)</f>
        <v>Low &amp; lower middle income</v>
      </c>
      <c r="AX95" s="367">
        <f t="shared" si="207"/>
        <v>10</v>
      </c>
      <c r="AY95" s="875">
        <f>INDEX(tblTerritories!$AF$3:$AH$32,iScores!AY$84,iScores!$AV95)</f>
        <v>0</v>
      </c>
      <c r="AZ95" s="872">
        <f>INDEX(tblTerritories!$AF$3:$AH$32,iScores!AZ$84,iScores!$AV95)</f>
        <v>0</v>
      </c>
      <c r="BA95" s="872">
        <f>INDEX(tblTerritories!$AF$3:$AH$32,iScores!BA$84,iScores!$AV95)</f>
        <v>0</v>
      </c>
      <c r="BB95" s="872">
        <f>INDEX(tblTerritories!$AF$3:$AH$32,iScores!BB$84,iScores!$AV95)</f>
        <v>0</v>
      </c>
      <c r="BC95" s="872">
        <f>INDEX(tblTerritories!$AF$3:$AH$32,iScores!BC$84,iScores!$AV95)</f>
        <v>0</v>
      </c>
      <c r="BD95" s="872">
        <f>INDEX(tblTerritories!$AF$3:$AH$32,iScores!BD$84,iScores!$AV95)</f>
        <v>0</v>
      </c>
      <c r="BE95" s="872">
        <f>INDEX(tblTerritories!$AF$3:$AH$32,iScores!BE$84,iScores!$AV95)</f>
        <v>0</v>
      </c>
      <c r="BF95" s="872">
        <f>INDEX(tblTerritories!$AF$3:$AH$32,iScores!BF$84,iScores!$AV95)</f>
        <v>0</v>
      </c>
      <c r="BG95" s="872">
        <f>INDEX(tblTerritories!$AF$3:$AH$32,iScores!BG$84,iScores!$AV95)</f>
        <v>0</v>
      </c>
      <c r="BH95" s="872">
        <f>INDEX(tblTerritories!$AF$3:$AH$32,iScores!BH$84,iScores!$AV95)</f>
        <v>0</v>
      </c>
      <c r="BI95" s="872">
        <f>INDEX(tblTerritories!$AF$3:$AH$32,iScores!BI$84,iScores!$AV95)</f>
        <v>0</v>
      </c>
      <c r="BJ95" s="872">
        <f>INDEX(tblTerritories!$AF$3:$AH$32,iScores!BJ$84,iScores!$AV95)</f>
        <v>0</v>
      </c>
      <c r="BK95" s="872">
        <f>INDEX(tblTerritories!$AF$3:$AH$32,iScores!BK$84,iScores!$AV95)</f>
        <v>1</v>
      </c>
      <c r="BL95" s="872">
        <f>INDEX(tblTerritories!$AF$3:$AH$32,iScores!BL$84,iScores!$AV95)</f>
        <v>0</v>
      </c>
      <c r="BM95" s="872">
        <f>INDEX(tblTerritories!$AF$3:$AH$32,iScores!BM$84,iScores!$AV95)</f>
        <v>0</v>
      </c>
      <c r="BN95" s="872">
        <f>INDEX(tblTerritories!$AF$3:$AH$32,iScores!BN$84,iScores!$AV95)</f>
        <v>0</v>
      </c>
      <c r="BO95" s="872">
        <f>INDEX(tblTerritories!$AF$3:$AH$32,iScores!BO$84,iScores!$AV95)</f>
        <v>1</v>
      </c>
      <c r="BP95" s="872">
        <f>INDEX(tblTerritories!$AF$3:$AH$32,iScores!BP$84,iScores!$AV95)</f>
        <v>0</v>
      </c>
      <c r="BQ95" s="872">
        <f>INDEX(tblTerritories!$AF$3:$AH$32,iScores!BQ$84,iScores!$AV95)</f>
        <v>1</v>
      </c>
      <c r="BR95" s="872">
        <f>INDEX(tblTerritories!$AF$3:$AH$32,iScores!BR$84,iScores!$AV95)</f>
        <v>0</v>
      </c>
      <c r="BS95" s="872">
        <f>INDEX(tblTerritories!$AF$3:$AH$32,iScores!BS$84,iScores!$AV95)</f>
        <v>0</v>
      </c>
      <c r="BT95" s="872">
        <f>INDEX(tblTerritories!$AF$3:$AH$32,iScores!BT$84,iScores!$AV95)</f>
        <v>0</v>
      </c>
      <c r="BU95" s="872">
        <f>INDEX(tblTerritories!$AF$3:$AH$32,iScores!BU$84,iScores!$AV95)</f>
        <v>0</v>
      </c>
      <c r="BV95" s="872">
        <f>INDEX(tblTerritories!$AF$3:$AH$32,iScores!BV$84,iScores!$AV95)</f>
        <v>0</v>
      </c>
      <c r="BW95" s="872">
        <f>INDEX(tblTerritories!$AF$3:$AH$32,iScores!BW$84,iScores!$AV95)</f>
        <v>0</v>
      </c>
      <c r="BX95" s="872">
        <f>INDEX(tblTerritories!$AF$3:$AH$32,iScores!BX$84,iScores!$AV95)</f>
        <v>0</v>
      </c>
      <c r="BY95" s="872">
        <f>INDEX(tblTerritories!$AF$3:$AH$32,iScores!BY$84,iScores!$AV95)</f>
        <v>0</v>
      </c>
      <c r="BZ95" s="872">
        <f>INDEX(tblTerritories!$AF$3:$AH$32,iScores!BZ$84,iScores!$AV95)</f>
        <v>0</v>
      </c>
      <c r="CA95" s="872">
        <f>INDEX(tblTerritories!$AF$3:$AH$32,iScores!CA$84,iScores!$AV95)</f>
        <v>0</v>
      </c>
      <c r="CB95" s="872">
        <f>INDEX(tblTerritories!$AF$3:$AH$32,iScores!CB$84,iScores!$AV95)</f>
        <v>0</v>
      </c>
    </row>
    <row r="96" spans="1:96" s="367" customFormat="1">
      <c r="Q96" s="117"/>
      <c r="AV96" s="367">
        <f t="shared" ref="AV96:AV97" si="210">1+AV95</f>
        <v>2</v>
      </c>
      <c r="AW96" s="17" t="str" cm="1">
        <f t="array" ref="AW96">INDEX(tblTerritories!$AF$2:$AH$2,iScores!AV96)</f>
        <v>Upper middle income</v>
      </c>
      <c r="AX96" s="367">
        <f t="shared" si="207"/>
        <v>11</v>
      </c>
      <c r="AY96" s="876">
        <f>INDEX(tblTerritories!$AF$3:$AH$32,iScores!AY$84,iScores!$AV96)</f>
        <v>0</v>
      </c>
      <c r="AZ96" s="874">
        <f>INDEX(tblTerritories!$AF$3:$AH$32,iScores!AZ$84,iScores!$AV96)</f>
        <v>0</v>
      </c>
      <c r="BA96" s="874">
        <f>INDEX(tblTerritories!$AF$3:$AH$32,iScores!BA$84,iScores!$AV96)</f>
        <v>1</v>
      </c>
      <c r="BB96" s="874">
        <f>INDEX(tblTerritories!$AF$3:$AH$32,iScores!BB$84,iScores!$AV96)</f>
        <v>0</v>
      </c>
      <c r="BC96" s="874">
        <f>INDEX(tblTerritories!$AF$3:$AH$32,iScores!BC$84,iScores!$AV96)</f>
        <v>1</v>
      </c>
      <c r="BD96" s="874">
        <f>INDEX(tblTerritories!$AF$3:$AH$32,iScores!BD$84,iScores!$AV96)</f>
        <v>0</v>
      </c>
      <c r="BE96" s="874">
        <f>INDEX(tblTerritories!$AF$3:$AH$32,iScores!BE$84,iScores!$AV96)</f>
        <v>1</v>
      </c>
      <c r="BF96" s="874">
        <f>INDEX(tblTerritories!$AF$3:$AH$32,iScores!BF$84,iScores!$AV96)</f>
        <v>0</v>
      </c>
      <c r="BG96" s="874">
        <f>INDEX(tblTerritories!$AF$3:$AH$32,iScores!BG$84,iScores!$AV96)</f>
        <v>0</v>
      </c>
      <c r="BH96" s="874">
        <f>INDEX(tblTerritories!$AF$3:$AH$32,iScores!BH$84,iScores!$AV96)</f>
        <v>0</v>
      </c>
      <c r="BI96" s="874">
        <f>INDEX(tblTerritories!$AF$3:$AH$32,iScores!BI$84,iScores!$AV96)</f>
        <v>0</v>
      </c>
      <c r="BJ96" s="874">
        <f>INDEX(tblTerritories!$AF$3:$AH$32,iScores!BJ$84,iScores!$AV96)</f>
        <v>0</v>
      </c>
      <c r="BK96" s="874">
        <f>INDEX(tblTerritories!$AF$3:$AH$32,iScores!BK$84,iScores!$AV96)</f>
        <v>0</v>
      </c>
      <c r="BL96" s="874">
        <f>INDEX(tblTerritories!$AF$3:$AH$32,iScores!BL$84,iScores!$AV96)</f>
        <v>1</v>
      </c>
      <c r="BM96" s="874">
        <f>INDEX(tblTerritories!$AF$3:$AH$32,iScores!BM$84,iScores!$AV96)</f>
        <v>0</v>
      </c>
      <c r="BN96" s="874">
        <f>INDEX(tblTerritories!$AF$3:$AH$32,iScores!BN$84,iScores!$AV96)</f>
        <v>0</v>
      </c>
      <c r="BO96" s="874">
        <f>INDEX(tblTerritories!$AF$3:$AH$32,iScores!BO$84,iScores!$AV96)</f>
        <v>0</v>
      </c>
      <c r="BP96" s="874">
        <f>INDEX(tblTerritories!$AF$3:$AH$32,iScores!BP$84,iScores!$AV96)</f>
        <v>1</v>
      </c>
      <c r="BQ96" s="874">
        <f>INDEX(tblTerritories!$AF$3:$AH$32,iScores!BQ$84,iScores!$AV96)</f>
        <v>0</v>
      </c>
      <c r="BR96" s="874">
        <f>INDEX(tblTerritories!$AF$3:$AH$32,iScores!BR$84,iScores!$AV96)</f>
        <v>0</v>
      </c>
      <c r="BS96" s="874">
        <f>INDEX(tblTerritories!$AF$3:$AH$32,iScores!BS$84,iScores!$AV96)</f>
        <v>0</v>
      </c>
      <c r="BT96" s="874">
        <f>INDEX(tblTerritories!$AF$3:$AH$32,iScores!BT$84,iScores!$AV96)</f>
        <v>0</v>
      </c>
      <c r="BU96" s="874">
        <f>INDEX(tblTerritories!$AF$3:$AH$32,iScores!BU$84,iScores!$AV96)</f>
        <v>1</v>
      </c>
      <c r="BV96" s="874">
        <f>INDEX(tblTerritories!$AF$3:$AH$32,iScores!BV$84,iScores!$AV96)</f>
        <v>0</v>
      </c>
      <c r="BW96" s="874">
        <f>INDEX(tblTerritories!$AF$3:$AH$32,iScores!BW$84,iScores!$AV96)</f>
        <v>0</v>
      </c>
      <c r="BX96" s="874">
        <f>INDEX(tblTerritories!$AF$3:$AH$32,iScores!BX$84,iScores!$AV96)</f>
        <v>0</v>
      </c>
      <c r="BY96" s="874">
        <f>INDEX(tblTerritories!$AF$3:$AH$32,iScores!BY$84,iScores!$AV96)</f>
        <v>0</v>
      </c>
      <c r="BZ96" s="874">
        <f>INDEX(tblTerritories!$AF$3:$AH$32,iScores!BZ$84,iScores!$AV96)</f>
        <v>0</v>
      </c>
      <c r="CA96" s="874">
        <f>INDEX(tblTerritories!$AF$3:$AH$32,iScores!CA$84,iScores!$AV96)</f>
        <v>0</v>
      </c>
      <c r="CB96" s="874">
        <f>INDEX(tblTerritories!$AF$3:$AH$32,iScores!CB$84,iScores!$AV96)</f>
        <v>0</v>
      </c>
    </row>
    <row r="97" spans="1:80" s="367" customFormat="1">
      <c r="Q97" s="117"/>
      <c r="AV97" s="367">
        <f t="shared" si="210"/>
        <v>3</v>
      </c>
      <c r="AW97" s="17" t="str" cm="1">
        <f t="array" ref="AW97">INDEX(tblTerritories!$AF$2:$AH$2,iScores!AV97)</f>
        <v>High income</v>
      </c>
      <c r="AX97" s="367">
        <f t="shared" si="207"/>
        <v>12</v>
      </c>
      <c r="AY97" s="876">
        <f>INDEX(tblTerritories!$AF$3:$AH$32,iScores!AY$84,iScores!$AV97)</f>
        <v>1</v>
      </c>
      <c r="AZ97" s="874">
        <f>INDEX(tblTerritories!$AF$3:$AH$32,iScores!AZ$84,iScores!$AV97)</f>
        <v>1</v>
      </c>
      <c r="BA97" s="874">
        <f>INDEX(tblTerritories!$AF$3:$AH$32,iScores!BA$84,iScores!$AV97)</f>
        <v>0</v>
      </c>
      <c r="BB97" s="874">
        <f>INDEX(tblTerritories!$AF$3:$AH$32,iScores!BB$84,iScores!$AV97)</f>
        <v>1</v>
      </c>
      <c r="BC97" s="874">
        <f>INDEX(tblTerritories!$AF$3:$AH$32,iScores!BC$84,iScores!$AV97)</f>
        <v>0</v>
      </c>
      <c r="BD97" s="874">
        <f>INDEX(tblTerritories!$AF$3:$AH$32,iScores!BD$84,iScores!$AV97)</f>
        <v>1</v>
      </c>
      <c r="BE97" s="874">
        <f>INDEX(tblTerritories!$AF$3:$AH$32,iScores!BE$84,iScores!$AV97)</f>
        <v>0</v>
      </c>
      <c r="BF97" s="874">
        <f>INDEX(tblTerritories!$AF$3:$AH$32,iScores!BF$84,iScores!$AV97)</f>
        <v>1</v>
      </c>
      <c r="BG97" s="874">
        <f>INDEX(tblTerritories!$AF$3:$AH$32,iScores!BG$84,iScores!$AV97)</f>
        <v>1</v>
      </c>
      <c r="BH97" s="874">
        <f>INDEX(tblTerritories!$AF$3:$AH$32,iScores!BH$84,iScores!$AV97)</f>
        <v>1</v>
      </c>
      <c r="BI97" s="874">
        <f>INDEX(tblTerritories!$AF$3:$AH$32,iScores!BI$84,iScores!$AV97)</f>
        <v>1</v>
      </c>
      <c r="BJ97" s="874">
        <f>INDEX(tblTerritories!$AF$3:$AH$32,iScores!BJ$84,iScores!$AV97)</f>
        <v>1</v>
      </c>
      <c r="BK97" s="874">
        <f>INDEX(tblTerritories!$AF$3:$AH$32,iScores!BK$84,iScores!$AV97)</f>
        <v>0</v>
      </c>
      <c r="BL97" s="874">
        <f>INDEX(tblTerritories!$AF$3:$AH$32,iScores!BL$84,iScores!$AV97)</f>
        <v>0</v>
      </c>
      <c r="BM97" s="874">
        <f>INDEX(tblTerritories!$AF$3:$AH$32,iScores!BM$84,iScores!$AV97)</f>
        <v>1</v>
      </c>
      <c r="BN97" s="874">
        <f>INDEX(tblTerritories!$AF$3:$AH$32,iScores!BN$84,iScores!$AV97)</f>
        <v>1</v>
      </c>
      <c r="BO97" s="874">
        <f>INDEX(tblTerritories!$AF$3:$AH$32,iScores!BO$84,iScores!$AV97)</f>
        <v>0</v>
      </c>
      <c r="BP97" s="874">
        <f>INDEX(tblTerritories!$AF$3:$AH$32,iScores!BP$84,iScores!$AV97)</f>
        <v>0</v>
      </c>
      <c r="BQ97" s="874">
        <f>INDEX(tblTerritories!$AF$3:$AH$32,iScores!BQ$84,iScores!$AV97)</f>
        <v>0</v>
      </c>
      <c r="BR97" s="874">
        <f>INDEX(tblTerritories!$AF$3:$AH$32,iScores!BR$84,iScores!$AV97)</f>
        <v>1</v>
      </c>
      <c r="BS97" s="874">
        <f>INDEX(tblTerritories!$AF$3:$AH$32,iScores!BS$84,iScores!$AV97)</f>
        <v>1</v>
      </c>
      <c r="BT97" s="874">
        <f>INDEX(tblTerritories!$AF$3:$AH$32,iScores!BT$84,iScores!$AV97)</f>
        <v>1</v>
      </c>
      <c r="BU97" s="874">
        <f>INDEX(tblTerritories!$AF$3:$AH$32,iScores!BU$84,iScores!$AV97)</f>
        <v>0</v>
      </c>
      <c r="BV97" s="874">
        <f>INDEX(tblTerritories!$AF$3:$AH$32,iScores!BV$84,iScores!$AV97)</f>
        <v>1</v>
      </c>
      <c r="BW97" s="874">
        <f>INDEX(tblTerritories!$AF$3:$AH$32,iScores!BW$84,iScores!$AV97)</f>
        <v>1</v>
      </c>
      <c r="BX97" s="874">
        <f>INDEX(tblTerritories!$AF$3:$AH$32,iScores!BX$84,iScores!$AV97)</f>
        <v>1</v>
      </c>
      <c r="BY97" s="874">
        <f>INDEX(tblTerritories!$AF$3:$AH$32,iScores!BY$84,iScores!$AV97)</f>
        <v>1</v>
      </c>
      <c r="BZ97" s="874">
        <f>INDEX(tblTerritories!$AF$3:$AH$32,iScores!BZ$84,iScores!$AV97)</f>
        <v>1</v>
      </c>
      <c r="CA97" s="874">
        <f>INDEX(tblTerritories!$AF$3:$AH$32,iScores!CA$84,iScores!$AV97)</f>
        <v>1</v>
      </c>
      <c r="CB97" s="874">
        <f>INDEX(tblTerritories!$AF$3:$AH$32,iScores!CB$84,iScores!$AV97)</f>
        <v>1</v>
      </c>
    </row>
    <row r="98" spans="1:80" s="367" customFormat="1" ht="15" thickBot="1">
      <c r="A98"/>
      <c r="B98"/>
      <c r="C98"/>
      <c r="D98"/>
      <c r="E98"/>
      <c r="F98"/>
      <c r="G98"/>
      <c r="H98"/>
      <c r="I98"/>
      <c r="J98"/>
      <c r="K98"/>
      <c r="L98"/>
      <c r="M98"/>
      <c r="N98"/>
      <c r="Q98" s="117"/>
      <c r="AW98" s="17" t="s">
        <v>976</v>
      </c>
      <c r="AX98" s="367">
        <f t="shared" si="207"/>
        <v>13</v>
      </c>
      <c r="AY98" s="874">
        <v>1</v>
      </c>
      <c r="AZ98" s="874">
        <v>1</v>
      </c>
      <c r="BA98" s="874">
        <v>1</v>
      </c>
      <c r="BB98" s="874">
        <v>1</v>
      </c>
      <c r="BC98" s="874">
        <v>1</v>
      </c>
      <c r="BD98" s="874">
        <v>1</v>
      </c>
      <c r="BE98" s="874">
        <v>1</v>
      </c>
      <c r="BF98" s="874">
        <v>1</v>
      </c>
      <c r="BG98" s="874">
        <v>1</v>
      </c>
      <c r="BH98" s="874">
        <v>1</v>
      </c>
      <c r="BI98" s="874">
        <v>1</v>
      </c>
      <c r="BJ98" s="874">
        <v>1</v>
      </c>
      <c r="BK98" s="874">
        <v>1</v>
      </c>
      <c r="BL98" s="874">
        <v>1</v>
      </c>
      <c r="BM98" s="874">
        <v>1</v>
      </c>
      <c r="BN98" s="874">
        <v>1</v>
      </c>
      <c r="BO98" s="874">
        <v>1</v>
      </c>
      <c r="BP98" s="874">
        <v>1</v>
      </c>
      <c r="BQ98" s="874">
        <v>1</v>
      </c>
      <c r="BR98" s="874">
        <v>1</v>
      </c>
      <c r="BS98" s="874">
        <v>1</v>
      </c>
      <c r="BT98" s="874">
        <v>1</v>
      </c>
      <c r="BU98" s="874">
        <v>1</v>
      </c>
      <c r="BV98" s="874">
        <v>1</v>
      </c>
      <c r="BW98" s="874">
        <v>1</v>
      </c>
      <c r="BX98" s="874">
        <v>1</v>
      </c>
      <c r="BY98" s="874">
        <v>1</v>
      </c>
      <c r="BZ98" s="874">
        <v>1</v>
      </c>
      <c r="CA98" s="874">
        <v>1</v>
      </c>
      <c r="CB98" s="874">
        <v>1</v>
      </c>
    </row>
    <row r="99" spans="1:80" s="367" customFormat="1">
      <c r="A99"/>
      <c r="B99"/>
      <c r="C99"/>
      <c r="D99"/>
      <c r="E99"/>
      <c r="F99"/>
      <c r="G99"/>
      <c r="H99"/>
      <c r="I99"/>
      <c r="J99"/>
      <c r="K99"/>
      <c r="L99"/>
      <c r="M99"/>
      <c r="N99"/>
      <c r="Q99" s="117"/>
      <c r="AV99" s="367">
        <f>AV98+1</f>
        <v>1</v>
      </c>
      <c r="AW99" s="17" t="str">
        <f>INDEX(tblTerritories!$BT$1:$BW$1,iScores!AV99)</f>
        <v>Population &lt; 5m</v>
      </c>
      <c r="AX99" s="367">
        <f t="shared" si="207"/>
        <v>14</v>
      </c>
      <c r="AY99" s="875">
        <f>INDEX(tblTerritories!$BT$3:$BW$32,iScores!AY$84,iScores!$AV99)</f>
        <v>1</v>
      </c>
      <c r="AZ99" s="872">
        <f>INDEX(tblTerritories!$BT$3:$BW$32,iScores!AZ$84,iScores!$AV99)</f>
        <v>1</v>
      </c>
      <c r="BA99" s="872">
        <f>INDEX(tblTerritories!$BT$3:$BW$32,iScores!BA$84,iScores!$AV99)</f>
        <v>0</v>
      </c>
      <c r="BB99" s="872">
        <f>INDEX(tblTerritories!$BT$3:$BW$32,iScores!BB$84,iScores!$AV99)</f>
        <v>0</v>
      </c>
      <c r="BC99" s="872">
        <f>INDEX(tblTerritories!$BT$3:$BW$32,iScores!BC$84,iScores!$AV99)</f>
        <v>0</v>
      </c>
      <c r="BD99" s="872">
        <f>INDEX(tblTerritories!$BT$3:$BW$32,iScores!BD$84,iScores!$AV99)</f>
        <v>0</v>
      </c>
      <c r="BE99" s="872">
        <f>INDEX(tblTerritories!$BT$3:$BW$32,iScores!BE$84,iScores!$AV99)</f>
        <v>0</v>
      </c>
      <c r="BF99" s="872">
        <f>INDEX(tblTerritories!$BT$3:$BW$32,iScores!BF$84,iScores!$AV99)</f>
        <v>1</v>
      </c>
      <c r="BG99" s="872">
        <f>INDEX(tblTerritories!$BT$3:$BW$32,iScores!BG$84,iScores!$AV99)</f>
        <v>0</v>
      </c>
      <c r="BH99" s="872">
        <f>INDEX(tblTerritories!$BT$3:$BW$32,iScores!BH$84,iScores!$AV99)</f>
        <v>1</v>
      </c>
      <c r="BI99" s="872">
        <f>INDEX(tblTerritories!$BT$3:$BW$32,iScores!BI$84,iScores!$AV99)</f>
        <v>1</v>
      </c>
      <c r="BJ99" s="872">
        <f>INDEX(tblTerritories!$BT$3:$BW$32,iScores!BJ$84,iScores!$AV99)</f>
        <v>0</v>
      </c>
      <c r="BK99" s="872">
        <f>INDEX(tblTerritories!$BT$3:$BW$32,iScores!BK$84,iScores!$AV99)</f>
        <v>0</v>
      </c>
      <c r="BL99" s="872">
        <f>INDEX(tblTerritories!$BT$3:$BW$32,iScores!BL$84,iScores!$AV99)</f>
        <v>0</v>
      </c>
      <c r="BM99" s="872">
        <f>INDEX(tblTerritories!$BT$3:$BW$32,iScores!BM$84,iScores!$AV99)</f>
        <v>0</v>
      </c>
      <c r="BN99" s="872">
        <f>INDEX(tblTerritories!$BT$3:$BW$32,iScores!BN$84,iScores!$AV99)</f>
        <v>0</v>
      </c>
      <c r="BO99" s="872">
        <f>INDEX(tblTerritories!$BT$3:$BW$32,iScores!BO$84,iScores!$AV99)</f>
        <v>0</v>
      </c>
      <c r="BP99" s="872">
        <f>INDEX(tblTerritories!$BT$3:$BW$32,iScores!BP$84,iScores!$AV99)</f>
        <v>0</v>
      </c>
      <c r="BQ99" s="872">
        <f>INDEX(tblTerritories!$BT$3:$BW$32,iScores!BQ$84,iScores!$AV99)</f>
        <v>0</v>
      </c>
      <c r="BR99" s="872">
        <f>INDEX(tblTerritories!$BT$3:$BW$32,iScores!BR$84,iScores!$AV99)</f>
        <v>0</v>
      </c>
      <c r="BS99" s="872">
        <f>INDEX(tblTerritories!$BT$3:$BW$32,iScores!BS$84,iScores!$AV99)</f>
        <v>0</v>
      </c>
      <c r="BT99" s="872">
        <f>INDEX(tblTerritories!$BT$3:$BW$32,iScores!BT$84,iScores!$AV99)</f>
        <v>1</v>
      </c>
      <c r="BU99" s="872">
        <f>INDEX(tblTerritories!$BT$3:$BW$32,iScores!BU$84,iScores!$AV99)</f>
        <v>0</v>
      </c>
      <c r="BV99" s="872">
        <f>INDEX(tblTerritories!$BT$3:$BW$32,iScores!BV$84,iScores!$AV99)</f>
        <v>0</v>
      </c>
      <c r="BW99" s="872">
        <f>INDEX(tblTerritories!$BT$3:$BW$32,iScores!BW$84,iScores!$AV99)</f>
        <v>0</v>
      </c>
      <c r="BX99" s="872">
        <f>INDEX(tblTerritories!$BT$3:$BW$32,iScores!BX$84,iScores!$AV99)</f>
        <v>1</v>
      </c>
      <c r="BY99" s="872">
        <f>INDEX(tblTerritories!$BT$3:$BW$32,iScores!BY$84,iScores!$AV99)</f>
        <v>0</v>
      </c>
      <c r="BZ99" s="872">
        <f>INDEX(tblTerritories!$BT$3:$BW$32,iScores!BZ$84,iScores!$AV99)</f>
        <v>0</v>
      </c>
      <c r="CA99" s="872">
        <f>INDEX(tblTerritories!$BT$3:$BW$32,iScores!CA$84,iScores!$AV99)</f>
        <v>0</v>
      </c>
      <c r="CB99" s="872">
        <f>INDEX(tblTerritories!$BT$3:$BW$32,iScores!CB$84,iScores!$AV99)</f>
        <v>1</v>
      </c>
    </row>
    <row r="100" spans="1:80" s="367" customFormat="1">
      <c r="A100"/>
      <c r="B100"/>
      <c r="C100"/>
      <c r="D100"/>
      <c r="E100"/>
      <c r="F100"/>
      <c r="G100"/>
      <c r="H100"/>
      <c r="I100"/>
      <c r="J100"/>
      <c r="K100"/>
      <c r="L100"/>
      <c r="M100"/>
      <c r="N100"/>
      <c r="Q100" s="117"/>
      <c r="AV100" s="367">
        <f t="shared" ref="AV100:AV102" si="211">AV99+1</f>
        <v>2</v>
      </c>
      <c r="AW100" s="17" t="str">
        <f>INDEX(tblTerritories!$BT$1:$BW$1,iScores!AV100)</f>
        <v>Population 5-10m</v>
      </c>
      <c r="AX100" s="367">
        <f t="shared" si="207"/>
        <v>15</v>
      </c>
      <c r="AY100" s="876">
        <f>INDEX(tblTerritories!$BT$3:$BW$32,iScores!AY$84,iScores!$AV100)</f>
        <v>0</v>
      </c>
      <c r="AZ100" s="874">
        <f>INDEX(tblTerritories!$BT$3:$BW$32,iScores!AZ$84,iScores!$AV100)</f>
        <v>0</v>
      </c>
      <c r="BA100" s="874">
        <f>INDEX(tblTerritories!$BT$3:$BW$32,iScores!BA$84,iScores!$AV100)</f>
        <v>0</v>
      </c>
      <c r="BB100" s="874">
        <f>INDEX(tblTerritories!$BT$3:$BW$32,iScores!BB$84,iScores!$AV100)</f>
        <v>1</v>
      </c>
      <c r="BC100" s="874">
        <f>INDEX(tblTerritories!$BT$3:$BW$32,iScores!BC$84,iScores!$AV100)</f>
        <v>0</v>
      </c>
      <c r="BD100" s="874">
        <f>INDEX(tblTerritories!$BT$3:$BW$32,iScores!BD$84,iScores!$AV100)</f>
        <v>1</v>
      </c>
      <c r="BE100" s="874">
        <f>INDEX(tblTerritories!$BT$3:$BW$32,iScores!BE$84,iScores!$AV100)</f>
        <v>0</v>
      </c>
      <c r="BF100" s="874">
        <f>INDEX(tblTerritories!$BT$3:$BW$32,iScores!BF$84,iScores!$AV100)</f>
        <v>0</v>
      </c>
      <c r="BG100" s="874">
        <f>INDEX(tblTerritories!$BT$3:$BW$32,iScores!BG$84,iScores!$AV100)</f>
        <v>1</v>
      </c>
      <c r="BH100" s="874">
        <f>INDEX(tblTerritories!$BT$3:$BW$32,iScores!BH$84,iScores!$AV100)</f>
        <v>0</v>
      </c>
      <c r="BI100" s="874">
        <f>INDEX(tblTerritories!$BT$3:$BW$32,iScores!BI$84,iScores!$AV100)</f>
        <v>0</v>
      </c>
      <c r="BJ100" s="874">
        <f>INDEX(tblTerritories!$BT$3:$BW$32,iScores!BJ$84,iScores!$AV100)</f>
        <v>1</v>
      </c>
      <c r="BK100" s="874">
        <f>INDEX(tblTerritories!$BT$3:$BW$32,iScores!BK$84,iScores!$AV100)</f>
        <v>0</v>
      </c>
      <c r="BL100" s="874">
        <f>INDEX(tblTerritories!$BT$3:$BW$32,iScores!BL$84,iScores!$AV100)</f>
        <v>1</v>
      </c>
      <c r="BM100" s="874">
        <f>INDEX(tblTerritories!$BT$3:$BW$32,iScores!BM$84,iScores!$AV100)</f>
        <v>0</v>
      </c>
      <c r="BN100" s="874">
        <f>INDEX(tblTerritories!$BT$3:$BW$32,iScores!BN$84,iScores!$AV100)</f>
        <v>1</v>
      </c>
      <c r="BO100" s="874">
        <f>INDEX(tblTerritories!$BT$3:$BW$32,iScores!BO$84,iScores!$AV100)</f>
        <v>0</v>
      </c>
      <c r="BP100" s="874">
        <f>INDEX(tblTerritories!$BT$3:$BW$32,iScores!BP$84,iScores!$AV100)</f>
        <v>0</v>
      </c>
      <c r="BQ100" s="874">
        <f>INDEX(tblTerritories!$BT$3:$BW$32,iScores!BQ$84,iScores!$AV100)</f>
        <v>0</v>
      </c>
      <c r="BR100" s="874">
        <f>INDEX(tblTerritories!$BT$3:$BW$32,iScores!BR$84,iScores!$AV100)</f>
        <v>0</v>
      </c>
      <c r="BS100" s="874">
        <f>INDEX(tblTerritories!$BT$3:$BW$32,iScores!BS$84,iScores!$AV100)</f>
        <v>0</v>
      </c>
      <c r="BT100" s="874">
        <f>INDEX(tblTerritories!$BT$3:$BW$32,iScores!BT$84,iScores!$AV100)</f>
        <v>0</v>
      </c>
      <c r="BU100" s="874">
        <f>INDEX(tblTerritories!$BT$3:$BW$32,iScores!BU$84,iScores!$AV100)</f>
        <v>0</v>
      </c>
      <c r="BV100" s="874">
        <f>INDEX(tblTerritories!$BT$3:$BW$32,iScores!BV$84,iScores!$AV100)</f>
        <v>0</v>
      </c>
      <c r="BW100" s="874">
        <f>INDEX(tblTerritories!$BT$3:$BW$32,iScores!BW$84,iScores!$AV100)</f>
        <v>1</v>
      </c>
      <c r="BX100" s="874">
        <f>INDEX(tblTerritories!$BT$3:$BW$32,iScores!BX$84,iScores!$AV100)</f>
        <v>0</v>
      </c>
      <c r="BY100" s="874">
        <f>INDEX(tblTerritories!$BT$3:$BW$32,iScores!BY$84,iScores!$AV100)</f>
        <v>0</v>
      </c>
      <c r="BZ100" s="874">
        <f>INDEX(tblTerritories!$BT$3:$BW$32,iScores!BZ$84,iScores!$AV100)</f>
        <v>1</v>
      </c>
      <c r="CA100" s="874">
        <f>INDEX(tblTerritories!$BT$3:$BW$32,iScores!CA$84,iScores!$AV100)</f>
        <v>1</v>
      </c>
      <c r="CB100" s="874">
        <f>INDEX(tblTerritories!$BT$3:$BW$32,iScores!CB$84,iScores!$AV100)</f>
        <v>0</v>
      </c>
    </row>
    <row r="101" spans="1:80" s="367" customFormat="1">
      <c r="A101"/>
      <c r="B101"/>
      <c r="C101"/>
      <c r="D101"/>
      <c r="E101"/>
      <c r="F101"/>
      <c r="G101"/>
      <c r="H101"/>
      <c r="I101"/>
      <c r="J101"/>
      <c r="K101"/>
      <c r="L101"/>
      <c r="M101"/>
      <c r="N101"/>
      <c r="Q101" s="117"/>
      <c r="AV101" s="367">
        <f t="shared" si="211"/>
        <v>3</v>
      </c>
      <c r="AW101" s="17" t="str">
        <f>INDEX(tblTerritories!$BT$1:$BW$1,iScores!AV101)</f>
        <v>Population 10-15m</v>
      </c>
      <c r="AX101" s="367">
        <f t="shared" si="207"/>
        <v>16</v>
      </c>
      <c r="AY101" s="876">
        <f>INDEX(tblTerritories!$BT$3:$BW$32,iScores!AY$84,iScores!$AV101)</f>
        <v>0</v>
      </c>
      <c r="AZ101" s="874">
        <f>INDEX(tblTerritories!$BT$3:$BW$32,iScores!AZ$84,iScores!$AV101)</f>
        <v>0</v>
      </c>
      <c r="BA101" s="874">
        <f>INDEX(tblTerritories!$BT$3:$BW$32,iScores!BA$84,iScores!$AV101)</f>
        <v>1</v>
      </c>
      <c r="BB101" s="874">
        <f>INDEX(tblTerritories!$BT$3:$BW$32,iScores!BB$84,iScores!$AV101)</f>
        <v>0</v>
      </c>
      <c r="BC101" s="874">
        <f>INDEX(tblTerritories!$BT$3:$BW$32,iScores!BC$84,iScores!$AV101)</f>
        <v>0</v>
      </c>
      <c r="BD101" s="874">
        <f>INDEX(tblTerritories!$BT$3:$BW$32,iScores!BD$84,iScores!$AV101)</f>
        <v>0</v>
      </c>
      <c r="BE101" s="874">
        <f>INDEX(tblTerritories!$BT$3:$BW$32,iScores!BE$84,iScores!$AV101)</f>
        <v>0</v>
      </c>
      <c r="BF101" s="874">
        <f>INDEX(tblTerritories!$BT$3:$BW$32,iScores!BF$84,iScores!$AV101)</f>
        <v>0</v>
      </c>
      <c r="BG101" s="874">
        <f>INDEX(tblTerritories!$BT$3:$BW$32,iScores!BG$84,iScores!$AV101)</f>
        <v>0</v>
      </c>
      <c r="BH101" s="874">
        <f>INDEX(tblTerritories!$BT$3:$BW$32,iScores!BH$84,iScores!$AV101)</f>
        <v>0</v>
      </c>
      <c r="BI101" s="874">
        <f>INDEX(tblTerritories!$BT$3:$BW$32,iScores!BI$84,iScores!$AV101)</f>
        <v>0</v>
      </c>
      <c r="BJ101" s="874">
        <f>INDEX(tblTerritories!$BT$3:$BW$32,iScores!BJ$84,iScores!$AV101)</f>
        <v>0</v>
      </c>
      <c r="BK101" s="874">
        <f>INDEX(tblTerritories!$BT$3:$BW$32,iScores!BK$84,iScores!$AV101)</f>
        <v>0</v>
      </c>
      <c r="BL101" s="874">
        <f>INDEX(tblTerritories!$BT$3:$BW$32,iScores!BL$84,iScores!$AV101)</f>
        <v>0</v>
      </c>
      <c r="BM101" s="874">
        <f>INDEX(tblTerritories!$BT$3:$BW$32,iScores!BM$84,iScores!$AV101)</f>
        <v>1</v>
      </c>
      <c r="BN101" s="874">
        <f>INDEX(tblTerritories!$BT$3:$BW$32,iScores!BN$84,iScores!$AV101)</f>
        <v>0</v>
      </c>
      <c r="BO101" s="874">
        <f>INDEX(tblTerritories!$BT$3:$BW$32,iScores!BO$84,iScores!$AV101)</f>
        <v>1</v>
      </c>
      <c r="BP101" s="874">
        <f>INDEX(tblTerritories!$BT$3:$BW$32,iScores!BP$84,iScores!$AV101)</f>
        <v>0</v>
      </c>
      <c r="BQ101" s="874">
        <f>INDEX(tblTerritories!$BT$3:$BW$32,iScores!BQ$84,iScores!$AV101)</f>
        <v>0</v>
      </c>
      <c r="BR101" s="874">
        <f>INDEX(tblTerritories!$BT$3:$BW$32,iScores!BR$84,iScores!$AV101)</f>
        <v>0</v>
      </c>
      <c r="BS101" s="874">
        <f>INDEX(tblTerritories!$BT$3:$BW$32,iScores!BS$84,iScores!$AV101)</f>
        <v>1</v>
      </c>
      <c r="BT101" s="874">
        <f>INDEX(tblTerritories!$BT$3:$BW$32,iScores!BT$84,iScores!$AV101)</f>
        <v>0</v>
      </c>
      <c r="BU101" s="874">
        <f>INDEX(tblTerritories!$BT$3:$BW$32,iScores!BU$84,iScores!$AV101)</f>
        <v>0</v>
      </c>
      <c r="BV101" s="874">
        <f>INDEX(tblTerritories!$BT$3:$BW$32,iScores!BV$84,iScores!$AV101)</f>
        <v>0</v>
      </c>
      <c r="BW101" s="874">
        <f>INDEX(tblTerritories!$BT$3:$BW$32,iScores!BW$84,iScores!$AV101)</f>
        <v>0</v>
      </c>
      <c r="BX101" s="874">
        <f>INDEX(tblTerritories!$BT$3:$BW$32,iScores!BX$84,iScores!$AV101)</f>
        <v>0</v>
      </c>
      <c r="BY101" s="874">
        <f>INDEX(tblTerritories!$BT$3:$BW$32,iScores!BY$84,iScores!$AV101)</f>
        <v>0</v>
      </c>
      <c r="BZ101" s="874">
        <f>INDEX(tblTerritories!$BT$3:$BW$32,iScores!BZ$84,iScores!$AV101)</f>
        <v>0</v>
      </c>
      <c r="CA101" s="874">
        <f>INDEX(tblTerritories!$BT$3:$BW$32,iScores!CA$84,iScores!$AV101)</f>
        <v>0</v>
      </c>
      <c r="CB101" s="874">
        <f>INDEX(tblTerritories!$BT$3:$BW$32,iScores!CB$84,iScores!$AV101)</f>
        <v>0</v>
      </c>
    </row>
    <row r="102" spans="1:80" s="367" customFormat="1">
      <c r="A102"/>
      <c r="B102"/>
      <c r="C102"/>
      <c r="D102"/>
      <c r="E102"/>
      <c r="F102"/>
      <c r="G102"/>
      <c r="H102"/>
      <c r="I102"/>
      <c r="J102"/>
      <c r="K102"/>
      <c r="L102"/>
      <c r="M102"/>
      <c r="N102"/>
      <c r="Q102" s="117"/>
      <c r="AV102" s="367">
        <f t="shared" si="211"/>
        <v>4</v>
      </c>
      <c r="AW102" s="17" t="str">
        <f>INDEX(tblTerritories!$BT$1:$BW$1,iScores!AV102)</f>
        <v>Population 15m +</v>
      </c>
      <c r="AX102" s="367">
        <f t="shared" si="207"/>
        <v>17</v>
      </c>
      <c r="AY102" s="876">
        <f>INDEX(tblTerritories!$BT$3:$BW$32,iScores!AY$84,iScores!$AV102)</f>
        <v>0</v>
      </c>
      <c r="AZ102" s="874">
        <f>INDEX(tblTerritories!$BT$3:$BW$32,iScores!AZ$84,iScores!$AV102)</f>
        <v>0</v>
      </c>
      <c r="BA102" s="874">
        <f>INDEX(tblTerritories!$BT$3:$BW$32,iScores!BA$84,iScores!$AV102)</f>
        <v>0</v>
      </c>
      <c r="BB102" s="874">
        <f>INDEX(tblTerritories!$BT$3:$BW$32,iScores!BB$84,iScores!$AV102)</f>
        <v>0</v>
      </c>
      <c r="BC102" s="874">
        <f>INDEX(tblTerritories!$BT$3:$BW$32,iScores!BC$84,iScores!$AV102)</f>
        <v>1</v>
      </c>
      <c r="BD102" s="874">
        <f>INDEX(tblTerritories!$BT$3:$BW$32,iScores!BD$84,iScores!$AV102)</f>
        <v>0</v>
      </c>
      <c r="BE102" s="874">
        <f>INDEX(tblTerritories!$BT$3:$BW$32,iScores!BE$84,iScores!$AV102)</f>
        <v>1</v>
      </c>
      <c r="BF102" s="874">
        <f>INDEX(tblTerritories!$BT$3:$BW$32,iScores!BF$84,iScores!$AV102)</f>
        <v>0</v>
      </c>
      <c r="BG102" s="874">
        <f>INDEX(tblTerritories!$BT$3:$BW$32,iScores!BG$84,iScores!$AV102)</f>
        <v>0</v>
      </c>
      <c r="BH102" s="874">
        <f>INDEX(tblTerritories!$BT$3:$BW$32,iScores!BH$84,iScores!$AV102)</f>
        <v>0</v>
      </c>
      <c r="BI102" s="874">
        <f>INDEX(tblTerritories!$BT$3:$BW$32,iScores!BI$84,iScores!$AV102)</f>
        <v>0</v>
      </c>
      <c r="BJ102" s="874">
        <f>INDEX(tblTerritories!$BT$3:$BW$32,iScores!BJ$84,iScores!$AV102)</f>
        <v>0</v>
      </c>
      <c r="BK102" s="874">
        <f>INDEX(tblTerritories!$BT$3:$BW$32,iScores!BK$84,iScores!$AV102)</f>
        <v>1</v>
      </c>
      <c r="BL102" s="874">
        <f>INDEX(tblTerritories!$BT$3:$BW$32,iScores!BL$84,iScores!$AV102)</f>
        <v>0</v>
      </c>
      <c r="BM102" s="874">
        <f>INDEX(tblTerritories!$BT$3:$BW$32,iScores!BM$84,iScores!$AV102)</f>
        <v>0</v>
      </c>
      <c r="BN102" s="874">
        <f>INDEX(tblTerritories!$BT$3:$BW$32,iScores!BN$84,iScores!$AV102)</f>
        <v>0</v>
      </c>
      <c r="BO102" s="874">
        <f>INDEX(tblTerritories!$BT$3:$BW$32,iScores!BO$84,iScores!$AV102)</f>
        <v>0</v>
      </c>
      <c r="BP102" s="874">
        <f>INDEX(tblTerritories!$BT$3:$BW$32,iScores!BP$84,iScores!$AV102)</f>
        <v>1</v>
      </c>
      <c r="BQ102" s="874">
        <f>INDEX(tblTerritories!$BT$3:$BW$32,iScores!BQ$84,iScores!$AV102)</f>
        <v>1</v>
      </c>
      <c r="BR102" s="874">
        <f>INDEX(tblTerritories!$BT$3:$BW$32,iScores!BR$84,iScores!$AV102)</f>
        <v>1</v>
      </c>
      <c r="BS102" s="874">
        <f>INDEX(tblTerritories!$BT$3:$BW$32,iScores!BS$84,iScores!$AV102)</f>
        <v>0</v>
      </c>
      <c r="BT102" s="874">
        <f>INDEX(tblTerritories!$BT$3:$BW$32,iScores!BT$84,iScores!$AV102)</f>
        <v>0</v>
      </c>
      <c r="BU102" s="874">
        <f>INDEX(tblTerritories!$BT$3:$BW$32,iScores!BU$84,iScores!$AV102)</f>
        <v>1</v>
      </c>
      <c r="BV102" s="874">
        <f>INDEX(tblTerritories!$BT$3:$BW$32,iScores!BV$84,iScores!$AV102)</f>
        <v>1</v>
      </c>
      <c r="BW102" s="874">
        <f>INDEX(tblTerritories!$BT$3:$BW$32,iScores!BW$84,iScores!$AV102)</f>
        <v>0</v>
      </c>
      <c r="BX102" s="874">
        <f>INDEX(tblTerritories!$BT$3:$BW$32,iScores!BX$84,iScores!$AV102)</f>
        <v>0</v>
      </c>
      <c r="BY102" s="874">
        <f>INDEX(tblTerritories!$BT$3:$BW$32,iScores!BY$84,iScores!$AV102)</f>
        <v>1</v>
      </c>
      <c r="BZ102" s="874">
        <f>INDEX(tblTerritories!$BT$3:$BW$32,iScores!BZ$84,iScores!$AV102)</f>
        <v>0</v>
      </c>
      <c r="CA102" s="874">
        <f>INDEX(tblTerritories!$BT$3:$BW$32,iScores!CA$84,iScores!$AV102)</f>
        <v>0</v>
      </c>
      <c r="CB102" s="874">
        <f>INDEX(tblTerritories!$BT$3:$BW$32,iScores!CB$84,iScores!$AV102)</f>
        <v>0</v>
      </c>
    </row>
    <row r="103" spans="1:80" s="367" customFormat="1">
      <c r="A103"/>
      <c r="B103"/>
      <c r="C103"/>
      <c r="D103"/>
      <c r="E103"/>
      <c r="F103"/>
      <c r="G103"/>
      <c r="H103"/>
      <c r="I103"/>
      <c r="J103"/>
      <c r="K103"/>
      <c r="L103"/>
      <c r="M103"/>
      <c r="N103"/>
      <c r="Q103" s="117"/>
      <c r="AW103" s="17"/>
      <c r="AY103" s="874"/>
      <c r="AZ103" s="874"/>
      <c r="BA103" s="874"/>
      <c r="BB103" s="874"/>
      <c r="BC103" s="874"/>
      <c r="BD103" s="874"/>
      <c r="BE103" s="874"/>
      <c r="BF103" s="874"/>
      <c r="BG103" s="874"/>
      <c r="BH103" s="874"/>
      <c r="BI103" s="874"/>
      <c r="BJ103" s="874"/>
      <c r="BK103" s="874"/>
      <c r="BL103" s="874"/>
      <c r="BM103" s="874"/>
      <c r="BN103" s="874"/>
      <c r="BO103" s="874"/>
      <c r="BP103" s="874"/>
      <c r="BQ103" s="874"/>
      <c r="BR103" s="874"/>
      <c r="BS103" s="874"/>
      <c r="BT103" s="874"/>
      <c r="BU103" s="874"/>
      <c r="BV103" s="874"/>
      <c r="BW103" s="874"/>
      <c r="BX103" s="874"/>
      <c r="BY103" s="874"/>
      <c r="BZ103" s="874"/>
      <c r="CA103" s="874"/>
      <c r="CB103" s="874"/>
    </row>
    <row r="104" spans="1:80">
      <c r="AW104" s="17" t="str">
        <f>INDEX(AW88:AW93,uxb_works!$B$12)</f>
        <v>All Regions</v>
      </c>
      <c r="AX104">
        <f>SUM(AY104:CB104)</f>
        <v>30</v>
      </c>
      <c r="AY104" s="22">
        <f>INDEX(AY88:AY93,uxb_works!$B$12)</f>
        <v>1</v>
      </c>
      <c r="AZ104" s="22">
        <f>INDEX(AZ88:AZ93,uxb_works!$B$12)</f>
        <v>1</v>
      </c>
      <c r="BA104" s="22">
        <f>INDEX(BA88:BA93,uxb_works!$B$12)</f>
        <v>1</v>
      </c>
      <c r="BB104" s="22">
        <f>INDEX(BB88:BB93,uxb_works!$B$12)</f>
        <v>1</v>
      </c>
      <c r="BC104" s="22">
        <f>INDEX(BC88:BC93,uxb_works!$B$12)</f>
        <v>1</v>
      </c>
      <c r="BD104" s="22">
        <f>INDEX(BD88:BD93,uxb_works!$B$12)</f>
        <v>1</v>
      </c>
      <c r="BE104" s="22">
        <f>INDEX(BE88:BE93,uxb_works!$B$12)</f>
        <v>1</v>
      </c>
      <c r="BF104" s="22">
        <f>INDEX(BF88:BF93,uxb_works!$B$12)</f>
        <v>1</v>
      </c>
      <c r="BG104" s="22">
        <f>INDEX(BG88:BG93,uxb_works!$B$12)</f>
        <v>1</v>
      </c>
      <c r="BH104" s="22">
        <f>INDEX(BH88:BH93,uxb_works!$B$12)</f>
        <v>1</v>
      </c>
      <c r="BI104" s="22">
        <f>INDEX(BI88:BI93,uxb_works!$B$12)</f>
        <v>1</v>
      </c>
      <c r="BJ104" s="22">
        <f>INDEX(BJ88:BJ93,uxb_works!$B$12)</f>
        <v>1</v>
      </c>
      <c r="BK104" s="22">
        <f>INDEX(BK88:BK93,uxb_works!$B$12)</f>
        <v>1</v>
      </c>
      <c r="BL104" s="22">
        <f>INDEX(BL88:BL93,uxb_works!$B$12)</f>
        <v>1</v>
      </c>
      <c r="BM104" s="22">
        <f>INDEX(BM88:BM93,uxb_works!$B$12)</f>
        <v>1</v>
      </c>
      <c r="BN104" s="22">
        <f>INDEX(BN88:BN93,uxb_works!$B$12)</f>
        <v>1</v>
      </c>
      <c r="BO104" s="22">
        <f>INDEX(BO88:BO93,uxb_works!$B$12)</f>
        <v>1</v>
      </c>
      <c r="BP104" s="22">
        <f>INDEX(BP88:BP93,uxb_works!$B$12)</f>
        <v>1</v>
      </c>
      <c r="BQ104" s="22">
        <f>INDEX(BQ88:BQ93,uxb_works!$B$12)</f>
        <v>1</v>
      </c>
      <c r="BR104" s="22">
        <f>INDEX(BR88:BR93,uxb_works!$B$12)</f>
        <v>1</v>
      </c>
      <c r="BS104" s="22">
        <f>INDEX(BS88:BS93,uxb_works!$B$12)</f>
        <v>1</v>
      </c>
      <c r="BT104" s="22">
        <f>INDEX(BT88:BT93,uxb_works!$B$12)</f>
        <v>1</v>
      </c>
      <c r="BU104" s="22">
        <f>INDEX(BU88:BU93,uxb_works!$B$12)</f>
        <v>1</v>
      </c>
      <c r="BV104" s="22">
        <f>INDEX(BV88:BV93,uxb_works!$B$12)</f>
        <v>1</v>
      </c>
      <c r="BW104" s="22">
        <f>INDEX(BW88:BW93,uxb_works!$B$12)</f>
        <v>1</v>
      </c>
      <c r="BX104" s="22">
        <f>INDEX(BX88:BX93,uxb_works!$B$12)</f>
        <v>1</v>
      </c>
      <c r="BY104" s="22">
        <f>INDEX(BY88:BY93,uxb_works!$B$12)</f>
        <v>1</v>
      </c>
      <c r="BZ104" s="22">
        <f>INDEX(BZ88:BZ93,uxb_works!$B$12)</f>
        <v>1</v>
      </c>
      <c r="CA104" s="22">
        <f>INDEX(CA88:CA93,uxb_works!$B$12)</f>
        <v>1</v>
      </c>
      <c r="CB104" s="22">
        <f>INDEX(CB88:CB93,uxb_works!$B$12)</f>
        <v>1</v>
      </c>
    </row>
    <row r="105" spans="1:80">
      <c r="AW105" s="17" t="str">
        <f>INDEX(AW94:AW97,uxb_works!$B$10)</f>
        <v>All Incomes</v>
      </c>
      <c r="AY105" s="22">
        <f>INDEX(AY94:AY97,uxb_works!$B$10)</f>
        <v>1</v>
      </c>
      <c r="AZ105" s="22">
        <f>INDEX(AZ94:AZ97,uxb_works!$B$10)</f>
        <v>1</v>
      </c>
      <c r="BA105" s="22">
        <f>INDEX(BA94:BA97,uxb_works!$B$10)</f>
        <v>1</v>
      </c>
      <c r="BB105" s="22">
        <f>INDEX(BB94:BB97,uxb_works!$B$10)</f>
        <v>1</v>
      </c>
      <c r="BC105" s="22">
        <f>INDEX(BC94:BC97,uxb_works!$B$10)</f>
        <v>1</v>
      </c>
      <c r="BD105" s="22">
        <f>INDEX(BD94:BD97,uxb_works!$B$10)</f>
        <v>1</v>
      </c>
      <c r="BE105" s="22">
        <f>INDEX(BE94:BE97,uxb_works!$B$10)</f>
        <v>1</v>
      </c>
      <c r="BF105" s="22">
        <f>INDEX(BF94:BF97,uxb_works!$B$10)</f>
        <v>1</v>
      </c>
      <c r="BG105" s="22">
        <f>INDEX(BG94:BG97,uxb_works!$B$10)</f>
        <v>1</v>
      </c>
      <c r="BH105" s="22">
        <f>INDEX(BH94:BH97,uxb_works!$B$10)</f>
        <v>1</v>
      </c>
      <c r="BI105" s="22">
        <f>INDEX(BI94:BI97,uxb_works!$B$10)</f>
        <v>1</v>
      </c>
      <c r="BJ105" s="22">
        <f>INDEX(BJ94:BJ97,uxb_works!$B$10)</f>
        <v>1</v>
      </c>
      <c r="BK105" s="22">
        <f>INDEX(BK94:BK97,uxb_works!$B$10)</f>
        <v>1</v>
      </c>
      <c r="BL105" s="22">
        <f>INDEX(BL94:BL97,uxb_works!$B$10)</f>
        <v>1</v>
      </c>
      <c r="BM105" s="22">
        <f>INDEX(BM94:BM97,uxb_works!$B$10)</f>
        <v>1</v>
      </c>
      <c r="BN105" s="22">
        <f>INDEX(BN94:BN97,uxb_works!$B$10)</f>
        <v>1</v>
      </c>
      <c r="BO105" s="22">
        <f>INDEX(BO94:BO97,uxb_works!$B$10)</f>
        <v>1</v>
      </c>
      <c r="BP105" s="22">
        <f>INDEX(BP94:BP97,uxb_works!$B$10)</f>
        <v>1</v>
      </c>
      <c r="BQ105" s="22">
        <f>INDEX(BQ94:BQ97,uxb_works!$B$10)</f>
        <v>1</v>
      </c>
      <c r="BR105" s="22">
        <f>INDEX(BR94:BR97,uxb_works!$B$10)</f>
        <v>1</v>
      </c>
      <c r="BS105" s="22">
        <f>INDEX(BS94:BS97,uxb_works!$B$10)</f>
        <v>1</v>
      </c>
      <c r="BT105" s="22">
        <f>INDEX(BT94:BT97,uxb_works!$B$10)</f>
        <v>1</v>
      </c>
      <c r="BU105" s="22">
        <f>INDEX(BU94:BU97,uxb_works!$B$10)</f>
        <v>1</v>
      </c>
      <c r="BV105" s="22">
        <f>INDEX(BV94:BV97,uxb_works!$B$10)</f>
        <v>1</v>
      </c>
      <c r="BW105" s="22">
        <f>INDEX(BW94:BW97,uxb_works!$B$10)</f>
        <v>1</v>
      </c>
      <c r="BX105" s="22">
        <f>INDEX(BX94:BX97,uxb_works!$B$10)</f>
        <v>1</v>
      </c>
      <c r="BY105" s="22">
        <f>INDEX(BY94:BY97,uxb_works!$B$10)</f>
        <v>1</v>
      </c>
      <c r="BZ105" s="22">
        <f>INDEX(BZ94:BZ97,uxb_works!$B$10)</f>
        <v>1</v>
      </c>
      <c r="CA105" s="22">
        <f>INDEX(CA94:CA97,uxb_works!$B$10)</f>
        <v>1</v>
      </c>
      <c r="CB105" s="22">
        <f>INDEX(CB94:CB97,uxb_works!$B$10)</f>
        <v>1</v>
      </c>
    </row>
    <row r="106" spans="1:80">
      <c r="AW106" s="17" t="s">
        <v>912</v>
      </c>
      <c r="AY106" s="22">
        <f>INDEX(AY98:AY102,uxb_works!$B$158)</f>
        <v>1</v>
      </c>
      <c r="AZ106" s="22">
        <f>INDEX(AZ98:AZ102,uxb_works!$B$158)</f>
        <v>1</v>
      </c>
      <c r="BA106" s="22">
        <f>INDEX(BA98:BA102,uxb_works!$B$158)</f>
        <v>1</v>
      </c>
      <c r="BB106" s="22">
        <f>INDEX(BB98:BB102,uxb_works!$B$158)</f>
        <v>1</v>
      </c>
      <c r="BC106" s="22">
        <f>INDEX(BC98:BC102,uxb_works!$B$158)</f>
        <v>1</v>
      </c>
      <c r="BD106" s="22">
        <f>INDEX(BD98:BD102,uxb_works!$B$158)</f>
        <v>1</v>
      </c>
      <c r="BE106" s="22">
        <f>INDEX(BE98:BE102,uxb_works!$B$158)</f>
        <v>1</v>
      </c>
      <c r="BF106" s="22">
        <f>INDEX(BF98:BF102,uxb_works!$B$158)</f>
        <v>1</v>
      </c>
      <c r="BG106" s="22">
        <f>INDEX(BG98:BG102,uxb_works!$B$158)</f>
        <v>1</v>
      </c>
      <c r="BH106" s="22">
        <f>INDEX(BH98:BH102,uxb_works!$B$158)</f>
        <v>1</v>
      </c>
      <c r="BI106" s="22">
        <f>INDEX(BI98:BI102,uxb_works!$B$158)</f>
        <v>1</v>
      </c>
      <c r="BJ106" s="22">
        <f>INDEX(BJ98:BJ102,uxb_works!$B$158)</f>
        <v>1</v>
      </c>
      <c r="BK106" s="22">
        <f>INDEX(BK98:BK102,uxb_works!$B$158)</f>
        <v>1</v>
      </c>
      <c r="BL106" s="22">
        <f>INDEX(BL98:BL102,uxb_works!$B$158)</f>
        <v>1</v>
      </c>
      <c r="BM106" s="22">
        <f>INDEX(BM98:BM102,uxb_works!$B$158)</f>
        <v>1</v>
      </c>
      <c r="BN106" s="22">
        <f>INDEX(BN98:BN102,uxb_works!$B$158)</f>
        <v>1</v>
      </c>
      <c r="BO106" s="22">
        <f>INDEX(BO98:BO102,uxb_works!$B$158)</f>
        <v>1</v>
      </c>
      <c r="BP106" s="22">
        <f>INDEX(BP98:BP102,uxb_works!$B$158)</f>
        <v>1</v>
      </c>
      <c r="BQ106" s="22">
        <f>INDEX(BQ98:BQ102,uxb_works!$B$158)</f>
        <v>1</v>
      </c>
      <c r="BR106" s="22">
        <f>INDEX(BR98:BR102,uxb_works!$B$158)</f>
        <v>1</v>
      </c>
      <c r="BS106" s="22">
        <f>INDEX(BS98:BS102,uxb_works!$B$158)</f>
        <v>1</v>
      </c>
      <c r="BT106" s="22">
        <f>INDEX(BT98:BT102,uxb_works!$B$158)</f>
        <v>1</v>
      </c>
      <c r="BU106" s="22">
        <f>INDEX(BU98:BU102,uxb_works!$B$158)</f>
        <v>1</v>
      </c>
      <c r="BV106" s="22">
        <f>INDEX(BV98:BV102,uxb_works!$B$158)</f>
        <v>1</v>
      </c>
      <c r="BW106" s="22">
        <f>INDEX(BW98:BW102,uxb_works!$B$158)</f>
        <v>1</v>
      </c>
      <c r="BX106" s="22">
        <f>INDEX(BX98:BX102,uxb_works!$B$158)</f>
        <v>1</v>
      </c>
      <c r="BY106" s="22">
        <f>INDEX(BY98:BY102,uxb_works!$B$158)</f>
        <v>1</v>
      </c>
      <c r="BZ106" s="22">
        <f>INDEX(BZ98:BZ102,uxb_works!$B$158)</f>
        <v>1</v>
      </c>
      <c r="CA106" s="22">
        <f>INDEX(CA98:CA102,uxb_works!$B$158)</f>
        <v>1</v>
      </c>
      <c r="CB106" s="22">
        <f>INDEX(CB98:CB102,uxb_works!$B$158)</f>
        <v>1</v>
      </c>
    </row>
  </sheetData>
  <conditionalFormatting sqref="R6:AU82">
    <cfRule type="expression" dxfId="12" priority="4">
      <formula>OR(R6&gt;100,R6=-100)</formula>
    </cfRule>
  </conditionalFormatting>
  <conditionalFormatting sqref="Q1:AU1">
    <cfRule type="expression" dxfId="11" priority="2">
      <formula>Q1&gt;100</formula>
    </cfRule>
  </conditionalFormatting>
  <conditionalFormatting sqref="Q2">
    <cfRule type="expression" dxfId="10" priority="1">
      <formula>Q2&lt;0</formula>
    </cfRule>
  </conditionalFormatting>
  <pageMargins left="0.55118110236220474" right="0.55118110236220474" top="0.59055118110236227" bottom="0.78740157480314965" header="0.51181102362204722" footer="0.51181102362204722"/>
  <pageSetup paperSize="9" scale="17" orientation="landscape" r:id="rId1"/>
  <headerFooter alignWithMargins="0">
    <oddHeader>&amp;RCity Water Optimization Index: 2020</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499984740745262"/>
    <pageSetUpPr fitToPage="1"/>
  </sheetPr>
  <dimension ref="A1:BS157"/>
  <sheetViews>
    <sheetView showGridLines="0" showRowColHeaders="0" zoomScaleNormal="100" workbookViewId="0">
      <pane xSplit="8" ySplit="5" topLeftCell="P37" activePane="bottomRight" state="frozen"/>
      <selection activeCell="X1" sqref="X1"/>
      <selection pane="topRight" activeCell="X1" sqref="X1"/>
      <selection pane="bottomLeft" activeCell="X1" sqref="X1"/>
      <selection pane="bottomRight" activeCell="A57" sqref="A57:XFD58"/>
    </sheetView>
  </sheetViews>
  <sheetFormatPr defaultColWidth="8.7265625" defaultRowHeight="14.5"/>
  <cols>
    <col min="1" max="1" width="4.81640625" style="88" customWidth="1"/>
    <col min="2" max="4" width="4.81640625" style="274" customWidth="1"/>
    <col min="5" max="5" width="4.81640625" style="47" customWidth="1"/>
    <col min="6" max="6" width="4.81640625" style="360" customWidth="1"/>
    <col min="7" max="7" width="4.81640625" style="363" customWidth="1"/>
    <col min="8" max="8" width="28.7265625" style="79" customWidth="1"/>
    <col min="9" max="9" width="15" style="50" customWidth="1"/>
    <col min="10" max="10" width="9.453125" style="50" customWidth="1"/>
    <col min="11" max="11" width="8.26953125" style="47" customWidth="1"/>
    <col min="12" max="12" width="11.81640625" style="47" customWidth="1"/>
    <col min="13" max="40" width="7.453125" style="47" customWidth="1"/>
    <col min="41" max="41" width="9.453125" style="47" customWidth="1"/>
    <col min="42" max="71" width="3.7265625" style="47" customWidth="1"/>
  </cols>
  <sheetData>
    <row r="1" spans="1:71" ht="22.5" customHeight="1">
      <c r="A1" s="99"/>
      <c r="B1" s="267"/>
      <c r="C1" s="267"/>
      <c r="D1" s="267"/>
      <c r="E1" s="99"/>
      <c r="F1" s="354"/>
      <c r="G1" s="267"/>
      <c r="H1" s="72" t="str">
        <f>uxb_works!$B$92</f>
        <v>Digital Cities Index</v>
      </c>
      <c r="I1" s="67"/>
      <c r="J1" s="67"/>
      <c r="K1" s="67">
        <v>1</v>
      </c>
      <c r="L1" s="67">
        <f>K1+1</f>
        <v>2</v>
      </c>
      <c r="M1" s="67">
        <f t="shared" ref="M1:AN1" si="0">L1+1</f>
        <v>3</v>
      </c>
      <c r="N1" s="67">
        <f t="shared" si="0"/>
        <v>4</v>
      </c>
      <c r="O1" s="67">
        <f t="shared" si="0"/>
        <v>5</v>
      </c>
      <c r="P1" s="67">
        <f t="shared" si="0"/>
        <v>6</v>
      </c>
      <c r="Q1" s="67">
        <f t="shared" si="0"/>
        <v>7</v>
      </c>
      <c r="R1" s="67">
        <f t="shared" si="0"/>
        <v>8</v>
      </c>
      <c r="S1" s="67">
        <f t="shared" si="0"/>
        <v>9</v>
      </c>
      <c r="T1" s="67">
        <f t="shared" si="0"/>
        <v>10</v>
      </c>
      <c r="U1" s="67">
        <f t="shared" si="0"/>
        <v>11</v>
      </c>
      <c r="V1" s="67">
        <f t="shared" si="0"/>
        <v>12</v>
      </c>
      <c r="W1" s="67">
        <f t="shared" si="0"/>
        <v>13</v>
      </c>
      <c r="X1" s="67">
        <f t="shared" si="0"/>
        <v>14</v>
      </c>
      <c r="Y1" s="67">
        <f t="shared" si="0"/>
        <v>15</v>
      </c>
      <c r="Z1" s="67">
        <f t="shared" si="0"/>
        <v>16</v>
      </c>
      <c r="AA1" s="67">
        <f t="shared" si="0"/>
        <v>17</v>
      </c>
      <c r="AB1" s="67">
        <f t="shared" si="0"/>
        <v>18</v>
      </c>
      <c r="AC1" s="67">
        <f t="shared" si="0"/>
        <v>19</v>
      </c>
      <c r="AD1" s="67">
        <f t="shared" si="0"/>
        <v>20</v>
      </c>
      <c r="AE1" s="67">
        <f t="shared" si="0"/>
        <v>21</v>
      </c>
      <c r="AF1" s="67">
        <f t="shared" si="0"/>
        <v>22</v>
      </c>
      <c r="AG1" s="67">
        <f t="shared" si="0"/>
        <v>23</v>
      </c>
      <c r="AH1" s="67">
        <f t="shared" si="0"/>
        <v>24</v>
      </c>
      <c r="AI1" s="67">
        <f t="shared" si="0"/>
        <v>25</v>
      </c>
      <c r="AJ1" s="67">
        <f t="shared" si="0"/>
        <v>26</v>
      </c>
      <c r="AK1" s="67">
        <f t="shared" si="0"/>
        <v>27</v>
      </c>
      <c r="AL1" s="67">
        <f t="shared" si="0"/>
        <v>28</v>
      </c>
      <c r="AM1" s="67">
        <f t="shared" si="0"/>
        <v>29</v>
      </c>
      <c r="AN1" s="67">
        <f t="shared" si="0"/>
        <v>30</v>
      </c>
      <c r="AO1" s="67"/>
      <c r="AP1" s="639" t="s">
        <v>329</v>
      </c>
      <c r="AQ1" s="639"/>
      <c r="AR1" s="639"/>
      <c r="AS1" s="639"/>
      <c r="AT1" s="639"/>
      <c r="AU1" s="639"/>
      <c r="AV1" s="639"/>
      <c r="AW1" s="639"/>
      <c r="AX1" s="639"/>
      <c r="AY1" s="639"/>
      <c r="AZ1" s="639"/>
      <c r="BA1" s="639"/>
      <c r="BB1" s="639"/>
      <c r="BC1" s="639"/>
      <c r="BD1" s="639"/>
      <c r="BE1" s="639"/>
      <c r="BF1" s="639"/>
      <c r="BG1" s="639"/>
      <c r="BH1" s="639"/>
      <c r="BI1" s="639"/>
      <c r="BJ1" s="639"/>
      <c r="BK1" s="639"/>
      <c r="BL1" s="639"/>
      <c r="BM1" s="639"/>
      <c r="BN1" s="639"/>
      <c r="BO1" s="639"/>
      <c r="BP1" s="639"/>
      <c r="BQ1" s="639"/>
      <c r="BR1" s="639"/>
      <c r="BS1" s="639"/>
    </row>
    <row r="2" spans="1:71">
      <c r="A2" s="99"/>
      <c r="B2" s="267"/>
      <c r="C2" s="268"/>
      <c r="D2" s="361"/>
      <c r="E2" s="65"/>
      <c r="F2" s="355"/>
      <c r="G2" s="361"/>
      <c r="H2" s="73"/>
      <c r="I2" s="65"/>
      <c r="J2" s="65"/>
      <c r="K2" s="21" t="s">
        <v>328</v>
      </c>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65"/>
    </row>
    <row r="3" spans="1:71" ht="16.5" hidden="1" customHeight="1">
      <c r="A3" s="99"/>
      <c r="B3" s="267"/>
      <c r="C3" s="269"/>
      <c r="D3" s="269"/>
      <c r="E3" s="69"/>
      <c r="F3" s="356"/>
      <c r="G3" s="269"/>
      <c r="H3" s="75"/>
      <c r="I3" s="69"/>
      <c r="J3" s="69"/>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69"/>
      <c r="AP3" s="365">
        <f>INDEX(tblTerritories!$B$3:$B$32,iData!AP4)</f>
        <v>0</v>
      </c>
      <c r="AQ3" s="365">
        <f>INDEX(tblTerritories!$B$3:$B$32,iData!AQ4)</f>
        <v>0</v>
      </c>
      <c r="AR3" s="365">
        <f>INDEX(tblTerritories!$B$3:$B$32,iData!AR4)</f>
        <v>0</v>
      </c>
      <c r="AS3" s="365">
        <f>INDEX(tblTerritories!$B$3:$B$32,iData!AS4)</f>
        <v>0</v>
      </c>
      <c r="AT3" s="365">
        <f>INDEX(tblTerritories!$B$3:$B$32,iData!AT4)</f>
        <v>0</v>
      </c>
      <c r="AU3" s="365">
        <f>INDEX(tblTerritories!$B$3:$B$32,iData!AU4)</f>
        <v>0</v>
      </c>
      <c r="AV3" s="365">
        <f>INDEX(tblTerritories!$B$3:$B$32,iData!AV4)</f>
        <v>0</v>
      </c>
      <c r="AW3" s="365">
        <f>INDEX(tblTerritories!$B$3:$B$32,iData!AW4)</f>
        <v>0</v>
      </c>
      <c r="AX3" s="365">
        <f>INDEX(tblTerritories!$B$3:$B$32,iData!AX4)</f>
        <v>0</v>
      </c>
      <c r="AY3" s="365">
        <f>INDEX(tblTerritories!$B$3:$B$32,iData!AY4)</f>
        <v>0</v>
      </c>
      <c r="AZ3" s="365">
        <f>INDEX(tblTerritories!$B$3:$B$32,iData!AZ4)</f>
        <v>0</v>
      </c>
      <c r="BA3" s="365">
        <f>INDEX(tblTerritories!$B$3:$B$32,iData!BA4)</f>
        <v>0</v>
      </c>
      <c r="BB3" s="365">
        <f>INDEX(tblTerritories!$B$3:$B$32,iData!BB4)</f>
        <v>0</v>
      </c>
      <c r="BC3" s="365">
        <f>INDEX(tblTerritories!$B$3:$B$32,iData!BC4)</f>
        <v>0</v>
      </c>
      <c r="BD3" s="365">
        <f>INDEX(tblTerritories!$B$3:$B$32,iData!BD4)</f>
        <v>0</v>
      </c>
      <c r="BE3" s="365">
        <f>INDEX(tblTerritories!$B$3:$B$32,iData!BE4)</f>
        <v>0</v>
      </c>
      <c r="BF3" s="365">
        <f>INDEX(tblTerritories!$B$3:$B$32,iData!BF4)</f>
        <v>0</v>
      </c>
      <c r="BG3" s="365">
        <f>INDEX(tblTerritories!$B$3:$B$32,iData!BG4)</f>
        <v>0</v>
      </c>
      <c r="BH3" s="365">
        <f>INDEX(tblTerritories!$B$3:$B$32,iData!BH4)</f>
        <v>0</v>
      </c>
      <c r="BI3" s="365">
        <f>INDEX(tblTerritories!$B$3:$B$32,iData!BI4)</f>
        <v>0</v>
      </c>
      <c r="BJ3" s="365">
        <f>INDEX(tblTerritories!$B$3:$B$32,iData!BJ4)</f>
        <v>0</v>
      </c>
      <c r="BK3" s="365">
        <f>INDEX(tblTerritories!$B$3:$B$32,iData!BK4)</f>
        <v>0</v>
      </c>
      <c r="BL3" s="365">
        <f>INDEX(tblTerritories!$B$3:$B$32,iData!BL4)</f>
        <v>0</v>
      </c>
      <c r="BM3" s="365">
        <f>INDEX(tblTerritories!$B$3:$B$32,iData!BM4)</f>
        <v>0</v>
      </c>
      <c r="BN3" s="365">
        <f>INDEX(tblTerritories!$B$3:$B$32,iData!BN4)</f>
        <v>0</v>
      </c>
      <c r="BO3" s="365">
        <f>INDEX(tblTerritories!$B$3:$B$32,iData!BO4)</f>
        <v>0</v>
      </c>
      <c r="BP3" s="365">
        <f>INDEX(tblTerritories!$B$3:$B$32,iData!BP4)</f>
        <v>0</v>
      </c>
      <c r="BQ3" s="365">
        <f>INDEX(tblTerritories!$B$3:$B$32,iData!BQ4)</f>
        <v>0</v>
      </c>
      <c r="BR3" s="365">
        <f>INDEX(tblTerritories!$B$3:$B$32,iData!BR4)</f>
        <v>0</v>
      </c>
      <c r="BS3" s="365">
        <f>INDEX(tblTerritories!$B$3:$B$32,iData!BS4)</f>
        <v>0</v>
      </c>
    </row>
    <row r="4" spans="1:71" ht="30" hidden="1" customHeight="1">
      <c r="A4" s="86"/>
      <c r="B4" s="270"/>
      <c r="C4" s="270"/>
      <c r="D4" s="270"/>
      <c r="E4" s="81"/>
      <c r="F4" s="357"/>
      <c r="G4" s="362"/>
      <c r="H4" s="82"/>
      <c r="I4" s="83">
        <v>0</v>
      </c>
      <c r="J4" s="83"/>
      <c r="K4" s="84">
        <f>J4+1</f>
        <v>1</v>
      </c>
      <c r="L4" s="84">
        <f t="shared" ref="L4:AN4" si="1">K4+1</f>
        <v>2</v>
      </c>
      <c r="M4" s="84">
        <f t="shared" si="1"/>
        <v>3</v>
      </c>
      <c r="N4" s="84">
        <f t="shared" si="1"/>
        <v>4</v>
      </c>
      <c r="O4" s="84">
        <f t="shared" si="1"/>
        <v>5</v>
      </c>
      <c r="P4" s="84">
        <f t="shared" si="1"/>
        <v>6</v>
      </c>
      <c r="Q4" s="84">
        <f t="shared" si="1"/>
        <v>7</v>
      </c>
      <c r="R4" s="84">
        <f t="shared" si="1"/>
        <v>8</v>
      </c>
      <c r="S4" s="84">
        <f t="shared" si="1"/>
        <v>9</v>
      </c>
      <c r="T4" s="84">
        <f t="shared" si="1"/>
        <v>10</v>
      </c>
      <c r="U4" s="84">
        <f t="shared" si="1"/>
        <v>11</v>
      </c>
      <c r="V4" s="84">
        <f t="shared" si="1"/>
        <v>12</v>
      </c>
      <c r="W4" s="84">
        <f t="shared" si="1"/>
        <v>13</v>
      </c>
      <c r="X4" s="84">
        <f t="shared" si="1"/>
        <v>14</v>
      </c>
      <c r="Y4" s="84">
        <f t="shared" si="1"/>
        <v>15</v>
      </c>
      <c r="Z4" s="84">
        <f t="shared" si="1"/>
        <v>16</v>
      </c>
      <c r="AA4" s="84">
        <f t="shared" si="1"/>
        <v>17</v>
      </c>
      <c r="AB4" s="84">
        <f t="shared" si="1"/>
        <v>18</v>
      </c>
      <c r="AC4" s="84">
        <f t="shared" si="1"/>
        <v>19</v>
      </c>
      <c r="AD4" s="84">
        <f t="shared" si="1"/>
        <v>20</v>
      </c>
      <c r="AE4" s="84">
        <f t="shared" si="1"/>
        <v>21</v>
      </c>
      <c r="AF4" s="84">
        <f t="shared" si="1"/>
        <v>22</v>
      </c>
      <c r="AG4" s="84">
        <f t="shared" si="1"/>
        <v>23</v>
      </c>
      <c r="AH4" s="84">
        <f t="shared" si="1"/>
        <v>24</v>
      </c>
      <c r="AI4" s="84">
        <f t="shared" si="1"/>
        <v>25</v>
      </c>
      <c r="AJ4" s="84">
        <f t="shared" si="1"/>
        <v>26</v>
      </c>
      <c r="AK4" s="84">
        <f t="shared" si="1"/>
        <v>27</v>
      </c>
      <c r="AL4" s="84">
        <f t="shared" si="1"/>
        <v>28</v>
      </c>
      <c r="AM4" s="84">
        <f t="shared" si="1"/>
        <v>29</v>
      </c>
      <c r="AN4" s="84">
        <f t="shared" si="1"/>
        <v>30</v>
      </c>
      <c r="AO4" s="81"/>
      <c r="AP4" s="81">
        <f>K4</f>
        <v>1</v>
      </c>
      <c r="AQ4" s="81">
        <f t="shared" ref="AQ4:BS5" si="2">L4</f>
        <v>2</v>
      </c>
      <c r="AR4" s="81">
        <f t="shared" si="2"/>
        <v>3</v>
      </c>
      <c r="AS4" s="81">
        <f t="shared" si="2"/>
        <v>4</v>
      </c>
      <c r="AT4" s="81">
        <f t="shared" si="2"/>
        <v>5</v>
      </c>
      <c r="AU4" s="81">
        <f t="shared" si="2"/>
        <v>6</v>
      </c>
      <c r="AV4" s="81">
        <f t="shared" si="2"/>
        <v>7</v>
      </c>
      <c r="AW4" s="81">
        <f t="shared" si="2"/>
        <v>8</v>
      </c>
      <c r="AX4" s="81">
        <f t="shared" si="2"/>
        <v>9</v>
      </c>
      <c r="AY4" s="81">
        <f t="shared" si="2"/>
        <v>10</v>
      </c>
      <c r="AZ4" s="81">
        <f t="shared" si="2"/>
        <v>11</v>
      </c>
      <c r="BA4" s="81">
        <f t="shared" si="2"/>
        <v>12</v>
      </c>
      <c r="BB4" s="81">
        <f t="shared" si="2"/>
        <v>13</v>
      </c>
      <c r="BC4" s="81">
        <f t="shared" si="2"/>
        <v>14</v>
      </c>
      <c r="BD4" s="81">
        <f t="shared" si="2"/>
        <v>15</v>
      </c>
      <c r="BE4" s="81">
        <f t="shared" si="2"/>
        <v>16</v>
      </c>
      <c r="BF4" s="81">
        <f t="shared" si="2"/>
        <v>17</v>
      </c>
      <c r="BG4" s="81">
        <f t="shared" si="2"/>
        <v>18</v>
      </c>
      <c r="BH4" s="81">
        <f t="shared" si="2"/>
        <v>19</v>
      </c>
      <c r="BI4" s="81">
        <f t="shared" si="2"/>
        <v>20</v>
      </c>
      <c r="BJ4" s="81">
        <f t="shared" si="2"/>
        <v>21</v>
      </c>
      <c r="BK4" s="81">
        <f t="shared" si="2"/>
        <v>22</v>
      </c>
      <c r="BL4" s="81">
        <f t="shared" si="2"/>
        <v>23</v>
      </c>
      <c r="BM4" s="81">
        <f t="shared" si="2"/>
        <v>24</v>
      </c>
      <c r="BN4" s="81">
        <f t="shared" si="2"/>
        <v>25</v>
      </c>
      <c r="BO4" s="81">
        <f t="shared" si="2"/>
        <v>26</v>
      </c>
      <c r="BP4" s="81">
        <f t="shared" si="2"/>
        <v>27</v>
      </c>
      <c r="BQ4" s="81">
        <f t="shared" si="2"/>
        <v>28</v>
      </c>
      <c r="BR4" s="81">
        <f t="shared" si="2"/>
        <v>29</v>
      </c>
      <c r="BS4" s="81">
        <f t="shared" si="2"/>
        <v>30</v>
      </c>
    </row>
    <row r="5" spans="1:71" ht="49.5" customHeight="1">
      <c r="A5" s="87"/>
      <c r="B5" s="53" t="str">
        <f>tblIndicators!A1</f>
        <v>line</v>
      </c>
      <c r="C5" s="271" t="str">
        <f>tblIndicators!AD1</f>
        <v>Data D.P.</v>
      </c>
      <c r="D5" s="53" t="s">
        <v>94</v>
      </c>
      <c r="E5" s="80">
        <f>tblIndicators!H1</f>
        <v>0</v>
      </c>
      <c r="F5" s="80"/>
      <c r="G5" s="56" t="str">
        <f>tblIndicators!AG1</f>
        <v>NORM_ID (1=sumproduct, 2=min max set by data values, 3=min max set by user here)</v>
      </c>
      <c r="H5" s="74" t="s">
        <v>45</v>
      </c>
      <c r="I5" s="70" t="s">
        <v>122</v>
      </c>
      <c r="J5" s="70"/>
      <c r="K5" s="71" t="str">
        <f>INDEX(tblTerritories!$C$3:$C$32,K4)</f>
        <v>Amsterdam</v>
      </c>
      <c r="L5" s="71" t="str">
        <f>INDEX(tblTerritories!$C$3:$C$32,L4)</f>
        <v>Auckland</v>
      </c>
      <c r="M5" s="71" t="str">
        <f>INDEX(tblTerritories!$C$3:$C$32,M4)</f>
        <v>Bangkok</v>
      </c>
      <c r="N5" s="71" t="str">
        <f>INDEX(tblTerritories!$C$3:$C$32,N4)</f>
        <v>Barcelona</v>
      </c>
      <c r="O5" s="71" t="str">
        <f>INDEX(tblTerritories!$C$3:$C$32,O4)</f>
        <v>Beijing</v>
      </c>
      <c r="P5" s="71" t="str">
        <f>INDEX(tblTerritories!$C$3:$C$32,P4)</f>
        <v>Berlin</v>
      </c>
      <c r="Q5" s="71" t="str">
        <f>INDEX(tblTerritories!$C$3:$C$32,Q4)</f>
        <v>Buenos Aires</v>
      </c>
      <c r="R5" s="71" t="str">
        <f>INDEX(tblTerritories!$C$3:$C$32,R4)</f>
        <v>Copenhagen</v>
      </c>
      <c r="S5" s="71" t="str">
        <f>INDEX(tblTerritories!$C$3:$C$32,S4)</f>
        <v>Dallas</v>
      </c>
      <c r="T5" s="71" t="str">
        <f>INDEX(tblTerritories!$C$3:$C$32,T4)</f>
        <v>Dubai</v>
      </c>
      <c r="U5" s="71" t="str">
        <f>INDEX(tblTerritories!$C$3:$C$32,U4)</f>
        <v>Frankfurt</v>
      </c>
      <c r="V5" s="71" t="str">
        <f>INDEX(tblTerritories!$C$3:$C$32,V4)</f>
        <v>Hong Kong</v>
      </c>
      <c r="W5" s="71" t="str">
        <f>INDEX(tblTerritories!$C$3:$C$32,W4)</f>
        <v>Jakarta</v>
      </c>
      <c r="X5" s="71" t="str">
        <f>INDEX(tblTerritories!$C$3:$C$32,X4)</f>
        <v>Kuala Lumpur</v>
      </c>
      <c r="Y5" s="71" t="str">
        <f>INDEX(tblTerritories!$C$3:$C$32,Y4)</f>
        <v>London</v>
      </c>
      <c r="Z5" s="71" t="str">
        <f>INDEX(tblTerritories!$C$3:$C$32,Z4)</f>
        <v>Madrid</v>
      </c>
      <c r="AA5" s="71" t="str">
        <f>INDEX(tblTerritories!$C$3:$C$32,AA4)</f>
        <v>Manila</v>
      </c>
      <c r="AB5" s="71" t="str">
        <f>INDEX(tblTerritories!$C$3:$C$32,AB4)</f>
        <v>Mexico City</v>
      </c>
      <c r="AC5" s="71" t="str">
        <f>INDEX(tblTerritories!$C$3:$C$32,AC4)</f>
        <v>New Delhi</v>
      </c>
      <c r="AD5" s="71" t="str">
        <f>INDEX(tblTerritories!$C$3:$C$32,AD4)</f>
        <v>New York</v>
      </c>
      <c r="AE5" s="71" t="str">
        <f>INDEX(tblTerritories!$C$3:$C$32,AE4)</f>
        <v>Paris</v>
      </c>
      <c r="AF5" s="71" t="str">
        <f>INDEX(tblTerritories!$C$3:$C$32,AF4)</f>
        <v>Rome</v>
      </c>
      <c r="AG5" s="71" t="str">
        <f>INDEX(tblTerritories!$C$3:$C$32,AG4)</f>
        <v>Sao Paulo</v>
      </c>
      <c r="AH5" s="71" t="str">
        <f>INDEX(tblTerritories!$C$3:$C$32,AH4)</f>
        <v>Seoul</v>
      </c>
      <c r="AI5" s="71" t="str">
        <f>INDEX(tblTerritories!$C$3:$C$32,AI4)</f>
        <v>Singapore</v>
      </c>
      <c r="AJ5" s="71" t="str">
        <f>INDEX(tblTerritories!$C$3:$C$32,AJ4)</f>
        <v>Sydney</v>
      </c>
      <c r="AK5" s="71" t="str">
        <f>INDEX(tblTerritories!$C$3:$C$32,AK4)</f>
        <v>Tokyo</v>
      </c>
      <c r="AL5" s="71" t="str">
        <f>INDEX(tblTerritories!$C$3:$C$32,AL4)</f>
        <v>Toronto</v>
      </c>
      <c r="AM5" s="71" t="str">
        <f>INDEX(tblTerritories!$C$3:$C$32,AM4)</f>
        <v>Washington DC</v>
      </c>
      <c r="AN5" s="71" t="str">
        <f>INDEX(tblTerritories!$C$3:$C$32,AN4)</f>
        <v>Zurich</v>
      </c>
      <c r="AO5" s="52"/>
      <c r="AP5" s="71" t="str">
        <f>K5</f>
        <v>Amsterdam</v>
      </c>
      <c r="AQ5" s="71" t="str">
        <f t="shared" si="2"/>
        <v>Auckland</v>
      </c>
      <c r="AR5" s="71" t="str">
        <f t="shared" si="2"/>
        <v>Bangkok</v>
      </c>
      <c r="AS5" s="71" t="str">
        <f t="shared" si="2"/>
        <v>Barcelona</v>
      </c>
      <c r="AT5" s="71" t="str">
        <f t="shared" si="2"/>
        <v>Beijing</v>
      </c>
      <c r="AU5" s="71" t="str">
        <f t="shared" si="2"/>
        <v>Berlin</v>
      </c>
      <c r="AV5" s="71" t="str">
        <f t="shared" si="2"/>
        <v>Buenos Aires</v>
      </c>
      <c r="AW5" s="71" t="str">
        <f t="shared" si="2"/>
        <v>Copenhagen</v>
      </c>
      <c r="AX5" s="71" t="str">
        <f t="shared" si="2"/>
        <v>Dallas</v>
      </c>
      <c r="AY5" s="71" t="str">
        <f t="shared" si="2"/>
        <v>Dubai</v>
      </c>
      <c r="AZ5" s="71" t="str">
        <f t="shared" si="2"/>
        <v>Frankfurt</v>
      </c>
      <c r="BA5" s="71" t="str">
        <f t="shared" si="2"/>
        <v>Hong Kong</v>
      </c>
      <c r="BB5" s="71" t="str">
        <f t="shared" si="2"/>
        <v>Jakarta</v>
      </c>
      <c r="BC5" s="71" t="str">
        <f t="shared" si="2"/>
        <v>Kuala Lumpur</v>
      </c>
      <c r="BD5" s="71" t="str">
        <f t="shared" si="2"/>
        <v>London</v>
      </c>
      <c r="BE5" s="71" t="str">
        <f t="shared" si="2"/>
        <v>Madrid</v>
      </c>
      <c r="BF5" s="71" t="str">
        <f t="shared" si="2"/>
        <v>Manila</v>
      </c>
      <c r="BG5" s="71" t="str">
        <f t="shared" si="2"/>
        <v>Mexico City</v>
      </c>
      <c r="BH5" s="71" t="str">
        <f t="shared" si="2"/>
        <v>New Delhi</v>
      </c>
      <c r="BI5" s="71" t="str">
        <f t="shared" si="2"/>
        <v>New York</v>
      </c>
      <c r="BJ5" s="71" t="str">
        <f t="shared" si="2"/>
        <v>Paris</v>
      </c>
      <c r="BK5" s="71" t="str">
        <f t="shared" si="2"/>
        <v>Rome</v>
      </c>
      <c r="BL5" s="71" t="str">
        <f t="shared" si="2"/>
        <v>Sao Paulo</v>
      </c>
      <c r="BM5" s="71" t="str">
        <f t="shared" si="2"/>
        <v>Seoul</v>
      </c>
      <c r="BN5" s="71" t="str">
        <f t="shared" si="2"/>
        <v>Singapore</v>
      </c>
      <c r="BO5" s="71" t="str">
        <f t="shared" si="2"/>
        <v>Sydney</v>
      </c>
      <c r="BP5" s="71" t="str">
        <f t="shared" si="2"/>
        <v>Tokyo</v>
      </c>
      <c r="BQ5" s="71" t="str">
        <f t="shared" si="2"/>
        <v>Toronto</v>
      </c>
      <c r="BR5" s="71" t="str">
        <f t="shared" si="2"/>
        <v>Washington DC</v>
      </c>
      <c r="BS5" s="71" t="str">
        <f t="shared" si="2"/>
        <v>Zurich</v>
      </c>
    </row>
    <row r="6" spans="1:71" ht="15" customHeight="1">
      <c r="A6" s="102"/>
      <c r="B6" s="271">
        <f>tblIndicators!A2</f>
        <v>1</v>
      </c>
      <c r="C6" s="271">
        <f>tblIndicators!AD2</f>
        <v>1</v>
      </c>
      <c r="D6" s="271">
        <v>0</v>
      </c>
      <c r="E6" s="103">
        <f>tblIndicators!H2</f>
        <v>0</v>
      </c>
      <c r="F6" s="103"/>
      <c r="G6" s="271">
        <f>tblIndicators!AG2</f>
        <v>1</v>
      </c>
      <c r="H6" s="100" t="str">
        <f>REPT(" ",D6)&amp;tblIndicators!AL2</f>
        <v>OVERALL SCORE</v>
      </c>
      <c r="I6" s="101" t="str">
        <f>IF(G6=1,"",tblIndicators!Z2)</f>
        <v/>
      </c>
      <c r="J6"/>
      <c r="K6" s="519" t="str">
        <f t="shared" ref="K6:K38" si="3">IF($G6=1,"",IF(AP6="-","",IF(ISNUMBER(AP6),ROUND(AP6,$C6),"")))</f>
        <v/>
      </c>
      <c r="L6" s="519" t="str">
        <f t="shared" ref="L6:L38" si="4">IF($G6=1,"",IF(AQ6="-","",IF(ISNUMBER(AQ6),ROUND(AQ6,$C6),"")))</f>
        <v/>
      </c>
      <c r="M6" s="519" t="str">
        <f t="shared" ref="M6:M38" si="5">IF($G6=1,"",IF(AR6="-","",IF(ISNUMBER(AR6),ROUND(AR6,$C6),"")))</f>
        <v/>
      </c>
      <c r="N6" s="519" t="str">
        <f t="shared" ref="N6:N38" si="6">IF($G6=1,"",IF(AS6="-","",IF(ISNUMBER(AS6),ROUND(AS6,$C6),"")))</f>
        <v/>
      </c>
      <c r="O6" s="519" t="str">
        <f t="shared" ref="O6:O38" si="7">IF($G6=1,"",IF(AT6="-","",IF(ISNUMBER(AT6),ROUND(AT6,$C6),"")))</f>
        <v/>
      </c>
      <c r="P6" s="519" t="str">
        <f t="shared" ref="P6:P38" si="8">IF($G6=1,"",IF(AU6="-","",IF(ISNUMBER(AU6),ROUND(AU6,$C6),"")))</f>
        <v/>
      </c>
      <c r="Q6" s="519" t="str">
        <f t="shared" ref="Q6:Q38" si="9">IF($G6=1,"",IF(AV6="-","",IF(ISNUMBER(AV6),ROUND(AV6,$C6),"")))</f>
        <v/>
      </c>
      <c r="R6" s="519" t="str">
        <f t="shared" ref="R6:R38" si="10">IF($G6=1,"",IF(AW6="-","",IF(ISNUMBER(AW6),ROUND(AW6,$C6),"")))</f>
        <v/>
      </c>
      <c r="S6" s="519" t="str">
        <f t="shared" ref="S6:S38" si="11">IF($G6=1,"",IF(AX6="-","",IF(ISNUMBER(AX6),ROUND(AX6,$C6),"")))</f>
        <v/>
      </c>
      <c r="T6" s="519" t="str">
        <f t="shared" ref="T6:T38" si="12">IF($G6=1,"",IF(AY6="-","",IF(ISNUMBER(AY6),ROUND(AY6,$C6),"")))</f>
        <v/>
      </c>
      <c r="U6" s="519" t="str">
        <f t="shared" ref="U6:U38" si="13">IF($G6=1,"",IF(AZ6="-","",IF(ISNUMBER(AZ6),ROUND(AZ6,$C6),"")))</f>
        <v/>
      </c>
      <c r="V6" s="519" t="str">
        <f t="shared" ref="V6:V38" si="14">IF($G6=1,"",IF(BA6="-","",IF(ISNUMBER(BA6),ROUND(BA6,$C6),"")))</f>
        <v/>
      </c>
      <c r="W6" s="519" t="str">
        <f t="shared" ref="W6:W38" si="15">IF($G6=1,"",IF(BB6="-","",IF(ISNUMBER(BB6),ROUND(BB6,$C6),"")))</f>
        <v/>
      </c>
      <c r="X6" s="519" t="str">
        <f t="shared" ref="X6:X38" si="16">IF($G6=1,"",IF(BC6="-","",IF(ISNUMBER(BC6),ROUND(BC6,$C6),"")))</f>
        <v/>
      </c>
      <c r="Y6" s="519" t="str">
        <f t="shared" ref="Y6:Y38" si="17">IF($G6=1,"",IF(BD6="-","",IF(ISNUMBER(BD6),ROUND(BD6,$C6),"")))</f>
        <v/>
      </c>
      <c r="Z6" s="519" t="str">
        <f t="shared" ref="Z6:Z38" si="18">IF($G6=1,"",IF(BE6="-","",IF(ISNUMBER(BE6),ROUND(BE6,$C6),"")))</f>
        <v/>
      </c>
      <c r="AA6" s="519" t="str">
        <f t="shared" ref="AA6:AA38" si="19">IF($G6=1,"",IF(BF6="-","",IF(ISNUMBER(BF6),ROUND(BF6,$C6),"")))</f>
        <v/>
      </c>
      <c r="AB6" s="519" t="str">
        <f t="shared" ref="AB6:AB38" si="20">IF($G6=1,"",IF(BG6="-","",IF(ISNUMBER(BG6),ROUND(BG6,$C6),"")))</f>
        <v/>
      </c>
      <c r="AC6" s="519" t="str">
        <f t="shared" ref="AC6:AC38" si="21">IF($G6=1,"",IF(BH6="-","",IF(ISNUMBER(BH6),ROUND(BH6,$C6),"")))</f>
        <v/>
      </c>
      <c r="AD6" s="519" t="str">
        <f t="shared" ref="AD6:AD38" si="22">IF($G6=1,"",IF(BI6="-","",IF(ISNUMBER(BI6),ROUND(BI6,$C6),"")))</f>
        <v/>
      </c>
      <c r="AE6" s="519" t="str">
        <f t="shared" ref="AE6:AE38" si="23">IF($G6=1,"",IF(BJ6="-","",IF(ISNUMBER(BJ6),ROUND(BJ6,$C6),"")))</f>
        <v/>
      </c>
      <c r="AF6" s="519" t="str">
        <f t="shared" ref="AF6:AF38" si="24">IF($G6=1,"",IF(BK6="-","",IF(ISNUMBER(BK6),ROUND(BK6,$C6),"")))</f>
        <v/>
      </c>
      <c r="AG6" s="519" t="str">
        <f t="shared" ref="AG6:AG38" si="25">IF($G6=1,"",IF(BL6="-","",IF(ISNUMBER(BL6),ROUND(BL6,$C6),"")))</f>
        <v/>
      </c>
      <c r="AH6" s="519" t="str">
        <f t="shared" ref="AH6:AH38" si="26">IF($G6=1,"",IF(BM6="-","",IF(ISNUMBER(BM6),ROUND(BM6,$C6),"")))</f>
        <v/>
      </c>
      <c r="AI6" s="519" t="str">
        <f t="shared" ref="AI6:AI38" si="27">IF($G6=1,"",IF(BN6="-","",IF(ISNUMBER(BN6),ROUND(BN6,$C6),"")))</f>
        <v/>
      </c>
      <c r="AJ6" s="519" t="str">
        <f t="shared" ref="AJ6:AJ38" si="28">IF($G6=1,"",IF(BO6="-","",IF(ISNUMBER(BO6),ROUND(BO6,$C6),"")))</f>
        <v/>
      </c>
      <c r="AK6" s="519" t="str">
        <f t="shared" ref="AK6:AK38" si="29">IF($G6=1,"",IF(BP6="-","",IF(ISNUMBER(BP6),ROUND(BP6,$C6),"")))</f>
        <v/>
      </c>
      <c r="AL6" s="519" t="str">
        <f t="shared" ref="AL6:AL38" si="30">IF($G6=1,"",IF(BQ6="-","",IF(ISNUMBER(BQ6),ROUND(BQ6,$C6),"")))</f>
        <v/>
      </c>
      <c r="AM6" s="519" t="str">
        <f t="shared" ref="AM6:AM38" si="31">IF($G6=1,"",IF(BR6="-","",IF(ISNUMBER(BR6),ROUND(BR6,$C6),"")))</f>
        <v/>
      </c>
      <c r="AN6" s="519" t="str">
        <f t="shared" ref="AN6:AN38" si="32">IF($G6=1,"",IF(BS6="-","",IF(ISNUMBER(BS6),ROUND(BS6,$C6),"")))</f>
        <v/>
      </c>
      <c r="AO6" s="364"/>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row>
    <row r="7" spans="1:71" ht="15" customHeight="1">
      <c r="A7" s="102"/>
      <c r="B7" s="271">
        <f>tblIndicators!A3</f>
        <v>2</v>
      </c>
      <c r="C7" s="271">
        <f>tblIndicators!AD3</f>
        <v>1</v>
      </c>
      <c r="D7" s="271">
        <f>tblIndicators!G3</f>
        <v>1</v>
      </c>
      <c r="E7" s="103">
        <f>tblIndicators!H3</f>
        <v>1</v>
      </c>
      <c r="F7" s="103"/>
      <c r="G7" s="271">
        <f>tblIndicators!AG3</f>
        <v>1</v>
      </c>
      <c r="H7" s="571" t="str">
        <f>REPT(" ",D7)&amp;tblIndicators!AL3</f>
        <v xml:space="preserve"> 1) CONNECTIVITY</v>
      </c>
      <c r="I7" s="101" t="str">
        <f>IF(G7=1,"",tblIndicators!Z3)</f>
        <v/>
      </c>
      <c r="J7"/>
      <c r="K7" s="519" t="str">
        <f t="shared" si="3"/>
        <v/>
      </c>
      <c r="L7" s="519" t="str">
        <f t="shared" si="4"/>
        <v/>
      </c>
      <c r="M7" s="519" t="str">
        <f t="shared" si="5"/>
        <v/>
      </c>
      <c r="N7" s="519" t="str">
        <f t="shared" si="6"/>
        <v/>
      </c>
      <c r="O7" s="519" t="str">
        <f t="shared" si="7"/>
        <v/>
      </c>
      <c r="P7" s="519" t="str">
        <f t="shared" si="8"/>
        <v/>
      </c>
      <c r="Q7" s="519" t="str">
        <f t="shared" si="9"/>
        <v/>
      </c>
      <c r="R7" s="519" t="str">
        <f t="shared" si="10"/>
        <v/>
      </c>
      <c r="S7" s="519" t="str">
        <f t="shared" si="11"/>
        <v/>
      </c>
      <c r="T7" s="519" t="str">
        <f t="shared" si="12"/>
        <v/>
      </c>
      <c r="U7" s="519" t="str">
        <f t="shared" si="13"/>
        <v/>
      </c>
      <c r="V7" s="519" t="str">
        <f t="shared" si="14"/>
        <v/>
      </c>
      <c r="W7" s="519" t="str">
        <f t="shared" si="15"/>
        <v/>
      </c>
      <c r="X7" s="519" t="str">
        <f t="shared" si="16"/>
        <v/>
      </c>
      <c r="Y7" s="519" t="str">
        <f t="shared" si="17"/>
        <v/>
      </c>
      <c r="Z7" s="519" t="str">
        <f t="shared" si="18"/>
        <v/>
      </c>
      <c r="AA7" s="519" t="str">
        <f t="shared" si="19"/>
        <v/>
      </c>
      <c r="AB7" s="519" t="str">
        <f t="shared" si="20"/>
        <v/>
      </c>
      <c r="AC7" s="519" t="str">
        <f t="shared" si="21"/>
        <v/>
      </c>
      <c r="AD7" s="519" t="str">
        <f t="shared" si="22"/>
        <v/>
      </c>
      <c r="AE7" s="519" t="str">
        <f t="shared" si="23"/>
        <v/>
      </c>
      <c r="AF7" s="519" t="str">
        <f t="shared" si="24"/>
        <v/>
      </c>
      <c r="AG7" s="519" t="str">
        <f t="shared" si="25"/>
        <v/>
      </c>
      <c r="AH7" s="519" t="str">
        <f t="shared" si="26"/>
        <v/>
      </c>
      <c r="AI7" s="519" t="str">
        <f t="shared" si="27"/>
        <v/>
      </c>
      <c r="AJ7" s="519" t="str">
        <f t="shared" si="28"/>
        <v/>
      </c>
      <c r="AK7" s="519" t="str">
        <f t="shared" si="29"/>
        <v/>
      </c>
      <c r="AL7" s="519" t="str">
        <f t="shared" si="30"/>
        <v/>
      </c>
      <c r="AM7" s="519" t="str">
        <f t="shared" si="31"/>
        <v/>
      </c>
      <c r="AN7" s="519" t="str">
        <f t="shared" si="32"/>
        <v/>
      </c>
      <c r="AO7" s="364"/>
      <c r="AP7" s="572" t="s">
        <v>638</v>
      </c>
      <c r="AQ7" s="572" t="s">
        <v>638</v>
      </c>
      <c r="AR7" s="572" t="s">
        <v>638</v>
      </c>
      <c r="AS7" s="572" t="s">
        <v>638</v>
      </c>
      <c r="AT7" s="572" t="s">
        <v>638</v>
      </c>
      <c r="AU7" s="572" t="s">
        <v>638</v>
      </c>
      <c r="AV7" s="572" t="s">
        <v>638</v>
      </c>
      <c r="AW7" s="572" t="s">
        <v>638</v>
      </c>
      <c r="AX7" s="572" t="s">
        <v>638</v>
      </c>
      <c r="AY7" s="572" t="s">
        <v>638</v>
      </c>
      <c r="AZ7" s="572" t="s">
        <v>638</v>
      </c>
      <c r="BA7" s="572" t="s">
        <v>638</v>
      </c>
      <c r="BB7" s="572" t="s">
        <v>638</v>
      </c>
      <c r="BC7" s="572" t="s">
        <v>638</v>
      </c>
      <c r="BD7" s="572" t="s">
        <v>638</v>
      </c>
      <c r="BE7" s="572" t="s">
        <v>638</v>
      </c>
      <c r="BF7" s="572" t="s">
        <v>638</v>
      </c>
      <c r="BG7" s="572" t="s">
        <v>638</v>
      </c>
      <c r="BH7" s="572" t="s">
        <v>638</v>
      </c>
      <c r="BI7" s="572" t="s">
        <v>638</v>
      </c>
      <c r="BJ7" s="572" t="s">
        <v>638</v>
      </c>
      <c r="BK7" s="572" t="s">
        <v>638</v>
      </c>
      <c r="BL7" s="572" t="s">
        <v>638</v>
      </c>
      <c r="BM7" s="572" t="s">
        <v>638</v>
      </c>
      <c r="BN7" s="572" t="s">
        <v>638</v>
      </c>
      <c r="BO7" s="572" t="s">
        <v>638</v>
      </c>
      <c r="BP7" s="572" t="s">
        <v>638</v>
      </c>
      <c r="BQ7" s="572" t="s">
        <v>638</v>
      </c>
      <c r="BR7" s="572" t="s">
        <v>638</v>
      </c>
      <c r="BS7" s="572" t="s">
        <v>638</v>
      </c>
    </row>
    <row r="8" spans="1:71" ht="15" customHeight="1">
      <c r="A8" s="102"/>
      <c r="B8" s="271">
        <f>tblIndicators!A4</f>
        <v>3</v>
      </c>
      <c r="C8" s="271">
        <f>tblIndicators!AD4</f>
        <v>1</v>
      </c>
      <c r="D8" s="271">
        <f>tblIndicators!G4</f>
        <v>2</v>
      </c>
      <c r="E8" s="103" t="str">
        <f>tblIndicators!H4</f>
        <v>1_1</v>
      </c>
      <c r="F8" s="103"/>
      <c r="G8" s="271">
        <f>tblIndicators!AG4</f>
        <v>1</v>
      </c>
      <c r="H8" s="100" t="str">
        <f>REPT(" ",D8)&amp;tblIndicators!AL4</f>
        <v xml:space="preserve">  1.1) Digital infrastructure</v>
      </c>
      <c r="I8" s="101" t="str">
        <f>IF(G8=1,"",tblIndicators!Z4)</f>
        <v/>
      </c>
      <c r="J8"/>
      <c r="K8" s="519" t="str">
        <f t="shared" si="3"/>
        <v/>
      </c>
      <c r="L8" s="519" t="str">
        <f t="shared" si="4"/>
        <v/>
      </c>
      <c r="M8" s="519" t="str">
        <f t="shared" si="5"/>
        <v/>
      </c>
      <c r="N8" s="519" t="str">
        <f t="shared" si="6"/>
        <v/>
      </c>
      <c r="O8" s="519" t="str">
        <f t="shared" si="7"/>
        <v/>
      </c>
      <c r="P8" s="519" t="str">
        <f t="shared" si="8"/>
        <v/>
      </c>
      <c r="Q8" s="519" t="str">
        <f t="shared" si="9"/>
        <v/>
      </c>
      <c r="R8" s="519" t="str">
        <f t="shared" si="10"/>
        <v/>
      </c>
      <c r="S8" s="519" t="str">
        <f t="shared" si="11"/>
        <v/>
      </c>
      <c r="T8" s="519" t="str">
        <f t="shared" si="12"/>
        <v/>
      </c>
      <c r="U8" s="519" t="str">
        <f t="shared" si="13"/>
        <v/>
      </c>
      <c r="V8" s="519" t="str">
        <f t="shared" si="14"/>
        <v/>
      </c>
      <c r="W8" s="519" t="str">
        <f t="shared" si="15"/>
        <v/>
      </c>
      <c r="X8" s="519" t="str">
        <f t="shared" si="16"/>
        <v/>
      </c>
      <c r="Y8" s="519" t="str">
        <f t="shared" si="17"/>
        <v/>
      </c>
      <c r="Z8" s="519" t="str">
        <f t="shared" si="18"/>
        <v/>
      </c>
      <c r="AA8" s="519" t="str">
        <f t="shared" si="19"/>
        <v/>
      </c>
      <c r="AB8" s="519" t="str">
        <f t="shared" si="20"/>
        <v/>
      </c>
      <c r="AC8" s="519" t="str">
        <f t="shared" si="21"/>
        <v/>
      </c>
      <c r="AD8" s="519" t="str">
        <f t="shared" si="22"/>
        <v/>
      </c>
      <c r="AE8" s="519" t="str">
        <f t="shared" si="23"/>
        <v/>
      </c>
      <c r="AF8" s="519" t="str">
        <f t="shared" si="24"/>
        <v/>
      </c>
      <c r="AG8" s="519" t="str">
        <f t="shared" si="25"/>
        <v/>
      </c>
      <c r="AH8" s="519" t="str">
        <f t="shared" si="26"/>
        <v/>
      </c>
      <c r="AI8" s="519" t="str">
        <f t="shared" si="27"/>
        <v/>
      </c>
      <c r="AJ8" s="519" t="str">
        <f t="shared" si="28"/>
        <v/>
      </c>
      <c r="AK8" s="519" t="str">
        <f t="shared" si="29"/>
        <v/>
      </c>
      <c r="AL8" s="519" t="str">
        <f t="shared" si="30"/>
        <v/>
      </c>
      <c r="AM8" s="519" t="str">
        <f t="shared" si="31"/>
        <v/>
      </c>
      <c r="AN8" s="519" t="str">
        <f t="shared" si="32"/>
        <v/>
      </c>
      <c r="AO8" s="364"/>
      <c r="AP8" s="573" t="s">
        <v>638</v>
      </c>
      <c r="AQ8" s="573" t="s">
        <v>638</v>
      </c>
      <c r="AR8" s="573" t="s">
        <v>638</v>
      </c>
      <c r="AS8" s="573" t="s">
        <v>638</v>
      </c>
      <c r="AT8" s="573" t="s">
        <v>638</v>
      </c>
      <c r="AU8" s="573" t="s">
        <v>638</v>
      </c>
      <c r="AV8" s="573" t="s">
        <v>638</v>
      </c>
      <c r="AW8" s="573" t="s">
        <v>638</v>
      </c>
      <c r="AX8" s="573" t="s">
        <v>638</v>
      </c>
      <c r="AY8" s="573" t="s">
        <v>638</v>
      </c>
      <c r="AZ8" s="573" t="s">
        <v>638</v>
      </c>
      <c r="BA8" s="573" t="s">
        <v>638</v>
      </c>
      <c r="BB8" s="573" t="s">
        <v>638</v>
      </c>
      <c r="BC8" s="573" t="s">
        <v>638</v>
      </c>
      <c r="BD8" s="573" t="s">
        <v>638</v>
      </c>
      <c r="BE8" s="573" t="s">
        <v>638</v>
      </c>
      <c r="BF8" s="573" t="s">
        <v>638</v>
      </c>
      <c r="BG8" s="573" t="s">
        <v>638</v>
      </c>
      <c r="BH8" s="573" t="s">
        <v>638</v>
      </c>
      <c r="BI8" s="573" t="s">
        <v>638</v>
      </c>
      <c r="BJ8" s="573" t="s">
        <v>638</v>
      </c>
      <c r="BK8" s="573" t="s">
        <v>638</v>
      </c>
      <c r="BL8" s="573" t="s">
        <v>638</v>
      </c>
      <c r="BM8" s="573" t="s">
        <v>638</v>
      </c>
      <c r="BN8" s="573" t="s">
        <v>638</v>
      </c>
      <c r="BO8" s="573" t="s">
        <v>638</v>
      </c>
      <c r="BP8" s="573" t="s">
        <v>638</v>
      </c>
      <c r="BQ8" s="573" t="s">
        <v>638</v>
      </c>
      <c r="BR8" s="573" t="s">
        <v>638</v>
      </c>
      <c r="BS8" s="573" t="s">
        <v>638</v>
      </c>
    </row>
    <row r="9" spans="1:71" ht="15" customHeight="1">
      <c r="A9" s="102"/>
      <c r="B9" s="271">
        <f>tblIndicators!A5</f>
        <v>4</v>
      </c>
      <c r="C9" s="271">
        <f>tblIndicators!AD5</f>
        <v>1</v>
      </c>
      <c r="D9" s="271">
        <f>tblIndicators!G5</f>
        <v>3</v>
      </c>
      <c r="E9" s="103" t="str">
        <f>tblIndicators!H5</f>
        <v>1_1_1</v>
      </c>
      <c r="F9" s="103"/>
      <c r="G9" s="271">
        <f>tblIndicators!AG5</f>
        <v>4</v>
      </c>
      <c r="H9" s="100" t="str">
        <f>REPT(" ",D9)&amp;tblIndicators!AL5</f>
        <v xml:space="preserve">   1.1.1) Mobile broadband subscriptions</v>
      </c>
      <c r="I9" s="101" t="str">
        <f>IF(G9=1,"",tblIndicators!Z5)</f>
        <v>per 100 inhabitants</v>
      </c>
      <c r="J9"/>
      <c r="K9" s="519">
        <f t="shared" si="3"/>
        <v>126.3</v>
      </c>
      <c r="L9" s="519">
        <f t="shared" si="4"/>
        <v>114.7</v>
      </c>
      <c r="M9" s="519">
        <f t="shared" si="5"/>
        <v>100.9</v>
      </c>
      <c r="N9" s="519">
        <f t="shared" si="6"/>
        <v>103.5</v>
      </c>
      <c r="O9" s="519">
        <f t="shared" si="7"/>
        <v>97.1</v>
      </c>
      <c r="P9" s="519">
        <f t="shared" si="8"/>
        <v>90.7</v>
      </c>
      <c r="Q9" s="519">
        <f t="shared" si="9"/>
        <v>80.7</v>
      </c>
      <c r="R9" s="519">
        <f t="shared" si="10"/>
        <v>136.80000000000001</v>
      </c>
      <c r="S9" s="519">
        <f t="shared" si="11"/>
        <v>148.69999999999999</v>
      </c>
      <c r="T9" s="519">
        <f t="shared" si="12"/>
        <v>209.9</v>
      </c>
      <c r="U9" s="519">
        <f t="shared" si="13"/>
        <v>90.7</v>
      </c>
      <c r="V9" s="519">
        <f t="shared" si="14"/>
        <v>141.9</v>
      </c>
      <c r="W9" s="519">
        <f t="shared" si="15"/>
        <v>88.4</v>
      </c>
      <c r="X9" s="519">
        <f t="shared" si="16"/>
        <v>124.3</v>
      </c>
      <c r="Y9" s="519">
        <f t="shared" si="17"/>
        <v>110.9</v>
      </c>
      <c r="Z9" s="519">
        <f t="shared" si="18"/>
        <v>103.5</v>
      </c>
      <c r="AA9" s="519">
        <f t="shared" si="19"/>
        <v>66</v>
      </c>
      <c r="AB9" s="519">
        <f t="shared" si="20"/>
        <v>75.7</v>
      </c>
      <c r="AC9" s="519">
        <f t="shared" si="21"/>
        <v>53</v>
      </c>
      <c r="AD9" s="519">
        <f t="shared" si="22"/>
        <v>148.69999999999999</v>
      </c>
      <c r="AE9" s="519">
        <f t="shared" si="23"/>
        <v>100.2</v>
      </c>
      <c r="AF9" s="519">
        <f t="shared" si="24"/>
        <v>92.6</v>
      </c>
      <c r="AG9" s="519">
        <f t="shared" si="25"/>
        <v>90.1</v>
      </c>
      <c r="AH9" s="519">
        <f t="shared" si="26"/>
        <v>116.9</v>
      </c>
      <c r="AI9" s="519">
        <f t="shared" si="27"/>
        <v>144.1</v>
      </c>
      <c r="AJ9" s="519">
        <f t="shared" si="28"/>
        <v>128.80000000000001</v>
      </c>
      <c r="AK9" s="519">
        <f t="shared" si="29"/>
        <v>200.9</v>
      </c>
      <c r="AL9" s="519">
        <f t="shared" si="30"/>
        <v>82.1</v>
      </c>
      <c r="AM9" s="519">
        <f t="shared" si="31"/>
        <v>148.69999999999999</v>
      </c>
      <c r="AN9" s="519">
        <f t="shared" si="32"/>
        <v>106.2</v>
      </c>
      <c r="AO9" s="364"/>
      <c r="AP9" s="573">
        <f>INPUTS!X5</f>
        <v>126.26</v>
      </c>
      <c r="AQ9" s="573">
        <f>INPUTS!Y5</f>
        <v>114.72</v>
      </c>
      <c r="AR9" s="573">
        <f>INPUTS!Z5</f>
        <v>100.86</v>
      </c>
      <c r="AS9" s="573">
        <f>INPUTS!AA5</f>
        <v>103.49</v>
      </c>
      <c r="AT9" s="573">
        <f>INPUTS!AB5</f>
        <v>97.1</v>
      </c>
      <c r="AU9" s="573">
        <f>INPUTS!AC5</f>
        <v>90.69</v>
      </c>
      <c r="AV9" s="573">
        <f>INPUTS!AD5</f>
        <v>80.650000000000006</v>
      </c>
      <c r="AW9" s="573">
        <f>INPUTS!AE5</f>
        <v>136.81</v>
      </c>
      <c r="AX9" s="573">
        <f>INPUTS!AF5</f>
        <v>148.68</v>
      </c>
      <c r="AY9" s="573">
        <f>INPUTS!AG5</f>
        <v>209.89</v>
      </c>
      <c r="AZ9" s="573">
        <f>INPUTS!AH5</f>
        <v>90.69</v>
      </c>
      <c r="BA9" s="573">
        <f>INPUTS!AI5</f>
        <v>141.86000000000001</v>
      </c>
      <c r="BB9" s="573">
        <f>INPUTS!AJ5</f>
        <v>88.4</v>
      </c>
      <c r="BC9" s="573">
        <f>INPUTS!AK5</f>
        <v>124.28</v>
      </c>
      <c r="BD9" s="573">
        <f>INPUTS!AL5</f>
        <v>110.86</v>
      </c>
      <c r="BE9" s="573">
        <f>INPUTS!AM5</f>
        <v>103.49</v>
      </c>
      <c r="BF9" s="573">
        <f>INPUTS!AN5</f>
        <v>65.959999999999994</v>
      </c>
      <c r="BG9" s="573">
        <f>INPUTS!AO5</f>
        <v>75.72</v>
      </c>
      <c r="BH9" s="573">
        <f>INPUTS!AP5</f>
        <v>52.98</v>
      </c>
      <c r="BI9" s="573">
        <f>INPUTS!AQ5</f>
        <v>148.68</v>
      </c>
      <c r="BJ9" s="573">
        <f>INPUTS!AR5</f>
        <v>100.15</v>
      </c>
      <c r="BK9" s="573">
        <f>INPUTS!AS5</f>
        <v>92.61</v>
      </c>
      <c r="BL9" s="573">
        <f>INPUTS!AT5</f>
        <v>90.1</v>
      </c>
      <c r="BM9" s="573">
        <f>INPUTS!AU5</f>
        <v>116.9</v>
      </c>
      <c r="BN9" s="573">
        <f>INPUTS!AV5</f>
        <v>144.05000000000001</v>
      </c>
      <c r="BO9" s="573">
        <f>INPUTS!AW5</f>
        <v>128.76</v>
      </c>
      <c r="BP9" s="573">
        <f>INPUTS!AX5</f>
        <v>200.85</v>
      </c>
      <c r="BQ9" s="573">
        <f>INPUTS!AY5</f>
        <v>82.06</v>
      </c>
      <c r="BR9" s="573">
        <f>INPUTS!AZ5</f>
        <v>148.68</v>
      </c>
      <c r="BS9" s="573">
        <f>INPUTS!BA5</f>
        <v>106.15</v>
      </c>
    </row>
    <row r="10" spans="1:71" s="367" customFormat="1" ht="15" customHeight="1">
      <c r="A10" s="102"/>
      <c r="B10" s="271">
        <f>tblIndicators!A6</f>
        <v>5</v>
      </c>
      <c r="C10" s="271">
        <f>tblIndicators!AD6</f>
        <v>1</v>
      </c>
      <c r="D10" s="271">
        <f>tblIndicators!G6</f>
        <v>3</v>
      </c>
      <c r="E10" s="103" t="str">
        <f>tblIndicators!H6</f>
        <v>1_1_2</v>
      </c>
      <c r="F10" s="103"/>
      <c r="G10" s="271">
        <f>tblIndicators!AG6</f>
        <v>2</v>
      </c>
      <c r="H10" s="100" t="str">
        <f>REPT(" ",D10)&amp;tblIndicators!AL6</f>
        <v xml:space="preserve">   1.1.2) Fixed broadband susbcriptions</v>
      </c>
      <c r="I10" s="101" t="str">
        <f>IF(G10=1,"",tblIndicators!Z6)</f>
        <v>per 100 inhabitants</v>
      </c>
      <c r="K10" s="519">
        <f t="shared" si="3"/>
        <v>43.9</v>
      </c>
      <c r="L10" s="519">
        <f t="shared" si="4"/>
        <v>34.700000000000003</v>
      </c>
      <c r="M10" s="519">
        <f t="shared" si="5"/>
        <v>16.600000000000001</v>
      </c>
      <c r="N10" s="519">
        <f t="shared" si="6"/>
        <v>33.9</v>
      </c>
      <c r="O10" s="519">
        <f t="shared" si="7"/>
        <v>33.6</v>
      </c>
      <c r="P10" s="519">
        <f t="shared" si="8"/>
        <v>43</v>
      </c>
      <c r="Q10" s="519">
        <f t="shared" si="9"/>
        <v>21.2</v>
      </c>
      <c r="R10" s="519">
        <f t="shared" si="10"/>
        <v>44.4</v>
      </c>
      <c r="S10" s="519">
        <f t="shared" si="11"/>
        <v>36.4</v>
      </c>
      <c r="T10" s="519">
        <f t="shared" si="12"/>
        <v>32.799999999999997</v>
      </c>
      <c r="U10" s="519">
        <f t="shared" si="13"/>
        <v>43</v>
      </c>
      <c r="V10" s="519">
        <f t="shared" si="14"/>
        <v>38.299999999999997</v>
      </c>
      <c r="W10" s="519">
        <f t="shared" si="15"/>
        <v>3.9</v>
      </c>
      <c r="X10" s="519">
        <f t="shared" si="16"/>
        <v>10.4</v>
      </c>
      <c r="Y10" s="519">
        <f t="shared" si="17"/>
        <v>40.5</v>
      </c>
      <c r="Z10" s="519">
        <f t="shared" si="18"/>
        <v>33.9</v>
      </c>
      <c r="AA10" s="519">
        <f t="shared" si="19"/>
        <v>5.5</v>
      </c>
      <c r="AB10" s="519">
        <f t="shared" si="20"/>
        <v>16.5</v>
      </c>
      <c r="AC10" s="519">
        <f t="shared" si="21"/>
        <v>1.6</v>
      </c>
      <c r="AD10" s="519">
        <f t="shared" si="22"/>
        <v>36.4</v>
      </c>
      <c r="AE10" s="519">
        <f t="shared" si="23"/>
        <v>46.9</v>
      </c>
      <c r="AF10" s="519">
        <f t="shared" si="24"/>
        <v>29.5</v>
      </c>
      <c r="AG10" s="519">
        <f t="shared" si="25"/>
        <v>17.100000000000001</v>
      </c>
      <c r="AH10" s="519">
        <f t="shared" si="26"/>
        <v>43.6</v>
      </c>
      <c r="AI10" s="519">
        <f t="shared" si="27"/>
        <v>25.9</v>
      </c>
      <c r="AJ10" s="519">
        <f t="shared" si="28"/>
        <v>35.1</v>
      </c>
      <c r="AK10" s="519">
        <f t="shared" si="29"/>
        <v>34.5</v>
      </c>
      <c r="AL10" s="519">
        <f t="shared" si="30"/>
        <v>41.8</v>
      </c>
      <c r="AM10" s="519">
        <f t="shared" si="31"/>
        <v>36.4</v>
      </c>
      <c r="AN10" s="519">
        <f t="shared" si="32"/>
        <v>46.5</v>
      </c>
      <c r="AO10" s="364"/>
      <c r="AP10" s="573">
        <f>INPUTS!X6</f>
        <v>43.92</v>
      </c>
      <c r="AQ10" s="573">
        <f>INPUTS!Y6</f>
        <v>34.72</v>
      </c>
      <c r="AR10" s="573">
        <f>INPUTS!Z6</f>
        <v>16.62</v>
      </c>
      <c r="AS10" s="573">
        <f>INPUTS!AA6</f>
        <v>33.9</v>
      </c>
      <c r="AT10" s="573">
        <f>INPUTS!AB6</f>
        <v>33.6</v>
      </c>
      <c r="AU10" s="573">
        <f>INPUTS!AC6</f>
        <v>43.02</v>
      </c>
      <c r="AV10" s="573">
        <f>INPUTS!AD6</f>
        <v>21.18</v>
      </c>
      <c r="AW10" s="573">
        <f>INPUTS!AE6</f>
        <v>44.4</v>
      </c>
      <c r="AX10" s="573">
        <f>INPUTS!AF6</f>
        <v>36.409999999999997</v>
      </c>
      <c r="AY10" s="573">
        <f>INPUTS!AG6</f>
        <v>32.81</v>
      </c>
      <c r="AZ10" s="573">
        <f>INPUTS!AH6</f>
        <v>43.02</v>
      </c>
      <c r="BA10" s="573">
        <f>INPUTS!AI6</f>
        <v>38.299999999999997</v>
      </c>
      <c r="BB10" s="573">
        <f>INPUTS!AJ6</f>
        <v>3.92</v>
      </c>
      <c r="BC10" s="573">
        <f>INPUTS!AK6</f>
        <v>10.38</v>
      </c>
      <c r="BD10" s="573">
        <f>INPUTS!AL6</f>
        <v>40.49</v>
      </c>
      <c r="BE10" s="573">
        <f>INPUTS!AM6</f>
        <v>33.9</v>
      </c>
      <c r="BF10" s="573">
        <f>INPUTS!AN6</f>
        <v>5.48</v>
      </c>
      <c r="BG10" s="573">
        <f>INPUTS!AO6</f>
        <v>16.45</v>
      </c>
      <c r="BH10" s="573">
        <f>INPUTS!AP6</f>
        <v>1.62</v>
      </c>
      <c r="BI10" s="573">
        <f>INPUTS!AQ6</f>
        <v>36.409999999999997</v>
      </c>
      <c r="BJ10" s="573">
        <f>INPUTS!AR6</f>
        <v>46.92</v>
      </c>
      <c r="BK10" s="573">
        <f>INPUTS!AS6</f>
        <v>29.53</v>
      </c>
      <c r="BL10" s="573">
        <f>INPUTS!AT6</f>
        <v>17.100000000000001</v>
      </c>
      <c r="BM10" s="573">
        <f>INPUTS!AU6</f>
        <v>43.55</v>
      </c>
      <c r="BN10" s="573">
        <f>INPUTS!AV6</f>
        <v>25.94</v>
      </c>
      <c r="BO10" s="573">
        <f>INPUTS!AW6</f>
        <v>35.049999999999997</v>
      </c>
      <c r="BP10" s="573">
        <f>INPUTS!AX6</f>
        <v>34.5</v>
      </c>
      <c r="BQ10" s="573">
        <f>INPUTS!AY6</f>
        <v>41.8</v>
      </c>
      <c r="BR10" s="573">
        <f>INPUTS!AZ6</f>
        <v>36.409999999999997</v>
      </c>
      <c r="BS10" s="573">
        <f>INPUTS!BA6</f>
        <v>46.48</v>
      </c>
    </row>
    <row r="11" spans="1:71" s="367" customFormat="1" ht="15" customHeight="1">
      <c r="A11" s="102"/>
      <c r="B11" s="271">
        <f>tblIndicators!A7</f>
        <v>6</v>
      </c>
      <c r="C11" s="271">
        <f>tblIndicators!AD7</f>
        <v>0</v>
      </c>
      <c r="D11" s="271">
        <f>tblIndicators!G7</f>
        <v>3</v>
      </c>
      <c r="E11" s="103" t="str">
        <f>tblIndicators!H7</f>
        <v>1_1_3</v>
      </c>
      <c r="F11" s="103"/>
      <c r="G11" s="271">
        <f>tblIndicators!AG7</f>
        <v>3</v>
      </c>
      <c r="H11" s="100" t="str">
        <f>REPT(" ",D11)&amp;tblIndicators!AL7</f>
        <v xml:space="preserve">   1.1.3) 5G readiness</v>
      </c>
      <c r="I11" s="101" t="str">
        <f>IF(G11=1,"",tblIndicators!Z7)</f>
        <v>Scale (0-3)</v>
      </c>
      <c r="K11" s="519">
        <f t="shared" si="3"/>
        <v>3</v>
      </c>
      <c r="L11" s="519">
        <f t="shared" si="4"/>
        <v>3</v>
      </c>
      <c r="M11" s="519">
        <f t="shared" si="5"/>
        <v>2</v>
      </c>
      <c r="N11" s="519">
        <f t="shared" si="6"/>
        <v>3</v>
      </c>
      <c r="O11" s="519">
        <f t="shared" si="7"/>
        <v>3</v>
      </c>
      <c r="P11" s="519">
        <f t="shared" si="8"/>
        <v>3</v>
      </c>
      <c r="Q11" s="519">
        <f t="shared" si="9"/>
        <v>3</v>
      </c>
      <c r="R11" s="519">
        <f t="shared" si="10"/>
        <v>3</v>
      </c>
      <c r="S11" s="519">
        <f t="shared" si="11"/>
        <v>3</v>
      </c>
      <c r="T11" s="519">
        <f t="shared" si="12"/>
        <v>3</v>
      </c>
      <c r="U11" s="519">
        <f t="shared" si="13"/>
        <v>3</v>
      </c>
      <c r="V11" s="519">
        <f t="shared" si="14"/>
        <v>3</v>
      </c>
      <c r="W11" s="519">
        <f t="shared" si="15"/>
        <v>3</v>
      </c>
      <c r="X11" s="519">
        <f t="shared" si="16"/>
        <v>3</v>
      </c>
      <c r="Y11" s="519">
        <f t="shared" si="17"/>
        <v>3</v>
      </c>
      <c r="Z11" s="519">
        <f t="shared" si="18"/>
        <v>3</v>
      </c>
      <c r="AA11" s="519">
        <f t="shared" si="19"/>
        <v>3</v>
      </c>
      <c r="AB11" s="519">
        <f t="shared" si="20"/>
        <v>3</v>
      </c>
      <c r="AC11" s="519">
        <f t="shared" si="21"/>
        <v>3</v>
      </c>
      <c r="AD11" s="519">
        <f t="shared" si="22"/>
        <v>3</v>
      </c>
      <c r="AE11" s="519">
        <f t="shared" si="23"/>
        <v>3</v>
      </c>
      <c r="AF11" s="519">
        <f t="shared" si="24"/>
        <v>3</v>
      </c>
      <c r="AG11" s="519">
        <f t="shared" si="25"/>
        <v>3</v>
      </c>
      <c r="AH11" s="519">
        <f t="shared" si="26"/>
        <v>3</v>
      </c>
      <c r="AI11" s="519">
        <f t="shared" si="27"/>
        <v>3</v>
      </c>
      <c r="AJ11" s="519">
        <f t="shared" si="28"/>
        <v>3</v>
      </c>
      <c r="AK11" s="519">
        <f t="shared" si="29"/>
        <v>3</v>
      </c>
      <c r="AL11" s="519">
        <f t="shared" si="30"/>
        <v>3</v>
      </c>
      <c r="AM11" s="519">
        <f t="shared" si="31"/>
        <v>3</v>
      </c>
      <c r="AN11" s="519">
        <f t="shared" si="32"/>
        <v>3</v>
      </c>
      <c r="AO11" s="364"/>
      <c r="AP11" s="573">
        <f>INPUTS!X7</f>
        <v>3</v>
      </c>
      <c r="AQ11" s="573">
        <f>INPUTS!Y7</f>
        <v>3</v>
      </c>
      <c r="AR11" s="573">
        <f>INPUTS!Z7</f>
        <v>2</v>
      </c>
      <c r="AS11" s="573">
        <f>INPUTS!AA7</f>
        <v>3</v>
      </c>
      <c r="AT11" s="573">
        <f>INPUTS!AB7</f>
        <v>3</v>
      </c>
      <c r="AU11" s="573">
        <f>INPUTS!AC7</f>
        <v>3</v>
      </c>
      <c r="AV11" s="573">
        <f>INPUTS!AD7</f>
        <v>3</v>
      </c>
      <c r="AW11" s="573">
        <f>INPUTS!AE7</f>
        <v>3</v>
      </c>
      <c r="AX11" s="573">
        <f>INPUTS!AF7</f>
        <v>3</v>
      </c>
      <c r="AY11" s="573">
        <f>INPUTS!AG7</f>
        <v>3</v>
      </c>
      <c r="AZ11" s="573">
        <f>INPUTS!AH7</f>
        <v>3</v>
      </c>
      <c r="BA11" s="573">
        <f>INPUTS!AI7</f>
        <v>3</v>
      </c>
      <c r="BB11" s="573">
        <f>INPUTS!AJ7</f>
        <v>3</v>
      </c>
      <c r="BC11" s="573">
        <f>INPUTS!AK7</f>
        <v>3</v>
      </c>
      <c r="BD11" s="573">
        <f>INPUTS!AL7</f>
        <v>3</v>
      </c>
      <c r="BE11" s="573">
        <f>INPUTS!AM7</f>
        <v>3</v>
      </c>
      <c r="BF11" s="573">
        <f>INPUTS!AN7</f>
        <v>3</v>
      </c>
      <c r="BG11" s="573">
        <f>INPUTS!AO7</f>
        <v>3</v>
      </c>
      <c r="BH11" s="573">
        <f>INPUTS!AP7</f>
        <v>3</v>
      </c>
      <c r="BI11" s="573">
        <f>INPUTS!AQ7</f>
        <v>3</v>
      </c>
      <c r="BJ11" s="573">
        <f>INPUTS!AR7</f>
        <v>3</v>
      </c>
      <c r="BK11" s="573">
        <f>INPUTS!AS7</f>
        <v>3</v>
      </c>
      <c r="BL11" s="573">
        <f>INPUTS!AT7</f>
        <v>3</v>
      </c>
      <c r="BM11" s="573">
        <f>INPUTS!AU7</f>
        <v>3</v>
      </c>
      <c r="BN11" s="573">
        <f>INPUTS!AV7</f>
        <v>3</v>
      </c>
      <c r="BO11" s="573">
        <f>INPUTS!AW7</f>
        <v>3</v>
      </c>
      <c r="BP11" s="573">
        <f>INPUTS!AX7</f>
        <v>3</v>
      </c>
      <c r="BQ11" s="573">
        <f>INPUTS!AY7</f>
        <v>3</v>
      </c>
      <c r="BR11" s="573">
        <f>INPUTS!AZ7</f>
        <v>3</v>
      </c>
      <c r="BS11" s="573">
        <f>INPUTS!BA7</f>
        <v>3</v>
      </c>
    </row>
    <row r="12" spans="1:71" s="367" customFormat="1" ht="15" customHeight="1">
      <c r="A12" s="102"/>
      <c r="B12" s="271">
        <f>tblIndicators!A8</f>
        <v>7</v>
      </c>
      <c r="C12" s="271">
        <f>tblIndicators!AD8</f>
        <v>0</v>
      </c>
      <c r="D12" s="271">
        <f>tblIndicators!G8</f>
        <v>3</v>
      </c>
      <c r="E12" s="103" t="str">
        <f>tblIndicators!H8</f>
        <v>1_1_4</v>
      </c>
      <c r="F12" s="103"/>
      <c r="G12" s="271">
        <f>tblIndicators!AG8</f>
        <v>3</v>
      </c>
      <c r="H12" s="100" t="str">
        <f>REPT(" ",D12)&amp;tblIndicators!AL8</f>
        <v xml:space="preserve">   1.1.4) 5G deployment</v>
      </c>
      <c r="I12" s="101" t="str">
        <f>IF(G12=1,"",tblIndicators!Z8)</f>
        <v>Scale (0-2)</v>
      </c>
      <c r="K12" s="519">
        <f t="shared" si="3"/>
        <v>2</v>
      </c>
      <c r="L12" s="519">
        <f t="shared" si="4"/>
        <v>2</v>
      </c>
      <c r="M12" s="519">
        <f t="shared" si="5"/>
        <v>2</v>
      </c>
      <c r="N12" s="519">
        <f t="shared" si="6"/>
        <v>2</v>
      </c>
      <c r="O12" s="519">
        <f t="shared" si="7"/>
        <v>2</v>
      </c>
      <c r="P12" s="519">
        <f t="shared" si="8"/>
        <v>2</v>
      </c>
      <c r="Q12" s="519">
        <f t="shared" si="9"/>
        <v>2</v>
      </c>
      <c r="R12" s="519">
        <f t="shared" si="10"/>
        <v>2</v>
      </c>
      <c r="S12" s="519">
        <f t="shared" si="11"/>
        <v>2</v>
      </c>
      <c r="T12" s="519">
        <f t="shared" si="12"/>
        <v>2</v>
      </c>
      <c r="U12" s="519">
        <f t="shared" si="13"/>
        <v>2</v>
      </c>
      <c r="V12" s="519">
        <f t="shared" si="14"/>
        <v>2</v>
      </c>
      <c r="W12" s="519">
        <f t="shared" si="15"/>
        <v>2</v>
      </c>
      <c r="X12" s="519">
        <f t="shared" si="16"/>
        <v>2</v>
      </c>
      <c r="Y12" s="519">
        <f t="shared" si="17"/>
        <v>2</v>
      </c>
      <c r="Z12" s="519">
        <f t="shared" si="18"/>
        <v>2</v>
      </c>
      <c r="AA12" s="519">
        <f t="shared" si="19"/>
        <v>2</v>
      </c>
      <c r="AB12" s="519">
        <f t="shared" si="20"/>
        <v>2</v>
      </c>
      <c r="AC12" s="519">
        <f t="shared" si="21"/>
        <v>1</v>
      </c>
      <c r="AD12" s="519">
        <f t="shared" si="22"/>
        <v>2</v>
      </c>
      <c r="AE12" s="519">
        <f t="shared" si="23"/>
        <v>2</v>
      </c>
      <c r="AF12" s="519">
        <f t="shared" si="24"/>
        <v>2</v>
      </c>
      <c r="AG12" s="519">
        <f t="shared" si="25"/>
        <v>2</v>
      </c>
      <c r="AH12" s="519">
        <f t="shared" si="26"/>
        <v>2</v>
      </c>
      <c r="AI12" s="519">
        <f t="shared" si="27"/>
        <v>2</v>
      </c>
      <c r="AJ12" s="519">
        <f t="shared" si="28"/>
        <v>2</v>
      </c>
      <c r="AK12" s="519">
        <f t="shared" si="29"/>
        <v>2</v>
      </c>
      <c r="AL12" s="519">
        <f t="shared" si="30"/>
        <v>2</v>
      </c>
      <c r="AM12" s="519">
        <f t="shared" si="31"/>
        <v>2</v>
      </c>
      <c r="AN12" s="519">
        <f t="shared" si="32"/>
        <v>2</v>
      </c>
      <c r="AO12" s="364"/>
      <c r="AP12" s="573">
        <f>INPUTS!X8</f>
        <v>2</v>
      </c>
      <c r="AQ12" s="573">
        <f>INPUTS!Y8</f>
        <v>2</v>
      </c>
      <c r="AR12" s="573">
        <f>INPUTS!Z8</f>
        <v>2</v>
      </c>
      <c r="AS12" s="573">
        <f>INPUTS!AA8</f>
        <v>2</v>
      </c>
      <c r="AT12" s="573">
        <f>INPUTS!AB8</f>
        <v>2</v>
      </c>
      <c r="AU12" s="573">
        <f>INPUTS!AC8</f>
        <v>2</v>
      </c>
      <c r="AV12" s="573">
        <f>INPUTS!AD8</f>
        <v>2</v>
      </c>
      <c r="AW12" s="573">
        <f>INPUTS!AE8</f>
        <v>2</v>
      </c>
      <c r="AX12" s="573">
        <f>INPUTS!AF8</f>
        <v>2</v>
      </c>
      <c r="AY12" s="573">
        <f>INPUTS!AG8</f>
        <v>2</v>
      </c>
      <c r="AZ12" s="573">
        <f>INPUTS!AH8</f>
        <v>2</v>
      </c>
      <c r="BA12" s="573">
        <f>INPUTS!AI8</f>
        <v>2</v>
      </c>
      <c r="BB12" s="573">
        <f>INPUTS!AJ8</f>
        <v>2</v>
      </c>
      <c r="BC12" s="573">
        <f>INPUTS!AK8</f>
        <v>2</v>
      </c>
      <c r="BD12" s="573">
        <f>INPUTS!AL8</f>
        <v>2</v>
      </c>
      <c r="BE12" s="573">
        <f>INPUTS!AM8</f>
        <v>2</v>
      </c>
      <c r="BF12" s="573">
        <f>INPUTS!AN8</f>
        <v>2</v>
      </c>
      <c r="BG12" s="573">
        <f>INPUTS!AO8</f>
        <v>2</v>
      </c>
      <c r="BH12" s="573">
        <f>INPUTS!AP8</f>
        <v>1</v>
      </c>
      <c r="BI12" s="573">
        <f>INPUTS!AQ8</f>
        <v>2</v>
      </c>
      <c r="BJ12" s="573">
        <f>INPUTS!AR8</f>
        <v>2</v>
      </c>
      <c r="BK12" s="573">
        <f>INPUTS!AS8</f>
        <v>2</v>
      </c>
      <c r="BL12" s="573">
        <f>INPUTS!AT8</f>
        <v>2</v>
      </c>
      <c r="BM12" s="573">
        <f>INPUTS!AU8</f>
        <v>2</v>
      </c>
      <c r="BN12" s="573">
        <f>INPUTS!AV8</f>
        <v>2</v>
      </c>
      <c r="BO12" s="573">
        <f>INPUTS!AW8</f>
        <v>2</v>
      </c>
      <c r="BP12" s="573">
        <f>INPUTS!AX8</f>
        <v>2</v>
      </c>
      <c r="BQ12" s="573">
        <f>INPUTS!AY8</f>
        <v>2</v>
      </c>
      <c r="BR12" s="573">
        <f>INPUTS!AZ8</f>
        <v>2</v>
      </c>
      <c r="BS12" s="573">
        <f>INPUTS!BA8</f>
        <v>2</v>
      </c>
    </row>
    <row r="13" spans="1:71" s="367" customFormat="1" ht="15" customHeight="1">
      <c r="A13" s="102"/>
      <c r="B13" s="271">
        <f>tblIndicators!A9</f>
        <v>8</v>
      </c>
      <c r="C13" s="271">
        <f>tblIndicators!AD9</f>
        <v>1</v>
      </c>
      <c r="D13" s="271">
        <f>tblIndicators!G9</f>
        <v>2</v>
      </c>
      <c r="E13" s="103" t="str">
        <f>tblIndicators!H9</f>
        <v>1_2</v>
      </c>
      <c r="F13" s="103"/>
      <c r="G13" s="271">
        <f>tblIndicators!AG9</f>
        <v>1</v>
      </c>
      <c r="H13" s="100" t="str">
        <f>REPT(" ",D13)&amp;tblIndicators!AL9</f>
        <v xml:space="preserve">  1.2) Quality</v>
      </c>
      <c r="I13" s="101" t="str">
        <f>IF(G13=1,"",tblIndicators!Z9)</f>
        <v/>
      </c>
      <c r="K13" s="519" t="str">
        <f t="shared" si="3"/>
        <v/>
      </c>
      <c r="L13" s="519" t="str">
        <f t="shared" si="4"/>
        <v/>
      </c>
      <c r="M13" s="519" t="str">
        <f t="shared" si="5"/>
        <v/>
      </c>
      <c r="N13" s="519" t="str">
        <f t="shared" si="6"/>
        <v/>
      </c>
      <c r="O13" s="519" t="str">
        <f t="shared" si="7"/>
        <v/>
      </c>
      <c r="P13" s="519" t="str">
        <f t="shared" si="8"/>
        <v/>
      </c>
      <c r="Q13" s="519" t="str">
        <f t="shared" si="9"/>
        <v/>
      </c>
      <c r="R13" s="519" t="str">
        <f t="shared" si="10"/>
        <v/>
      </c>
      <c r="S13" s="519" t="str">
        <f t="shared" si="11"/>
        <v/>
      </c>
      <c r="T13" s="519" t="str">
        <f t="shared" si="12"/>
        <v/>
      </c>
      <c r="U13" s="519" t="str">
        <f t="shared" si="13"/>
        <v/>
      </c>
      <c r="V13" s="519" t="str">
        <f t="shared" si="14"/>
        <v/>
      </c>
      <c r="W13" s="519" t="str">
        <f t="shared" si="15"/>
        <v/>
      </c>
      <c r="X13" s="519" t="str">
        <f t="shared" si="16"/>
        <v/>
      </c>
      <c r="Y13" s="519" t="str">
        <f t="shared" si="17"/>
        <v/>
      </c>
      <c r="Z13" s="519" t="str">
        <f t="shared" si="18"/>
        <v/>
      </c>
      <c r="AA13" s="519" t="str">
        <f t="shared" si="19"/>
        <v/>
      </c>
      <c r="AB13" s="519" t="str">
        <f t="shared" si="20"/>
        <v/>
      </c>
      <c r="AC13" s="519" t="str">
        <f t="shared" si="21"/>
        <v/>
      </c>
      <c r="AD13" s="519" t="str">
        <f t="shared" si="22"/>
        <v/>
      </c>
      <c r="AE13" s="519" t="str">
        <f t="shared" si="23"/>
        <v/>
      </c>
      <c r="AF13" s="519" t="str">
        <f t="shared" si="24"/>
        <v/>
      </c>
      <c r="AG13" s="519" t="str">
        <f t="shared" si="25"/>
        <v/>
      </c>
      <c r="AH13" s="519" t="str">
        <f t="shared" si="26"/>
        <v/>
      </c>
      <c r="AI13" s="519" t="str">
        <f t="shared" si="27"/>
        <v/>
      </c>
      <c r="AJ13" s="519" t="str">
        <f t="shared" si="28"/>
        <v/>
      </c>
      <c r="AK13" s="519" t="str">
        <f t="shared" si="29"/>
        <v/>
      </c>
      <c r="AL13" s="519" t="str">
        <f t="shared" si="30"/>
        <v/>
      </c>
      <c r="AM13" s="519" t="str">
        <f t="shared" si="31"/>
        <v/>
      </c>
      <c r="AN13" s="519" t="str">
        <f t="shared" si="32"/>
        <v/>
      </c>
      <c r="AO13" s="364"/>
      <c r="AP13" s="573"/>
      <c r="AQ13" s="573"/>
      <c r="AR13" s="573"/>
      <c r="AS13" s="573"/>
      <c r="AT13" s="573"/>
      <c r="AU13" s="573"/>
      <c r="AV13" s="573"/>
      <c r="AW13" s="573"/>
      <c r="AX13" s="573"/>
      <c r="AY13" s="573"/>
      <c r="AZ13" s="573"/>
      <c r="BA13" s="573"/>
      <c r="BB13" s="573"/>
      <c r="BC13" s="573"/>
      <c r="BD13" s="573"/>
      <c r="BE13" s="573"/>
      <c r="BF13" s="573"/>
      <c r="BG13" s="573"/>
      <c r="BH13" s="573"/>
      <c r="BI13" s="573"/>
      <c r="BJ13" s="573"/>
      <c r="BK13" s="573"/>
      <c r="BL13" s="573"/>
      <c r="BM13" s="573"/>
      <c r="BN13" s="573"/>
      <c r="BO13" s="573"/>
      <c r="BP13" s="573"/>
      <c r="BQ13" s="573"/>
      <c r="BR13" s="573"/>
      <c r="BS13" s="573"/>
    </row>
    <row r="14" spans="1:71" s="367" customFormat="1" ht="15" customHeight="1">
      <c r="A14" s="102"/>
      <c r="B14" s="271">
        <f>tblIndicators!A10</f>
        <v>9</v>
      </c>
      <c r="C14" s="271">
        <f>tblIndicators!AD10</f>
        <v>2</v>
      </c>
      <c r="D14" s="271">
        <f>tblIndicators!G10</f>
        <v>3</v>
      </c>
      <c r="E14" s="103" t="str">
        <f>tblIndicators!H10</f>
        <v>1_2_1</v>
      </c>
      <c r="F14" s="103"/>
      <c r="G14" s="271">
        <f>tblIndicators!AG10</f>
        <v>2</v>
      </c>
      <c r="H14" s="100" t="str">
        <f>REPT(" ",D14)&amp;tblIndicators!AL10</f>
        <v xml:space="preserve">   1.2.1) Internet upload speed</v>
      </c>
      <c r="I14" s="101" t="str">
        <f>IF(G14=1,"",tblIndicators!Z10)</f>
        <v>Mbps</v>
      </c>
      <c r="K14" s="519">
        <f t="shared" si="3"/>
        <v>14.05</v>
      </c>
      <c r="L14" s="519">
        <f t="shared" si="4"/>
        <v>10.32</v>
      </c>
      <c r="M14" s="519">
        <f t="shared" si="5"/>
        <v>11.87</v>
      </c>
      <c r="N14" s="519">
        <f t="shared" si="6"/>
        <v>9.68</v>
      </c>
      <c r="O14" s="519">
        <f t="shared" si="7"/>
        <v>21.86</v>
      </c>
      <c r="P14" s="519">
        <f t="shared" si="8"/>
        <v>10.6</v>
      </c>
      <c r="Q14" s="519">
        <f t="shared" si="9"/>
        <v>7.24</v>
      </c>
      <c r="R14" s="519">
        <f t="shared" si="10"/>
        <v>16.489999999999998</v>
      </c>
      <c r="S14" s="519">
        <f t="shared" si="11"/>
        <v>8.81</v>
      </c>
      <c r="T14" s="519">
        <f t="shared" si="12"/>
        <v>23.2</v>
      </c>
      <c r="U14" s="519">
        <f t="shared" si="13"/>
        <v>10.6</v>
      </c>
      <c r="V14" s="519">
        <f t="shared" si="14"/>
        <v>9.7899999999999991</v>
      </c>
      <c r="W14" s="519">
        <f t="shared" si="15"/>
        <v>9.85</v>
      </c>
      <c r="X14" s="519">
        <f t="shared" si="16"/>
        <v>7.89</v>
      </c>
      <c r="Y14" s="519">
        <f t="shared" si="17"/>
        <v>8.1</v>
      </c>
      <c r="Z14" s="519">
        <f t="shared" si="18"/>
        <v>9.68</v>
      </c>
      <c r="AA14" s="519">
        <f t="shared" si="19"/>
        <v>5.39</v>
      </c>
      <c r="AB14" s="519">
        <f t="shared" si="20"/>
        <v>8.9499999999999993</v>
      </c>
      <c r="AC14" s="519">
        <f t="shared" si="21"/>
        <v>3.36</v>
      </c>
      <c r="AD14" s="519">
        <f t="shared" si="22"/>
        <v>8.81</v>
      </c>
      <c r="AE14" s="519">
        <f t="shared" si="23"/>
        <v>7.66</v>
      </c>
      <c r="AF14" s="519">
        <f t="shared" si="24"/>
        <v>9.3699999999999992</v>
      </c>
      <c r="AG14" s="519">
        <f t="shared" si="25"/>
        <v>7.66</v>
      </c>
      <c r="AH14" s="519">
        <f t="shared" si="26"/>
        <v>14.87</v>
      </c>
      <c r="AI14" s="519">
        <f t="shared" si="27"/>
        <v>15.79</v>
      </c>
      <c r="AJ14" s="519">
        <f t="shared" si="28"/>
        <v>10.83</v>
      </c>
      <c r="AK14" s="519">
        <f t="shared" si="29"/>
        <v>8.69</v>
      </c>
      <c r="AL14" s="519">
        <f t="shared" si="30"/>
        <v>8.5399999999999991</v>
      </c>
      <c r="AM14" s="519">
        <f t="shared" si="31"/>
        <v>8.81</v>
      </c>
      <c r="AN14" s="519">
        <f t="shared" si="32"/>
        <v>19.8</v>
      </c>
      <c r="AO14" s="364"/>
      <c r="AP14" s="573">
        <f>INPUTS!X10</f>
        <v>14.05</v>
      </c>
      <c r="AQ14" s="573">
        <f>INPUTS!Y10</f>
        <v>10.32</v>
      </c>
      <c r="AR14" s="573">
        <f>INPUTS!Z10</f>
        <v>11.87</v>
      </c>
      <c r="AS14" s="573">
        <f>INPUTS!AA10</f>
        <v>9.68</v>
      </c>
      <c r="AT14" s="573">
        <f>INPUTS!AB10</f>
        <v>21.86</v>
      </c>
      <c r="AU14" s="573">
        <f>INPUTS!AC10</f>
        <v>10.6</v>
      </c>
      <c r="AV14" s="573">
        <f>INPUTS!AD10</f>
        <v>7.24</v>
      </c>
      <c r="AW14" s="573">
        <f>INPUTS!AE10</f>
        <v>16.489999999999998</v>
      </c>
      <c r="AX14" s="573">
        <f>INPUTS!AF10</f>
        <v>8.81</v>
      </c>
      <c r="AY14" s="573">
        <f>INPUTS!AG10</f>
        <v>23.2</v>
      </c>
      <c r="AZ14" s="573">
        <f>INPUTS!AH10</f>
        <v>10.6</v>
      </c>
      <c r="BA14" s="573">
        <f>INPUTS!AI10</f>
        <v>9.7899999999999991</v>
      </c>
      <c r="BB14" s="573">
        <f>INPUTS!AJ10</f>
        <v>9.85</v>
      </c>
      <c r="BC14" s="573">
        <f>INPUTS!AK10</f>
        <v>7.89</v>
      </c>
      <c r="BD14" s="573">
        <f>INPUTS!AL10</f>
        <v>8.1</v>
      </c>
      <c r="BE14" s="573">
        <f>INPUTS!AM10</f>
        <v>9.68</v>
      </c>
      <c r="BF14" s="573">
        <f>INPUTS!AN10</f>
        <v>5.39</v>
      </c>
      <c r="BG14" s="573">
        <f>INPUTS!AO10</f>
        <v>8.9499999999999993</v>
      </c>
      <c r="BH14" s="573">
        <f>INPUTS!AP10</f>
        <v>3.36</v>
      </c>
      <c r="BI14" s="573">
        <f>INPUTS!AQ10</f>
        <v>8.81</v>
      </c>
      <c r="BJ14" s="573">
        <f>INPUTS!AR10</f>
        <v>7.66</v>
      </c>
      <c r="BK14" s="573">
        <f>INPUTS!AS10</f>
        <v>9.3699999999999992</v>
      </c>
      <c r="BL14" s="573">
        <f>INPUTS!AT10</f>
        <v>7.66</v>
      </c>
      <c r="BM14" s="573">
        <f>INPUTS!AU10</f>
        <v>14.87</v>
      </c>
      <c r="BN14" s="573">
        <f>INPUTS!AV10</f>
        <v>15.79</v>
      </c>
      <c r="BO14" s="573">
        <f>INPUTS!AW10</f>
        <v>10.83</v>
      </c>
      <c r="BP14" s="573">
        <f>INPUTS!AX10</f>
        <v>8.69</v>
      </c>
      <c r="BQ14" s="573">
        <f>INPUTS!AY10</f>
        <v>8.5399999999999991</v>
      </c>
      <c r="BR14" s="573">
        <f>INPUTS!AZ10</f>
        <v>8.81</v>
      </c>
      <c r="BS14" s="573">
        <f>INPUTS!BA10</f>
        <v>19.8</v>
      </c>
    </row>
    <row r="15" spans="1:71" s="367" customFormat="1" ht="15" customHeight="1">
      <c r="A15" s="102"/>
      <c r="B15" s="271">
        <f>tblIndicators!A11</f>
        <v>10</v>
      </c>
      <c r="C15" s="271">
        <f>tblIndicators!AD11</f>
        <v>2</v>
      </c>
      <c r="D15" s="271">
        <f>tblIndicators!G11</f>
        <v>3</v>
      </c>
      <c r="E15" s="103" t="str">
        <f>tblIndicators!H11</f>
        <v>1_2_2</v>
      </c>
      <c r="F15" s="103"/>
      <c r="G15" s="271">
        <f>tblIndicators!AG11</f>
        <v>4</v>
      </c>
      <c r="H15" s="100" t="str">
        <f>REPT(" ",D15)&amp;tblIndicators!AL11</f>
        <v xml:space="preserve">   1.2.2) Internet download speed</v>
      </c>
      <c r="I15" s="101" t="str">
        <f>IF(G15=1,"",tblIndicators!Z11)</f>
        <v>Mbps</v>
      </c>
      <c r="K15" s="519">
        <f t="shared" si="3"/>
        <v>91.66</v>
      </c>
      <c r="L15" s="519">
        <f t="shared" si="4"/>
        <v>43.44</v>
      </c>
      <c r="M15" s="519">
        <f t="shared" si="5"/>
        <v>31.38</v>
      </c>
      <c r="N15" s="519">
        <f t="shared" si="6"/>
        <v>34.630000000000003</v>
      </c>
      <c r="O15" s="519">
        <f t="shared" si="7"/>
        <v>78.61</v>
      </c>
      <c r="P15" s="519">
        <f t="shared" si="8"/>
        <v>51.81</v>
      </c>
      <c r="Q15" s="519">
        <f t="shared" si="9"/>
        <v>22.1</v>
      </c>
      <c r="R15" s="519">
        <f t="shared" si="10"/>
        <v>75.84</v>
      </c>
      <c r="S15" s="519">
        <f t="shared" si="11"/>
        <v>53.2</v>
      </c>
      <c r="T15" s="519">
        <f t="shared" si="12"/>
        <v>127.81</v>
      </c>
      <c r="U15" s="519">
        <f t="shared" si="13"/>
        <v>51.81</v>
      </c>
      <c r="V15" s="519">
        <f t="shared" si="14"/>
        <v>43.88</v>
      </c>
      <c r="W15" s="519">
        <f t="shared" si="15"/>
        <v>16.16</v>
      </c>
      <c r="X15" s="519">
        <f t="shared" si="16"/>
        <v>23.74</v>
      </c>
      <c r="Y15" s="519">
        <f t="shared" si="17"/>
        <v>44.49</v>
      </c>
      <c r="Z15" s="519">
        <f t="shared" si="18"/>
        <v>34.630000000000003</v>
      </c>
      <c r="AA15" s="519">
        <f t="shared" si="19"/>
        <v>18.21</v>
      </c>
      <c r="AB15" s="519">
        <f t="shared" si="20"/>
        <v>22.87</v>
      </c>
      <c r="AC15" s="519">
        <f t="shared" si="21"/>
        <v>13.45</v>
      </c>
      <c r="AD15" s="519">
        <f t="shared" si="22"/>
        <v>53.2</v>
      </c>
      <c r="AE15" s="519">
        <f t="shared" si="23"/>
        <v>52.7</v>
      </c>
      <c r="AF15" s="519">
        <f t="shared" si="24"/>
        <v>35.31</v>
      </c>
      <c r="AG15" s="519">
        <f t="shared" si="25"/>
        <v>22.6</v>
      </c>
      <c r="AH15" s="519">
        <f t="shared" si="26"/>
        <v>98.93</v>
      </c>
      <c r="AI15" s="519">
        <f t="shared" si="27"/>
        <v>68.319999999999993</v>
      </c>
      <c r="AJ15" s="519">
        <f t="shared" si="28"/>
        <v>79.239999999999995</v>
      </c>
      <c r="AK15" s="519">
        <f t="shared" si="29"/>
        <v>40.51</v>
      </c>
      <c r="AL15" s="519">
        <f t="shared" si="30"/>
        <v>70.33</v>
      </c>
      <c r="AM15" s="519">
        <f t="shared" si="31"/>
        <v>53.2</v>
      </c>
      <c r="AN15" s="519">
        <f t="shared" si="32"/>
        <v>80.45</v>
      </c>
      <c r="AO15" s="364"/>
      <c r="AP15" s="573">
        <f>INPUTS!X11</f>
        <v>91.66</v>
      </c>
      <c r="AQ15" s="573">
        <f>INPUTS!Y11</f>
        <v>43.44</v>
      </c>
      <c r="AR15" s="573">
        <f>INPUTS!Z11</f>
        <v>31.38</v>
      </c>
      <c r="AS15" s="573">
        <f>INPUTS!AA11</f>
        <v>34.630000000000003</v>
      </c>
      <c r="AT15" s="573">
        <f>INPUTS!AB11</f>
        <v>78.61</v>
      </c>
      <c r="AU15" s="573">
        <f>INPUTS!AC11</f>
        <v>51.81</v>
      </c>
      <c r="AV15" s="573">
        <f>INPUTS!AD11</f>
        <v>22.1</v>
      </c>
      <c r="AW15" s="573">
        <f>INPUTS!AE11</f>
        <v>75.84</v>
      </c>
      <c r="AX15" s="573">
        <f>INPUTS!AF11</f>
        <v>53.2</v>
      </c>
      <c r="AY15" s="573">
        <f>INPUTS!AG11</f>
        <v>127.81</v>
      </c>
      <c r="AZ15" s="573">
        <f>INPUTS!AH11</f>
        <v>51.81</v>
      </c>
      <c r="BA15" s="573">
        <f>INPUTS!AI11</f>
        <v>43.88</v>
      </c>
      <c r="BB15" s="573">
        <f>INPUTS!AJ11</f>
        <v>16.16</v>
      </c>
      <c r="BC15" s="573">
        <f>INPUTS!AK11</f>
        <v>23.74</v>
      </c>
      <c r="BD15" s="573">
        <f>INPUTS!AL11</f>
        <v>44.49</v>
      </c>
      <c r="BE15" s="573">
        <f>INPUTS!AM11</f>
        <v>34.630000000000003</v>
      </c>
      <c r="BF15" s="573">
        <f>INPUTS!AN11</f>
        <v>18.21</v>
      </c>
      <c r="BG15" s="573">
        <f>INPUTS!AO11</f>
        <v>22.87</v>
      </c>
      <c r="BH15" s="573">
        <f>INPUTS!AP11</f>
        <v>13.45</v>
      </c>
      <c r="BI15" s="573">
        <f>INPUTS!AQ11</f>
        <v>53.2</v>
      </c>
      <c r="BJ15" s="573">
        <f>INPUTS!AR11</f>
        <v>52.7</v>
      </c>
      <c r="BK15" s="573">
        <f>INPUTS!AS11</f>
        <v>35.31</v>
      </c>
      <c r="BL15" s="573">
        <f>INPUTS!AT11</f>
        <v>22.6</v>
      </c>
      <c r="BM15" s="573">
        <f>INPUTS!AU11</f>
        <v>98.93</v>
      </c>
      <c r="BN15" s="573">
        <f>INPUTS!AV11</f>
        <v>68.319999999999993</v>
      </c>
      <c r="BO15" s="573">
        <f>INPUTS!AW11</f>
        <v>79.239999999999995</v>
      </c>
      <c r="BP15" s="573">
        <f>INPUTS!AX11</f>
        <v>40.51</v>
      </c>
      <c r="BQ15" s="573">
        <f>INPUTS!AY11</f>
        <v>70.33</v>
      </c>
      <c r="BR15" s="573">
        <f>INPUTS!AZ11</f>
        <v>53.2</v>
      </c>
      <c r="BS15" s="573">
        <f>INPUTS!BA11</f>
        <v>80.45</v>
      </c>
    </row>
    <row r="16" spans="1:71" s="367" customFormat="1" ht="15" customHeight="1">
      <c r="A16" s="102"/>
      <c r="B16" s="271">
        <f>tblIndicators!A12</f>
        <v>11</v>
      </c>
      <c r="C16" s="271">
        <f>tblIndicators!AD12</f>
        <v>0</v>
      </c>
      <c r="D16" s="271">
        <f>tblIndicators!G12</f>
        <v>3</v>
      </c>
      <c r="E16" s="103" t="str">
        <f>tblIndicators!H12</f>
        <v>1_2_3</v>
      </c>
      <c r="F16" s="103"/>
      <c r="G16" s="271">
        <f>tblIndicators!AG12</f>
        <v>2</v>
      </c>
      <c r="H16" s="100" t="str">
        <f>REPT(" ",D16)&amp;tblIndicators!AL12</f>
        <v xml:space="preserve">   1.2.3) Mobile broadband latency</v>
      </c>
      <c r="I16" s="101" t="str">
        <f>IF(G16=1,"",tblIndicators!Z12)</f>
        <v>ms</v>
      </c>
      <c r="K16" s="519">
        <f t="shared" si="3"/>
        <v>24</v>
      </c>
      <c r="L16" s="519">
        <f t="shared" si="4"/>
        <v>32</v>
      </c>
      <c r="M16" s="519">
        <f t="shared" si="5"/>
        <v>24</v>
      </c>
      <c r="N16" s="519">
        <f t="shared" si="6"/>
        <v>36</v>
      </c>
      <c r="O16" s="519">
        <f t="shared" si="7"/>
        <v>24</v>
      </c>
      <c r="P16" s="519">
        <f t="shared" si="8"/>
        <v>27</v>
      </c>
      <c r="Q16" s="519">
        <f t="shared" si="9"/>
        <v>30</v>
      </c>
      <c r="R16" s="519">
        <f t="shared" si="10"/>
        <v>21</v>
      </c>
      <c r="S16" s="519">
        <f t="shared" si="11"/>
        <v>32</v>
      </c>
      <c r="T16" s="519">
        <f t="shared" si="12"/>
        <v>19</v>
      </c>
      <c r="U16" s="519">
        <f t="shared" si="13"/>
        <v>27</v>
      </c>
      <c r="V16" s="519">
        <f t="shared" si="14"/>
        <v>20</v>
      </c>
      <c r="W16" s="519">
        <f t="shared" si="15"/>
        <v>27</v>
      </c>
      <c r="X16" s="519">
        <f t="shared" si="16"/>
        <v>28</v>
      </c>
      <c r="Y16" s="519">
        <f t="shared" si="17"/>
        <v>35</v>
      </c>
      <c r="Z16" s="519">
        <f t="shared" si="18"/>
        <v>36</v>
      </c>
      <c r="AA16" s="519">
        <f t="shared" si="19"/>
        <v>24</v>
      </c>
      <c r="AB16" s="519">
        <f t="shared" si="20"/>
        <v>34</v>
      </c>
      <c r="AC16" s="519">
        <f t="shared" si="21"/>
        <v>36</v>
      </c>
      <c r="AD16" s="519">
        <f t="shared" si="22"/>
        <v>32</v>
      </c>
      <c r="AE16" s="519">
        <f t="shared" si="23"/>
        <v>33</v>
      </c>
      <c r="AF16" s="519">
        <f t="shared" si="24"/>
        <v>37</v>
      </c>
      <c r="AG16" s="519">
        <f t="shared" si="25"/>
        <v>29</v>
      </c>
      <c r="AH16" s="519">
        <f t="shared" si="26"/>
        <v>28</v>
      </c>
      <c r="AI16" s="519">
        <f t="shared" si="27"/>
        <v>18</v>
      </c>
      <c r="AJ16" s="519">
        <f t="shared" si="28"/>
        <v>23</v>
      </c>
      <c r="AK16" s="519">
        <f t="shared" si="29"/>
        <v>38</v>
      </c>
      <c r="AL16" s="519">
        <f t="shared" si="30"/>
        <v>25</v>
      </c>
      <c r="AM16" s="519">
        <f t="shared" si="31"/>
        <v>32</v>
      </c>
      <c r="AN16" s="519">
        <f t="shared" si="32"/>
        <v>22</v>
      </c>
      <c r="AO16" s="364"/>
      <c r="AP16" s="573">
        <f>INPUTS!X12</f>
        <v>24</v>
      </c>
      <c r="AQ16" s="573">
        <f>INPUTS!Y12</f>
        <v>32</v>
      </c>
      <c r="AR16" s="573">
        <f>INPUTS!Z12</f>
        <v>24</v>
      </c>
      <c r="AS16" s="573">
        <f>INPUTS!AA12</f>
        <v>36</v>
      </c>
      <c r="AT16" s="573">
        <f>INPUTS!AB12</f>
        <v>24</v>
      </c>
      <c r="AU16" s="573">
        <f>INPUTS!AC12</f>
        <v>27</v>
      </c>
      <c r="AV16" s="573">
        <f>INPUTS!AD12</f>
        <v>30</v>
      </c>
      <c r="AW16" s="573">
        <f>INPUTS!AE12</f>
        <v>21</v>
      </c>
      <c r="AX16" s="573">
        <f>INPUTS!AF12</f>
        <v>32</v>
      </c>
      <c r="AY16" s="573">
        <f>INPUTS!AG12</f>
        <v>19</v>
      </c>
      <c r="AZ16" s="573">
        <f>INPUTS!AH12</f>
        <v>27</v>
      </c>
      <c r="BA16" s="573">
        <f>INPUTS!AI12</f>
        <v>20</v>
      </c>
      <c r="BB16" s="573">
        <f>INPUTS!AJ12</f>
        <v>27</v>
      </c>
      <c r="BC16" s="573">
        <f>INPUTS!AK12</f>
        <v>28</v>
      </c>
      <c r="BD16" s="573">
        <f>INPUTS!AL12</f>
        <v>35</v>
      </c>
      <c r="BE16" s="573">
        <f>INPUTS!AM12</f>
        <v>36</v>
      </c>
      <c r="BF16" s="573">
        <f>INPUTS!AN12</f>
        <v>24</v>
      </c>
      <c r="BG16" s="573">
        <f>INPUTS!AO12</f>
        <v>34</v>
      </c>
      <c r="BH16" s="573">
        <f>INPUTS!AP12</f>
        <v>36</v>
      </c>
      <c r="BI16" s="573">
        <f>INPUTS!AQ12</f>
        <v>32</v>
      </c>
      <c r="BJ16" s="573">
        <f>INPUTS!AR12</f>
        <v>33</v>
      </c>
      <c r="BK16" s="573">
        <f>INPUTS!AS12</f>
        <v>37</v>
      </c>
      <c r="BL16" s="573">
        <f>INPUTS!AT12</f>
        <v>29</v>
      </c>
      <c r="BM16" s="573">
        <f>INPUTS!AU12</f>
        <v>28</v>
      </c>
      <c r="BN16" s="573">
        <f>INPUTS!AV12</f>
        <v>18</v>
      </c>
      <c r="BO16" s="573">
        <f>INPUTS!AW12</f>
        <v>23</v>
      </c>
      <c r="BP16" s="573">
        <f>INPUTS!AX12</f>
        <v>38</v>
      </c>
      <c r="BQ16" s="573">
        <f>INPUTS!AY12</f>
        <v>25</v>
      </c>
      <c r="BR16" s="573">
        <f>INPUTS!AZ12</f>
        <v>32</v>
      </c>
      <c r="BS16" s="573">
        <f>INPUTS!BA12</f>
        <v>22</v>
      </c>
    </row>
    <row r="17" spans="1:71" s="367" customFormat="1" ht="15" customHeight="1">
      <c r="A17" s="102"/>
      <c r="B17" s="271">
        <f>tblIndicators!A13</f>
        <v>12</v>
      </c>
      <c r="C17" s="271">
        <f>tblIndicators!AD13</f>
        <v>0</v>
      </c>
      <c r="D17" s="271">
        <f>tblIndicators!G13</f>
        <v>3</v>
      </c>
      <c r="E17" s="103" t="str">
        <f>tblIndicators!H13</f>
        <v>1_2_4</v>
      </c>
      <c r="F17" s="103"/>
      <c r="G17" s="271">
        <f>tblIndicators!AG13</f>
        <v>2</v>
      </c>
      <c r="H17" s="100" t="str">
        <f>REPT(" ",D17)&amp;tblIndicators!AL13</f>
        <v xml:space="preserve">   1.2.4) Fixed broadband latency</v>
      </c>
      <c r="I17" s="101" t="str">
        <f>IF(G17=1,"",tblIndicators!Z13)</f>
        <v>ms</v>
      </c>
      <c r="K17" s="519">
        <f t="shared" ref="K17" si="33">IF($G17=1,"",IF(AP17="-","",IF(ISNUMBER(AP17),ROUND(AP17,$C17),"")))</f>
        <v>10</v>
      </c>
      <c r="L17" s="519">
        <f t="shared" ref="L17" si="34">IF($G17=1,"",IF(AQ17="-","",IF(ISNUMBER(AQ17),ROUND(AQ17,$C17),"")))</f>
        <v>6</v>
      </c>
      <c r="M17" s="519">
        <f t="shared" ref="M17" si="35">IF($G17=1,"",IF(AR17="-","",IF(ISNUMBER(AR17),ROUND(AR17,$C17),"")))</f>
        <v>5</v>
      </c>
      <c r="N17" s="519">
        <f t="shared" ref="N17" si="36">IF($G17=1,"",IF(AS17="-","",IF(ISNUMBER(AS17),ROUND(AS17,$C17),"")))</f>
        <v>13</v>
      </c>
      <c r="O17" s="519">
        <f t="shared" ref="O17" si="37">IF($G17=1,"",IF(AT17="-","",IF(ISNUMBER(AT17),ROUND(AT17,$C17),"")))</f>
        <v>9</v>
      </c>
      <c r="P17" s="519">
        <f t="shared" ref="P17" si="38">IF($G17=1,"",IF(AU17="-","",IF(ISNUMBER(AU17),ROUND(AU17,$C17),"")))</f>
        <v>14</v>
      </c>
      <c r="Q17" s="519">
        <f t="shared" ref="Q17" si="39">IF($G17=1,"",IF(AV17="-","",IF(ISNUMBER(AV17),ROUND(AV17,$C17),"")))</f>
        <v>14</v>
      </c>
      <c r="R17" s="519">
        <f t="shared" ref="R17" si="40">IF($G17=1,"",IF(AW17="-","",IF(ISNUMBER(AW17),ROUND(AW17,$C17),"")))</f>
        <v>8</v>
      </c>
      <c r="S17" s="519">
        <f t="shared" ref="S17" si="41">IF($G17=1,"",IF(AX17="-","",IF(ISNUMBER(AX17),ROUND(AX17,$C17),"")))</f>
        <v>14</v>
      </c>
      <c r="T17" s="519">
        <f t="shared" ref="T17" si="42">IF($G17=1,"",IF(AY17="-","",IF(ISNUMBER(AY17),ROUND(AY17,$C17),"")))</f>
        <v>4</v>
      </c>
      <c r="U17" s="519">
        <f t="shared" ref="U17" si="43">IF($G17=1,"",IF(AZ17="-","",IF(ISNUMBER(AZ17),ROUND(AZ17,$C17),"")))</f>
        <v>14</v>
      </c>
      <c r="V17" s="519">
        <f t="shared" ref="V17" si="44">IF($G17=1,"",IF(BA17="-","",IF(ISNUMBER(BA17),ROUND(BA17,$C17),"")))</f>
        <v>4</v>
      </c>
      <c r="W17" s="519">
        <f t="shared" ref="W17" si="45">IF($G17=1,"",IF(BB17="-","",IF(ISNUMBER(BB17),ROUND(BB17,$C17),"")))</f>
        <v>8</v>
      </c>
      <c r="X17" s="519">
        <f t="shared" ref="X17" si="46">IF($G17=1,"",IF(BC17="-","",IF(ISNUMBER(BC17),ROUND(BC17,$C17),"")))</f>
        <v>8</v>
      </c>
      <c r="Y17" s="519">
        <f t="shared" ref="Y17" si="47">IF($G17=1,"",IF(BD17="-","",IF(ISNUMBER(BD17),ROUND(BD17,$C17),"")))</f>
        <v>15</v>
      </c>
      <c r="Z17" s="519">
        <f t="shared" ref="Z17" si="48">IF($G17=1,"",IF(BE17="-","",IF(ISNUMBER(BE17),ROUND(BE17,$C17),"")))</f>
        <v>13</v>
      </c>
      <c r="AA17" s="519">
        <f t="shared" ref="AA17" si="49">IF($G17=1,"",IF(BF17="-","",IF(ISNUMBER(BF17),ROUND(BF17,$C17),"")))</f>
        <v>6</v>
      </c>
      <c r="AB17" s="519">
        <f t="shared" ref="AB17" si="50">IF($G17=1,"",IF(BG17="-","",IF(ISNUMBER(BG17),ROUND(BG17,$C17),"")))</f>
        <v>11</v>
      </c>
      <c r="AC17" s="519">
        <f t="shared" ref="AC17" si="51">IF($G17=1,"",IF(BH17="-","",IF(ISNUMBER(BH17),ROUND(BH17,$C17),"")))</f>
        <v>6</v>
      </c>
      <c r="AD17" s="519">
        <f t="shared" ref="AD17" si="52">IF($G17=1,"",IF(BI17="-","",IF(ISNUMBER(BI17),ROUND(BI17,$C17),"")))</f>
        <v>14</v>
      </c>
      <c r="AE17" s="519">
        <f t="shared" ref="AE17" si="53">IF($G17=1,"",IF(BJ17="-","",IF(ISNUMBER(BJ17),ROUND(BJ17,$C17),"")))</f>
        <v>12</v>
      </c>
      <c r="AF17" s="519">
        <f t="shared" ref="AF17" si="54">IF($G17=1,"",IF(BK17="-","",IF(ISNUMBER(BK17),ROUND(BK17,$C17),"")))</f>
        <v>14</v>
      </c>
      <c r="AG17" s="519">
        <f t="shared" ref="AG17" si="55">IF($G17=1,"",IF(BL17="-","",IF(ISNUMBER(BL17),ROUND(BL17,$C17),"")))</f>
        <v>5</v>
      </c>
      <c r="AH17" s="519">
        <f t="shared" ref="AH17" si="56">IF($G17=1,"",IF(BM17="-","",IF(ISNUMBER(BM17),ROUND(BM17,$C17),"")))</f>
        <v>6</v>
      </c>
      <c r="AI17" s="519">
        <f t="shared" ref="AI17" si="57">IF($G17=1,"",IF(BN17="-","",IF(ISNUMBER(BN17),ROUND(BN17,$C17),"")))</f>
        <v>4</v>
      </c>
      <c r="AJ17" s="519">
        <f t="shared" ref="AJ17" si="58">IF($G17=1,"",IF(BO17="-","",IF(ISNUMBER(BO17),ROUND(BO17,$C17),"")))</f>
        <v>10</v>
      </c>
      <c r="AK17" s="519">
        <f t="shared" ref="AK17" si="59">IF($G17=1,"",IF(BP17="-","",IF(ISNUMBER(BP17),ROUND(BP17,$C17),"")))</f>
        <v>11</v>
      </c>
      <c r="AL17" s="519">
        <f t="shared" ref="AL17" si="60">IF($G17=1,"",IF(BQ17="-","",IF(ISNUMBER(BQ17),ROUND(BQ17,$C17),"")))</f>
        <v>11</v>
      </c>
      <c r="AM17" s="519">
        <f t="shared" ref="AM17" si="61">IF($G17=1,"",IF(BR17="-","",IF(ISNUMBER(BR17),ROUND(BR17,$C17),"")))</f>
        <v>14</v>
      </c>
      <c r="AN17" s="519">
        <f t="shared" ref="AN17" si="62">IF($G17=1,"",IF(BS17="-","",IF(ISNUMBER(BS17),ROUND(BS17,$C17),"")))</f>
        <v>8</v>
      </c>
      <c r="AO17" s="364"/>
      <c r="AP17" s="573">
        <f>INPUTS!X13</f>
        <v>10</v>
      </c>
      <c r="AQ17" s="573">
        <f>INPUTS!Y13</f>
        <v>6</v>
      </c>
      <c r="AR17" s="573">
        <f>INPUTS!Z13</f>
        <v>5</v>
      </c>
      <c r="AS17" s="573">
        <f>INPUTS!AA13</f>
        <v>13</v>
      </c>
      <c r="AT17" s="573">
        <f>INPUTS!AB13</f>
        <v>9</v>
      </c>
      <c r="AU17" s="573">
        <f>INPUTS!AC13</f>
        <v>14</v>
      </c>
      <c r="AV17" s="573">
        <f>INPUTS!AD13</f>
        <v>14</v>
      </c>
      <c r="AW17" s="573">
        <f>INPUTS!AE13</f>
        <v>8</v>
      </c>
      <c r="AX17" s="573">
        <f>INPUTS!AF13</f>
        <v>14</v>
      </c>
      <c r="AY17" s="573">
        <f>INPUTS!AG13</f>
        <v>4</v>
      </c>
      <c r="AZ17" s="573">
        <f>INPUTS!AH13</f>
        <v>14</v>
      </c>
      <c r="BA17" s="573">
        <f>INPUTS!AI13</f>
        <v>4</v>
      </c>
      <c r="BB17" s="573">
        <f>INPUTS!AJ13</f>
        <v>8</v>
      </c>
      <c r="BC17" s="573">
        <f>INPUTS!AK13</f>
        <v>8</v>
      </c>
      <c r="BD17" s="573">
        <f>INPUTS!AL13</f>
        <v>15</v>
      </c>
      <c r="BE17" s="573">
        <f>INPUTS!AM13</f>
        <v>13</v>
      </c>
      <c r="BF17" s="573">
        <f>INPUTS!AN13</f>
        <v>6</v>
      </c>
      <c r="BG17" s="573">
        <f>INPUTS!AO13</f>
        <v>11</v>
      </c>
      <c r="BH17" s="573">
        <f>INPUTS!AP13</f>
        <v>6</v>
      </c>
      <c r="BI17" s="573">
        <f>INPUTS!AQ13</f>
        <v>14</v>
      </c>
      <c r="BJ17" s="573">
        <f>INPUTS!AR13</f>
        <v>12</v>
      </c>
      <c r="BK17" s="573">
        <f>INPUTS!AS13</f>
        <v>14</v>
      </c>
      <c r="BL17" s="573">
        <f>INPUTS!AT13</f>
        <v>5</v>
      </c>
      <c r="BM17" s="573">
        <f>INPUTS!AU13</f>
        <v>6</v>
      </c>
      <c r="BN17" s="573">
        <f>INPUTS!AV13</f>
        <v>4</v>
      </c>
      <c r="BO17" s="573">
        <f>INPUTS!AW13</f>
        <v>10</v>
      </c>
      <c r="BP17" s="573">
        <f>INPUTS!AX13</f>
        <v>11</v>
      </c>
      <c r="BQ17" s="573">
        <f>INPUTS!AY13</f>
        <v>11</v>
      </c>
      <c r="BR17" s="573">
        <f>INPUTS!AZ13</f>
        <v>14</v>
      </c>
      <c r="BS17" s="573">
        <f>INPUTS!BA13</f>
        <v>8</v>
      </c>
    </row>
    <row r="18" spans="1:71" s="367" customFormat="1" ht="15" customHeight="1">
      <c r="A18" s="102"/>
      <c r="B18" s="271">
        <f>tblIndicators!A14</f>
        <v>13</v>
      </c>
      <c r="C18" s="271">
        <f>tblIndicators!AD14</f>
        <v>1</v>
      </c>
      <c r="D18" s="271">
        <f>tblIndicators!G14</f>
        <v>2</v>
      </c>
      <c r="E18" s="103" t="str">
        <f>tblIndicators!H14</f>
        <v>1_3</v>
      </c>
      <c r="F18" s="103"/>
      <c r="G18" s="271">
        <f>tblIndicators!AG14</f>
        <v>1</v>
      </c>
      <c r="H18" s="100" t="str">
        <f>REPT(" ",D18)&amp;tblIndicators!AL14</f>
        <v xml:space="preserve">  1.3) Affordability</v>
      </c>
      <c r="I18" s="101" t="str">
        <f>IF(G18=1,"",tblIndicators!Z14)</f>
        <v/>
      </c>
      <c r="K18" s="519" t="str">
        <f t="shared" si="3"/>
        <v/>
      </c>
      <c r="L18" s="519" t="str">
        <f t="shared" si="4"/>
        <v/>
      </c>
      <c r="M18" s="519" t="str">
        <f t="shared" si="5"/>
        <v/>
      </c>
      <c r="N18" s="519" t="str">
        <f t="shared" si="6"/>
        <v/>
      </c>
      <c r="O18" s="519" t="str">
        <f t="shared" si="7"/>
        <v/>
      </c>
      <c r="P18" s="519" t="str">
        <f t="shared" si="8"/>
        <v/>
      </c>
      <c r="Q18" s="519" t="str">
        <f t="shared" si="9"/>
        <v/>
      </c>
      <c r="R18" s="519" t="str">
        <f t="shared" si="10"/>
        <v/>
      </c>
      <c r="S18" s="519" t="str">
        <f t="shared" si="11"/>
        <v/>
      </c>
      <c r="T18" s="519" t="str">
        <f t="shared" si="12"/>
        <v/>
      </c>
      <c r="U18" s="519" t="str">
        <f t="shared" si="13"/>
        <v/>
      </c>
      <c r="V18" s="519" t="str">
        <f t="shared" si="14"/>
        <v/>
      </c>
      <c r="W18" s="519" t="str">
        <f t="shared" si="15"/>
        <v/>
      </c>
      <c r="X18" s="519" t="str">
        <f t="shared" si="16"/>
        <v/>
      </c>
      <c r="Y18" s="519" t="str">
        <f t="shared" si="17"/>
        <v/>
      </c>
      <c r="Z18" s="519" t="str">
        <f t="shared" si="18"/>
        <v/>
      </c>
      <c r="AA18" s="519" t="str">
        <f t="shared" si="19"/>
        <v/>
      </c>
      <c r="AB18" s="519" t="str">
        <f t="shared" si="20"/>
        <v/>
      </c>
      <c r="AC18" s="519" t="str">
        <f t="shared" si="21"/>
        <v/>
      </c>
      <c r="AD18" s="519" t="str">
        <f t="shared" si="22"/>
        <v/>
      </c>
      <c r="AE18" s="519" t="str">
        <f t="shared" si="23"/>
        <v/>
      </c>
      <c r="AF18" s="519" t="str">
        <f t="shared" si="24"/>
        <v/>
      </c>
      <c r="AG18" s="519" t="str">
        <f t="shared" si="25"/>
        <v/>
      </c>
      <c r="AH18" s="519" t="str">
        <f t="shared" si="26"/>
        <v/>
      </c>
      <c r="AI18" s="519" t="str">
        <f t="shared" si="27"/>
        <v/>
      </c>
      <c r="AJ18" s="519" t="str">
        <f t="shared" si="28"/>
        <v/>
      </c>
      <c r="AK18" s="519" t="str">
        <f t="shared" si="29"/>
        <v/>
      </c>
      <c r="AL18" s="519" t="str">
        <f t="shared" si="30"/>
        <v/>
      </c>
      <c r="AM18" s="519" t="str">
        <f t="shared" si="31"/>
        <v/>
      </c>
      <c r="AN18" s="519" t="str">
        <f t="shared" si="32"/>
        <v/>
      </c>
      <c r="AO18" s="364"/>
      <c r="AP18" s="573"/>
      <c r="AQ18" s="573"/>
      <c r="AR18" s="573"/>
      <c r="AS18" s="573"/>
      <c r="AT18" s="573"/>
      <c r="AU18" s="573"/>
      <c r="AV18" s="573"/>
      <c r="AW18" s="573"/>
      <c r="AX18" s="573"/>
      <c r="AY18" s="573"/>
      <c r="AZ18" s="573"/>
      <c r="BA18" s="573"/>
      <c r="BB18" s="573"/>
      <c r="BC18" s="573"/>
      <c r="BD18" s="573"/>
      <c r="BE18" s="573"/>
      <c r="BF18" s="573"/>
      <c r="BG18" s="573"/>
      <c r="BH18" s="573"/>
      <c r="BI18" s="573"/>
      <c r="BJ18" s="573"/>
      <c r="BK18" s="573"/>
      <c r="BL18" s="573"/>
      <c r="BM18" s="573"/>
      <c r="BN18" s="573"/>
      <c r="BO18" s="573"/>
      <c r="BP18" s="573"/>
      <c r="BQ18" s="573"/>
      <c r="BR18" s="573"/>
      <c r="BS18" s="573"/>
    </row>
    <row r="19" spans="1:71" s="367" customFormat="1" ht="15" customHeight="1">
      <c r="A19" s="102"/>
      <c r="B19" s="271">
        <f>tblIndicators!A15</f>
        <v>14</v>
      </c>
      <c r="C19" s="271">
        <f>tblIndicators!AD15</f>
        <v>3</v>
      </c>
      <c r="D19" s="271">
        <f>tblIndicators!G15</f>
        <v>3</v>
      </c>
      <c r="E19" s="103" t="str">
        <f>tblIndicators!H15</f>
        <v>1_3_1</v>
      </c>
      <c r="F19" s="103"/>
      <c r="G19" s="271">
        <f>tblIndicators!AG15</f>
        <v>2</v>
      </c>
      <c r="H19" s="100" t="str">
        <f>REPT(" ",D19)&amp;tblIndicators!AL15</f>
        <v xml:space="preserve">   1.3.1) Mobile data affordability</v>
      </c>
      <c r="I19" s="101" t="str">
        <f>IF(G19=1,"",tblIndicators!Z15)</f>
        <v>%</v>
      </c>
      <c r="K19" s="519">
        <f t="shared" si="3"/>
        <v>0.11799999999999999</v>
      </c>
      <c r="L19" s="519">
        <f t="shared" si="4"/>
        <v>0.376</v>
      </c>
      <c r="M19" s="519">
        <f t="shared" si="5"/>
        <v>0.17799999999999999</v>
      </c>
      <c r="N19" s="519">
        <f t="shared" si="6"/>
        <v>7.3999999999999996E-2</v>
      </c>
      <c r="O19" s="519">
        <f t="shared" si="7"/>
        <v>4.9000000000000002E-2</v>
      </c>
      <c r="P19" s="519">
        <f t="shared" si="8"/>
        <v>0.17799999999999999</v>
      </c>
      <c r="Q19" s="519">
        <f t="shared" si="9"/>
        <v>0.311</v>
      </c>
      <c r="R19" s="519">
        <f t="shared" si="10"/>
        <v>2.8000000000000001E-2</v>
      </c>
      <c r="S19" s="519">
        <f t="shared" si="11"/>
        <v>0.08</v>
      </c>
      <c r="T19" s="519">
        <f t="shared" si="12"/>
        <v>0.55500000000000005</v>
      </c>
      <c r="U19" s="519">
        <f t="shared" si="13"/>
        <v>0.107</v>
      </c>
      <c r="V19" s="519">
        <f t="shared" si="14"/>
        <v>7.6999999999999999E-2</v>
      </c>
      <c r="W19" s="519">
        <f t="shared" si="15"/>
        <v>9.2999999999999999E-2</v>
      </c>
      <c r="X19" s="519">
        <f t="shared" si="16"/>
        <v>0.10199999999999999</v>
      </c>
      <c r="Y19" s="519">
        <f t="shared" si="17"/>
        <v>4.2999999999999997E-2</v>
      </c>
      <c r="Z19" s="519">
        <f t="shared" si="18"/>
        <v>6.3E-2</v>
      </c>
      <c r="AA19" s="519">
        <f t="shared" si="19"/>
        <v>0.30599999999999999</v>
      </c>
      <c r="AB19" s="519">
        <f t="shared" si="20"/>
        <v>0.28999999999999998</v>
      </c>
      <c r="AC19" s="519">
        <f t="shared" si="21"/>
        <v>0.28000000000000003</v>
      </c>
      <c r="AD19" s="519">
        <f t="shared" si="22"/>
        <v>5.8000000000000003E-2</v>
      </c>
      <c r="AE19" s="519">
        <f t="shared" si="23"/>
        <v>1.2999999999999999E-2</v>
      </c>
      <c r="AF19" s="519">
        <f t="shared" si="24"/>
        <v>1.2999999999999999E-2</v>
      </c>
      <c r="AG19" s="519">
        <f t="shared" si="25"/>
        <v>0.154</v>
      </c>
      <c r="AH19" s="519">
        <f t="shared" si="26"/>
        <v>0.31900000000000001</v>
      </c>
      <c r="AI19" s="519">
        <f t="shared" si="27"/>
        <v>4.1000000000000002E-2</v>
      </c>
      <c r="AJ19" s="519">
        <f t="shared" si="28"/>
        <v>2.7E-2</v>
      </c>
      <c r="AK19" s="519">
        <f t="shared" si="29"/>
        <v>0.16200000000000001</v>
      </c>
      <c r="AL19" s="519">
        <f t="shared" si="30"/>
        <v>0.255</v>
      </c>
      <c r="AM19" s="519">
        <f t="shared" si="31"/>
        <v>5.8999999999999997E-2</v>
      </c>
      <c r="AN19" s="519">
        <f t="shared" si="32"/>
        <v>0.111</v>
      </c>
      <c r="AO19" s="364"/>
      <c r="AP19" s="573">
        <f>INPUTS!X15</f>
        <v>0.11767673582644889</v>
      </c>
      <c r="AQ19" s="573">
        <f>INPUTS!Y15</f>
        <v>0.37626160678239806</v>
      </c>
      <c r="AR19" s="573">
        <f>INPUTS!Z15</f>
        <v>0.17840112201963537</v>
      </c>
      <c r="AS19" s="573">
        <f>INPUTS!AA15</f>
        <v>7.3696201277797038E-2</v>
      </c>
      <c r="AT19" s="573">
        <f>INPUTS!AB15</f>
        <v>4.8711943793911007E-2</v>
      </c>
      <c r="AU19" s="573">
        <f>INPUTS!AC15</f>
        <v>0.17786353271355904</v>
      </c>
      <c r="AV19" s="573">
        <f>INPUTS!AD15</f>
        <v>0.31077257889009791</v>
      </c>
      <c r="AW19" s="573">
        <f>INPUTS!AE15</f>
        <v>2.8476164729206097E-2</v>
      </c>
      <c r="AX19" s="573">
        <f>INPUTS!AF15</f>
        <v>8.0022428708747206E-2</v>
      </c>
      <c r="AY19" s="573">
        <f>INPUTS!AG15</f>
        <v>0.55502276176024279</v>
      </c>
      <c r="AZ19" s="573">
        <f>INPUTS!AH15</f>
        <v>0.10694510362284448</v>
      </c>
      <c r="BA19" s="573">
        <f>INPUTS!AI15</f>
        <v>7.6666666666666661E-2</v>
      </c>
      <c r="BB19" s="573">
        <f>INPUTS!AJ15</f>
        <v>9.2664092664092659E-2</v>
      </c>
      <c r="BC19" s="573">
        <f>INPUTS!AK15</f>
        <v>0.10240675040751748</v>
      </c>
      <c r="BD19" s="573">
        <f>INPUTS!AL15</f>
        <v>4.2839903459372483E-2</v>
      </c>
      <c r="BE19" s="573">
        <f>INPUTS!AM15</f>
        <v>6.2597282402927931E-2</v>
      </c>
      <c r="BF19" s="573">
        <f>INPUTS!AN15</f>
        <v>0.3062725306416727</v>
      </c>
      <c r="BG19" s="573">
        <f>INPUTS!AO15</f>
        <v>0.29031611307892802</v>
      </c>
      <c r="BH19" s="573">
        <f>INPUTS!AP15</f>
        <v>0.28012358393408859</v>
      </c>
      <c r="BI19" s="573">
        <f>INPUTS!AQ15</f>
        <v>5.7583399380358814E-2</v>
      </c>
      <c r="BJ19" s="573">
        <f>INPUTS!AR15</f>
        <v>1.3067382008445988E-2</v>
      </c>
      <c r="BK19" s="573">
        <f>INPUTS!AS15</f>
        <v>1.281290781824653E-2</v>
      </c>
      <c r="BL19" s="573">
        <f>INPUTS!AT15</f>
        <v>0.15418994413407822</v>
      </c>
      <c r="BM19" s="573">
        <f>INPUTS!AU15</f>
        <v>0.31886505657828068</v>
      </c>
      <c r="BN19" s="573">
        <f>INPUTS!AV15</f>
        <v>4.058330747750543E-2</v>
      </c>
      <c r="BO19" s="573">
        <f>INPUTS!AW15</f>
        <v>2.693516321426281E-2</v>
      </c>
      <c r="BP19" s="573">
        <f>INPUTS!AX15</f>
        <v>0.16248698020991909</v>
      </c>
      <c r="BQ19" s="573">
        <f>INPUTS!AY15</f>
        <v>0.25455219729278694</v>
      </c>
      <c r="BR19" s="573">
        <f>INPUTS!AZ15</f>
        <v>5.8818334363684534E-2</v>
      </c>
      <c r="BS19" s="573">
        <f>INPUTS!BA15</f>
        <v>0.11100519012816439</v>
      </c>
    </row>
    <row r="20" spans="1:71" s="367" customFormat="1" ht="15" customHeight="1">
      <c r="A20" s="102"/>
      <c r="B20" s="271">
        <f>tblIndicators!A16</f>
        <v>15</v>
      </c>
      <c r="C20" s="271">
        <f>tblIndicators!AD16</f>
        <v>2</v>
      </c>
      <c r="D20" s="271">
        <f>tblIndicators!G16</f>
        <v>3</v>
      </c>
      <c r="E20" s="103" t="str">
        <f>tblIndicators!H16</f>
        <v>1_3_2</v>
      </c>
      <c r="F20" s="103"/>
      <c r="G20" s="271">
        <f>tblIndicators!AG16</f>
        <v>2</v>
      </c>
      <c r="H20" s="100" t="str">
        <f>REPT(" ",D20)&amp;tblIndicators!AL16</f>
        <v xml:space="preserve">   1.3.2) Fixed broadband affordability</v>
      </c>
      <c r="I20" s="101" t="str">
        <f>IF(G20=1,"",tblIndicators!Z16)</f>
        <v>%</v>
      </c>
      <c r="K20" s="519">
        <f t="shared" si="3"/>
        <v>2.68</v>
      </c>
      <c r="L20" s="519">
        <f t="shared" si="4"/>
        <v>3.06</v>
      </c>
      <c r="M20" s="519">
        <f t="shared" si="5"/>
        <v>4.72</v>
      </c>
      <c r="N20" s="519">
        <f t="shared" si="6"/>
        <v>3.82</v>
      </c>
      <c r="O20" s="519">
        <f t="shared" si="7"/>
        <v>0.93</v>
      </c>
      <c r="P20" s="519">
        <f t="shared" si="8"/>
        <v>2.35</v>
      </c>
      <c r="Q20" s="519">
        <f t="shared" si="9"/>
        <v>6.76</v>
      </c>
      <c r="R20" s="519">
        <f t="shared" si="10"/>
        <v>1.27</v>
      </c>
      <c r="S20" s="519">
        <f t="shared" si="11"/>
        <v>1.1499999999999999</v>
      </c>
      <c r="T20" s="519">
        <f t="shared" si="12"/>
        <v>6.93</v>
      </c>
      <c r="U20" s="519">
        <f t="shared" si="13"/>
        <v>1.1599999999999999</v>
      </c>
      <c r="V20" s="519">
        <f t="shared" si="14"/>
        <v>2.68</v>
      </c>
      <c r="W20" s="519">
        <f t="shared" si="15"/>
        <v>6.8</v>
      </c>
      <c r="X20" s="519">
        <f t="shared" si="16"/>
        <v>4.1399999999999997</v>
      </c>
      <c r="Y20" s="519">
        <f t="shared" si="17"/>
        <v>1.07</v>
      </c>
      <c r="Z20" s="519">
        <f t="shared" si="18"/>
        <v>2.76</v>
      </c>
      <c r="AA20" s="519">
        <f t="shared" si="19"/>
        <v>5.24</v>
      </c>
      <c r="AB20" s="519">
        <f t="shared" si="20"/>
        <v>2.02</v>
      </c>
      <c r="AC20" s="519">
        <f t="shared" si="21"/>
        <v>6.98</v>
      </c>
      <c r="AD20" s="519">
        <f t="shared" si="22"/>
        <v>0.65</v>
      </c>
      <c r="AE20" s="519">
        <f t="shared" si="23"/>
        <v>2.2799999999999998</v>
      </c>
      <c r="AF20" s="519">
        <f t="shared" si="24"/>
        <v>2.2599999999999998</v>
      </c>
      <c r="AG20" s="519">
        <f t="shared" si="25"/>
        <v>4.1900000000000004</v>
      </c>
      <c r="AH20" s="519">
        <f t="shared" si="26"/>
        <v>1.17</v>
      </c>
      <c r="AI20" s="519">
        <f t="shared" si="27"/>
        <v>1.28</v>
      </c>
      <c r="AJ20" s="519">
        <f t="shared" si="28"/>
        <v>2.0299999999999998</v>
      </c>
      <c r="AK20" s="519">
        <f t="shared" si="29"/>
        <v>2.52</v>
      </c>
      <c r="AL20" s="519">
        <f t="shared" si="30"/>
        <v>3.23</v>
      </c>
      <c r="AM20" s="519">
        <f t="shared" si="31"/>
        <v>0.88</v>
      </c>
      <c r="AN20" s="519">
        <f t="shared" si="32"/>
        <v>1.58</v>
      </c>
      <c r="AO20" s="364"/>
      <c r="AP20" s="573">
        <f>INPUTS!X16</f>
        <v>2.6793034169999999</v>
      </c>
      <c r="AQ20" s="573">
        <f>INPUTS!Y16</f>
        <v>3.0563059340000001</v>
      </c>
      <c r="AR20" s="573">
        <f>INPUTS!Z16</f>
        <v>4.7223579219999996</v>
      </c>
      <c r="AS20" s="573">
        <f>INPUTS!AA16</f>
        <v>3.8206555959999999</v>
      </c>
      <c r="AT20" s="573">
        <f>INPUTS!AB16</f>
        <v>0.92950638129999996</v>
      </c>
      <c r="AU20" s="573">
        <f>INPUTS!AC16</f>
        <v>2.3473325479999998</v>
      </c>
      <c r="AV20" s="573">
        <f>INPUTS!AD16</f>
        <v>6.7562883610000002</v>
      </c>
      <c r="AW20" s="573">
        <f>INPUTS!AE16</f>
        <v>1.26881139</v>
      </c>
      <c r="AX20" s="573">
        <f>INPUTS!AF16</f>
        <v>1.1471089400000001</v>
      </c>
      <c r="AY20" s="573">
        <f>INPUTS!AG16</f>
        <v>6.9265214820000001</v>
      </c>
      <c r="AZ20" s="573">
        <f>INPUTS!AH16</f>
        <v>1.156010577</v>
      </c>
      <c r="BA20" s="573">
        <f>INPUTS!AI16</f>
        <v>2.6779348760000001</v>
      </c>
      <c r="BB20" s="573">
        <f>INPUTS!AJ16</f>
        <v>6.7982925959999996</v>
      </c>
      <c r="BC20" s="573">
        <f>INPUTS!AK16</f>
        <v>4.1411837949999999</v>
      </c>
      <c r="BD20" s="573">
        <f>INPUTS!AL16</f>
        <v>1.0745104089999999</v>
      </c>
      <c r="BE20" s="573">
        <f>INPUTS!AM16</f>
        <v>2.764472917</v>
      </c>
      <c r="BF20" s="573">
        <f>INPUTS!AN16</f>
        <v>5.2399991259999998</v>
      </c>
      <c r="BG20" s="573">
        <f>INPUTS!AO16</f>
        <v>2.0168443190000001</v>
      </c>
      <c r="BH20" s="573">
        <f>INPUTS!AP16</f>
        <v>6.9765574539999999</v>
      </c>
      <c r="BI20" s="573">
        <f>INPUTS!AQ16</f>
        <v>0.64828878160000003</v>
      </c>
      <c r="BJ20" s="573">
        <f>INPUTS!AR16</f>
        <v>2.2761679639999999</v>
      </c>
      <c r="BK20" s="573">
        <f>INPUTS!AS16</f>
        <v>2.2597721019999999</v>
      </c>
      <c r="BL20" s="573">
        <f>INPUTS!AT16</f>
        <v>4.1883923029999997</v>
      </c>
      <c r="BM20" s="573">
        <f>INPUTS!AU16</f>
        <v>1.1706738050000001</v>
      </c>
      <c r="BN20" s="573">
        <f>INPUTS!AV16</f>
        <v>1.279691109</v>
      </c>
      <c r="BO20" s="573">
        <f>INPUTS!AW16</f>
        <v>2.0260681850000002</v>
      </c>
      <c r="BP20" s="573">
        <f>INPUTS!AX16</f>
        <v>2.5201147270000002</v>
      </c>
      <c r="BQ20" s="573">
        <f>INPUTS!AY16</f>
        <v>3.2347709990000002</v>
      </c>
      <c r="BR20" s="573">
        <f>INPUTS!AZ16</f>
        <v>0.88315817360000004</v>
      </c>
      <c r="BS20" s="573">
        <f>INPUTS!BA16</f>
        <v>1.5771750760000001</v>
      </c>
    </row>
    <row r="21" spans="1:71" s="367" customFormat="1" ht="15" customHeight="1">
      <c r="A21" s="102"/>
      <c r="B21" s="271">
        <f>tblIndicators!A17</f>
        <v>16</v>
      </c>
      <c r="C21" s="271">
        <f>tblIndicators!AD17</f>
        <v>1</v>
      </c>
      <c r="D21" s="271">
        <f>tblIndicators!G17</f>
        <v>1</v>
      </c>
      <c r="E21" s="103">
        <f>tblIndicators!H17</f>
        <v>2</v>
      </c>
      <c r="F21" s="103"/>
      <c r="G21" s="271">
        <f>tblIndicators!AG17</f>
        <v>1</v>
      </c>
      <c r="H21" s="100" t="str">
        <f>REPT(" ",D21)&amp;tblIndicators!AL17</f>
        <v xml:space="preserve"> 2) SERVICES</v>
      </c>
      <c r="I21" s="101" t="str">
        <f>IF(G21=1,"",tblIndicators!Z17)</f>
        <v/>
      </c>
      <c r="K21" s="519" t="str">
        <f t="shared" si="3"/>
        <v/>
      </c>
      <c r="L21" s="519" t="str">
        <f t="shared" si="4"/>
        <v/>
      </c>
      <c r="M21" s="519" t="str">
        <f t="shared" si="5"/>
        <v/>
      </c>
      <c r="N21" s="519" t="str">
        <f t="shared" si="6"/>
        <v/>
      </c>
      <c r="O21" s="519" t="str">
        <f t="shared" si="7"/>
        <v/>
      </c>
      <c r="P21" s="519" t="str">
        <f t="shared" si="8"/>
        <v/>
      </c>
      <c r="Q21" s="519" t="str">
        <f t="shared" si="9"/>
        <v/>
      </c>
      <c r="R21" s="519" t="str">
        <f t="shared" si="10"/>
        <v/>
      </c>
      <c r="S21" s="519" t="str">
        <f t="shared" si="11"/>
        <v/>
      </c>
      <c r="T21" s="519" t="str">
        <f t="shared" si="12"/>
        <v/>
      </c>
      <c r="U21" s="519" t="str">
        <f t="shared" si="13"/>
        <v/>
      </c>
      <c r="V21" s="519" t="str">
        <f t="shared" si="14"/>
        <v/>
      </c>
      <c r="W21" s="519" t="str">
        <f t="shared" si="15"/>
        <v/>
      </c>
      <c r="X21" s="519" t="str">
        <f t="shared" si="16"/>
        <v/>
      </c>
      <c r="Y21" s="519" t="str">
        <f t="shared" si="17"/>
        <v/>
      </c>
      <c r="Z21" s="519" t="str">
        <f t="shared" si="18"/>
        <v/>
      </c>
      <c r="AA21" s="519" t="str">
        <f t="shared" si="19"/>
        <v/>
      </c>
      <c r="AB21" s="519" t="str">
        <f t="shared" si="20"/>
        <v/>
      </c>
      <c r="AC21" s="519" t="str">
        <f t="shared" si="21"/>
        <v/>
      </c>
      <c r="AD21" s="519" t="str">
        <f t="shared" si="22"/>
        <v/>
      </c>
      <c r="AE21" s="519" t="str">
        <f t="shared" si="23"/>
        <v/>
      </c>
      <c r="AF21" s="519" t="str">
        <f t="shared" si="24"/>
        <v/>
      </c>
      <c r="AG21" s="519" t="str">
        <f t="shared" si="25"/>
        <v/>
      </c>
      <c r="AH21" s="519" t="str">
        <f t="shared" si="26"/>
        <v/>
      </c>
      <c r="AI21" s="519" t="str">
        <f t="shared" si="27"/>
        <v/>
      </c>
      <c r="AJ21" s="519" t="str">
        <f t="shared" si="28"/>
        <v/>
      </c>
      <c r="AK21" s="519" t="str">
        <f t="shared" si="29"/>
        <v/>
      </c>
      <c r="AL21" s="519" t="str">
        <f t="shared" si="30"/>
        <v/>
      </c>
      <c r="AM21" s="519" t="str">
        <f t="shared" si="31"/>
        <v/>
      </c>
      <c r="AN21" s="519" t="str">
        <f t="shared" si="32"/>
        <v/>
      </c>
      <c r="AO21" s="364"/>
      <c r="AP21" s="573"/>
      <c r="AQ21" s="573"/>
      <c r="AR21" s="573"/>
      <c r="AS21" s="573"/>
      <c r="AT21" s="573"/>
      <c r="AU21" s="573"/>
      <c r="AV21" s="573"/>
      <c r="AW21" s="573"/>
      <c r="AX21" s="573"/>
      <c r="AY21" s="573"/>
      <c r="AZ21" s="573"/>
      <c r="BA21" s="573"/>
      <c r="BB21" s="573"/>
      <c r="BC21" s="573"/>
      <c r="BD21" s="573"/>
      <c r="BE21" s="573"/>
      <c r="BF21" s="573"/>
      <c r="BG21" s="573"/>
      <c r="BH21" s="573"/>
      <c r="BI21" s="573"/>
      <c r="BJ21" s="573"/>
      <c r="BK21" s="573"/>
      <c r="BL21" s="573"/>
      <c r="BM21" s="573"/>
      <c r="BN21" s="573"/>
      <c r="BO21" s="573"/>
      <c r="BP21" s="573"/>
      <c r="BQ21" s="573"/>
      <c r="BR21" s="573"/>
      <c r="BS21" s="573"/>
    </row>
    <row r="22" spans="1:71" s="367" customFormat="1" ht="15" customHeight="1">
      <c r="A22" s="102"/>
      <c r="B22" s="271">
        <f>tblIndicators!A18</f>
        <v>17</v>
      </c>
      <c r="C22" s="271">
        <f>tblIndicators!AD18</f>
        <v>1</v>
      </c>
      <c r="D22" s="271">
        <f>tblIndicators!G18</f>
        <v>2</v>
      </c>
      <c r="E22" s="103" t="str">
        <f>tblIndicators!H18</f>
        <v>2_1</v>
      </c>
      <c r="F22" s="103"/>
      <c r="G22" s="271">
        <f>tblIndicators!AG18</f>
        <v>1</v>
      </c>
      <c r="H22" s="100" t="str">
        <f>REPT(" ",D22)&amp;tblIndicators!AL18</f>
        <v xml:space="preserve">  2.1) E-gov services for residents &amp; businesses</v>
      </c>
      <c r="I22" s="101" t="str">
        <f>IF(G22=1,"",tblIndicators!Z18)</f>
        <v/>
      </c>
      <c r="K22" s="519" t="str">
        <f t="shared" si="3"/>
        <v/>
      </c>
      <c r="L22" s="519" t="str">
        <f t="shared" si="4"/>
        <v/>
      </c>
      <c r="M22" s="519" t="str">
        <f t="shared" si="5"/>
        <v/>
      </c>
      <c r="N22" s="519" t="str">
        <f t="shared" si="6"/>
        <v/>
      </c>
      <c r="O22" s="519" t="str">
        <f t="shared" si="7"/>
        <v/>
      </c>
      <c r="P22" s="519" t="str">
        <f t="shared" si="8"/>
        <v/>
      </c>
      <c r="Q22" s="519" t="str">
        <f t="shared" si="9"/>
        <v/>
      </c>
      <c r="R22" s="519" t="str">
        <f t="shared" si="10"/>
        <v/>
      </c>
      <c r="S22" s="519" t="str">
        <f t="shared" si="11"/>
        <v/>
      </c>
      <c r="T22" s="519" t="str">
        <f t="shared" si="12"/>
        <v/>
      </c>
      <c r="U22" s="519" t="str">
        <f t="shared" si="13"/>
        <v/>
      </c>
      <c r="V22" s="519" t="str">
        <f t="shared" si="14"/>
        <v/>
      </c>
      <c r="W22" s="519" t="str">
        <f t="shared" si="15"/>
        <v/>
      </c>
      <c r="X22" s="519" t="str">
        <f t="shared" si="16"/>
        <v/>
      </c>
      <c r="Y22" s="519" t="str">
        <f t="shared" si="17"/>
        <v/>
      </c>
      <c r="Z22" s="519" t="str">
        <f t="shared" si="18"/>
        <v/>
      </c>
      <c r="AA22" s="519" t="str">
        <f t="shared" si="19"/>
        <v/>
      </c>
      <c r="AB22" s="519" t="str">
        <f t="shared" si="20"/>
        <v/>
      </c>
      <c r="AC22" s="519" t="str">
        <f t="shared" si="21"/>
        <v/>
      </c>
      <c r="AD22" s="519" t="str">
        <f t="shared" si="22"/>
        <v/>
      </c>
      <c r="AE22" s="519" t="str">
        <f t="shared" si="23"/>
        <v/>
      </c>
      <c r="AF22" s="519" t="str">
        <f t="shared" si="24"/>
        <v/>
      </c>
      <c r="AG22" s="519" t="str">
        <f t="shared" si="25"/>
        <v/>
      </c>
      <c r="AH22" s="519" t="str">
        <f t="shared" si="26"/>
        <v/>
      </c>
      <c r="AI22" s="519" t="str">
        <f t="shared" si="27"/>
        <v/>
      </c>
      <c r="AJ22" s="519" t="str">
        <f t="shared" si="28"/>
        <v/>
      </c>
      <c r="AK22" s="519" t="str">
        <f t="shared" si="29"/>
        <v/>
      </c>
      <c r="AL22" s="519" t="str">
        <f t="shared" si="30"/>
        <v/>
      </c>
      <c r="AM22" s="519" t="str">
        <f t="shared" si="31"/>
        <v/>
      </c>
      <c r="AN22" s="519" t="str">
        <f t="shared" si="32"/>
        <v/>
      </c>
      <c r="AO22" s="364"/>
      <c r="AP22" s="573"/>
      <c r="AQ22" s="573"/>
      <c r="AR22" s="573"/>
      <c r="AS22" s="573"/>
      <c r="AT22" s="573"/>
      <c r="AU22" s="573"/>
      <c r="AV22" s="573"/>
      <c r="AW22" s="573"/>
      <c r="AX22" s="573"/>
      <c r="AY22" s="573"/>
      <c r="AZ22" s="573"/>
      <c r="BA22" s="573"/>
      <c r="BB22" s="573"/>
      <c r="BC22" s="573"/>
      <c r="BD22" s="573"/>
      <c r="BE22" s="573"/>
      <c r="BF22" s="573"/>
      <c r="BG22" s="573"/>
      <c r="BH22" s="573"/>
      <c r="BI22" s="573"/>
      <c r="BJ22" s="573"/>
      <c r="BK22" s="573"/>
      <c r="BL22" s="573"/>
      <c r="BM22" s="573"/>
      <c r="BN22" s="573"/>
      <c r="BO22" s="573"/>
      <c r="BP22" s="573"/>
      <c r="BQ22" s="573"/>
      <c r="BR22" s="573"/>
      <c r="BS22" s="573"/>
    </row>
    <row r="23" spans="1:71" s="367" customFormat="1" ht="15" customHeight="1">
      <c r="A23" s="102"/>
      <c r="B23" s="271">
        <f>tblIndicators!A19</f>
        <v>18</v>
      </c>
      <c r="C23" s="271">
        <f>tblIndicators!AD19</f>
        <v>0</v>
      </c>
      <c r="D23" s="271">
        <f>tblIndicators!G19</f>
        <v>3</v>
      </c>
      <c r="E23" s="103" t="str">
        <f>tblIndicators!H19</f>
        <v>2_1_1</v>
      </c>
      <c r="F23" s="103"/>
      <c r="G23" s="271">
        <f>tblIndicators!AG19</f>
        <v>3</v>
      </c>
      <c r="H23" s="100" t="str">
        <f>REPT(" ",D23)&amp;tblIndicators!AL19</f>
        <v xml:space="preserve">   2.1.1) Mobile digital national ID</v>
      </c>
      <c r="I23" s="101" t="str">
        <f>IF(G23=1,"",tblIndicators!Z19)</f>
        <v>Scale (0-1)</v>
      </c>
      <c r="K23" s="519">
        <f t="shared" si="3"/>
        <v>0</v>
      </c>
      <c r="L23" s="519">
        <f t="shared" si="4"/>
        <v>0</v>
      </c>
      <c r="M23" s="519">
        <f t="shared" si="5"/>
        <v>0</v>
      </c>
      <c r="N23" s="519">
        <f t="shared" si="6"/>
        <v>0</v>
      </c>
      <c r="O23" s="519">
        <f t="shared" si="7"/>
        <v>0</v>
      </c>
      <c r="P23" s="519">
        <f t="shared" si="8"/>
        <v>1</v>
      </c>
      <c r="Q23" s="519">
        <f t="shared" si="9"/>
        <v>0</v>
      </c>
      <c r="R23" s="519">
        <f t="shared" si="10"/>
        <v>0</v>
      </c>
      <c r="S23" s="519">
        <f t="shared" si="11"/>
        <v>0</v>
      </c>
      <c r="T23" s="519">
        <f t="shared" si="12"/>
        <v>0</v>
      </c>
      <c r="U23" s="519">
        <f t="shared" si="13"/>
        <v>1</v>
      </c>
      <c r="V23" s="519">
        <f t="shared" si="14"/>
        <v>0</v>
      </c>
      <c r="W23" s="519">
        <f t="shared" si="15"/>
        <v>0</v>
      </c>
      <c r="X23" s="519">
        <f t="shared" si="16"/>
        <v>0</v>
      </c>
      <c r="Y23" s="519">
        <f t="shared" si="17"/>
        <v>0</v>
      </c>
      <c r="Z23" s="519">
        <f t="shared" si="18"/>
        <v>0</v>
      </c>
      <c r="AA23" s="519">
        <f t="shared" si="19"/>
        <v>0</v>
      </c>
      <c r="AB23" s="519">
        <f t="shared" si="20"/>
        <v>0</v>
      </c>
      <c r="AC23" s="519">
        <f t="shared" si="21"/>
        <v>1</v>
      </c>
      <c r="AD23" s="519">
        <f t="shared" si="22"/>
        <v>0</v>
      </c>
      <c r="AE23" s="519">
        <f t="shared" si="23"/>
        <v>0</v>
      </c>
      <c r="AF23" s="519">
        <f t="shared" si="24"/>
        <v>0</v>
      </c>
      <c r="AG23" s="519">
        <f t="shared" si="25"/>
        <v>1</v>
      </c>
      <c r="AH23" s="519">
        <f t="shared" si="26"/>
        <v>0</v>
      </c>
      <c r="AI23" s="519">
        <f t="shared" si="27"/>
        <v>1</v>
      </c>
      <c r="AJ23" s="519">
        <f t="shared" si="28"/>
        <v>0</v>
      </c>
      <c r="AK23" s="519">
        <f t="shared" si="29"/>
        <v>0</v>
      </c>
      <c r="AL23" s="519">
        <f t="shared" si="30"/>
        <v>1</v>
      </c>
      <c r="AM23" s="519">
        <f t="shared" si="31"/>
        <v>0</v>
      </c>
      <c r="AN23" s="519">
        <f t="shared" si="32"/>
        <v>0</v>
      </c>
      <c r="AO23" s="364"/>
      <c r="AP23" s="573">
        <f>INPUTS!X19</f>
        <v>0</v>
      </c>
      <c r="AQ23" s="573">
        <f>INPUTS!Y19</f>
        <v>0</v>
      </c>
      <c r="AR23" s="573">
        <f>INPUTS!Z19</f>
        <v>0</v>
      </c>
      <c r="AS23" s="573">
        <f>INPUTS!AA19</f>
        <v>0</v>
      </c>
      <c r="AT23" s="573">
        <f>INPUTS!AB19</f>
        <v>0</v>
      </c>
      <c r="AU23" s="573">
        <f>INPUTS!AC19</f>
        <v>1</v>
      </c>
      <c r="AV23" s="573">
        <f>INPUTS!AD19</f>
        <v>0</v>
      </c>
      <c r="AW23" s="573">
        <f>INPUTS!AE19</f>
        <v>0</v>
      </c>
      <c r="AX23" s="573">
        <f>INPUTS!AF19</f>
        <v>0</v>
      </c>
      <c r="AY23" s="573">
        <f>INPUTS!AG19</f>
        <v>0</v>
      </c>
      <c r="AZ23" s="573">
        <f>INPUTS!AH19</f>
        <v>1</v>
      </c>
      <c r="BA23" s="573">
        <f>INPUTS!AI19</f>
        <v>0</v>
      </c>
      <c r="BB23" s="573">
        <f>INPUTS!AJ19</f>
        <v>0</v>
      </c>
      <c r="BC23" s="573">
        <f>INPUTS!AK19</f>
        <v>0</v>
      </c>
      <c r="BD23" s="573">
        <f>INPUTS!AL19</f>
        <v>0</v>
      </c>
      <c r="BE23" s="573">
        <f>INPUTS!AM19</f>
        <v>0</v>
      </c>
      <c r="BF23" s="573">
        <f>INPUTS!AN19</f>
        <v>0</v>
      </c>
      <c r="BG23" s="573">
        <f>INPUTS!AO19</f>
        <v>0</v>
      </c>
      <c r="BH23" s="573">
        <f>INPUTS!AP19</f>
        <v>1</v>
      </c>
      <c r="BI23" s="573">
        <f>INPUTS!AQ19</f>
        <v>0</v>
      </c>
      <c r="BJ23" s="573">
        <f>INPUTS!AR19</f>
        <v>0</v>
      </c>
      <c r="BK23" s="573">
        <f>INPUTS!AS19</f>
        <v>0</v>
      </c>
      <c r="BL23" s="573">
        <f>INPUTS!AT19</f>
        <v>1</v>
      </c>
      <c r="BM23" s="573">
        <f>INPUTS!AU19</f>
        <v>0</v>
      </c>
      <c r="BN23" s="573">
        <f>INPUTS!AV19</f>
        <v>1</v>
      </c>
      <c r="BO23" s="573">
        <f>INPUTS!AW19</f>
        <v>0</v>
      </c>
      <c r="BP23" s="573">
        <f>INPUTS!AX19</f>
        <v>0</v>
      </c>
      <c r="BQ23" s="573">
        <f>INPUTS!AY19</f>
        <v>1</v>
      </c>
      <c r="BR23" s="573">
        <f>INPUTS!AZ19</f>
        <v>0</v>
      </c>
      <c r="BS23" s="573">
        <f>INPUTS!BA19</f>
        <v>0</v>
      </c>
    </row>
    <row r="24" spans="1:71" s="367" customFormat="1" ht="15" customHeight="1">
      <c r="A24" s="102"/>
      <c r="B24" s="271">
        <f>tblIndicators!A20</f>
        <v>19</v>
      </c>
      <c r="C24" s="271">
        <f>tblIndicators!AD20</f>
        <v>3</v>
      </c>
      <c r="D24" s="271">
        <f>tblIndicators!G20</f>
        <v>3</v>
      </c>
      <c r="E24" s="103" t="str">
        <f>tblIndicators!H20</f>
        <v>2_1_2</v>
      </c>
      <c r="F24" s="103"/>
      <c r="G24" s="271">
        <f>tblIndicators!AG20</f>
        <v>3</v>
      </c>
      <c r="H24" s="100" t="str">
        <f>REPT(" ",D24)&amp;tblIndicators!AL20</f>
        <v xml:space="preserve">   2.1.2) E-gov service portal for residents</v>
      </c>
      <c r="I24" s="101" t="str">
        <f>IF(G24=1,"",tblIndicators!Z20)</f>
        <v>Scale (0-1)</v>
      </c>
      <c r="K24" s="519">
        <f t="shared" si="3"/>
        <v>0.91</v>
      </c>
      <c r="L24" s="519">
        <f t="shared" si="4"/>
        <v>0.93</v>
      </c>
      <c r="M24" s="519">
        <f t="shared" si="5"/>
        <v>0.79</v>
      </c>
      <c r="N24" s="519">
        <f t="shared" si="6"/>
        <v>0.89</v>
      </c>
      <c r="O24" s="519">
        <f t="shared" si="7"/>
        <v>0.91</v>
      </c>
      <c r="P24" s="519">
        <f t="shared" si="8"/>
        <v>0.74</v>
      </c>
      <c r="Q24" s="519">
        <f t="shared" si="9"/>
        <v>0.85</v>
      </c>
      <c r="R24" s="519">
        <f t="shared" si="10"/>
        <v>0.97</v>
      </c>
      <c r="S24" s="519">
        <f t="shared" si="11"/>
        <v>0.95</v>
      </c>
      <c r="T24" s="519">
        <f t="shared" si="12"/>
        <v>0.9</v>
      </c>
      <c r="U24" s="519">
        <f t="shared" si="13"/>
        <v>0.74</v>
      </c>
      <c r="V24" s="519">
        <f t="shared" si="14"/>
        <v>0.94</v>
      </c>
      <c r="W24" s="519">
        <f t="shared" si="15"/>
        <v>0.68</v>
      </c>
      <c r="X24" s="519">
        <f t="shared" si="16"/>
        <v>0.85</v>
      </c>
      <c r="Y24" s="519">
        <f t="shared" si="17"/>
        <v>0.96</v>
      </c>
      <c r="Z24" s="519">
        <f t="shared" si="18"/>
        <v>0.89</v>
      </c>
      <c r="AA24" s="519">
        <f t="shared" si="19"/>
        <v>0.73</v>
      </c>
      <c r="AB24" s="519">
        <f t="shared" si="20"/>
        <v>0.82</v>
      </c>
      <c r="AC24" s="519">
        <f t="shared" si="21"/>
        <v>0.85</v>
      </c>
      <c r="AD24" s="519">
        <f t="shared" si="22"/>
        <v>0.95</v>
      </c>
      <c r="AE24" s="519">
        <f t="shared" si="23"/>
        <v>0.88</v>
      </c>
      <c r="AF24" s="519">
        <f t="shared" si="24"/>
        <v>0.83</v>
      </c>
      <c r="AG24" s="519">
        <f t="shared" si="25"/>
        <v>0.87</v>
      </c>
      <c r="AH24" s="519">
        <f t="shared" si="26"/>
        <v>1</v>
      </c>
      <c r="AI24" s="519">
        <f t="shared" si="27"/>
        <v>0.96</v>
      </c>
      <c r="AJ24" s="519">
        <f t="shared" si="28"/>
        <v>0.95</v>
      </c>
      <c r="AK24" s="519">
        <f t="shared" si="29"/>
        <v>0.91</v>
      </c>
      <c r="AL24" s="519">
        <f t="shared" si="30"/>
        <v>0.84</v>
      </c>
      <c r="AM24" s="519">
        <f t="shared" si="31"/>
        <v>0.95</v>
      </c>
      <c r="AN24" s="519">
        <f t="shared" si="32"/>
        <v>0.83</v>
      </c>
      <c r="AO24" s="364"/>
      <c r="AP24" s="573">
        <f>INPUTS!X20</f>
        <v>0.91</v>
      </c>
      <c r="AQ24" s="573">
        <f>INPUTS!Y20</f>
        <v>0.93</v>
      </c>
      <c r="AR24" s="573">
        <f>INPUTS!Z20</f>
        <v>0.79</v>
      </c>
      <c r="AS24" s="573">
        <f>INPUTS!AA20</f>
        <v>0.89</v>
      </c>
      <c r="AT24" s="573">
        <f>INPUTS!AB20</f>
        <v>0.91</v>
      </c>
      <c r="AU24" s="573">
        <f>INPUTS!AC20</f>
        <v>0.74</v>
      </c>
      <c r="AV24" s="573">
        <f>INPUTS!AD20</f>
        <v>0.85</v>
      </c>
      <c r="AW24" s="573">
        <f>INPUTS!AE20</f>
        <v>0.97</v>
      </c>
      <c r="AX24" s="573">
        <f>INPUTS!AF20</f>
        <v>0.95</v>
      </c>
      <c r="AY24" s="573">
        <f>INPUTS!AG20</f>
        <v>0.9</v>
      </c>
      <c r="AZ24" s="573">
        <f>INPUTS!AH20</f>
        <v>0.74</v>
      </c>
      <c r="BA24" s="573">
        <f>INPUTS!AI20</f>
        <v>0.94</v>
      </c>
      <c r="BB24" s="573">
        <f>INPUTS!AJ20</f>
        <v>0.68</v>
      </c>
      <c r="BC24" s="573">
        <f>INPUTS!AK20</f>
        <v>0.85</v>
      </c>
      <c r="BD24" s="573">
        <f>INPUTS!AL20</f>
        <v>0.96</v>
      </c>
      <c r="BE24" s="573">
        <f>INPUTS!AM20</f>
        <v>0.89</v>
      </c>
      <c r="BF24" s="573">
        <f>INPUTS!AN20</f>
        <v>0.73</v>
      </c>
      <c r="BG24" s="573">
        <f>INPUTS!AO20</f>
        <v>0.82</v>
      </c>
      <c r="BH24" s="573">
        <f>INPUTS!AP20</f>
        <v>0.85</v>
      </c>
      <c r="BI24" s="573">
        <f>INPUTS!AQ20</f>
        <v>0.95</v>
      </c>
      <c r="BJ24" s="573">
        <f>INPUTS!AR20</f>
        <v>0.88</v>
      </c>
      <c r="BK24" s="573">
        <f>INPUTS!AS20</f>
        <v>0.83</v>
      </c>
      <c r="BL24" s="573">
        <f>INPUTS!AT20</f>
        <v>0.87</v>
      </c>
      <c r="BM24" s="573">
        <f>INPUTS!AU20</f>
        <v>1</v>
      </c>
      <c r="BN24" s="573">
        <f>INPUTS!AV20</f>
        <v>0.96</v>
      </c>
      <c r="BO24" s="573">
        <f>INPUTS!AW20</f>
        <v>0.95</v>
      </c>
      <c r="BP24" s="573">
        <f>INPUTS!AX20</f>
        <v>0.91</v>
      </c>
      <c r="BQ24" s="573">
        <f>INPUTS!AY20</f>
        <v>0.84</v>
      </c>
      <c r="BR24" s="573">
        <f>INPUTS!AZ20</f>
        <v>0.95</v>
      </c>
      <c r="BS24" s="573">
        <f>INPUTS!BA20</f>
        <v>0.83</v>
      </c>
    </row>
    <row r="25" spans="1:71" s="367" customFormat="1" ht="15" customHeight="1">
      <c r="A25" s="102"/>
      <c r="B25" s="271">
        <f>tblIndicators!A21</f>
        <v>20</v>
      </c>
      <c r="C25" s="271">
        <f>tblIndicators!AD21</f>
        <v>0</v>
      </c>
      <c r="D25" s="271">
        <f>tblIndicators!G21</f>
        <v>3</v>
      </c>
      <c r="E25" s="103" t="str">
        <f>tblIndicators!H21</f>
        <v>2_1_3</v>
      </c>
      <c r="F25" s="103"/>
      <c r="G25" s="271">
        <f>tblIndicators!AG21</f>
        <v>3</v>
      </c>
      <c r="H25" s="100" t="str">
        <f>REPT(" ",D25)&amp;tblIndicators!AL21</f>
        <v xml:space="preserve">   2.1.3) E-gov service portal for businesses</v>
      </c>
      <c r="I25" s="101" t="str">
        <f>IF(G25=1,"",tblIndicators!Z21)</f>
        <v>Scale (0-2)</v>
      </c>
      <c r="K25" s="519">
        <f t="shared" si="3"/>
        <v>1</v>
      </c>
      <c r="L25" s="519">
        <f t="shared" si="4"/>
        <v>2</v>
      </c>
      <c r="M25" s="519">
        <f t="shared" si="5"/>
        <v>2</v>
      </c>
      <c r="N25" s="519">
        <f t="shared" si="6"/>
        <v>2</v>
      </c>
      <c r="O25" s="519">
        <f t="shared" si="7"/>
        <v>2</v>
      </c>
      <c r="P25" s="519">
        <f t="shared" si="8"/>
        <v>2</v>
      </c>
      <c r="Q25" s="519">
        <f t="shared" si="9"/>
        <v>1</v>
      </c>
      <c r="R25" s="519">
        <f t="shared" si="10"/>
        <v>2</v>
      </c>
      <c r="S25" s="519">
        <f t="shared" si="11"/>
        <v>2</v>
      </c>
      <c r="T25" s="519">
        <f t="shared" si="12"/>
        <v>2</v>
      </c>
      <c r="U25" s="519">
        <f t="shared" si="13"/>
        <v>2</v>
      </c>
      <c r="V25" s="519">
        <f t="shared" si="14"/>
        <v>2</v>
      </c>
      <c r="W25" s="519">
        <f t="shared" si="15"/>
        <v>2</v>
      </c>
      <c r="X25" s="519">
        <f t="shared" si="16"/>
        <v>2</v>
      </c>
      <c r="Y25" s="519">
        <f t="shared" si="17"/>
        <v>2</v>
      </c>
      <c r="Z25" s="519">
        <f t="shared" si="18"/>
        <v>2</v>
      </c>
      <c r="AA25" s="519">
        <f t="shared" si="19"/>
        <v>2</v>
      </c>
      <c r="AB25" s="519">
        <f t="shared" si="20"/>
        <v>2</v>
      </c>
      <c r="AC25" s="519">
        <f t="shared" si="21"/>
        <v>2</v>
      </c>
      <c r="AD25" s="519">
        <f t="shared" si="22"/>
        <v>2</v>
      </c>
      <c r="AE25" s="519">
        <f t="shared" si="23"/>
        <v>2</v>
      </c>
      <c r="AF25" s="519">
        <f t="shared" si="24"/>
        <v>2</v>
      </c>
      <c r="AG25" s="519">
        <f t="shared" si="25"/>
        <v>2</v>
      </c>
      <c r="AH25" s="519">
        <f t="shared" si="26"/>
        <v>1</v>
      </c>
      <c r="AI25" s="519">
        <f t="shared" si="27"/>
        <v>2</v>
      </c>
      <c r="AJ25" s="519">
        <f t="shared" si="28"/>
        <v>2</v>
      </c>
      <c r="AK25" s="519">
        <f t="shared" si="29"/>
        <v>2</v>
      </c>
      <c r="AL25" s="519">
        <f t="shared" si="30"/>
        <v>2</v>
      </c>
      <c r="AM25" s="519">
        <f t="shared" si="31"/>
        <v>2</v>
      </c>
      <c r="AN25" s="519">
        <f t="shared" si="32"/>
        <v>2</v>
      </c>
      <c r="AO25" s="364"/>
      <c r="AP25" s="573">
        <f>INPUTS!X21</f>
        <v>1</v>
      </c>
      <c r="AQ25" s="573">
        <f>INPUTS!Y21</f>
        <v>2</v>
      </c>
      <c r="AR25" s="573">
        <f>INPUTS!Z21</f>
        <v>2</v>
      </c>
      <c r="AS25" s="573">
        <f>INPUTS!AA21</f>
        <v>2</v>
      </c>
      <c r="AT25" s="573">
        <f>INPUTS!AB21</f>
        <v>2</v>
      </c>
      <c r="AU25" s="573">
        <f>INPUTS!AC21</f>
        <v>2</v>
      </c>
      <c r="AV25" s="573">
        <f>INPUTS!AD21</f>
        <v>1</v>
      </c>
      <c r="AW25" s="573">
        <f>INPUTS!AE21</f>
        <v>2</v>
      </c>
      <c r="AX25" s="573">
        <f>INPUTS!AF21</f>
        <v>2</v>
      </c>
      <c r="AY25" s="573">
        <f>INPUTS!AG21</f>
        <v>2</v>
      </c>
      <c r="AZ25" s="573">
        <f>INPUTS!AH21</f>
        <v>2</v>
      </c>
      <c r="BA25" s="573">
        <f>INPUTS!AI21</f>
        <v>2</v>
      </c>
      <c r="BB25" s="573">
        <f>INPUTS!AJ21</f>
        <v>2</v>
      </c>
      <c r="BC25" s="573">
        <f>INPUTS!AK21</f>
        <v>2</v>
      </c>
      <c r="BD25" s="573">
        <f>INPUTS!AL21</f>
        <v>2</v>
      </c>
      <c r="BE25" s="573">
        <f>INPUTS!AM21</f>
        <v>2</v>
      </c>
      <c r="BF25" s="573">
        <f>INPUTS!AN21</f>
        <v>2</v>
      </c>
      <c r="BG25" s="573">
        <f>INPUTS!AO21</f>
        <v>2</v>
      </c>
      <c r="BH25" s="573">
        <f>INPUTS!AP21</f>
        <v>2</v>
      </c>
      <c r="BI25" s="573">
        <f>INPUTS!AQ21</f>
        <v>2</v>
      </c>
      <c r="BJ25" s="573">
        <f>INPUTS!AR21</f>
        <v>2</v>
      </c>
      <c r="BK25" s="573">
        <f>INPUTS!AS21</f>
        <v>2</v>
      </c>
      <c r="BL25" s="573">
        <f>INPUTS!AT21</f>
        <v>2</v>
      </c>
      <c r="BM25" s="573">
        <f>INPUTS!AU21</f>
        <v>1</v>
      </c>
      <c r="BN25" s="573">
        <f>INPUTS!AV21</f>
        <v>2</v>
      </c>
      <c r="BO25" s="573">
        <f>INPUTS!AW21</f>
        <v>2</v>
      </c>
      <c r="BP25" s="573">
        <f>INPUTS!AX21</f>
        <v>2</v>
      </c>
      <c r="BQ25" s="573">
        <f>INPUTS!AY21</f>
        <v>2</v>
      </c>
      <c r="BR25" s="573">
        <f>INPUTS!AZ21</f>
        <v>2</v>
      </c>
      <c r="BS25" s="573">
        <f>INPUTS!BA21</f>
        <v>2</v>
      </c>
    </row>
    <row r="26" spans="1:71" s="367" customFormat="1" ht="15" customHeight="1">
      <c r="A26" s="102"/>
      <c r="B26" s="271">
        <f>tblIndicators!A22</f>
        <v>21</v>
      </c>
      <c r="C26" s="271">
        <f>tblIndicators!AD22</f>
        <v>1</v>
      </c>
      <c r="D26" s="271">
        <f>tblIndicators!G22</f>
        <v>2</v>
      </c>
      <c r="E26" s="103" t="str">
        <f>tblIndicators!H22</f>
        <v>2_2</v>
      </c>
      <c r="F26" s="103"/>
      <c r="G26" s="271">
        <f>tblIndicators!AG22</f>
        <v>1</v>
      </c>
      <c r="H26" s="100" t="str">
        <f>REPT(" ",D26)&amp;tblIndicators!AL22</f>
        <v xml:space="preserve">  2.2) Digital finance</v>
      </c>
      <c r="I26" s="101" t="str">
        <f>IF(G26=1,"",tblIndicators!Z22)</f>
        <v/>
      </c>
      <c r="K26" s="519" t="str">
        <f t="shared" si="3"/>
        <v/>
      </c>
      <c r="L26" s="519" t="str">
        <f t="shared" si="4"/>
        <v/>
      </c>
      <c r="M26" s="519" t="str">
        <f t="shared" si="5"/>
        <v/>
      </c>
      <c r="N26" s="519" t="str">
        <f t="shared" si="6"/>
        <v/>
      </c>
      <c r="O26" s="519" t="str">
        <f t="shared" si="7"/>
        <v/>
      </c>
      <c r="P26" s="519" t="str">
        <f t="shared" si="8"/>
        <v/>
      </c>
      <c r="Q26" s="519" t="str">
        <f t="shared" si="9"/>
        <v/>
      </c>
      <c r="R26" s="519" t="str">
        <f t="shared" si="10"/>
        <v/>
      </c>
      <c r="S26" s="519" t="str">
        <f t="shared" si="11"/>
        <v/>
      </c>
      <c r="T26" s="519" t="str">
        <f t="shared" si="12"/>
        <v/>
      </c>
      <c r="U26" s="519" t="str">
        <f t="shared" si="13"/>
        <v/>
      </c>
      <c r="V26" s="519" t="str">
        <f t="shared" si="14"/>
        <v/>
      </c>
      <c r="W26" s="519" t="str">
        <f t="shared" si="15"/>
        <v/>
      </c>
      <c r="X26" s="519" t="str">
        <f t="shared" si="16"/>
        <v/>
      </c>
      <c r="Y26" s="519" t="str">
        <f t="shared" si="17"/>
        <v/>
      </c>
      <c r="Z26" s="519" t="str">
        <f t="shared" si="18"/>
        <v/>
      </c>
      <c r="AA26" s="519" t="str">
        <f t="shared" si="19"/>
        <v/>
      </c>
      <c r="AB26" s="519" t="str">
        <f t="shared" si="20"/>
        <v/>
      </c>
      <c r="AC26" s="519" t="str">
        <f t="shared" si="21"/>
        <v/>
      </c>
      <c r="AD26" s="519" t="str">
        <f t="shared" si="22"/>
        <v/>
      </c>
      <c r="AE26" s="519" t="str">
        <f t="shared" si="23"/>
        <v/>
      </c>
      <c r="AF26" s="519" t="str">
        <f t="shared" si="24"/>
        <v/>
      </c>
      <c r="AG26" s="519" t="str">
        <f t="shared" si="25"/>
        <v/>
      </c>
      <c r="AH26" s="519" t="str">
        <f t="shared" si="26"/>
        <v/>
      </c>
      <c r="AI26" s="519" t="str">
        <f t="shared" si="27"/>
        <v/>
      </c>
      <c r="AJ26" s="519" t="str">
        <f t="shared" si="28"/>
        <v/>
      </c>
      <c r="AK26" s="519" t="str">
        <f t="shared" si="29"/>
        <v/>
      </c>
      <c r="AL26" s="519" t="str">
        <f t="shared" si="30"/>
        <v/>
      </c>
      <c r="AM26" s="519" t="str">
        <f t="shared" si="31"/>
        <v/>
      </c>
      <c r="AN26" s="519" t="str">
        <f t="shared" si="32"/>
        <v/>
      </c>
      <c r="AO26" s="364"/>
      <c r="AP26" s="573"/>
      <c r="AQ26" s="573"/>
      <c r="AR26" s="573"/>
      <c r="AS26" s="573"/>
      <c r="AT26" s="573"/>
      <c r="AU26" s="573"/>
      <c r="AV26" s="573"/>
      <c r="AW26" s="573"/>
      <c r="AX26" s="573"/>
      <c r="AY26" s="573"/>
      <c r="AZ26" s="573"/>
      <c r="BA26" s="573"/>
      <c r="BB26" s="573"/>
      <c r="BC26" s="573"/>
      <c r="BD26" s="573"/>
      <c r="BE26" s="573"/>
      <c r="BF26" s="573"/>
      <c r="BG26" s="573"/>
      <c r="BH26" s="573"/>
      <c r="BI26" s="573"/>
      <c r="BJ26" s="573"/>
      <c r="BK26" s="573"/>
      <c r="BL26" s="573"/>
      <c r="BM26" s="573"/>
      <c r="BN26" s="573"/>
      <c r="BO26" s="573"/>
      <c r="BP26" s="573"/>
      <c r="BQ26" s="573"/>
      <c r="BR26" s="573"/>
      <c r="BS26" s="573"/>
    </row>
    <row r="27" spans="1:71" s="367" customFormat="1" ht="15" customHeight="1">
      <c r="A27" s="102"/>
      <c r="B27" s="271">
        <f>tblIndicators!A23</f>
        <v>22</v>
      </c>
      <c r="C27" s="271">
        <f>tblIndicators!AD23</f>
        <v>0</v>
      </c>
      <c r="D27" s="271">
        <f>tblIndicators!G23</f>
        <v>3</v>
      </c>
      <c r="E27" s="103" t="str">
        <f>tblIndicators!H23</f>
        <v>2_2_1</v>
      </c>
      <c r="F27" s="103"/>
      <c r="G27" s="271">
        <f>tblIndicators!AG23</f>
        <v>2</v>
      </c>
      <c r="H27" s="100" t="str">
        <f>REPT(" ",D27)&amp;tblIndicators!AL23</f>
        <v xml:space="preserve">   2.2.1) Digital platforms for banking and personal finance</v>
      </c>
      <c r="I27" s="101" t="str">
        <f>IF(G27=1,"",tblIndicators!Z23)</f>
        <v>%</v>
      </c>
      <c r="K27" s="519">
        <f t="shared" si="3"/>
        <v>68</v>
      </c>
      <c r="L27" s="519">
        <f t="shared" si="4"/>
        <v>74</v>
      </c>
      <c r="M27" s="519">
        <f t="shared" si="5"/>
        <v>83</v>
      </c>
      <c r="N27" s="519">
        <f t="shared" si="6"/>
        <v>67</v>
      </c>
      <c r="O27" s="519">
        <f t="shared" si="7"/>
        <v>86</v>
      </c>
      <c r="P27" s="519">
        <f t="shared" si="8"/>
        <v>63</v>
      </c>
      <c r="Q27" s="519">
        <f t="shared" si="9"/>
        <v>64</v>
      </c>
      <c r="R27" s="519">
        <f t="shared" si="10"/>
        <v>74</v>
      </c>
      <c r="S27" s="519">
        <f t="shared" si="11"/>
        <v>58</v>
      </c>
      <c r="T27" s="519">
        <f t="shared" si="12"/>
        <v>83</v>
      </c>
      <c r="U27" s="519">
        <f t="shared" si="13"/>
        <v>69</v>
      </c>
      <c r="V27" s="519">
        <f t="shared" si="14"/>
        <v>63</v>
      </c>
      <c r="W27" s="519">
        <f t="shared" si="15"/>
        <v>84</v>
      </c>
      <c r="X27" s="519">
        <f t="shared" si="16"/>
        <v>53</v>
      </c>
      <c r="Y27" s="519">
        <f t="shared" si="17"/>
        <v>56</v>
      </c>
      <c r="Z27" s="519">
        <f t="shared" si="18"/>
        <v>64</v>
      </c>
      <c r="AA27" s="519">
        <f t="shared" si="19"/>
        <v>60</v>
      </c>
      <c r="AB27" s="519">
        <f t="shared" si="20"/>
        <v>65</v>
      </c>
      <c r="AC27" s="519">
        <f t="shared" si="21"/>
        <v>88</v>
      </c>
      <c r="AD27" s="519">
        <f t="shared" si="22"/>
        <v>58</v>
      </c>
      <c r="AE27" s="519">
        <f t="shared" si="23"/>
        <v>76</v>
      </c>
      <c r="AF27" s="519">
        <f t="shared" si="24"/>
        <v>68</v>
      </c>
      <c r="AG27" s="519">
        <f t="shared" si="25"/>
        <v>69</v>
      </c>
      <c r="AH27" s="519">
        <f t="shared" si="26"/>
        <v>83</v>
      </c>
      <c r="AI27" s="519">
        <f t="shared" si="27"/>
        <v>75</v>
      </c>
      <c r="AJ27" s="519">
        <f t="shared" si="28"/>
        <v>53</v>
      </c>
      <c r="AK27" s="519">
        <f t="shared" si="29"/>
        <v>42</v>
      </c>
      <c r="AL27" s="519">
        <f t="shared" si="30"/>
        <v>59</v>
      </c>
      <c r="AM27" s="519">
        <f t="shared" si="31"/>
        <v>61</v>
      </c>
      <c r="AN27" s="519">
        <f t="shared" si="32"/>
        <v>66</v>
      </c>
      <c r="AO27" s="364"/>
      <c r="AP27" s="573">
        <f>INPUTS!X23</f>
        <v>68</v>
      </c>
      <c r="AQ27" s="573">
        <f>INPUTS!Y23</f>
        <v>74</v>
      </c>
      <c r="AR27" s="573">
        <f>INPUTS!Z23</f>
        <v>83</v>
      </c>
      <c r="AS27" s="573">
        <f>INPUTS!AA23</f>
        <v>67</v>
      </c>
      <c r="AT27" s="573">
        <f>INPUTS!AB23</f>
        <v>86</v>
      </c>
      <c r="AU27" s="573">
        <f>INPUTS!AC23</f>
        <v>63</v>
      </c>
      <c r="AV27" s="573">
        <f>INPUTS!AD23</f>
        <v>64</v>
      </c>
      <c r="AW27" s="573">
        <f>INPUTS!AE23</f>
        <v>74</v>
      </c>
      <c r="AX27" s="573">
        <f>INPUTS!AF23</f>
        <v>58</v>
      </c>
      <c r="AY27" s="573">
        <f>INPUTS!AG23</f>
        <v>83</v>
      </c>
      <c r="AZ27" s="573">
        <f>INPUTS!AH23</f>
        <v>69</v>
      </c>
      <c r="BA27" s="573">
        <f>INPUTS!AI23</f>
        <v>63</v>
      </c>
      <c r="BB27" s="573">
        <f>INPUTS!AJ23</f>
        <v>84</v>
      </c>
      <c r="BC27" s="573">
        <f>INPUTS!AK23</f>
        <v>53</v>
      </c>
      <c r="BD27" s="573">
        <f>INPUTS!AL23</f>
        <v>56</v>
      </c>
      <c r="BE27" s="573">
        <f>INPUTS!AM23</f>
        <v>64</v>
      </c>
      <c r="BF27" s="573">
        <f>INPUTS!AN23</f>
        <v>60</v>
      </c>
      <c r="BG27" s="573">
        <f>INPUTS!AO23</f>
        <v>65</v>
      </c>
      <c r="BH27" s="573">
        <f>INPUTS!AP23</f>
        <v>88</v>
      </c>
      <c r="BI27" s="573">
        <f>INPUTS!AQ23</f>
        <v>58</v>
      </c>
      <c r="BJ27" s="573">
        <f>INPUTS!AR23</f>
        <v>76</v>
      </c>
      <c r="BK27" s="573">
        <f>INPUTS!AS23</f>
        <v>68</v>
      </c>
      <c r="BL27" s="573">
        <f>INPUTS!AT23</f>
        <v>69</v>
      </c>
      <c r="BM27" s="573">
        <f>INPUTS!AU23</f>
        <v>83</v>
      </c>
      <c r="BN27" s="573">
        <f>INPUTS!AV23</f>
        <v>75</v>
      </c>
      <c r="BO27" s="573">
        <f>INPUTS!AW23</f>
        <v>53</v>
      </c>
      <c r="BP27" s="573">
        <f>INPUTS!AX23</f>
        <v>42</v>
      </c>
      <c r="BQ27" s="573">
        <f>INPUTS!AY23</f>
        <v>59</v>
      </c>
      <c r="BR27" s="573">
        <f>INPUTS!AZ23</f>
        <v>61</v>
      </c>
      <c r="BS27" s="573">
        <f>INPUTS!BA23</f>
        <v>66</v>
      </c>
    </row>
    <row r="28" spans="1:71" s="367" customFormat="1" ht="15" customHeight="1">
      <c r="A28" s="102"/>
      <c r="B28" s="271">
        <f>tblIndicators!A24</f>
        <v>23</v>
      </c>
      <c r="C28" s="271">
        <f>tblIndicators!AD24</f>
        <v>0</v>
      </c>
      <c r="D28" s="271">
        <f>tblIndicators!G24</f>
        <v>3</v>
      </c>
      <c r="E28" s="103" t="str">
        <f>tblIndicators!H24</f>
        <v>2_2_2</v>
      </c>
      <c r="F28" s="103"/>
      <c r="G28" s="271">
        <f>tblIndicators!AG24</f>
        <v>2</v>
      </c>
      <c r="H28" s="100" t="str">
        <f>REPT(" ",D28)&amp;tblIndicators!AL24</f>
        <v xml:space="preserve">   2.2.2) Digital investment management tools</v>
      </c>
      <c r="I28" s="101" t="str">
        <f>IF(G28=1,"",tblIndicators!Z24)</f>
        <v>%</v>
      </c>
      <c r="K28" s="519">
        <f t="shared" si="3"/>
        <v>10</v>
      </c>
      <c r="L28" s="519">
        <f t="shared" si="4"/>
        <v>20</v>
      </c>
      <c r="M28" s="519">
        <f t="shared" si="5"/>
        <v>66</v>
      </c>
      <c r="N28" s="519">
        <f t="shared" si="6"/>
        <v>25</v>
      </c>
      <c r="O28" s="519">
        <f t="shared" si="7"/>
        <v>65</v>
      </c>
      <c r="P28" s="519">
        <f t="shared" si="8"/>
        <v>6</v>
      </c>
      <c r="Q28" s="519">
        <f t="shared" si="9"/>
        <v>29</v>
      </c>
      <c r="R28" s="519">
        <f t="shared" si="10"/>
        <v>14</v>
      </c>
      <c r="S28" s="519">
        <f t="shared" si="11"/>
        <v>27</v>
      </c>
      <c r="T28" s="519">
        <f t="shared" si="12"/>
        <v>63</v>
      </c>
      <c r="U28" s="519">
        <f t="shared" si="13"/>
        <v>15</v>
      </c>
      <c r="V28" s="519">
        <f t="shared" si="14"/>
        <v>41</v>
      </c>
      <c r="W28" s="519">
        <f t="shared" si="15"/>
        <v>69</v>
      </c>
      <c r="X28" s="519">
        <f t="shared" si="16"/>
        <v>35</v>
      </c>
      <c r="Y28" s="519">
        <f t="shared" si="17"/>
        <v>10</v>
      </c>
      <c r="Z28" s="519">
        <f t="shared" si="18"/>
        <v>26</v>
      </c>
      <c r="AA28" s="519">
        <f t="shared" si="19"/>
        <v>40</v>
      </c>
      <c r="AB28" s="519">
        <f t="shared" si="20"/>
        <v>34</v>
      </c>
      <c r="AC28" s="519">
        <f t="shared" si="21"/>
        <v>77</v>
      </c>
      <c r="AD28" s="519">
        <f t="shared" si="22"/>
        <v>26</v>
      </c>
      <c r="AE28" s="519">
        <f t="shared" si="23"/>
        <v>18</v>
      </c>
      <c r="AF28" s="519">
        <f t="shared" si="24"/>
        <v>18</v>
      </c>
      <c r="AG28" s="519">
        <f t="shared" si="25"/>
        <v>39</v>
      </c>
      <c r="AH28" s="519">
        <f t="shared" si="26"/>
        <v>54</v>
      </c>
      <c r="AI28" s="519">
        <f t="shared" si="27"/>
        <v>39</v>
      </c>
      <c r="AJ28" s="519">
        <f t="shared" si="28"/>
        <v>11</v>
      </c>
      <c r="AK28" s="519">
        <f t="shared" si="29"/>
        <v>17</v>
      </c>
      <c r="AL28" s="519">
        <f t="shared" si="30"/>
        <v>16</v>
      </c>
      <c r="AM28" s="519">
        <f t="shared" si="31"/>
        <v>31</v>
      </c>
      <c r="AN28" s="519">
        <f t="shared" si="32"/>
        <v>23</v>
      </c>
      <c r="AO28" s="364"/>
      <c r="AP28" s="573">
        <f>INPUTS!X24</f>
        <v>10</v>
      </c>
      <c r="AQ28" s="573">
        <f>INPUTS!Y24</f>
        <v>20</v>
      </c>
      <c r="AR28" s="573">
        <f>INPUTS!Z24</f>
        <v>66</v>
      </c>
      <c r="AS28" s="573">
        <f>INPUTS!AA24</f>
        <v>25</v>
      </c>
      <c r="AT28" s="573">
        <f>INPUTS!AB24</f>
        <v>65</v>
      </c>
      <c r="AU28" s="573">
        <f>INPUTS!AC24</f>
        <v>6</v>
      </c>
      <c r="AV28" s="573">
        <f>INPUTS!AD24</f>
        <v>29</v>
      </c>
      <c r="AW28" s="573">
        <f>INPUTS!AE24</f>
        <v>14</v>
      </c>
      <c r="AX28" s="573">
        <f>INPUTS!AF24</f>
        <v>27</v>
      </c>
      <c r="AY28" s="573">
        <f>INPUTS!AG24</f>
        <v>63</v>
      </c>
      <c r="AZ28" s="573">
        <f>INPUTS!AH24</f>
        <v>15</v>
      </c>
      <c r="BA28" s="573">
        <f>INPUTS!AI24</f>
        <v>41</v>
      </c>
      <c r="BB28" s="573">
        <f>INPUTS!AJ24</f>
        <v>69</v>
      </c>
      <c r="BC28" s="573">
        <f>INPUTS!AK24</f>
        <v>35</v>
      </c>
      <c r="BD28" s="573">
        <f>INPUTS!AL24</f>
        <v>10</v>
      </c>
      <c r="BE28" s="573">
        <f>INPUTS!AM24</f>
        <v>26</v>
      </c>
      <c r="BF28" s="573">
        <f>INPUTS!AN24</f>
        <v>40</v>
      </c>
      <c r="BG28" s="573">
        <f>INPUTS!AO24</f>
        <v>34</v>
      </c>
      <c r="BH28" s="573">
        <f>INPUTS!AP24</f>
        <v>77</v>
      </c>
      <c r="BI28" s="573">
        <f>INPUTS!AQ24</f>
        <v>26</v>
      </c>
      <c r="BJ28" s="573">
        <f>INPUTS!AR24</f>
        <v>18</v>
      </c>
      <c r="BK28" s="573">
        <f>INPUTS!AS24</f>
        <v>18</v>
      </c>
      <c r="BL28" s="573">
        <f>INPUTS!AT24</f>
        <v>39</v>
      </c>
      <c r="BM28" s="573">
        <f>INPUTS!AU24</f>
        <v>54</v>
      </c>
      <c r="BN28" s="573">
        <f>INPUTS!AV24</f>
        <v>39</v>
      </c>
      <c r="BO28" s="573">
        <f>INPUTS!AW24</f>
        <v>11</v>
      </c>
      <c r="BP28" s="573">
        <f>INPUTS!AX24</f>
        <v>17</v>
      </c>
      <c r="BQ28" s="573">
        <f>INPUTS!AY24</f>
        <v>16</v>
      </c>
      <c r="BR28" s="573">
        <f>INPUTS!AZ24</f>
        <v>31</v>
      </c>
      <c r="BS28" s="573">
        <f>INPUTS!BA24</f>
        <v>23</v>
      </c>
    </row>
    <row r="29" spans="1:71" s="367" customFormat="1" ht="15" customHeight="1">
      <c r="A29" s="102"/>
      <c r="B29" s="271">
        <f>tblIndicators!A25</f>
        <v>24</v>
      </c>
      <c r="C29" s="271">
        <f>tblIndicators!AD25</f>
        <v>1</v>
      </c>
      <c r="D29" s="271">
        <f>tblIndicators!G25</f>
        <v>3</v>
      </c>
      <c r="E29" s="103" t="str">
        <f>tblIndicators!H25</f>
        <v>2_2_3</v>
      </c>
      <c r="F29" s="103"/>
      <c r="G29" s="271">
        <f>tblIndicators!AG25</f>
        <v>2</v>
      </c>
      <c r="H29" s="100" t="str">
        <f>REPT(" ",D29)&amp;tblIndicators!AL25</f>
        <v xml:space="preserve">   2.2.3) E-payments</v>
      </c>
      <c r="I29" s="101" t="str">
        <f>IF(G29=1,"",tblIndicators!Z25)</f>
        <v>%</v>
      </c>
      <c r="K29" s="519">
        <f t="shared" si="3"/>
        <v>84.8</v>
      </c>
      <c r="L29" s="519">
        <f t="shared" si="4"/>
        <v>84</v>
      </c>
      <c r="M29" s="519">
        <f t="shared" si="5"/>
        <v>38.299999999999997</v>
      </c>
      <c r="N29" s="519">
        <f t="shared" si="6"/>
        <v>53.3</v>
      </c>
      <c r="O29" s="519">
        <f t="shared" si="7"/>
        <v>82</v>
      </c>
      <c r="P29" s="519">
        <f t="shared" si="8"/>
        <v>54.5</v>
      </c>
      <c r="Q29" s="519">
        <f t="shared" si="9"/>
        <v>56.4</v>
      </c>
      <c r="R29" s="519">
        <f t="shared" si="10"/>
        <v>87.3</v>
      </c>
      <c r="S29" s="519">
        <f t="shared" si="11"/>
        <v>85.8</v>
      </c>
      <c r="T29" s="519">
        <f t="shared" si="12"/>
        <v>51.5</v>
      </c>
      <c r="U29" s="519">
        <f t="shared" si="13"/>
        <v>54.5</v>
      </c>
      <c r="V29" s="519">
        <f t="shared" si="14"/>
        <v>89.6</v>
      </c>
      <c r="W29" s="519">
        <f t="shared" si="15"/>
        <v>36.700000000000003</v>
      </c>
      <c r="X29" s="519">
        <f t="shared" si="16"/>
        <v>46.3</v>
      </c>
      <c r="Y29" s="519">
        <f t="shared" si="17"/>
        <v>80.900000000000006</v>
      </c>
      <c r="Z29" s="519">
        <f t="shared" si="18"/>
        <v>53.3</v>
      </c>
      <c r="AA29" s="519">
        <f t="shared" si="19"/>
        <v>38.799999999999997</v>
      </c>
      <c r="AB29" s="519">
        <f t="shared" si="20"/>
        <v>42.5</v>
      </c>
      <c r="AC29" s="519">
        <f t="shared" si="21"/>
        <v>47.3</v>
      </c>
      <c r="AD29" s="519">
        <f t="shared" si="22"/>
        <v>85.8</v>
      </c>
      <c r="AE29" s="519">
        <f t="shared" si="23"/>
        <v>79.5</v>
      </c>
      <c r="AF29" s="519">
        <f t="shared" si="24"/>
        <v>55.1</v>
      </c>
      <c r="AG29" s="519">
        <f t="shared" si="25"/>
        <v>58.2</v>
      </c>
      <c r="AH29" s="519">
        <f t="shared" si="26"/>
        <v>84.1</v>
      </c>
      <c r="AI29" s="519">
        <f t="shared" si="27"/>
        <v>68.599999999999994</v>
      </c>
      <c r="AJ29" s="519">
        <f t="shared" si="28"/>
        <v>86.5</v>
      </c>
      <c r="AK29" s="519">
        <f t="shared" si="29"/>
        <v>41</v>
      </c>
      <c r="AL29" s="519">
        <f t="shared" si="30"/>
        <v>91.2</v>
      </c>
      <c r="AM29" s="519">
        <f t="shared" si="31"/>
        <v>85.8</v>
      </c>
      <c r="AN29" s="519">
        <f t="shared" si="32"/>
        <v>82</v>
      </c>
      <c r="AO29" s="364"/>
      <c r="AP29" s="573">
        <f>INPUTS!X25</f>
        <v>84.84</v>
      </c>
      <c r="AQ29" s="573">
        <f>INPUTS!Y25</f>
        <v>84.03</v>
      </c>
      <c r="AR29" s="573">
        <f>INPUTS!Z25</f>
        <v>38.340000000000003</v>
      </c>
      <c r="AS29" s="573">
        <f>INPUTS!AA25</f>
        <v>53.33</v>
      </c>
      <c r="AT29" s="573">
        <f>INPUTS!AB25</f>
        <v>81.96</v>
      </c>
      <c r="AU29" s="573">
        <f>INPUTS!AC25</f>
        <v>54.48</v>
      </c>
      <c r="AV29" s="573">
        <f>INPUTS!AD25</f>
        <v>56.389999999999993</v>
      </c>
      <c r="AW29" s="573">
        <f>INPUTS!AE25</f>
        <v>87.3</v>
      </c>
      <c r="AX29" s="573">
        <f>INPUTS!AF25</f>
        <v>85.75</v>
      </c>
      <c r="AY29" s="573">
        <f>INPUTS!AG25</f>
        <v>51.470000000000006</v>
      </c>
      <c r="AZ29" s="573">
        <f>INPUTS!AH25</f>
        <v>54.48</v>
      </c>
      <c r="BA29" s="573">
        <f>INPUTS!AI25</f>
        <v>89.570000000000007</v>
      </c>
      <c r="BB29" s="573">
        <f>INPUTS!AJ25</f>
        <v>36.720000000000006</v>
      </c>
      <c r="BC29" s="573">
        <f>INPUTS!AK25</f>
        <v>46.29</v>
      </c>
      <c r="BD29" s="573">
        <f>INPUTS!AL25</f>
        <v>80.910000000000011</v>
      </c>
      <c r="BE29" s="573">
        <f>INPUTS!AM25</f>
        <v>53.33</v>
      </c>
      <c r="BF29" s="573">
        <f>INPUTS!AN25</f>
        <v>38.79</v>
      </c>
      <c r="BG29" s="573">
        <f>INPUTS!AO25</f>
        <v>42.53</v>
      </c>
      <c r="BH29" s="573">
        <f>INPUTS!AP25</f>
        <v>47.31</v>
      </c>
      <c r="BI29" s="573">
        <f>INPUTS!AQ25</f>
        <v>85.75</v>
      </c>
      <c r="BJ29" s="573">
        <f>INPUTS!AR25</f>
        <v>79.510000000000005</v>
      </c>
      <c r="BK29" s="573">
        <f>INPUTS!AS25</f>
        <v>55.110000000000007</v>
      </c>
      <c r="BL29" s="573">
        <f>INPUTS!AT25</f>
        <v>58.17</v>
      </c>
      <c r="BM29" s="573">
        <f>INPUTS!AU25</f>
        <v>84.13000000000001</v>
      </c>
      <c r="BN29" s="573">
        <f>INPUTS!AV25</f>
        <v>68.63</v>
      </c>
      <c r="BO29" s="573">
        <f>INPUTS!AW25</f>
        <v>86.460000000000008</v>
      </c>
      <c r="BP29" s="573">
        <f>INPUTS!AX25</f>
        <v>41</v>
      </c>
      <c r="BQ29" s="573">
        <f>INPUTS!AY25</f>
        <v>91.17</v>
      </c>
      <c r="BR29" s="573">
        <f>INPUTS!AZ25</f>
        <v>85.75</v>
      </c>
      <c r="BS29" s="573">
        <f>INPUTS!BA25</f>
        <v>82</v>
      </c>
    </row>
    <row r="30" spans="1:71" s="367" customFormat="1" ht="15" customHeight="1">
      <c r="A30" s="102"/>
      <c r="B30" s="271">
        <f>tblIndicators!A26</f>
        <v>25</v>
      </c>
      <c r="C30" s="271">
        <f>tblIndicators!AD26</f>
        <v>1</v>
      </c>
      <c r="D30" s="271">
        <f>tblIndicators!G26</f>
        <v>2</v>
      </c>
      <c r="E30" s="103" t="str">
        <f>tblIndicators!H26</f>
        <v>2_3</v>
      </c>
      <c r="F30" s="103"/>
      <c r="G30" s="271">
        <f>tblIndicators!AG26</f>
        <v>1</v>
      </c>
      <c r="H30" s="100" t="str">
        <f>REPT(" ",D30)&amp;tblIndicators!AL26</f>
        <v xml:space="preserve">  2.3) Transportation</v>
      </c>
      <c r="I30" s="101" t="str">
        <f>IF(G30=1,"",tblIndicators!Z26)</f>
        <v/>
      </c>
      <c r="K30" s="519" t="str">
        <f t="shared" si="3"/>
        <v/>
      </c>
      <c r="L30" s="519" t="str">
        <f t="shared" si="4"/>
        <v/>
      </c>
      <c r="M30" s="519" t="str">
        <f t="shared" si="5"/>
        <v/>
      </c>
      <c r="N30" s="519" t="str">
        <f t="shared" si="6"/>
        <v/>
      </c>
      <c r="O30" s="519" t="str">
        <f t="shared" si="7"/>
        <v/>
      </c>
      <c r="P30" s="519" t="str">
        <f t="shared" si="8"/>
        <v/>
      </c>
      <c r="Q30" s="519" t="str">
        <f t="shared" si="9"/>
        <v/>
      </c>
      <c r="R30" s="519" t="str">
        <f t="shared" si="10"/>
        <v/>
      </c>
      <c r="S30" s="519" t="str">
        <f t="shared" si="11"/>
        <v/>
      </c>
      <c r="T30" s="519" t="str">
        <f t="shared" si="12"/>
        <v/>
      </c>
      <c r="U30" s="519" t="str">
        <f t="shared" si="13"/>
        <v/>
      </c>
      <c r="V30" s="519" t="str">
        <f t="shared" si="14"/>
        <v/>
      </c>
      <c r="W30" s="519" t="str">
        <f t="shared" si="15"/>
        <v/>
      </c>
      <c r="X30" s="519" t="str">
        <f t="shared" si="16"/>
        <v/>
      </c>
      <c r="Y30" s="519" t="str">
        <f t="shared" si="17"/>
        <v/>
      </c>
      <c r="Z30" s="519" t="str">
        <f t="shared" si="18"/>
        <v/>
      </c>
      <c r="AA30" s="519" t="str">
        <f t="shared" si="19"/>
        <v/>
      </c>
      <c r="AB30" s="519" t="str">
        <f t="shared" si="20"/>
        <v/>
      </c>
      <c r="AC30" s="519" t="str">
        <f t="shared" si="21"/>
        <v/>
      </c>
      <c r="AD30" s="519" t="str">
        <f t="shared" si="22"/>
        <v/>
      </c>
      <c r="AE30" s="519" t="str">
        <f t="shared" si="23"/>
        <v/>
      </c>
      <c r="AF30" s="519" t="str">
        <f t="shared" si="24"/>
        <v/>
      </c>
      <c r="AG30" s="519" t="str">
        <f t="shared" si="25"/>
        <v/>
      </c>
      <c r="AH30" s="519" t="str">
        <f t="shared" si="26"/>
        <v/>
      </c>
      <c r="AI30" s="519" t="str">
        <f t="shared" si="27"/>
        <v/>
      </c>
      <c r="AJ30" s="519" t="str">
        <f t="shared" si="28"/>
        <v/>
      </c>
      <c r="AK30" s="519" t="str">
        <f t="shared" si="29"/>
        <v/>
      </c>
      <c r="AL30" s="519" t="str">
        <f t="shared" si="30"/>
        <v/>
      </c>
      <c r="AM30" s="519" t="str">
        <f t="shared" si="31"/>
        <v/>
      </c>
      <c r="AN30" s="519" t="str">
        <f t="shared" si="32"/>
        <v/>
      </c>
      <c r="AO30" s="364"/>
      <c r="AP30" s="573"/>
      <c r="AQ30" s="573"/>
      <c r="AR30" s="573"/>
      <c r="AS30" s="573"/>
      <c r="AT30" s="573"/>
      <c r="AU30" s="573"/>
      <c r="AV30" s="573"/>
      <c r="AW30" s="573"/>
      <c r="AX30" s="573"/>
      <c r="AY30" s="573"/>
      <c r="AZ30" s="573"/>
      <c r="BA30" s="573"/>
      <c r="BB30" s="573"/>
      <c r="BC30" s="573"/>
      <c r="BD30" s="573"/>
      <c r="BE30" s="573"/>
      <c r="BF30" s="573"/>
      <c r="BG30" s="573"/>
      <c r="BH30" s="573"/>
      <c r="BI30" s="573"/>
      <c r="BJ30" s="573"/>
      <c r="BK30" s="573"/>
      <c r="BL30" s="573"/>
      <c r="BM30" s="573"/>
      <c r="BN30" s="573"/>
      <c r="BO30" s="573"/>
      <c r="BP30" s="573"/>
      <c r="BQ30" s="573"/>
      <c r="BR30" s="573"/>
      <c r="BS30" s="573"/>
    </row>
    <row r="31" spans="1:71" s="367" customFormat="1" ht="15" customHeight="1">
      <c r="A31" s="102"/>
      <c r="B31" s="271">
        <f>tblIndicators!A27</f>
        <v>26</v>
      </c>
      <c r="C31" s="271">
        <f>tblIndicators!AD27</f>
        <v>0</v>
      </c>
      <c r="D31" s="271">
        <f>tblIndicators!G27</f>
        <v>3</v>
      </c>
      <c r="E31" s="103" t="str">
        <f>tblIndicators!H27</f>
        <v>2_3_1</v>
      </c>
      <c r="F31" s="103"/>
      <c r="G31" s="271">
        <f>tblIndicators!AG27</f>
        <v>3</v>
      </c>
      <c r="H31" s="100" t="str">
        <f>REPT(" ",D31)&amp;tblIndicators!AL27</f>
        <v xml:space="preserve">   2.3.1) Integrated public transport apps</v>
      </c>
      <c r="I31" s="101" t="str">
        <f>IF(G31=1,"",tblIndicators!Z27)</f>
        <v>Scale (0-3)</v>
      </c>
      <c r="K31" s="519">
        <f t="shared" si="3"/>
        <v>3</v>
      </c>
      <c r="L31" s="519">
        <f t="shared" si="4"/>
        <v>1</v>
      </c>
      <c r="M31" s="519">
        <f t="shared" si="5"/>
        <v>0</v>
      </c>
      <c r="N31" s="519">
        <f t="shared" si="6"/>
        <v>3</v>
      </c>
      <c r="O31" s="519">
        <f t="shared" si="7"/>
        <v>2</v>
      </c>
      <c r="P31" s="519">
        <f t="shared" si="8"/>
        <v>3</v>
      </c>
      <c r="Q31" s="519">
        <f t="shared" si="9"/>
        <v>2</v>
      </c>
      <c r="R31" s="519">
        <f t="shared" si="10"/>
        <v>2</v>
      </c>
      <c r="S31" s="519">
        <f t="shared" si="11"/>
        <v>3</v>
      </c>
      <c r="T31" s="519">
        <f t="shared" si="12"/>
        <v>3</v>
      </c>
      <c r="U31" s="519">
        <f t="shared" si="13"/>
        <v>3</v>
      </c>
      <c r="V31" s="519">
        <f t="shared" si="14"/>
        <v>2</v>
      </c>
      <c r="W31" s="519">
        <f t="shared" si="15"/>
        <v>3</v>
      </c>
      <c r="X31" s="519">
        <f t="shared" si="16"/>
        <v>2</v>
      </c>
      <c r="Y31" s="519">
        <f t="shared" si="17"/>
        <v>2</v>
      </c>
      <c r="Z31" s="519">
        <f t="shared" si="18"/>
        <v>1</v>
      </c>
      <c r="AA31" s="519">
        <f t="shared" si="19"/>
        <v>0</v>
      </c>
      <c r="AB31" s="519">
        <f t="shared" si="20"/>
        <v>0</v>
      </c>
      <c r="AC31" s="519">
        <f t="shared" si="21"/>
        <v>1</v>
      </c>
      <c r="AD31" s="519">
        <f t="shared" si="22"/>
        <v>2</v>
      </c>
      <c r="AE31" s="519">
        <f t="shared" si="23"/>
        <v>3</v>
      </c>
      <c r="AF31" s="519">
        <f t="shared" si="24"/>
        <v>3</v>
      </c>
      <c r="AG31" s="519">
        <f t="shared" si="25"/>
        <v>0</v>
      </c>
      <c r="AH31" s="519">
        <f t="shared" si="26"/>
        <v>2</v>
      </c>
      <c r="AI31" s="519">
        <f t="shared" si="27"/>
        <v>2</v>
      </c>
      <c r="AJ31" s="519">
        <f t="shared" si="28"/>
        <v>3</v>
      </c>
      <c r="AK31" s="519">
        <f t="shared" si="29"/>
        <v>1</v>
      </c>
      <c r="AL31" s="519">
        <f t="shared" si="30"/>
        <v>2</v>
      </c>
      <c r="AM31" s="519">
        <f t="shared" si="31"/>
        <v>2</v>
      </c>
      <c r="AN31" s="519">
        <f t="shared" si="32"/>
        <v>3</v>
      </c>
      <c r="AO31" s="364"/>
      <c r="AP31" s="573">
        <f>INPUTS!X27</f>
        <v>3</v>
      </c>
      <c r="AQ31" s="573">
        <f>INPUTS!Y27</f>
        <v>1</v>
      </c>
      <c r="AR31" s="573">
        <f>INPUTS!Z27</f>
        <v>0</v>
      </c>
      <c r="AS31" s="573">
        <f>INPUTS!AA27</f>
        <v>3</v>
      </c>
      <c r="AT31" s="573">
        <f>INPUTS!AB27</f>
        <v>2</v>
      </c>
      <c r="AU31" s="573">
        <f>INPUTS!AC27</f>
        <v>3</v>
      </c>
      <c r="AV31" s="573">
        <f>INPUTS!AD27</f>
        <v>2</v>
      </c>
      <c r="AW31" s="573">
        <f>INPUTS!AE27</f>
        <v>2</v>
      </c>
      <c r="AX31" s="573">
        <f>INPUTS!AF27</f>
        <v>3</v>
      </c>
      <c r="AY31" s="573">
        <f>INPUTS!AG27</f>
        <v>3</v>
      </c>
      <c r="AZ31" s="573">
        <f>INPUTS!AH27</f>
        <v>3</v>
      </c>
      <c r="BA31" s="573">
        <f>INPUTS!AI27</f>
        <v>2</v>
      </c>
      <c r="BB31" s="573">
        <f>INPUTS!AJ27</f>
        <v>3</v>
      </c>
      <c r="BC31" s="573">
        <f>INPUTS!AK27</f>
        <v>2</v>
      </c>
      <c r="BD31" s="573">
        <f>INPUTS!AL27</f>
        <v>2</v>
      </c>
      <c r="BE31" s="573">
        <f>INPUTS!AM27</f>
        <v>1</v>
      </c>
      <c r="BF31" s="573">
        <f>INPUTS!AN27</f>
        <v>0</v>
      </c>
      <c r="BG31" s="573">
        <f>INPUTS!AO27</f>
        <v>0</v>
      </c>
      <c r="BH31" s="573">
        <f>INPUTS!AP27</f>
        <v>1</v>
      </c>
      <c r="BI31" s="573">
        <f>INPUTS!AQ27</f>
        <v>2</v>
      </c>
      <c r="BJ31" s="573">
        <f>INPUTS!AR27</f>
        <v>3</v>
      </c>
      <c r="BK31" s="573">
        <f>INPUTS!AS27</f>
        <v>3</v>
      </c>
      <c r="BL31" s="573">
        <f>INPUTS!AT27</f>
        <v>0</v>
      </c>
      <c r="BM31" s="573">
        <f>INPUTS!AU27</f>
        <v>2</v>
      </c>
      <c r="BN31" s="573">
        <f>INPUTS!AV27</f>
        <v>2</v>
      </c>
      <c r="BO31" s="573">
        <f>INPUTS!AW27</f>
        <v>3</v>
      </c>
      <c r="BP31" s="573">
        <f>INPUTS!AX27</f>
        <v>1</v>
      </c>
      <c r="BQ31" s="573">
        <f>INPUTS!AY27</f>
        <v>2</v>
      </c>
      <c r="BR31" s="573">
        <f>INPUTS!AZ27</f>
        <v>2</v>
      </c>
      <c r="BS31" s="573">
        <f>INPUTS!BA27</f>
        <v>3</v>
      </c>
    </row>
    <row r="32" spans="1:71" s="367" customFormat="1" ht="15" customHeight="1">
      <c r="A32" s="102"/>
      <c r="B32" s="271">
        <f>tblIndicators!A28</f>
        <v>27</v>
      </c>
      <c r="C32" s="271">
        <f>tblIndicators!AD28</f>
        <v>0</v>
      </c>
      <c r="D32" s="271">
        <f>tblIndicators!G28</f>
        <v>3</v>
      </c>
      <c r="E32" s="103" t="str">
        <f>tblIndicators!H28</f>
        <v>2_3_2</v>
      </c>
      <c r="F32" s="103"/>
      <c r="G32" s="271">
        <f>tblIndicators!AG28</f>
        <v>3</v>
      </c>
      <c r="H32" s="100" t="str">
        <f>REPT(" ",D32)&amp;tblIndicators!AL28</f>
        <v xml:space="preserve">   2.3.2) Digital identification at airports</v>
      </c>
      <c r="I32" s="101" t="str">
        <f>IF(G32=1,"",tblIndicators!Z28)</f>
        <v>Scale (0-2)</v>
      </c>
      <c r="K32" s="519">
        <f t="shared" si="3"/>
        <v>2</v>
      </c>
      <c r="L32" s="519">
        <f t="shared" si="4"/>
        <v>1</v>
      </c>
      <c r="M32" s="519">
        <f t="shared" si="5"/>
        <v>1</v>
      </c>
      <c r="N32" s="519">
        <f t="shared" si="6"/>
        <v>2</v>
      </c>
      <c r="O32" s="519">
        <f t="shared" si="7"/>
        <v>2</v>
      </c>
      <c r="P32" s="519">
        <f t="shared" si="8"/>
        <v>1</v>
      </c>
      <c r="Q32" s="519">
        <f t="shared" si="9"/>
        <v>1</v>
      </c>
      <c r="R32" s="519">
        <f t="shared" si="10"/>
        <v>1</v>
      </c>
      <c r="S32" s="519">
        <f t="shared" si="11"/>
        <v>1</v>
      </c>
      <c r="T32" s="519">
        <f t="shared" si="12"/>
        <v>2</v>
      </c>
      <c r="U32" s="519">
        <f t="shared" si="13"/>
        <v>2</v>
      </c>
      <c r="V32" s="519">
        <f t="shared" si="14"/>
        <v>2</v>
      </c>
      <c r="W32" s="519">
        <f t="shared" si="15"/>
        <v>1</v>
      </c>
      <c r="X32" s="519">
        <f t="shared" si="16"/>
        <v>2</v>
      </c>
      <c r="Y32" s="519">
        <f t="shared" si="17"/>
        <v>2</v>
      </c>
      <c r="Z32" s="519">
        <f t="shared" si="18"/>
        <v>2</v>
      </c>
      <c r="AA32" s="519">
        <f t="shared" si="19"/>
        <v>1</v>
      </c>
      <c r="AB32" s="519">
        <f t="shared" si="20"/>
        <v>1</v>
      </c>
      <c r="AC32" s="519">
        <f t="shared" si="21"/>
        <v>0</v>
      </c>
      <c r="AD32" s="519">
        <f t="shared" si="22"/>
        <v>1</v>
      </c>
      <c r="AE32" s="519">
        <f t="shared" si="23"/>
        <v>2</v>
      </c>
      <c r="AF32" s="519">
        <f t="shared" si="24"/>
        <v>2</v>
      </c>
      <c r="AG32" s="519">
        <f t="shared" si="25"/>
        <v>0</v>
      </c>
      <c r="AH32" s="519">
        <f t="shared" si="26"/>
        <v>2</v>
      </c>
      <c r="AI32" s="519">
        <f t="shared" si="27"/>
        <v>2</v>
      </c>
      <c r="AJ32" s="519">
        <f t="shared" si="28"/>
        <v>2</v>
      </c>
      <c r="AK32" s="519">
        <f t="shared" si="29"/>
        <v>2</v>
      </c>
      <c r="AL32" s="519">
        <f t="shared" si="30"/>
        <v>0</v>
      </c>
      <c r="AM32" s="519">
        <f t="shared" si="31"/>
        <v>1</v>
      </c>
      <c r="AN32" s="519">
        <f t="shared" si="32"/>
        <v>1</v>
      </c>
      <c r="AO32" s="364"/>
      <c r="AP32" s="573">
        <f>INPUTS!X28</f>
        <v>2</v>
      </c>
      <c r="AQ32" s="573">
        <f>INPUTS!Y28</f>
        <v>1</v>
      </c>
      <c r="AR32" s="573">
        <f>INPUTS!Z28</f>
        <v>1</v>
      </c>
      <c r="AS32" s="573">
        <f>INPUTS!AA28</f>
        <v>2</v>
      </c>
      <c r="AT32" s="573">
        <f>INPUTS!AB28</f>
        <v>2</v>
      </c>
      <c r="AU32" s="573">
        <f>INPUTS!AC28</f>
        <v>1</v>
      </c>
      <c r="AV32" s="573">
        <f>INPUTS!AD28</f>
        <v>1</v>
      </c>
      <c r="AW32" s="573">
        <f>INPUTS!AE28</f>
        <v>1</v>
      </c>
      <c r="AX32" s="573">
        <f>INPUTS!AF28</f>
        <v>1</v>
      </c>
      <c r="AY32" s="573">
        <f>INPUTS!AG28</f>
        <v>2</v>
      </c>
      <c r="AZ32" s="573">
        <f>INPUTS!AH28</f>
        <v>2</v>
      </c>
      <c r="BA32" s="573">
        <f>INPUTS!AI28</f>
        <v>2</v>
      </c>
      <c r="BB32" s="573">
        <f>INPUTS!AJ28</f>
        <v>1</v>
      </c>
      <c r="BC32" s="573">
        <f>INPUTS!AK28</f>
        <v>2</v>
      </c>
      <c r="BD32" s="573">
        <f>INPUTS!AL28</f>
        <v>2</v>
      </c>
      <c r="BE32" s="573">
        <f>INPUTS!AM28</f>
        <v>2</v>
      </c>
      <c r="BF32" s="573">
        <f>INPUTS!AN28</f>
        <v>1</v>
      </c>
      <c r="BG32" s="573">
        <f>INPUTS!AO28</f>
        <v>1</v>
      </c>
      <c r="BH32" s="573">
        <f>INPUTS!AP28</f>
        <v>0</v>
      </c>
      <c r="BI32" s="573">
        <f>INPUTS!AQ28</f>
        <v>1</v>
      </c>
      <c r="BJ32" s="573">
        <f>INPUTS!AR28</f>
        <v>2</v>
      </c>
      <c r="BK32" s="573">
        <f>INPUTS!AS28</f>
        <v>2</v>
      </c>
      <c r="BL32" s="573">
        <f>INPUTS!AT28</f>
        <v>0</v>
      </c>
      <c r="BM32" s="573">
        <f>INPUTS!AU28</f>
        <v>2</v>
      </c>
      <c r="BN32" s="573">
        <f>INPUTS!AV28</f>
        <v>2</v>
      </c>
      <c r="BO32" s="573">
        <f>INPUTS!AW28</f>
        <v>2</v>
      </c>
      <c r="BP32" s="573">
        <f>INPUTS!AX28</f>
        <v>2</v>
      </c>
      <c r="BQ32" s="573">
        <f>INPUTS!AY28</f>
        <v>0</v>
      </c>
      <c r="BR32" s="573">
        <f>INPUTS!AZ28</f>
        <v>1</v>
      </c>
      <c r="BS32" s="573">
        <f>INPUTS!BA28</f>
        <v>1</v>
      </c>
    </row>
    <row r="33" spans="1:71" s="367" customFormat="1" ht="15" customHeight="1">
      <c r="A33" s="102"/>
      <c r="B33" s="271">
        <f>tblIndicators!A29</f>
        <v>28</v>
      </c>
      <c r="C33" s="271">
        <f>tblIndicators!AD29</f>
        <v>1</v>
      </c>
      <c r="D33" s="271">
        <f>tblIndicators!G29</f>
        <v>2</v>
      </c>
      <c r="E33" s="103" t="str">
        <f>tblIndicators!H29</f>
        <v>2_4</v>
      </c>
      <c r="F33" s="103"/>
      <c r="G33" s="271">
        <f>tblIndicators!AG29</f>
        <v>1</v>
      </c>
      <c r="H33" s="100" t="str">
        <f>REPT(" ",D33)&amp;tblIndicators!AL29</f>
        <v xml:space="preserve">  2.4) Healthcare</v>
      </c>
      <c r="I33" s="101" t="str">
        <f>IF(G33=1,"",tblIndicators!Z29)</f>
        <v/>
      </c>
      <c r="K33" s="519" t="str">
        <f t="shared" si="3"/>
        <v/>
      </c>
      <c r="L33" s="519" t="str">
        <f t="shared" si="4"/>
        <v/>
      </c>
      <c r="M33" s="519" t="str">
        <f t="shared" si="5"/>
        <v/>
      </c>
      <c r="N33" s="519" t="str">
        <f t="shared" si="6"/>
        <v/>
      </c>
      <c r="O33" s="519" t="str">
        <f t="shared" si="7"/>
        <v/>
      </c>
      <c r="P33" s="519" t="str">
        <f t="shared" si="8"/>
        <v/>
      </c>
      <c r="Q33" s="519" t="str">
        <f t="shared" si="9"/>
        <v/>
      </c>
      <c r="R33" s="519" t="str">
        <f t="shared" si="10"/>
        <v/>
      </c>
      <c r="S33" s="519" t="str">
        <f t="shared" si="11"/>
        <v/>
      </c>
      <c r="T33" s="519" t="str">
        <f t="shared" si="12"/>
        <v/>
      </c>
      <c r="U33" s="519" t="str">
        <f t="shared" si="13"/>
        <v/>
      </c>
      <c r="V33" s="519" t="str">
        <f t="shared" si="14"/>
        <v/>
      </c>
      <c r="W33" s="519" t="str">
        <f t="shared" si="15"/>
        <v/>
      </c>
      <c r="X33" s="519" t="str">
        <f t="shared" si="16"/>
        <v/>
      </c>
      <c r="Y33" s="519" t="str">
        <f t="shared" si="17"/>
        <v/>
      </c>
      <c r="Z33" s="519" t="str">
        <f t="shared" si="18"/>
        <v/>
      </c>
      <c r="AA33" s="519" t="str">
        <f t="shared" si="19"/>
        <v/>
      </c>
      <c r="AB33" s="519" t="str">
        <f t="shared" si="20"/>
        <v/>
      </c>
      <c r="AC33" s="519" t="str">
        <f t="shared" si="21"/>
        <v/>
      </c>
      <c r="AD33" s="519" t="str">
        <f t="shared" si="22"/>
        <v/>
      </c>
      <c r="AE33" s="519" t="str">
        <f t="shared" si="23"/>
        <v/>
      </c>
      <c r="AF33" s="519" t="str">
        <f t="shared" si="24"/>
        <v/>
      </c>
      <c r="AG33" s="519" t="str">
        <f t="shared" si="25"/>
        <v/>
      </c>
      <c r="AH33" s="519" t="str">
        <f t="shared" si="26"/>
        <v/>
      </c>
      <c r="AI33" s="519" t="str">
        <f t="shared" si="27"/>
        <v/>
      </c>
      <c r="AJ33" s="519" t="str">
        <f t="shared" si="28"/>
        <v/>
      </c>
      <c r="AK33" s="519" t="str">
        <f t="shared" si="29"/>
        <v/>
      </c>
      <c r="AL33" s="519" t="str">
        <f t="shared" si="30"/>
        <v/>
      </c>
      <c r="AM33" s="519" t="str">
        <f t="shared" si="31"/>
        <v/>
      </c>
      <c r="AN33" s="519" t="str">
        <f t="shared" si="32"/>
        <v/>
      </c>
      <c r="AO33" s="364"/>
      <c r="AP33" s="573"/>
      <c r="AQ33" s="573"/>
      <c r="AR33" s="573"/>
      <c r="AS33" s="573"/>
      <c r="AT33" s="573"/>
      <c r="AU33" s="573"/>
      <c r="AV33" s="573"/>
      <c r="AW33" s="573"/>
      <c r="AX33" s="573"/>
      <c r="AY33" s="573"/>
      <c r="AZ33" s="573"/>
      <c r="BA33" s="573"/>
      <c r="BB33" s="573"/>
      <c r="BC33" s="573"/>
      <c r="BD33" s="573"/>
      <c r="BE33" s="573"/>
      <c r="BF33" s="573"/>
      <c r="BG33" s="573"/>
      <c r="BH33" s="573"/>
      <c r="BI33" s="573"/>
      <c r="BJ33" s="573"/>
      <c r="BK33" s="573"/>
      <c r="BL33" s="573"/>
      <c r="BM33" s="573"/>
      <c r="BN33" s="573"/>
      <c r="BO33" s="573"/>
      <c r="BP33" s="573"/>
      <c r="BQ33" s="573"/>
      <c r="BR33" s="573"/>
      <c r="BS33" s="573"/>
    </row>
    <row r="34" spans="1:71" s="367" customFormat="1" ht="15" customHeight="1">
      <c r="A34" s="102"/>
      <c r="B34" s="271">
        <f>tblIndicators!A30</f>
        <v>29</v>
      </c>
      <c r="C34" s="271">
        <f>tblIndicators!AD30</f>
        <v>2</v>
      </c>
      <c r="D34" s="271">
        <f>tblIndicators!G30</f>
        <v>3</v>
      </c>
      <c r="E34" s="103" t="str">
        <f>tblIndicators!H30</f>
        <v>2_4_1</v>
      </c>
      <c r="F34" s="103"/>
      <c r="G34" s="271">
        <f>tblIndicators!AG30</f>
        <v>2</v>
      </c>
      <c r="H34" s="100" t="str">
        <f>REPT(" ",D34)&amp;tblIndicators!AL30</f>
        <v xml:space="preserve">   2.4.1) Telehealth &amp; telemedicine</v>
      </c>
      <c r="I34" s="101" t="str">
        <f>IF(G34=1,"",tblIndicators!Z30)</f>
        <v>Scale (0-2)</v>
      </c>
      <c r="K34" s="519">
        <f t="shared" si="3"/>
        <v>1.58</v>
      </c>
      <c r="L34" s="519">
        <f t="shared" si="4"/>
        <v>1.55</v>
      </c>
      <c r="M34" s="519">
        <f t="shared" si="5"/>
        <v>0.9</v>
      </c>
      <c r="N34" s="519">
        <f t="shared" si="6"/>
        <v>1.85</v>
      </c>
      <c r="O34" s="519">
        <f t="shared" si="7"/>
        <v>1.89</v>
      </c>
      <c r="P34" s="519">
        <f t="shared" si="8"/>
        <v>1.34</v>
      </c>
      <c r="Q34" s="519">
        <f t="shared" si="9"/>
        <v>1.81</v>
      </c>
      <c r="R34" s="519">
        <f t="shared" si="10"/>
        <v>1.61</v>
      </c>
      <c r="S34" s="519">
        <f t="shared" si="11"/>
        <v>0.67</v>
      </c>
      <c r="T34" s="519">
        <f t="shared" si="12"/>
        <v>2</v>
      </c>
      <c r="U34" s="519">
        <f t="shared" si="13"/>
        <v>0.43</v>
      </c>
      <c r="V34" s="519">
        <f t="shared" si="14"/>
        <v>1.78</v>
      </c>
      <c r="W34" s="519">
        <f t="shared" si="15"/>
        <v>0.98</v>
      </c>
      <c r="X34" s="519">
        <f t="shared" si="16"/>
        <v>1.89</v>
      </c>
      <c r="Y34" s="519">
        <f t="shared" si="17"/>
        <v>1.59</v>
      </c>
      <c r="Z34" s="519">
        <f t="shared" si="18"/>
        <v>0.79</v>
      </c>
      <c r="AA34" s="519">
        <f t="shared" si="19"/>
        <v>0.9</v>
      </c>
      <c r="AB34" s="519">
        <f t="shared" si="20"/>
        <v>0.84</v>
      </c>
      <c r="AC34" s="519">
        <f t="shared" si="21"/>
        <v>1.99</v>
      </c>
      <c r="AD34" s="519">
        <f t="shared" si="22"/>
        <v>1.71</v>
      </c>
      <c r="AE34" s="519">
        <f t="shared" si="23"/>
        <v>1.72</v>
      </c>
      <c r="AF34" s="519">
        <f t="shared" si="24"/>
        <v>0.65</v>
      </c>
      <c r="AG34" s="519">
        <f t="shared" si="25"/>
        <v>0.81</v>
      </c>
      <c r="AH34" s="519">
        <f t="shared" si="26"/>
        <v>0.78</v>
      </c>
      <c r="AI34" s="519">
        <f t="shared" si="27"/>
        <v>1.72</v>
      </c>
      <c r="AJ34" s="519">
        <f t="shared" si="28"/>
        <v>1.6</v>
      </c>
      <c r="AK34" s="519">
        <f t="shared" si="29"/>
        <v>0.48</v>
      </c>
      <c r="AL34" s="519">
        <f t="shared" si="30"/>
        <v>0.55000000000000004</v>
      </c>
      <c r="AM34" s="519">
        <f t="shared" si="31"/>
        <v>0.78</v>
      </c>
      <c r="AN34" s="519">
        <f t="shared" si="32"/>
        <v>0.65</v>
      </c>
      <c r="AO34" s="364"/>
      <c r="AP34" s="573">
        <f>INPUTS!X30</f>
        <v>1.58</v>
      </c>
      <c r="AQ34" s="573">
        <f>INPUTS!Y30</f>
        <v>1.55</v>
      </c>
      <c r="AR34" s="573">
        <f>INPUTS!Z30</f>
        <v>0.9</v>
      </c>
      <c r="AS34" s="573">
        <f>INPUTS!AA30</f>
        <v>1.85</v>
      </c>
      <c r="AT34" s="573">
        <f>INPUTS!AB30</f>
        <v>1.89</v>
      </c>
      <c r="AU34" s="573">
        <f>INPUTS!AC30</f>
        <v>1.34</v>
      </c>
      <c r="AV34" s="573">
        <f>INPUTS!AD30</f>
        <v>1.81</v>
      </c>
      <c r="AW34" s="573">
        <f>INPUTS!AE30</f>
        <v>1.61</v>
      </c>
      <c r="AX34" s="573">
        <f>INPUTS!AF30</f>
        <v>0.67</v>
      </c>
      <c r="AY34" s="573">
        <f>INPUTS!AG30</f>
        <v>2</v>
      </c>
      <c r="AZ34" s="573">
        <f>INPUTS!AH30</f>
        <v>0.43</v>
      </c>
      <c r="BA34" s="573">
        <f>INPUTS!AI30</f>
        <v>1.78</v>
      </c>
      <c r="BB34" s="573">
        <f>INPUTS!AJ30</f>
        <v>0.98</v>
      </c>
      <c r="BC34" s="573">
        <f>INPUTS!AK30</f>
        <v>1.89</v>
      </c>
      <c r="BD34" s="573">
        <f>INPUTS!AL30</f>
        <v>1.59</v>
      </c>
      <c r="BE34" s="573">
        <f>INPUTS!AM30</f>
        <v>0.79</v>
      </c>
      <c r="BF34" s="573">
        <f>INPUTS!AN30</f>
        <v>0.9</v>
      </c>
      <c r="BG34" s="573">
        <f>INPUTS!AO30</f>
        <v>0.84</v>
      </c>
      <c r="BH34" s="573">
        <f>INPUTS!AP30</f>
        <v>1.99</v>
      </c>
      <c r="BI34" s="573">
        <f>INPUTS!AQ30</f>
        <v>1.71</v>
      </c>
      <c r="BJ34" s="573">
        <f>INPUTS!AR30</f>
        <v>1.72</v>
      </c>
      <c r="BK34" s="573">
        <f>INPUTS!AS30</f>
        <v>0.65</v>
      </c>
      <c r="BL34" s="573">
        <f>INPUTS!AT30</f>
        <v>0.81</v>
      </c>
      <c r="BM34" s="573">
        <f>INPUTS!AU30</f>
        <v>0.78</v>
      </c>
      <c r="BN34" s="573">
        <f>INPUTS!AV30</f>
        <v>1.72</v>
      </c>
      <c r="BO34" s="573">
        <f>INPUTS!AW30</f>
        <v>1.6</v>
      </c>
      <c r="BP34" s="573">
        <f>INPUTS!AX30</f>
        <v>0.48</v>
      </c>
      <c r="BQ34" s="573">
        <f>INPUTS!AY30</f>
        <v>0.55000000000000004</v>
      </c>
      <c r="BR34" s="573">
        <f>INPUTS!AZ30</f>
        <v>0.78</v>
      </c>
      <c r="BS34" s="573">
        <f>INPUTS!BA30</f>
        <v>0.65</v>
      </c>
    </row>
    <row r="35" spans="1:71" s="367" customFormat="1" ht="15" customHeight="1">
      <c r="A35" s="102"/>
      <c r="B35" s="271">
        <f>tblIndicators!A31</f>
        <v>30</v>
      </c>
      <c r="C35" s="271">
        <f>tblIndicators!AD31</f>
        <v>0</v>
      </c>
      <c r="D35" s="271">
        <f>tblIndicators!G31</f>
        <v>3</v>
      </c>
      <c r="E35" s="103" t="str">
        <f>tblIndicators!H31</f>
        <v>2_4_2</v>
      </c>
      <c r="F35" s="103"/>
      <c r="G35" s="271">
        <f>tblIndicators!AG31</f>
        <v>3</v>
      </c>
      <c r="H35" s="100" t="str">
        <f>REPT(" ",D35)&amp;tblIndicators!AL31</f>
        <v xml:space="preserve">   2.4.2) Electronic health records</v>
      </c>
      <c r="I35" s="101" t="str">
        <f>IF(G35=1,"",tblIndicators!Z31)</f>
        <v>Scale (0-2)</v>
      </c>
      <c r="K35" s="519">
        <f t="shared" si="3"/>
        <v>2</v>
      </c>
      <c r="L35" s="519">
        <f t="shared" si="4"/>
        <v>0</v>
      </c>
      <c r="M35" s="519">
        <f t="shared" si="5"/>
        <v>1</v>
      </c>
      <c r="N35" s="519">
        <f t="shared" si="6"/>
        <v>2</v>
      </c>
      <c r="O35" s="519">
        <f t="shared" si="7"/>
        <v>2</v>
      </c>
      <c r="P35" s="519">
        <f t="shared" si="8"/>
        <v>1</v>
      </c>
      <c r="Q35" s="519">
        <f t="shared" si="9"/>
        <v>2</v>
      </c>
      <c r="R35" s="519">
        <f t="shared" si="10"/>
        <v>2</v>
      </c>
      <c r="S35" s="519">
        <f t="shared" si="11"/>
        <v>2</v>
      </c>
      <c r="T35" s="519">
        <f t="shared" si="12"/>
        <v>1</v>
      </c>
      <c r="U35" s="519">
        <f t="shared" si="13"/>
        <v>1</v>
      </c>
      <c r="V35" s="519">
        <f t="shared" si="14"/>
        <v>1</v>
      </c>
      <c r="W35" s="519">
        <f t="shared" si="15"/>
        <v>0</v>
      </c>
      <c r="X35" s="519">
        <f t="shared" si="16"/>
        <v>1</v>
      </c>
      <c r="Y35" s="519">
        <f t="shared" si="17"/>
        <v>2</v>
      </c>
      <c r="Z35" s="519">
        <f t="shared" si="18"/>
        <v>2</v>
      </c>
      <c r="AA35" s="519">
        <f t="shared" si="19"/>
        <v>1</v>
      </c>
      <c r="AB35" s="519">
        <f t="shared" si="20"/>
        <v>1</v>
      </c>
      <c r="AC35" s="519">
        <f t="shared" si="21"/>
        <v>1</v>
      </c>
      <c r="AD35" s="519">
        <f t="shared" si="22"/>
        <v>2</v>
      </c>
      <c r="AE35" s="519">
        <f t="shared" si="23"/>
        <v>1</v>
      </c>
      <c r="AF35" s="519">
        <f t="shared" si="24"/>
        <v>2</v>
      </c>
      <c r="AG35" s="519">
        <f t="shared" si="25"/>
        <v>2</v>
      </c>
      <c r="AH35" s="519">
        <f t="shared" si="26"/>
        <v>2</v>
      </c>
      <c r="AI35" s="519">
        <f t="shared" si="27"/>
        <v>1</v>
      </c>
      <c r="AJ35" s="519">
        <f t="shared" si="28"/>
        <v>2</v>
      </c>
      <c r="AK35" s="519">
        <f t="shared" si="29"/>
        <v>1</v>
      </c>
      <c r="AL35" s="519">
        <f t="shared" si="30"/>
        <v>2</v>
      </c>
      <c r="AM35" s="519">
        <f t="shared" si="31"/>
        <v>2</v>
      </c>
      <c r="AN35" s="519">
        <f t="shared" si="32"/>
        <v>2</v>
      </c>
      <c r="AO35" s="364"/>
      <c r="AP35" s="573">
        <f>INPUTS!X31</f>
        <v>2</v>
      </c>
      <c r="AQ35" s="573">
        <f>INPUTS!Y31</f>
        <v>0</v>
      </c>
      <c r="AR35" s="573">
        <f>INPUTS!Z31</f>
        <v>1</v>
      </c>
      <c r="AS35" s="573">
        <f>INPUTS!AA31</f>
        <v>2</v>
      </c>
      <c r="AT35" s="573">
        <f>INPUTS!AB31</f>
        <v>2</v>
      </c>
      <c r="AU35" s="573">
        <f>INPUTS!AC31</f>
        <v>1</v>
      </c>
      <c r="AV35" s="573">
        <f>INPUTS!AD31</f>
        <v>2</v>
      </c>
      <c r="AW35" s="573">
        <f>INPUTS!AE31</f>
        <v>2</v>
      </c>
      <c r="AX35" s="573">
        <f>INPUTS!AF31</f>
        <v>2</v>
      </c>
      <c r="AY35" s="573">
        <f>INPUTS!AG31</f>
        <v>1</v>
      </c>
      <c r="AZ35" s="573">
        <f>INPUTS!AH31</f>
        <v>1</v>
      </c>
      <c r="BA35" s="573">
        <f>INPUTS!AI31</f>
        <v>1</v>
      </c>
      <c r="BB35" s="573">
        <f>INPUTS!AJ31</f>
        <v>0</v>
      </c>
      <c r="BC35" s="573">
        <f>INPUTS!AK31</f>
        <v>1</v>
      </c>
      <c r="BD35" s="573">
        <f>INPUTS!AL31</f>
        <v>2</v>
      </c>
      <c r="BE35" s="573">
        <f>INPUTS!AM31</f>
        <v>2</v>
      </c>
      <c r="BF35" s="573">
        <f>INPUTS!AN31</f>
        <v>1</v>
      </c>
      <c r="BG35" s="573">
        <f>INPUTS!AO31</f>
        <v>1</v>
      </c>
      <c r="BH35" s="573">
        <f>INPUTS!AP31</f>
        <v>1</v>
      </c>
      <c r="BI35" s="573">
        <f>INPUTS!AQ31</f>
        <v>2</v>
      </c>
      <c r="BJ35" s="573">
        <f>INPUTS!AR31</f>
        <v>1</v>
      </c>
      <c r="BK35" s="573">
        <f>INPUTS!AS31</f>
        <v>2</v>
      </c>
      <c r="BL35" s="573">
        <f>INPUTS!AT31</f>
        <v>2</v>
      </c>
      <c r="BM35" s="573">
        <f>INPUTS!AU31</f>
        <v>2</v>
      </c>
      <c r="BN35" s="573">
        <f>INPUTS!AV31</f>
        <v>1</v>
      </c>
      <c r="BO35" s="573">
        <f>INPUTS!AW31</f>
        <v>2</v>
      </c>
      <c r="BP35" s="573">
        <f>INPUTS!AX31</f>
        <v>1</v>
      </c>
      <c r="BQ35" s="573">
        <f>INPUTS!AY31</f>
        <v>2</v>
      </c>
      <c r="BR35" s="573">
        <f>INPUTS!AZ31</f>
        <v>2</v>
      </c>
      <c r="BS35" s="573">
        <f>INPUTS!BA31</f>
        <v>2</v>
      </c>
    </row>
    <row r="36" spans="1:71" s="367" customFormat="1" ht="15" customHeight="1">
      <c r="A36" s="102"/>
      <c r="B36" s="271">
        <f>tblIndicators!A32</f>
        <v>31</v>
      </c>
      <c r="C36" s="271">
        <f>tblIndicators!AD32</f>
        <v>0</v>
      </c>
      <c r="D36" s="271">
        <f>tblIndicators!G32</f>
        <v>3</v>
      </c>
      <c r="E36" s="103" t="str">
        <f>tblIndicators!H32</f>
        <v>2_4_3</v>
      </c>
      <c r="F36" s="103"/>
      <c r="G36" s="271">
        <f>tblIndicators!AG32</f>
        <v>3</v>
      </c>
      <c r="H36" s="100" t="str">
        <f>REPT(" ",D36)&amp;tblIndicators!AL32</f>
        <v xml:space="preserve">   2.4.3) Pandemic-related applications</v>
      </c>
      <c r="I36" s="101" t="str">
        <f>IF(G36=1,"",tblIndicators!Z32)</f>
        <v>Scale (0-2)</v>
      </c>
      <c r="K36" s="519">
        <f t="shared" si="3"/>
        <v>2</v>
      </c>
      <c r="L36" s="519">
        <f t="shared" si="4"/>
        <v>2</v>
      </c>
      <c r="M36" s="519">
        <f t="shared" si="5"/>
        <v>2</v>
      </c>
      <c r="N36" s="519">
        <f t="shared" si="6"/>
        <v>2</v>
      </c>
      <c r="O36" s="519">
        <f t="shared" si="7"/>
        <v>2</v>
      </c>
      <c r="P36" s="519">
        <f t="shared" si="8"/>
        <v>2</v>
      </c>
      <c r="Q36" s="519">
        <f t="shared" si="9"/>
        <v>1</v>
      </c>
      <c r="R36" s="519">
        <f t="shared" si="10"/>
        <v>2</v>
      </c>
      <c r="S36" s="519">
        <f t="shared" si="11"/>
        <v>2</v>
      </c>
      <c r="T36" s="519">
        <f t="shared" si="12"/>
        <v>2</v>
      </c>
      <c r="U36" s="519">
        <f t="shared" si="13"/>
        <v>2</v>
      </c>
      <c r="V36" s="519">
        <f t="shared" si="14"/>
        <v>2</v>
      </c>
      <c r="W36" s="519">
        <f t="shared" si="15"/>
        <v>2</v>
      </c>
      <c r="X36" s="519">
        <f t="shared" si="16"/>
        <v>2</v>
      </c>
      <c r="Y36" s="519">
        <f t="shared" si="17"/>
        <v>2</v>
      </c>
      <c r="Z36" s="519">
        <f t="shared" si="18"/>
        <v>2</v>
      </c>
      <c r="AA36" s="519">
        <f t="shared" si="19"/>
        <v>2</v>
      </c>
      <c r="AB36" s="519">
        <f t="shared" si="20"/>
        <v>0</v>
      </c>
      <c r="AC36" s="519">
        <f t="shared" si="21"/>
        <v>2</v>
      </c>
      <c r="AD36" s="519">
        <f t="shared" si="22"/>
        <v>2</v>
      </c>
      <c r="AE36" s="519">
        <f t="shared" si="23"/>
        <v>2</v>
      </c>
      <c r="AF36" s="519">
        <f t="shared" si="24"/>
        <v>2</v>
      </c>
      <c r="AG36" s="519">
        <f t="shared" si="25"/>
        <v>0</v>
      </c>
      <c r="AH36" s="519">
        <f t="shared" si="26"/>
        <v>0</v>
      </c>
      <c r="AI36" s="519">
        <f t="shared" si="27"/>
        <v>2</v>
      </c>
      <c r="AJ36" s="519">
        <f t="shared" si="28"/>
        <v>2</v>
      </c>
      <c r="AK36" s="519">
        <f t="shared" si="29"/>
        <v>2</v>
      </c>
      <c r="AL36" s="519">
        <f t="shared" si="30"/>
        <v>2</v>
      </c>
      <c r="AM36" s="519">
        <f t="shared" si="31"/>
        <v>2</v>
      </c>
      <c r="AN36" s="519">
        <f t="shared" si="32"/>
        <v>2</v>
      </c>
      <c r="AO36" s="364"/>
      <c r="AP36" s="573">
        <f>INPUTS!X32</f>
        <v>2</v>
      </c>
      <c r="AQ36" s="573">
        <f>INPUTS!Y32</f>
        <v>2</v>
      </c>
      <c r="AR36" s="573">
        <f>INPUTS!Z32</f>
        <v>2</v>
      </c>
      <c r="AS36" s="573">
        <f>INPUTS!AA32</f>
        <v>2</v>
      </c>
      <c r="AT36" s="573">
        <f>INPUTS!AB32</f>
        <v>2</v>
      </c>
      <c r="AU36" s="573">
        <f>INPUTS!AC32</f>
        <v>2</v>
      </c>
      <c r="AV36" s="573">
        <f>INPUTS!AD32</f>
        <v>1</v>
      </c>
      <c r="AW36" s="573">
        <f>INPUTS!AE32</f>
        <v>2</v>
      </c>
      <c r="AX36" s="573">
        <f>INPUTS!AF32</f>
        <v>2</v>
      </c>
      <c r="AY36" s="573">
        <f>INPUTS!AG32</f>
        <v>2</v>
      </c>
      <c r="AZ36" s="573">
        <f>INPUTS!AH32</f>
        <v>2</v>
      </c>
      <c r="BA36" s="573">
        <f>INPUTS!AI32</f>
        <v>2</v>
      </c>
      <c r="BB36" s="573">
        <f>INPUTS!AJ32</f>
        <v>2</v>
      </c>
      <c r="BC36" s="573">
        <f>INPUTS!AK32</f>
        <v>2</v>
      </c>
      <c r="BD36" s="573">
        <f>INPUTS!AL32</f>
        <v>2</v>
      </c>
      <c r="BE36" s="573">
        <f>INPUTS!AM32</f>
        <v>2</v>
      </c>
      <c r="BF36" s="573">
        <f>INPUTS!AN32</f>
        <v>2</v>
      </c>
      <c r="BG36" s="573">
        <f>INPUTS!AO32</f>
        <v>0</v>
      </c>
      <c r="BH36" s="573">
        <f>INPUTS!AP32</f>
        <v>2</v>
      </c>
      <c r="BI36" s="573">
        <f>INPUTS!AQ32</f>
        <v>2</v>
      </c>
      <c r="BJ36" s="573">
        <f>INPUTS!AR32</f>
        <v>2</v>
      </c>
      <c r="BK36" s="573">
        <f>INPUTS!AS32</f>
        <v>2</v>
      </c>
      <c r="BL36" s="573">
        <f>INPUTS!AT32</f>
        <v>0</v>
      </c>
      <c r="BM36" s="573">
        <f>INPUTS!AU32</f>
        <v>0</v>
      </c>
      <c r="BN36" s="573">
        <f>INPUTS!AV32</f>
        <v>2</v>
      </c>
      <c r="BO36" s="573">
        <f>INPUTS!AW32</f>
        <v>2</v>
      </c>
      <c r="BP36" s="573">
        <f>INPUTS!AX32</f>
        <v>2</v>
      </c>
      <c r="BQ36" s="573">
        <f>INPUTS!AY32</f>
        <v>2</v>
      </c>
      <c r="BR36" s="573">
        <f>INPUTS!AZ32</f>
        <v>2</v>
      </c>
      <c r="BS36" s="573">
        <f>INPUTS!BA32</f>
        <v>2</v>
      </c>
    </row>
    <row r="37" spans="1:71" s="367" customFormat="1" ht="15" customHeight="1">
      <c r="A37" s="102"/>
      <c r="B37" s="271">
        <f>tblIndicators!A33</f>
        <v>32</v>
      </c>
      <c r="C37" s="271">
        <f>tblIndicators!AD33</f>
        <v>1</v>
      </c>
      <c r="D37" s="271">
        <f>tblIndicators!G33</f>
        <v>2</v>
      </c>
      <c r="E37" s="103" t="str">
        <f>tblIndicators!H33</f>
        <v>2_5</v>
      </c>
      <c r="F37" s="103"/>
      <c r="G37" s="271">
        <f>tblIndicators!AG33</f>
        <v>1</v>
      </c>
      <c r="H37" s="100" t="str">
        <f>REPT(" ",D37)&amp;tblIndicators!AL33</f>
        <v xml:space="preserve">  2.5) Education</v>
      </c>
      <c r="I37" s="101" t="str">
        <f>IF(G37=1,"",tblIndicators!Z33)</f>
        <v/>
      </c>
      <c r="K37" s="519" t="str">
        <f t="shared" si="3"/>
        <v/>
      </c>
      <c r="L37" s="519" t="str">
        <f t="shared" si="4"/>
        <v/>
      </c>
      <c r="M37" s="519" t="str">
        <f t="shared" si="5"/>
        <v/>
      </c>
      <c r="N37" s="519" t="str">
        <f t="shared" si="6"/>
        <v/>
      </c>
      <c r="O37" s="519" t="str">
        <f t="shared" si="7"/>
        <v/>
      </c>
      <c r="P37" s="519" t="str">
        <f t="shared" si="8"/>
        <v/>
      </c>
      <c r="Q37" s="519" t="str">
        <f t="shared" si="9"/>
        <v/>
      </c>
      <c r="R37" s="519" t="str">
        <f t="shared" si="10"/>
        <v/>
      </c>
      <c r="S37" s="519" t="str">
        <f t="shared" si="11"/>
        <v/>
      </c>
      <c r="T37" s="519" t="str">
        <f t="shared" si="12"/>
        <v/>
      </c>
      <c r="U37" s="519" t="str">
        <f t="shared" si="13"/>
        <v/>
      </c>
      <c r="V37" s="519" t="str">
        <f t="shared" si="14"/>
        <v/>
      </c>
      <c r="W37" s="519" t="str">
        <f t="shared" si="15"/>
        <v/>
      </c>
      <c r="X37" s="519" t="str">
        <f t="shared" si="16"/>
        <v/>
      </c>
      <c r="Y37" s="519" t="str">
        <f t="shared" si="17"/>
        <v/>
      </c>
      <c r="Z37" s="519" t="str">
        <f t="shared" si="18"/>
        <v/>
      </c>
      <c r="AA37" s="519" t="str">
        <f t="shared" si="19"/>
        <v/>
      </c>
      <c r="AB37" s="519" t="str">
        <f t="shared" si="20"/>
        <v/>
      </c>
      <c r="AC37" s="519" t="str">
        <f t="shared" si="21"/>
        <v/>
      </c>
      <c r="AD37" s="519" t="str">
        <f t="shared" si="22"/>
        <v/>
      </c>
      <c r="AE37" s="519" t="str">
        <f t="shared" si="23"/>
        <v/>
      </c>
      <c r="AF37" s="519" t="str">
        <f t="shared" si="24"/>
        <v/>
      </c>
      <c r="AG37" s="519" t="str">
        <f t="shared" si="25"/>
        <v/>
      </c>
      <c r="AH37" s="519" t="str">
        <f t="shared" si="26"/>
        <v/>
      </c>
      <c r="AI37" s="519" t="str">
        <f t="shared" si="27"/>
        <v/>
      </c>
      <c r="AJ37" s="519" t="str">
        <f t="shared" si="28"/>
        <v/>
      </c>
      <c r="AK37" s="519" t="str">
        <f t="shared" si="29"/>
        <v/>
      </c>
      <c r="AL37" s="519" t="str">
        <f t="shared" si="30"/>
        <v/>
      </c>
      <c r="AM37" s="519" t="str">
        <f t="shared" si="31"/>
        <v/>
      </c>
      <c r="AN37" s="519" t="str">
        <f t="shared" si="32"/>
        <v/>
      </c>
      <c r="AO37" s="364"/>
      <c r="AP37" s="573"/>
      <c r="AQ37" s="573"/>
      <c r="AR37" s="573"/>
      <c r="AS37" s="573"/>
      <c r="AT37" s="573"/>
      <c r="AU37" s="573"/>
      <c r="AV37" s="573"/>
      <c r="AW37" s="573"/>
      <c r="AX37" s="573"/>
      <c r="AY37" s="573"/>
      <c r="AZ37" s="573"/>
      <c r="BA37" s="573"/>
      <c r="BB37" s="573"/>
      <c r="BC37" s="573"/>
      <c r="BD37" s="573"/>
      <c r="BE37" s="573"/>
      <c r="BF37" s="573"/>
      <c r="BG37" s="573"/>
      <c r="BH37" s="573"/>
      <c r="BI37" s="573"/>
      <c r="BJ37" s="573"/>
      <c r="BK37" s="573"/>
      <c r="BL37" s="573"/>
      <c r="BM37" s="573"/>
      <c r="BN37" s="573"/>
      <c r="BO37" s="573"/>
      <c r="BP37" s="573"/>
      <c r="BQ37" s="573"/>
      <c r="BR37" s="573"/>
      <c r="BS37" s="573"/>
    </row>
    <row r="38" spans="1:71" s="367" customFormat="1" ht="15" customHeight="1">
      <c r="A38" s="102"/>
      <c r="B38" s="271">
        <f>tblIndicators!A34</f>
        <v>33</v>
      </c>
      <c r="C38" s="271">
        <f>tblIndicators!AD34</f>
        <v>0</v>
      </c>
      <c r="D38" s="271">
        <f>tblIndicators!G34</f>
        <v>3</v>
      </c>
      <c r="E38" s="103" t="str">
        <f>tblIndicators!H34</f>
        <v>2_5_1</v>
      </c>
      <c r="F38" s="103"/>
      <c r="G38" s="271">
        <f>tblIndicators!AG34</f>
        <v>3</v>
      </c>
      <c r="H38" s="100" t="str">
        <f>REPT(" ",D38)&amp;tblIndicators!AL34</f>
        <v xml:space="preserve">   2.5.1) Digital education</v>
      </c>
      <c r="I38" s="101" t="str">
        <f>IF(G38=1,"",tblIndicators!Z34)</f>
        <v>Scale (0-2)</v>
      </c>
      <c r="K38" s="519">
        <f t="shared" si="3"/>
        <v>2</v>
      </c>
      <c r="L38" s="519">
        <f t="shared" si="4"/>
        <v>1</v>
      </c>
      <c r="M38" s="519">
        <f t="shared" si="5"/>
        <v>1</v>
      </c>
      <c r="N38" s="519">
        <f t="shared" si="6"/>
        <v>2</v>
      </c>
      <c r="O38" s="519">
        <f t="shared" si="7"/>
        <v>1</v>
      </c>
      <c r="P38" s="519">
        <f t="shared" si="8"/>
        <v>2</v>
      </c>
      <c r="Q38" s="519">
        <f t="shared" si="9"/>
        <v>0</v>
      </c>
      <c r="R38" s="519">
        <f t="shared" si="10"/>
        <v>2</v>
      </c>
      <c r="S38" s="519">
        <f t="shared" si="11"/>
        <v>2</v>
      </c>
      <c r="T38" s="519">
        <f t="shared" si="12"/>
        <v>1</v>
      </c>
      <c r="U38" s="519">
        <f t="shared" si="13"/>
        <v>2</v>
      </c>
      <c r="V38" s="519">
        <f t="shared" si="14"/>
        <v>2</v>
      </c>
      <c r="W38" s="519">
        <f t="shared" si="15"/>
        <v>0</v>
      </c>
      <c r="X38" s="519">
        <f t="shared" si="16"/>
        <v>1</v>
      </c>
      <c r="Y38" s="519">
        <f t="shared" si="17"/>
        <v>2</v>
      </c>
      <c r="Z38" s="519">
        <f t="shared" si="18"/>
        <v>2</v>
      </c>
      <c r="AA38" s="519">
        <f t="shared" si="19"/>
        <v>1</v>
      </c>
      <c r="AB38" s="519">
        <f t="shared" si="20"/>
        <v>1</v>
      </c>
      <c r="AC38" s="519">
        <f t="shared" si="21"/>
        <v>1</v>
      </c>
      <c r="AD38" s="519">
        <f t="shared" si="22"/>
        <v>2</v>
      </c>
      <c r="AE38" s="519">
        <f t="shared" si="23"/>
        <v>1</v>
      </c>
      <c r="AF38" s="519">
        <f t="shared" si="24"/>
        <v>2</v>
      </c>
      <c r="AG38" s="519">
        <f t="shared" si="25"/>
        <v>1</v>
      </c>
      <c r="AH38" s="519">
        <f t="shared" si="26"/>
        <v>1</v>
      </c>
      <c r="AI38" s="519">
        <f t="shared" si="27"/>
        <v>2</v>
      </c>
      <c r="AJ38" s="519">
        <f t="shared" si="28"/>
        <v>2</v>
      </c>
      <c r="AK38" s="519">
        <f t="shared" si="29"/>
        <v>2</v>
      </c>
      <c r="AL38" s="519">
        <f t="shared" si="30"/>
        <v>2</v>
      </c>
      <c r="AM38" s="519">
        <f t="shared" si="31"/>
        <v>2</v>
      </c>
      <c r="AN38" s="519">
        <f t="shared" si="32"/>
        <v>1</v>
      </c>
      <c r="AO38" s="364"/>
      <c r="AP38" s="573">
        <f>INPUTS!X34</f>
        <v>2</v>
      </c>
      <c r="AQ38" s="573">
        <f>INPUTS!Y34</f>
        <v>1</v>
      </c>
      <c r="AR38" s="573">
        <f>INPUTS!Z34</f>
        <v>1</v>
      </c>
      <c r="AS38" s="573">
        <f>INPUTS!AA34</f>
        <v>2</v>
      </c>
      <c r="AT38" s="573">
        <f>INPUTS!AB34</f>
        <v>1</v>
      </c>
      <c r="AU38" s="573">
        <f>INPUTS!AC34</f>
        <v>2</v>
      </c>
      <c r="AV38" s="573">
        <f>INPUTS!AD34</f>
        <v>0</v>
      </c>
      <c r="AW38" s="573">
        <f>INPUTS!AE34</f>
        <v>2</v>
      </c>
      <c r="AX38" s="573">
        <f>INPUTS!AF34</f>
        <v>2</v>
      </c>
      <c r="AY38" s="573">
        <f>INPUTS!AG34</f>
        <v>1</v>
      </c>
      <c r="AZ38" s="573">
        <f>INPUTS!AH34</f>
        <v>2</v>
      </c>
      <c r="BA38" s="573">
        <f>INPUTS!AI34</f>
        <v>2</v>
      </c>
      <c r="BB38" s="573">
        <f>INPUTS!AJ34</f>
        <v>0</v>
      </c>
      <c r="BC38" s="573">
        <f>INPUTS!AK34</f>
        <v>1</v>
      </c>
      <c r="BD38" s="573">
        <f>INPUTS!AL34</f>
        <v>2</v>
      </c>
      <c r="BE38" s="573">
        <f>INPUTS!AM34</f>
        <v>2</v>
      </c>
      <c r="BF38" s="573">
        <f>INPUTS!AN34</f>
        <v>1</v>
      </c>
      <c r="BG38" s="573">
        <f>INPUTS!AO34</f>
        <v>1</v>
      </c>
      <c r="BH38" s="573">
        <f>INPUTS!AP34</f>
        <v>1</v>
      </c>
      <c r="BI38" s="573">
        <f>INPUTS!AQ34</f>
        <v>2</v>
      </c>
      <c r="BJ38" s="573">
        <f>INPUTS!AR34</f>
        <v>1</v>
      </c>
      <c r="BK38" s="573">
        <f>INPUTS!AS34</f>
        <v>2</v>
      </c>
      <c r="BL38" s="573">
        <f>INPUTS!AT34</f>
        <v>1</v>
      </c>
      <c r="BM38" s="573">
        <f>INPUTS!AU34</f>
        <v>1</v>
      </c>
      <c r="BN38" s="573">
        <f>INPUTS!AV34</f>
        <v>2</v>
      </c>
      <c r="BO38" s="573">
        <f>INPUTS!AW34</f>
        <v>2</v>
      </c>
      <c r="BP38" s="573">
        <f>INPUTS!AX34</f>
        <v>2</v>
      </c>
      <c r="BQ38" s="573">
        <f>INPUTS!AY34</f>
        <v>2</v>
      </c>
      <c r="BR38" s="573">
        <f>INPUTS!AZ34</f>
        <v>2</v>
      </c>
      <c r="BS38" s="573">
        <f>INPUTS!BA34</f>
        <v>1</v>
      </c>
    </row>
    <row r="39" spans="1:71" s="367" customFormat="1" ht="15" customHeight="1">
      <c r="A39" s="102"/>
      <c r="B39" s="271">
        <f>tblIndicators!A35</f>
        <v>34</v>
      </c>
      <c r="C39" s="271">
        <f>tblIndicators!AD35</f>
        <v>1</v>
      </c>
      <c r="D39" s="271">
        <f>tblIndicators!G35</f>
        <v>2</v>
      </c>
      <c r="E39" s="103" t="str">
        <f>tblIndicators!H35</f>
        <v>2_6</v>
      </c>
      <c r="F39" s="103"/>
      <c r="G39" s="271">
        <f>tblIndicators!AG35</f>
        <v>1</v>
      </c>
      <c r="H39" s="100" t="str">
        <f>REPT(" ",D39)&amp;tblIndicators!AL35</f>
        <v xml:space="preserve">  2.6) Retail and hospitality</v>
      </c>
      <c r="I39" s="101" t="str">
        <f>IF(G39=1,"",tblIndicators!Z35)</f>
        <v/>
      </c>
      <c r="K39" s="519" t="str">
        <f t="shared" ref="K39:K72" si="63">IF($G39=1,"",IF(AP39="-","",IF(ISNUMBER(AP39),ROUND(AP39,$C39),"")))</f>
        <v/>
      </c>
      <c r="L39" s="519" t="str">
        <f t="shared" ref="L39:L72" si="64">IF($G39=1,"",IF(AQ39="-","",IF(ISNUMBER(AQ39),ROUND(AQ39,$C39),"")))</f>
        <v/>
      </c>
      <c r="M39" s="519" t="str">
        <f t="shared" ref="M39:M72" si="65">IF($G39=1,"",IF(AR39="-","",IF(ISNUMBER(AR39),ROUND(AR39,$C39),"")))</f>
        <v/>
      </c>
      <c r="N39" s="519" t="str">
        <f t="shared" ref="N39:N72" si="66">IF($G39=1,"",IF(AS39="-","",IF(ISNUMBER(AS39),ROUND(AS39,$C39),"")))</f>
        <v/>
      </c>
      <c r="O39" s="519" t="str">
        <f t="shared" ref="O39:O72" si="67">IF($G39=1,"",IF(AT39="-","",IF(ISNUMBER(AT39),ROUND(AT39,$C39),"")))</f>
        <v/>
      </c>
      <c r="P39" s="519" t="str">
        <f t="shared" ref="P39:P72" si="68">IF($G39=1,"",IF(AU39="-","",IF(ISNUMBER(AU39),ROUND(AU39,$C39),"")))</f>
        <v/>
      </c>
      <c r="Q39" s="519" t="str">
        <f t="shared" ref="Q39:Q72" si="69">IF($G39=1,"",IF(AV39="-","",IF(ISNUMBER(AV39),ROUND(AV39,$C39),"")))</f>
        <v/>
      </c>
      <c r="R39" s="519" t="str">
        <f t="shared" ref="R39:R72" si="70">IF($G39=1,"",IF(AW39="-","",IF(ISNUMBER(AW39),ROUND(AW39,$C39),"")))</f>
        <v/>
      </c>
      <c r="S39" s="519" t="str">
        <f t="shared" ref="S39:S72" si="71">IF($G39=1,"",IF(AX39="-","",IF(ISNUMBER(AX39),ROUND(AX39,$C39),"")))</f>
        <v/>
      </c>
      <c r="T39" s="519" t="str">
        <f t="shared" ref="T39:T72" si="72">IF($G39=1,"",IF(AY39="-","",IF(ISNUMBER(AY39),ROUND(AY39,$C39),"")))</f>
        <v/>
      </c>
      <c r="U39" s="519" t="str">
        <f t="shared" ref="U39:U72" si="73">IF($G39=1,"",IF(AZ39="-","",IF(ISNUMBER(AZ39),ROUND(AZ39,$C39),"")))</f>
        <v/>
      </c>
      <c r="V39" s="519" t="str">
        <f t="shared" ref="V39:V72" si="74">IF($G39=1,"",IF(BA39="-","",IF(ISNUMBER(BA39),ROUND(BA39,$C39),"")))</f>
        <v/>
      </c>
      <c r="W39" s="519" t="str">
        <f t="shared" ref="W39:W72" si="75">IF($G39=1,"",IF(BB39="-","",IF(ISNUMBER(BB39),ROUND(BB39,$C39),"")))</f>
        <v/>
      </c>
      <c r="X39" s="519" t="str">
        <f t="shared" ref="X39:X72" si="76">IF($G39=1,"",IF(BC39="-","",IF(ISNUMBER(BC39),ROUND(BC39,$C39),"")))</f>
        <v/>
      </c>
      <c r="Y39" s="519" t="str">
        <f t="shared" ref="Y39:Y72" si="77">IF($G39=1,"",IF(BD39="-","",IF(ISNUMBER(BD39),ROUND(BD39,$C39),"")))</f>
        <v/>
      </c>
      <c r="Z39" s="519" t="str">
        <f t="shared" ref="Z39:Z72" si="78">IF($G39=1,"",IF(BE39="-","",IF(ISNUMBER(BE39),ROUND(BE39,$C39),"")))</f>
        <v/>
      </c>
      <c r="AA39" s="519" t="str">
        <f t="shared" ref="AA39:AA72" si="79">IF($G39=1,"",IF(BF39="-","",IF(ISNUMBER(BF39),ROUND(BF39,$C39),"")))</f>
        <v/>
      </c>
      <c r="AB39" s="519" t="str">
        <f t="shared" ref="AB39:AB72" si="80">IF($G39=1,"",IF(BG39="-","",IF(ISNUMBER(BG39),ROUND(BG39,$C39),"")))</f>
        <v/>
      </c>
      <c r="AC39" s="519" t="str">
        <f t="shared" ref="AC39:AC72" si="81">IF($G39=1,"",IF(BH39="-","",IF(ISNUMBER(BH39),ROUND(BH39,$C39),"")))</f>
        <v/>
      </c>
      <c r="AD39" s="519" t="str">
        <f t="shared" ref="AD39:AD72" si="82">IF($G39=1,"",IF(BI39="-","",IF(ISNUMBER(BI39),ROUND(BI39,$C39),"")))</f>
        <v/>
      </c>
      <c r="AE39" s="519" t="str">
        <f t="shared" ref="AE39:AE72" si="83">IF($G39=1,"",IF(BJ39="-","",IF(ISNUMBER(BJ39),ROUND(BJ39,$C39),"")))</f>
        <v/>
      </c>
      <c r="AF39" s="519" t="str">
        <f t="shared" ref="AF39:AF72" si="84">IF($G39=1,"",IF(BK39="-","",IF(ISNUMBER(BK39),ROUND(BK39,$C39),"")))</f>
        <v/>
      </c>
      <c r="AG39" s="519" t="str">
        <f t="shared" ref="AG39:AG72" si="85">IF($G39=1,"",IF(BL39="-","",IF(ISNUMBER(BL39),ROUND(BL39,$C39),"")))</f>
        <v/>
      </c>
      <c r="AH39" s="519" t="str">
        <f t="shared" ref="AH39:AH72" si="86">IF($G39=1,"",IF(BM39="-","",IF(ISNUMBER(BM39),ROUND(BM39,$C39),"")))</f>
        <v/>
      </c>
      <c r="AI39" s="519" t="str">
        <f t="shared" ref="AI39:AI72" si="87">IF($G39=1,"",IF(BN39="-","",IF(ISNUMBER(BN39),ROUND(BN39,$C39),"")))</f>
        <v/>
      </c>
      <c r="AJ39" s="519" t="str">
        <f t="shared" ref="AJ39:AJ72" si="88">IF($G39=1,"",IF(BO39="-","",IF(ISNUMBER(BO39),ROUND(BO39,$C39),"")))</f>
        <v/>
      </c>
      <c r="AK39" s="519" t="str">
        <f t="shared" ref="AK39:AK72" si="89">IF($G39=1,"",IF(BP39="-","",IF(ISNUMBER(BP39),ROUND(BP39,$C39),"")))</f>
        <v/>
      </c>
      <c r="AL39" s="519" t="str">
        <f t="shared" ref="AL39:AL72" si="90">IF($G39=1,"",IF(BQ39="-","",IF(ISNUMBER(BQ39),ROUND(BQ39,$C39),"")))</f>
        <v/>
      </c>
      <c r="AM39" s="519" t="str">
        <f t="shared" ref="AM39:AM72" si="91">IF($G39=1,"",IF(BR39="-","",IF(ISNUMBER(BR39),ROUND(BR39,$C39),"")))</f>
        <v/>
      </c>
      <c r="AN39" s="519" t="str">
        <f t="shared" ref="AN39:AN72" si="92">IF($G39=1,"",IF(BS39="-","",IF(ISNUMBER(BS39),ROUND(BS39,$C39),"")))</f>
        <v/>
      </c>
      <c r="AO39" s="364"/>
      <c r="AP39" s="573"/>
      <c r="AQ39" s="573"/>
      <c r="AR39" s="573"/>
      <c r="AS39" s="573"/>
      <c r="AT39" s="573"/>
      <c r="AU39" s="573"/>
      <c r="AV39" s="573"/>
      <c r="AW39" s="573"/>
      <c r="AX39" s="573"/>
      <c r="AY39" s="573"/>
      <c r="AZ39" s="573"/>
      <c r="BA39" s="573"/>
      <c r="BB39" s="573"/>
      <c r="BC39" s="573"/>
      <c r="BD39" s="573"/>
      <c r="BE39" s="573"/>
      <c r="BF39" s="573"/>
      <c r="BG39" s="573"/>
      <c r="BH39" s="573"/>
      <c r="BI39" s="573"/>
      <c r="BJ39" s="573"/>
      <c r="BK39" s="573"/>
      <c r="BL39" s="573"/>
      <c r="BM39" s="573"/>
      <c r="BN39" s="573"/>
      <c r="BO39" s="573"/>
      <c r="BP39" s="573"/>
      <c r="BQ39" s="573"/>
      <c r="BR39" s="573"/>
      <c r="BS39" s="573"/>
    </row>
    <row r="40" spans="1:71" s="367" customFormat="1" ht="15" customHeight="1">
      <c r="A40" s="102"/>
      <c r="B40" s="271">
        <f>tblIndicators!A36</f>
        <v>35</v>
      </c>
      <c r="C40" s="271">
        <f>tblIndicators!AD36</f>
        <v>1</v>
      </c>
      <c r="D40" s="271">
        <f>tblIndicators!G36</f>
        <v>3</v>
      </c>
      <c r="E40" s="103" t="str">
        <f>tblIndicators!H36</f>
        <v>2_6_1</v>
      </c>
      <c r="F40" s="103"/>
      <c r="G40" s="271">
        <f>tblIndicators!AG36</f>
        <v>2</v>
      </c>
      <c r="H40" s="100" t="str">
        <f>REPT(" ",D40)&amp;tblIndicators!AL36</f>
        <v xml:space="preserve">   2.6.1) E-commerce penetration</v>
      </c>
      <c r="I40" s="101" t="str">
        <f>IF(G40=1,"",tblIndicators!Z36)</f>
        <v>%</v>
      </c>
      <c r="K40" s="519">
        <f t="shared" si="63"/>
        <v>13.3</v>
      </c>
      <c r="L40" s="519">
        <f t="shared" si="64"/>
        <v>7.6</v>
      </c>
      <c r="M40" s="519">
        <f t="shared" si="65"/>
        <v>11.4</v>
      </c>
      <c r="N40" s="519">
        <f t="shared" si="66"/>
        <v>10.1</v>
      </c>
      <c r="O40" s="519">
        <f t="shared" si="67"/>
        <v>9.3000000000000007</v>
      </c>
      <c r="P40" s="519">
        <f t="shared" si="68"/>
        <v>10.199999999999999</v>
      </c>
      <c r="Q40" s="519">
        <f t="shared" si="69"/>
        <v>8.6</v>
      </c>
      <c r="R40" s="519">
        <f t="shared" si="70"/>
        <v>17.7</v>
      </c>
      <c r="S40" s="519">
        <f t="shared" si="71"/>
        <v>10.3</v>
      </c>
      <c r="T40" s="519">
        <f t="shared" si="72"/>
        <v>5.9</v>
      </c>
      <c r="U40" s="519">
        <f t="shared" si="73"/>
        <v>10.199999999999999</v>
      </c>
      <c r="V40" s="519">
        <f t="shared" si="74"/>
        <v>9.5</v>
      </c>
      <c r="W40" s="519">
        <f t="shared" si="75"/>
        <v>6.6</v>
      </c>
      <c r="X40" s="519">
        <f t="shared" si="76"/>
        <v>4.3</v>
      </c>
      <c r="Y40" s="519">
        <f t="shared" si="77"/>
        <v>17</v>
      </c>
      <c r="Z40" s="519">
        <f t="shared" si="78"/>
        <v>10.1</v>
      </c>
      <c r="AA40" s="519">
        <f t="shared" si="79"/>
        <v>2.4</v>
      </c>
      <c r="AB40" s="519">
        <f t="shared" si="80"/>
        <v>5.2</v>
      </c>
      <c r="AC40" s="519">
        <f t="shared" si="81"/>
        <v>6.6</v>
      </c>
      <c r="AD40" s="519">
        <f t="shared" si="82"/>
        <v>10.3</v>
      </c>
      <c r="AE40" s="519">
        <f t="shared" si="83"/>
        <v>11.8</v>
      </c>
      <c r="AF40" s="519">
        <f t="shared" si="84"/>
        <v>5.6</v>
      </c>
      <c r="AG40" s="519">
        <f t="shared" si="85"/>
        <v>4.3</v>
      </c>
      <c r="AH40" s="519">
        <f t="shared" si="86"/>
        <v>7.4</v>
      </c>
      <c r="AI40" s="519">
        <f t="shared" si="87"/>
        <v>5.2</v>
      </c>
      <c r="AJ40" s="519">
        <f t="shared" si="88"/>
        <v>5.5</v>
      </c>
      <c r="AK40" s="519">
        <f t="shared" si="89"/>
        <v>9</v>
      </c>
      <c r="AL40" s="519">
        <f t="shared" si="90"/>
        <v>8.9</v>
      </c>
      <c r="AM40" s="519">
        <f t="shared" si="91"/>
        <v>10.3</v>
      </c>
      <c r="AN40" s="519">
        <f t="shared" si="92"/>
        <v>10.1</v>
      </c>
      <c r="AO40" s="364"/>
      <c r="AP40" s="573">
        <f>INPUTS!X36</f>
        <v>13.270000000000001</v>
      </c>
      <c r="AQ40" s="573">
        <f>INPUTS!Y36</f>
        <v>7.64</v>
      </c>
      <c r="AR40" s="573">
        <f>INPUTS!Z36</f>
        <v>11.4</v>
      </c>
      <c r="AS40" s="573">
        <f>INPUTS!AA36</f>
        <v>10.11</v>
      </c>
      <c r="AT40" s="573">
        <f>INPUTS!AB36</f>
        <v>9.2799999999999994</v>
      </c>
      <c r="AU40" s="573">
        <f>INPUTS!AC36</f>
        <v>10.18</v>
      </c>
      <c r="AV40" s="573">
        <f>INPUTS!AD36</f>
        <v>8.57</v>
      </c>
      <c r="AW40" s="573">
        <f>INPUTS!AE36</f>
        <v>17.66</v>
      </c>
      <c r="AX40" s="573">
        <f>INPUTS!AF36</f>
        <v>10.27</v>
      </c>
      <c r="AY40" s="573">
        <f>INPUTS!AG36</f>
        <v>5.94</v>
      </c>
      <c r="AZ40" s="573">
        <f>INPUTS!AH36</f>
        <v>10.18</v>
      </c>
      <c r="BA40" s="573">
        <f>INPUTS!AI36</f>
        <v>9.48</v>
      </c>
      <c r="BB40" s="573">
        <f>INPUTS!AJ36</f>
        <v>6.5699999999999994</v>
      </c>
      <c r="BC40" s="573">
        <f>INPUTS!AK36</f>
        <v>4.2700000000000005</v>
      </c>
      <c r="BD40" s="573">
        <f>INPUTS!AL36</f>
        <v>16.950000000000003</v>
      </c>
      <c r="BE40" s="573">
        <f>INPUTS!AM36</f>
        <v>10.11</v>
      </c>
      <c r="BF40" s="573">
        <f>INPUTS!AN36</f>
        <v>2.4</v>
      </c>
      <c r="BG40" s="573">
        <f>INPUTS!AO36</f>
        <v>5.24</v>
      </c>
      <c r="BH40" s="573">
        <f>INPUTS!AP36</f>
        <v>6.64</v>
      </c>
      <c r="BI40" s="573">
        <f>INPUTS!AQ36</f>
        <v>10.27</v>
      </c>
      <c r="BJ40" s="573">
        <f>INPUTS!AR36</f>
        <v>11.84</v>
      </c>
      <c r="BK40" s="573">
        <f>INPUTS!AS36</f>
        <v>5.59</v>
      </c>
      <c r="BL40" s="573">
        <f>INPUTS!AT36</f>
        <v>4.25</v>
      </c>
      <c r="BM40" s="573">
        <f>INPUTS!AU36</f>
        <v>7.35</v>
      </c>
      <c r="BN40" s="573">
        <f>INPUTS!AV36</f>
        <v>5.19</v>
      </c>
      <c r="BO40" s="573">
        <f>INPUTS!AW36</f>
        <v>5.5</v>
      </c>
      <c r="BP40" s="573">
        <f>INPUTS!AX36</f>
        <v>8.99</v>
      </c>
      <c r="BQ40" s="573">
        <f>INPUTS!AY36</f>
        <v>8.85</v>
      </c>
      <c r="BR40" s="573">
        <f>INPUTS!AZ36</f>
        <v>10.27</v>
      </c>
      <c r="BS40" s="573">
        <f>INPUTS!BA36</f>
        <v>10.050000000000001</v>
      </c>
    </row>
    <row r="41" spans="1:71" s="367" customFormat="1" ht="15" customHeight="1">
      <c r="A41" s="102"/>
      <c r="B41" s="271">
        <f>tblIndicators!A37</f>
        <v>36</v>
      </c>
      <c r="C41" s="271">
        <f>tblIndicators!AD37</f>
        <v>0</v>
      </c>
      <c r="D41" s="271">
        <f>tblIndicators!G37</f>
        <v>3</v>
      </c>
      <c r="E41" s="103" t="str">
        <f>tblIndicators!H37</f>
        <v>2_6_2</v>
      </c>
      <c r="F41" s="103"/>
      <c r="G41" s="271">
        <f>tblIndicators!AG37</f>
        <v>3</v>
      </c>
      <c r="H41" s="100" t="str">
        <f>REPT(" ",D41)&amp;tblIndicators!AL37</f>
        <v xml:space="preserve">   2.6.2) Digital tourist passes</v>
      </c>
      <c r="I41" s="101" t="str">
        <f>IF(G41=1,"",tblIndicators!Z37)</f>
        <v>Scale (0-1)</v>
      </c>
      <c r="K41" s="519">
        <f t="shared" si="63"/>
        <v>0</v>
      </c>
      <c r="L41" s="519">
        <f t="shared" si="64"/>
        <v>0</v>
      </c>
      <c r="M41" s="519">
        <f t="shared" si="65"/>
        <v>1</v>
      </c>
      <c r="N41" s="519">
        <f t="shared" si="66"/>
        <v>0</v>
      </c>
      <c r="O41" s="519">
        <f t="shared" si="67"/>
        <v>0</v>
      </c>
      <c r="P41" s="519">
        <f t="shared" si="68"/>
        <v>1</v>
      </c>
      <c r="Q41" s="519">
        <f t="shared" si="69"/>
        <v>0</v>
      </c>
      <c r="R41" s="519">
        <f t="shared" si="70"/>
        <v>1</v>
      </c>
      <c r="S41" s="519">
        <f t="shared" si="71"/>
        <v>0</v>
      </c>
      <c r="T41" s="519">
        <f t="shared" si="72"/>
        <v>1</v>
      </c>
      <c r="U41" s="519">
        <f t="shared" si="73"/>
        <v>0</v>
      </c>
      <c r="V41" s="519">
        <f t="shared" si="74"/>
        <v>0</v>
      </c>
      <c r="W41" s="519">
        <f t="shared" si="75"/>
        <v>0</v>
      </c>
      <c r="X41" s="519">
        <f t="shared" si="76"/>
        <v>0</v>
      </c>
      <c r="Y41" s="519">
        <f t="shared" si="77"/>
        <v>0</v>
      </c>
      <c r="Z41" s="519">
        <f t="shared" si="78"/>
        <v>0</v>
      </c>
      <c r="AA41" s="519">
        <f t="shared" si="79"/>
        <v>0</v>
      </c>
      <c r="AB41" s="519">
        <f t="shared" si="80"/>
        <v>0</v>
      </c>
      <c r="AC41" s="519">
        <f t="shared" si="81"/>
        <v>0</v>
      </c>
      <c r="AD41" s="519">
        <f t="shared" si="82"/>
        <v>0</v>
      </c>
      <c r="AE41" s="519">
        <f t="shared" si="83"/>
        <v>1</v>
      </c>
      <c r="AF41" s="519">
        <f t="shared" si="84"/>
        <v>0</v>
      </c>
      <c r="AG41" s="519">
        <f t="shared" si="85"/>
        <v>0</v>
      </c>
      <c r="AH41" s="519">
        <f t="shared" si="86"/>
        <v>1</v>
      </c>
      <c r="AI41" s="519">
        <f t="shared" si="87"/>
        <v>0</v>
      </c>
      <c r="AJ41" s="519">
        <f t="shared" si="88"/>
        <v>0</v>
      </c>
      <c r="AK41" s="519">
        <f t="shared" si="89"/>
        <v>0</v>
      </c>
      <c r="AL41" s="519">
        <f t="shared" si="90"/>
        <v>0</v>
      </c>
      <c r="AM41" s="519">
        <f t="shared" si="91"/>
        <v>0</v>
      </c>
      <c r="AN41" s="519">
        <f t="shared" si="92"/>
        <v>1</v>
      </c>
      <c r="AO41" s="364"/>
      <c r="AP41" s="573">
        <f>INPUTS!X37</f>
        <v>0</v>
      </c>
      <c r="AQ41" s="573">
        <f>INPUTS!Y37</f>
        <v>0</v>
      </c>
      <c r="AR41" s="573">
        <f>INPUTS!Z37</f>
        <v>1</v>
      </c>
      <c r="AS41" s="573">
        <f>INPUTS!AA37</f>
        <v>0</v>
      </c>
      <c r="AT41" s="573">
        <f>INPUTS!AB37</f>
        <v>0</v>
      </c>
      <c r="AU41" s="573">
        <f>INPUTS!AC37</f>
        <v>1</v>
      </c>
      <c r="AV41" s="573">
        <f>INPUTS!AD37</f>
        <v>0</v>
      </c>
      <c r="AW41" s="573">
        <f>INPUTS!AE37</f>
        <v>1</v>
      </c>
      <c r="AX41" s="573">
        <f>INPUTS!AF37</f>
        <v>0</v>
      </c>
      <c r="AY41" s="573">
        <f>INPUTS!AG37</f>
        <v>1</v>
      </c>
      <c r="AZ41" s="573">
        <f>INPUTS!AH37</f>
        <v>0</v>
      </c>
      <c r="BA41" s="573">
        <f>INPUTS!AI37</f>
        <v>0</v>
      </c>
      <c r="BB41" s="573">
        <f>INPUTS!AJ37</f>
        <v>0</v>
      </c>
      <c r="BC41" s="573">
        <f>INPUTS!AK37</f>
        <v>0</v>
      </c>
      <c r="BD41" s="573">
        <f>INPUTS!AL37</f>
        <v>0</v>
      </c>
      <c r="BE41" s="573">
        <f>INPUTS!AM37</f>
        <v>0</v>
      </c>
      <c r="BF41" s="573">
        <f>INPUTS!AN37</f>
        <v>0</v>
      </c>
      <c r="BG41" s="573">
        <f>INPUTS!AO37</f>
        <v>0</v>
      </c>
      <c r="BH41" s="573">
        <f>INPUTS!AP37</f>
        <v>0</v>
      </c>
      <c r="BI41" s="573">
        <f>INPUTS!AQ37</f>
        <v>0</v>
      </c>
      <c r="BJ41" s="573">
        <f>INPUTS!AR37</f>
        <v>1</v>
      </c>
      <c r="BK41" s="573">
        <f>INPUTS!AS37</f>
        <v>0</v>
      </c>
      <c r="BL41" s="573">
        <f>INPUTS!AT37</f>
        <v>0</v>
      </c>
      <c r="BM41" s="573">
        <f>INPUTS!AU37</f>
        <v>1</v>
      </c>
      <c r="BN41" s="573">
        <f>INPUTS!AV37</f>
        <v>0</v>
      </c>
      <c r="BO41" s="573">
        <f>INPUTS!AW37</f>
        <v>0</v>
      </c>
      <c r="BP41" s="573">
        <f>INPUTS!AX37</f>
        <v>0</v>
      </c>
      <c r="BQ41" s="573">
        <f>INPUTS!AY37</f>
        <v>0</v>
      </c>
      <c r="BR41" s="573">
        <f>INPUTS!AZ37</f>
        <v>0</v>
      </c>
      <c r="BS41" s="573">
        <f>INPUTS!BA37</f>
        <v>1</v>
      </c>
    </row>
    <row r="42" spans="1:71" s="367" customFormat="1" ht="15" customHeight="1">
      <c r="A42" s="102"/>
      <c r="B42" s="271">
        <f>tblIndicators!A38</f>
        <v>37</v>
      </c>
      <c r="C42" s="271">
        <f>tblIndicators!AD38</f>
        <v>1</v>
      </c>
      <c r="D42" s="271">
        <f>tblIndicators!G38</f>
        <v>1</v>
      </c>
      <c r="E42" s="103">
        <f>tblIndicators!H38</f>
        <v>3</v>
      </c>
      <c r="F42" s="103"/>
      <c r="G42" s="271">
        <f>tblIndicators!AG38</f>
        <v>1</v>
      </c>
      <c r="H42" s="100" t="str">
        <f>REPT(" ",D42)&amp;tblIndicators!AL38</f>
        <v xml:space="preserve"> 3) CULTURE</v>
      </c>
      <c r="I42" s="101" t="str">
        <f>IF(G42=1,"",tblIndicators!Z38)</f>
        <v/>
      </c>
      <c r="K42" s="519" t="str">
        <f t="shared" si="63"/>
        <v/>
      </c>
      <c r="L42" s="519" t="str">
        <f t="shared" si="64"/>
        <v/>
      </c>
      <c r="M42" s="519" t="str">
        <f t="shared" si="65"/>
        <v/>
      </c>
      <c r="N42" s="519" t="str">
        <f t="shared" si="66"/>
        <v/>
      </c>
      <c r="O42" s="519" t="str">
        <f t="shared" si="67"/>
        <v/>
      </c>
      <c r="P42" s="519" t="str">
        <f t="shared" si="68"/>
        <v/>
      </c>
      <c r="Q42" s="519" t="str">
        <f t="shared" si="69"/>
        <v/>
      </c>
      <c r="R42" s="519" t="str">
        <f t="shared" si="70"/>
        <v/>
      </c>
      <c r="S42" s="519" t="str">
        <f t="shared" si="71"/>
        <v/>
      </c>
      <c r="T42" s="519" t="str">
        <f t="shared" si="72"/>
        <v/>
      </c>
      <c r="U42" s="519" t="str">
        <f t="shared" si="73"/>
        <v/>
      </c>
      <c r="V42" s="519" t="str">
        <f t="shared" si="74"/>
        <v/>
      </c>
      <c r="W42" s="519" t="str">
        <f t="shared" si="75"/>
        <v/>
      </c>
      <c r="X42" s="519" t="str">
        <f t="shared" si="76"/>
        <v/>
      </c>
      <c r="Y42" s="519" t="str">
        <f t="shared" si="77"/>
        <v/>
      </c>
      <c r="Z42" s="519" t="str">
        <f t="shared" si="78"/>
        <v/>
      </c>
      <c r="AA42" s="519" t="str">
        <f t="shared" si="79"/>
        <v/>
      </c>
      <c r="AB42" s="519" t="str">
        <f t="shared" si="80"/>
        <v/>
      </c>
      <c r="AC42" s="519" t="str">
        <f t="shared" si="81"/>
        <v/>
      </c>
      <c r="AD42" s="519" t="str">
        <f t="shared" si="82"/>
        <v/>
      </c>
      <c r="AE42" s="519" t="str">
        <f t="shared" si="83"/>
        <v/>
      </c>
      <c r="AF42" s="519" t="str">
        <f t="shared" si="84"/>
        <v/>
      </c>
      <c r="AG42" s="519" t="str">
        <f t="shared" si="85"/>
        <v/>
      </c>
      <c r="AH42" s="519" t="str">
        <f t="shared" si="86"/>
        <v/>
      </c>
      <c r="AI42" s="519" t="str">
        <f t="shared" si="87"/>
        <v/>
      </c>
      <c r="AJ42" s="519" t="str">
        <f t="shared" si="88"/>
        <v/>
      </c>
      <c r="AK42" s="519" t="str">
        <f t="shared" si="89"/>
        <v/>
      </c>
      <c r="AL42" s="519" t="str">
        <f t="shared" si="90"/>
        <v/>
      </c>
      <c r="AM42" s="519" t="str">
        <f t="shared" si="91"/>
        <v/>
      </c>
      <c r="AN42" s="519" t="str">
        <f t="shared" si="92"/>
        <v/>
      </c>
      <c r="AO42" s="364"/>
      <c r="AP42" s="573"/>
      <c r="AQ42" s="573"/>
      <c r="AR42" s="573"/>
      <c r="AS42" s="573"/>
      <c r="AT42" s="573"/>
      <c r="AU42" s="573"/>
      <c r="AV42" s="573"/>
      <c r="AW42" s="573"/>
      <c r="AX42" s="573"/>
      <c r="AY42" s="573"/>
      <c r="AZ42" s="573"/>
      <c r="BA42" s="573"/>
      <c r="BB42" s="573"/>
      <c r="BC42" s="573"/>
      <c r="BD42" s="573"/>
      <c r="BE42" s="573"/>
      <c r="BF42" s="573"/>
      <c r="BG42" s="573"/>
      <c r="BH42" s="573"/>
      <c r="BI42" s="573"/>
      <c r="BJ42" s="573"/>
      <c r="BK42" s="573"/>
      <c r="BL42" s="573"/>
      <c r="BM42" s="573"/>
      <c r="BN42" s="573"/>
      <c r="BO42" s="573"/>
      <c r="BP42" s="573"/>
      <c r="BQ42" s="573"/>
      <c r="BR42" s="573"/>
      <c r="BS42" s="573"/>
    </row>
    <row r="43" spans="1:71" s="367" customFormat="1" ht="15" customHeight="1">
      <c r="A43" s="102"/>
      <c r="B43" s="271">
        <f>tblIndicators!A39</f>
        <v>38</v>
      </c>
      <c r="C43" s="271">
        <f>tblIndicators!AD39</f>
        <v>1</v>
      </c>
      <c r="D43" s="271">
        <f>tblIndicators!G39</f>
        <v>2</v>
      </c>
      <c r="E43" s="103" t="str">
        <f>tblIndicators!H39</f>
        <v>3_1</v>
      </c>
      <c r="F43" s="103"/>
      <c r="G43" s="271">
        <f>tblIndicators!AG39</f>
        <v>1</v>
      </c>
      <c r="H43" s="100" t="str">
        <f>REPT(" ",D43)&amp;tblIndicators!AL39</f>
        <v xml:space="preserve">  3.1) Digital inclusion</v>
      </c>
      <c r="I43" s="101" t="str">
        <f>IF(G43=1,"",tblIndicators!Z39)</f>
        <v/>
      </c>
      <c r="K43" s="519" t="str">
        <f t="shared" si="63"/>
        <v/>
      </c>
      <c r="L43" s="519" t="str">
        <f t="shared" si="64"/>
        <v/>
      </c>
      <c r="M43" s="519" t="str">
        <f t="shared" si="65"/>
        <v/>
      </c>
      <c r="N43" s="519" t="str">
        <f t="shared" si="66"/>
        <v/>
      </c>
      <c r="O43" s="519" t="str">
        <f t="shared" si="67"/>
        <v/>
      </c>
      <c r="P43" s="519" t="str">
        <f t="shared" si="68"/>
        <v/>
      </c>
      <c r="Q43" s="519" t="str">
        <f t="shared" si="69"/>
        <v/>
      </c>
      <c r="R43" s="519" t="str">
        <f t="shared" si="70"/>
        <v/>
      </c>
      <c r="S43" s="519" t="str">
        <f t="shared" si="71"/>
        <v/>
      </c>
      <c r="T43" s="519" t="str">
        <f t="shared" si="72"/>
        <v/>
      </c>
      <c r="U43" s="519" t="str">
        <f t="shared" si="73"/>
        <v/>
      </c>
      <c r="V43" s="519" t="str">
        <f t="shared" si="74"/>
        <v/>
      </c>
      <c r="W43" s="519" t="str">
        <f t="shared" si="75"/>
        <v/>
      </c>
      <c r="X43" s="519" t="str">
        <f t="shared" si="76"/>
        <v/>
      </c>
      <c r="Y43" s="519" t="str">
        <f t="shared" si="77"/>
        <v/>
      </c>
      <c r="Z43" s="519" t="str">
        <f t="shared" si="78"/>
        <v/>
      </c>
      <c r="AA43" s="519" t="str">
        <f t="shared" si="79"/>
        <v/>
      </c>
      <c r="AB43" s="519" t="str">
        <f t="shared" si="80"/>
        <v/>
      </c>
      <c r="AC43" s="519" t="str">
        <f t="shared" si="81"/>
        <v/>
      </c>
      <c r="AD43" s="519" t="str">
        <f t="shared" si="82"/>
        <v/>
      </c>
      <c r="AE43" s="519" t="str">
        <f t="shared" si="83"/>
        <v/>
      </c>
      <c r="AF43" s="519" t="str">
        <f t="shared" si="84"/>
        <v/>
      </c>
      <c r="AG43" s="519" t="str">
        <f t="shared" si="85"/>
        <v/>
      </c>
      <c r="AH43" s="519" t="str">
        <f t="shared" si="86"/>
        <v/>
      </c>
      <c r="AI43" s="519" t="str">
        <f t="shared" si="87"/>
        <v/>
      </c>
      <c r="AJ43" s="519" t="str">
        <f t="shared" si="88"/>
        <v/>
      </c>
      <c r="AK43" s="519" t="str">
        <f t="shared" si="89"/>
        <v/>
      </c>
      <c r="AL43" s="519" t="str">
        <f t="shared" si="90"/>
        <v/>
      </c>
      <c r="AM43" s="519" t="str">
        <f t="shared" si="91"/>
        <v/>
      </c>
      <c r="AN43" s="519" t="str">
        <f t="shared" si="92"/>
        <v/>
      </c>
      <c r="AO43" s="364"/>
      <c r="AP43" s="573"/>
      <c r="AQ43" s="573"/>
      <c r="AR43" s="573"/>
      <c r="AS43" s="573"/>
      <c r="AT43" s="573"/>
      <c r="AU43" s="573"/>
      <c r="AV43" s="573"/>
      <c r="AW43" s="573"/>
      <c r="AX43" s="573"/>
      <c r="AY43" s="573"/>
      <c r="AZ43" s="573"/>
      <c r="BA43" s="573"/>
      <c r="BB43" s="573"/>
      <c r="BC43" s="573"/>
      <c r="BD43" s="573"/>
      <c r="BE43" s="573"/>
      <c r="BF43" s="573"/>
      <c r="BG43" s="573"/>
      <c r="BH43" s="573"/>
      <c r="BI43" s="573"/>
      <c r="BJ43" s="573"/>
      <c r="BK43" s="573"/>
      <c r="BL43" s="573"/>
      <c r="BM43" s="573"/>
      <c r="BN43" s="573"/>
      <c r="BO43" s="573"/>
      <c r="BP43" s="573"/>
      <c r="BQ43" s="573"/>
      <c r="BR43" s="573"/>
      <c r="BS43" s="573"/>
    </row>
    <row r="44" spans="1:71" s="367" customFormat="1" ht="15" customHeight="1">
      <c r="A44" s="102"/>
      <c r="B44" s="271">
        <f>tblIndicators!A40</f>
        <v>39</v>
      </c>
      <c r="C44" s="271">
        <f>tblIndicators!AD40</f>
        <v>1</v>
      </c>
      <c r="D44" s="271">
        <f>tblIndicators!G40</f>
        <v>3</v>
      </c>
      <c r="E44" s="103" t="str">
        <f>tblIndicators!H40</f>
        <v>3_1_1</v>
      </c>
      <c r="F44" s="103"/>
      <c r="G44" s="271">
        <f>tblIndicators!AG40</f>
        <v>2</v>
      </c>
      <c r="H44" s="100" t="str">
        <f>REPT(" ",D44)&amp;tblIndicators!AL40</f>
        <v xml:space="preserve">   3.1.1) Internet Usage</v>
      </c>
      <c r="I44" s="101" t="str">
        <f>IF(G44=1,"",tblIndicators!Z40)</f>
        <v>%</v>
      </c>
      <c r="K44" s="519">
        <f t="shared" si="63"/>
        <v>94.3</v>
      </c>
      <c r="L44" s="519">
        <f t="shared" si="64"/>
        <v>93.5</v>
      </c>
      <c r="M44" s="519">
        <f t="shared" si="65"/>
        <v>89.3</v>
      </c>
      <c r="N44" s="519">
        <f t="shared" si="66"/>
        <v>93</v>
      </c>
      <c r="O44" s="519">
        <f t="shared" si="67"/>
        <v>77.8</v>
      </c>
      <c r="P44" s="519">
        <f t="shared" si="68"/>
        <v>90.8</v>
      </c>
      <c r="Q44" s="519">
        <f t="shared" si="69"/>
        <v>87.6</v>
      </c>
      <c r="R44" s="519">
        <f t="shared" si="70"/>
        <v>98.1</v>
      </c>
      <c r="S44" s="519">
        <f t="shared" si="71"/>
        <v>91.5</v>
      </c>
      <c r="T44" s="519">
        <f t="shared" si="72"/>
        <v>100</v>
      </c>
      <c r="U44" s="519">
        <f t="shared" si="73"/>
        <v>90.8</v>
      </c>
      <c r="V44" s="519">
        <f t="shared" si="74"/>
        <v>92.8</v>
      </c>
      <c r="W44" s="519">
        <f t="shared" si="75"/>
        <v>85</v>
      </c>
      <c r="X44" s="519">
        <f t="shared" si="76"/>
        <v>92.8</v>
      </c>
      <c r="Y44" s="519">
        <f t="shared" si="77"/>
        <v>96.1</v>
      </c>
      <c r="Z44" s="519">
        <f t="shared" si="78"/>
        <v>96</v>
      </c>
      <c r="AA44" s="519">
        <f t="shared" si="79"/>
        <v>84</v>
      </c>
      <c r="AB44" s="519">
        <f t="shared" si="80"/>
        <v>84.4</v>
      </c>
      <c r="AC44" s="519">
        <f t="shared" si="81"/>
        <v>56</v>
      </c>
      <c r="AD44" s="519">
        <f t="shared" si="82"/>
        <v>98.4</v>
      </c>
      <c r="AE44" s="519">
        <f t="shared" si="83"/>
        <v>86.2</v>
      </c>
      <c r="AF44" s="519">
        <f t="shared" si="84"/>
        <v>78.5</v>
      </c>
      <c r="AG44" s="519">
        <f t="shared" si="85"/>
        <v>80.400000000000006</v>
      </c>
      <c r="AH44" s="519">
        <f t="shared" si="86"/>
        <v>98</v>
      </c>
      <c r="AI44" s="519">
        <f t="shared" si="87"/>
        <v>80.400000000000006</v>
      </c>
      <c r="AJ44" s="519">
        <f t="shared" si="88"/>
        <v>91.7</v>
      </c>
      <c r="AK44" s="519">
        <f t="shared" si="89"/>
        <v>93.9</v>
      </c>
      <c r="AL44" s="519">
        <f t="shared" si="90"/>
        <v>98</v>
      </c>
      <c r="AM44" s="519">
        <f t="shared" si="91"/>
        <v>91.5</v>
      </c>
      <c r="AN44" s="519">
        <f t="shared" si="92"/>
        <v>95.5</v>
      </c>
      <c r="AO44" s="364"/>
      <c r="AP44" s="573">
        <f>INPUTS!X40</f>
        <v>94.3</v>
      </c>
      <c r="AQ44" s="573">
        <f>INPUTS!Y40</f>
        <v>93.5</v>
      </c>
      <c r="AR44" s="573">
        <f>INPUTS!Z40</f>
        <v>89.3</v>
      </c>
      <c r="AS44" s="573">
        <f>INPUTS!AA40</f>
        <v>93</v>
      </c>
      <c r="AT44" s="573">
        <f>INPUTS!AB40</f>
        <v>77.8</v>
      </c>
      <c r="AU44" s="573">
        <f>INPUTS!AC40</f>
        <v>90.8</v>
      </c>
      <c r="AV44" s="573">
        <f>INPUTS!AD40</f>
        <v>87.6</v>
      </c>
      <c r="AW44" s="573">
        <f>INPUTS!AE40</f>
        <v>98.1</v>
      </c>
      <c r="AX44" s="573">
        <f>INPUTS!AF40</f>
        <v>91.5</v>
      </c>
      <c r="AY44" s="573">
        <f>INPUTS!AG40</f>
        <v>100</v>
      </c>
      <c r="AZ44" s="573">
        <f>INPUTS!AH40</f>
        <v>90.8</v>
      </c>
      <c r="BA44" s="573">
        <f>INPUTS!AI40</f>
        <v>92.8</v>
      </c>
      <c r="BB44" s="573">
        <f>INPUTS!AJ40</f>
        <v>85</v>
      </c>
      <c r="BC44" s="573">
        <f>INPUTS!AK40</f>
        <v>92.8</v>
      </c>
      <c r="BD44" s="573">
        <f>INPUTS!AL40</f>
        <v>96.1</v>
      </c>
      <c r="BE44" s="573">
        <f>INPUTS!AM40</f>
        <v>96</v>
      </c>
      <c r="BF44" s="573">
        <f>INPUTS!AN40</f>
        <v>84</v>
      </c>
      <c r="BG44" s="573">
        <f>INPUTS!AO40</f>
        <v>84.4</v>
      </c>
      <c r="BH44" s="573">
        <f>INPUTS!AP40</f>
        <v>56</v>
      </c>
      <c r="BI44" s="573">
        <f>INPUTS!AQ40</f>
        <v>98.4</v>
      </c>
      <c r="BJ44" s="573">
        <f>INPUTS!AR40</f>
        <v>86.2</v>
      </c>
      <c r="BK44" s="573">
        <f>INPUTS!AS40</f>
        <v>78.5</v>
      </c>
      <c r="BL44" s="573">
        <f>INPUTS!AT40</f>
        <v>80.400000000000006</v>
      </c>
      <c r="BM44" s="573">
        <f>INPUTS!AU40</f>
        <v>98</v>
      </c>
      <c r="BN44" s="573">
        <f>INPUTS!AV40</f>
        <v>80.400000000000006</v>
      </c>
      <c r="BO44" s="573">
        <f>INPUTS!AW40</f>
        <v>91.7</v>
      </c>
      <c r="BP44" s="573">
        <f>INPUTS!AX40</f>
        <v>93.9</v>
      </c>
      <c r="BQ44" s="573">
        <f>INPUTS!AY40</f>
        <v>98.01</v>
      </c>
      <c r="BR44" s="573">
        <f>INPUTS!AZ40</f>
        <v>91.5</v>
      </c>
      <c r="BS44" s="573">
        <f>INPUTS!BA40</f>
        <v>95.5</v>
      </c>
    </row>
    <row r="45" spans="1:71" s="367" customFormat="1" ht="15" customHeight="1">
      <c r="A45" s="102"/>
      <c r="B45" s="271">
        <f>tblIndicators!A41</f>
        <v>40</v>
      </c>
      <c r="C45" s="271">
        <f>tblIndicators!AD41</f>
        <v>1</v>
      </c>
      <c r="D45" s="271">
        <f>tblIndicators!G41</f>
        <v>3</v>
      </c>
      <c r="E45" s="103" t="str">
        <f>tblIndicators!H41</f>
        <v>3_1_2</v>
      </c>
      <c r="F45" s="103"/>
      <c r="G45" s="271">
        <f>tblIndicators!AG41</f>
        <v>5</v>
      </c>
      <c r="H45" s="100" t="str">
        <f>REPT(" ",D45)&amp;tblIndicators!AL41</f>
        <v xml:space="preserve">   3.1.2) Gap between female and male access to the internet</v>
      </c>
      <c r="I45" s="101" t="str">
        <f>IF(G45=1,"",tblIndicators!Z41)</f>
        <v>%</v>
      </c>
      <c r="K45" s="519">
        <f t="shared" si="63"/>
        <v>4.0999999999999996</v>
      </c>
      <c r="L45" s="519">
        <f t="shared" si="64"/>
        <v>2.1</v>
      </c>
      <c r="M45" s="519">
        <f t="shared" si="65"/>
        <v>2.9</v>
      </c>
      <c r="N45" s="519">
        <f t="shared" si="66"/>
        <v>0</v>
      </c>
      <c r="O45" s="519">
        <f t="shared" si="67"/>
        <v>-1</v>
      </c>
      <c r="P45" s="519">
        <f t="shared" si="68"/>
        <v>5.8</v>
      </c>
      <c r="Q45" s="519">
        <f t="shared" si="69"/>
        <v>2.2999999999999998</v>
      </c>
      <c r="R45" s="519">
        <f t="shared" si="70"/>
        <v>1.8</v>
      </c>
      <c r="S45" s="519">
        <f t="shared" si="71"/>
        <v>-5.3</v>
      </c>
      <c r="T45" s="519">
        <f t="shared" si="72"/>
        <v>0</v>
      </c>
      <c r="U45" s="519">
        <f t="shared" si="73"/>
        <v>5.8</v>
      </c>
      <c r="V45" s="519">
        <f t="shared" si="74"/>
        <v>2.6</v>
      </c>
      <c r="W45" s="519">
        <f t="shared" si="75"/>
        <v>11.6</v>
      </c>
      <c r="X45" s="519">
        <f t="shared" si="76"/>
        <v>4.0999999999999996</v>
      </c>
      <c r="Y45" s="519">
        <f t="shared" si="77"/>
        <v>0.9</v>
      </c>
      <c r="Z45" s="519">
        <f t="shared" si="78"/>
        <v>0</v>
      </c>
      <c r="AA45" s="519">
        <f t="shared" si="79"/>
        <v>2.5</v>
      </c>
      <c r="AB45" s="519">
        <f t="shared" si="80"/>
        <v>2</v>
      </c>
      <c r="AC45" s="519">
        <f t="shared" si="81"/>
        <v>67.8</v>
      </c>
      <c r="AD45" s="519">
        <f t="shared" si="82"/>
        <v>-5.3</v>
      </c>
      <c r="AE45" s="519">
        <f t="shared" si="83"/>
        <v>2.9</v>
      </c>
      <c r="AF45" s="519">
        <f t="shared" si="84"/>
        <v>7.4</v>
      </c>
      <c r="AG45" s="519">
        <f t="shared" si="85"/>
        <v>1.2</v>
      </c>
      <c r="AH45" s="519">
        <f t="shared" si="86"/>
        <v>1.7</v>
      </c>
      <c r="AI45" s="519">
        <f t="shared" si="87"/>
        <v>-2.2000000000000002</v>
      </c>
      <c r="AJ45" s="519">
        <f t="shared" si="88"/>
        <v>1.1000000000000001</v>
      </c>
      <c r="AK45" s="519">
        <f t="shared" si="89"/>
        <v>4</v>
      </c>
      <c r="AL45" s="519">
        <f t="shared" si="90"/>
        <v>-2.1</v>
      </c>
      <c r="AM45" s="519">
        <f t="shared" si="91"/>
        <v>-5.3</v>
      </c>
      <c r="AN45" s="519">
        <f t="shared" si="92"/>
        <v>4.2</v>
      </c>
      <c r="AO45" s="364"/>
      <c r="AP45" s="573">
        <f>INPUTS!X41</f>
        <v>4.13</v>
      </c>
      <c r="AQ45" s="573">
        <f>INPUTS!Y41</f>
        <v>2.13</v>
      </c>
      <c r="AR45" s="573">
        <f>INPUTS!Z41</f>
        <v>2.86</v>
      </c>
      <c r="AS45" s="573">
        <f>INPUTS!AA41</f>
        <v>0</v>
      </c>
      <c r="AT45" s="573">
        <f>INPUTS!AB41</f>
        <v>-0.99</v>
      </c>
      <c r="AU45" s="573">
        <f>INPUTS!AC41</f>
        <v>5.84</v>
      </c>
      <c r="AV45" s="573">
        <f>INPUTS!AD41</f>
        <v>2.31</v>
      </c>
      <c r="AW45" s="573">
        <f>INPUTS!AE41</f>
        <v>1.78</v>
      </c>
      <c r="AX45" s="573">
        <f>INPUTS!AF41</f>
        <v>-5.26</v>
      </c>
      <c r="AY45" s="573">
        <f>INPUTS!AG41</f>
        <v>0</v>
      </c>
      <c r="AZ45" s="573">
        <f>INPUTS!AH41</f>
        <v>5.84</v>
      </c>
      <c r="BA45" s="573">
        <f>INPUTS!AI41</f>
        <v>2.63</v>
      </c>
      <c r="BB45" s="573">
        <f>INPUTS!AJ41</f>
        <v>11.61</v>
      </c>
      <c r="BC45" s="573">
        <f>INPUTS!AK41</f>
        <v>4.0999999999999996</v>
      </c>
      <c r="BD45" s="573">
        <f>INPUTS!AL41</f>
        <v>0.85</v>
      </c>
      <c r="BE45" s="573">
        <f>INPUTS!AM41</f>
        <v>0</v>
      </c>
      <c r="BF45" s="573">
        <f>INPUTS!AN41</f>
        <v>2.4700000000000002</v>
      </c>
      <c r="BG45" s="573">
        <f>INPUTS!AO41</f>
        <v>1.96</v>
      </c>
      <c r="BH45" s="573">
        <f>INPUTS!AP41</f>
        <v>67.790000000000006</v>
      </c>
      <c r="BI45" s="573">
        <f>INPUTS!AQ41</f>
        <v>-5.26</v>
      </c>
      <c r="BJ45" s="573">
        <f>INPUTS!AR41</f>
        <v>2.92</v>
      </c>
      <c r="BK45" s="573">
        <f>INPUTS!AS41</f>
        <v>7.38</v>
      </c>
      <c r="BL45" s="573">
        <f>INPUTS!AT41</f>
        <v>1.22</v>
      </c>
      <c r="BM45" s="573">
        <f>INPUTS!AU41</f>
        <v>1.67</v>
      </c>
      <c r="BN45" s="573">
        <f>INPUTS!AV41</f>
        <v>-2.2200000000000002</v>
      </c>
      <c r="BO45" s="573">
        <f>INPUTS!AW41</f>
        <v>1.05</v>
      </c>
      <c r="BP45" s="573">
        <f>INPUTS!AX41</f>
        <v>3.96</v>
      </c>
      <c r="BQ45" s="573">
        <f>INPUTS!AY41</f>
        <v>-2.11</v>
      </c>
      <c r="BR45" s="573">
        <f>INPUTS!AZ41</f>
        <v>-5.26</v>
      </c>
      <c r="BS45" s="573">
        <f>INPUTS!BA41</f>
        <v>4.16</v>
      </c>
    </row>
    <row r="46" spans="1:71" s="367" customFormat="1" ht="15" customHeight="1">
      <c r="A46" s="102"/>
      <c r="B46" s="271">
        <f>tblIndicators!A42</f>
        <v>41</v>
      </c>
      <c r="C46" s="271">
        <f>tblIndicators!AD42</f>
        <v>1</v>
      </c>
      <c r="D46" s="271">
        <f>tblIndicators!G42</f>
        <v>3</v>
      </c>
      <c r="E46" s="103" t="str">
        <f>tblIndicators!H42</f>
        <v>3_1_3</v>
      </c>
      <c r="F46" s="103"/>
      <c r="G46" s="271">
        <f>tblIndicators!AG42</f>
        <v>2</v>
      </c>
      <c r="H46" s="100" t="str">
        <f>REPT(" ",D46)&amp;tblIndicators!AL42</f>
        <v xml:space="preserve">   3.1.3) Digital skills</v>
      </c>
      <c r="I46" s="101" t="str">
        <f>IF(G46=1,"",tblIndicators!Z42)</f>
        <v>Scale (0-100)</v>
      </c>
      <c r="K46" s="519">
        <f t="shared" si="63"/>
        <v>36.799999999999997</v>
      </c>
      <c r="L46" s="519">
        <f t="shared" si="64"/>
        <v>42.3</v>
      </c>
      <c r="M46" s="519">
        <f t="shared" si="65"/>
        <v>62.7</v>
      </c>
      <c r="N46" s="519">
        <f t="shared" si="66"/>
        <v>49.1</v>
      </c>
      <c r="O46" s="519">
        <f t="shared" si="67"/>
        <v>63.9</v>
      </c>
      <c r="P46" s="519">
        <f t="shared" si="68"/>
        <v>37</v>
      </c>
      <c r="Q46" s="519">
        <f t="shared" si="69"/>
        <v>56.9</v>
      </c>
      <c r="R46" s="519">
        <f t="shared" si="70"/>
        <v>47.4</v>
      </c>
      <c r="S46" s="519">
        <f t="shared" si="71"/>
        <v>57.7</v>
      </c>
      <c r="T46" s="519">
        <f t="shared" si="72"/>
        <v>72.900000000000006</v>
      </c>
      <c r="U46" s="519">
        <f t="shared" si="73"/>
        <v>39.5</v>
      </c>
      <c r="V46" s="519">
        <f t="shared" si="74"/>
        <v>40.799999999999997</v>
      </c>
      <c r="W46" s="519">
        <f t="shared" si="75"/>
        <v>72.2</v>
      </c>
      <c r="X46" s="519">
        <f t="shared" si="76"/>
        <v>52.2</v>
      </c>
      <c r="Y46" s="519">
        <f t="shared" si="77"/>
        <v>34.700000000000003</v>
      </c>
      <c r="Z46" s="519">
        <f t="shared" si="78"/>
        <v>51.7</v>
      </c>
      <c r="AA46" s="519">
        <f t="shared" si="79"/>
        <v>62.8</v>
      </c>
      <c r="AB46" s="519">
        <f t="shared" si="80"/>
        <v>63.9</v>
      </c>
      <c r="AC46" s="519">
        <f t="shared" si="81"/>
        <v>82.4</v>
      </c>
      <c r="AD46" s="519">
        <f t="shared" si="82"/>
        <v>45.2</v>
      </c>
      <c r="AE46" s="519">
        <f t="shared" si="83"/>
        <v>38.4</v>
      </c>
      <c r="AF46" s="519">
        <f t="shared" si="84"/>
        <v>51.3</v>
      </c>
      <c r="AG46" s="519">
        <f t="shared" si="85"/>
        <v>57.7</v>
      </c>
      <c r="AH46" s="519">
        <f t="shared" si="86"/>
        <v>47.9</v>
      </c>
      <c r="AI46" s="519">
        <f t="shared" si="87"/>
        <v>44.7</v>
      </c>
      <c r="AJ46" s="519">
        <f t="shared" si="88"/>
        <v>30.1</v>
      </c>
      <c r="AK46" s="519">
        <f t="shared" si="89"/>
        <v>34.299999999999997</v>
      </c>
      <c r="AL46" s="519">
        <f t="shared" si="90"/>
        <v>41.2</v>
      </c>
      <c r="AM46" s="519">
        <f t="shared" si="91"/>
        <v>45.5</v>
      </c>
      <c r="AN46" s="519">
        <f t="shared" si="92"/>
        <v>37.799999999999997</v>
      </c>
      <c r="AO46" s="364"/>
      <c r="AP46" s="573">
        <f>INPUTS!X42</f>
        <v>36.799999999999997</v>
      </c>
      <c r="AQ46" s="573">
        <f>INPUTS!Y42</f>
        <v>42.3</v>
      </c>
      <c r="AR46" s="573">
        <f>INPUTS!Z42</f>
        <v>62.65</v>
      </c>
      <c r="AS46" s="573">
        <f>INPUTS!AA42</f>
        <v>49.05</v>
      </c>
      <c r="AT46" s="573">
        <f>INPUTS!AB42</f>
        <v>63.9</v>
      </c>
      <c r="AU46" s="573">
        <f>INPUTS!AC42</f>
        <v>36.950000000000003</v>
      </c>
      <c r="AV46" s="573">
        <f>INPUTS!AD42</f>
        <v>56.85</v>
      </c>
      <c r="AW46" s="573">
        <f>INPUTS!AE42</f>
        <v>47.35</v>
      </c>
      <c r="AX46" s="573">
        <f>INPUTS!AF42</f>
        <v>57.65</v>
      </c>
      <c r="AY46" s="573">
        <f>INPUTS!AG42</f>
        <v>72.900000000000006</v>
      </c>
      <c r="AZ46" s="573">
        <f>INPUTS!AH42</f>
        <v>39.450000000000003</v>
      </c>
      <c r="BA46" s="573">
        <f>INPUTS!AI42</f>
        <v>40.799999999999997</v>
      </c>
      <c r="BB46" s="573">
        <f>INPUTS!AJ42</f>
        <v>72.150000000000006</v>
      </c>
      <c r="BC46" s="573">
        <f>INPUTS!AK42</f>
        <v>52.15</v>
      </c>
      <c r="BD46" s="573">
        <f>INPUTS!AL42</f>
        <v>34.65</v>
      </c>
      <c r="BE46" s="573">
        <f>INPUTS!AM42</f>
        <v>51.65</v>
      </c>
      <c r="BF46" s="573">
        <f>INPUTS!AN42</f>
        <v>62.75</v>
      </c>
      <c r="BG46" s="573">
        <f>INPUTS!AO42</f>
        <v>63.85</v>
      </c>
      <c r="BH46" s="573">
        <f>INPUTS!AP42</f>
        <v>82.35</v>
      </c>
      <c r="BI46" s="573">
        <f>INPUTS!AQ42</f>
        <v>45.2</v>
      </c>
      <c r="BJ46" s="573">
        <f>INPUTS!AR42</f>
        <v>38.4</v>
      </c>
      <c r="BK46" s="573">
        <f>INPUTS!AS42</f>
        <v>51.25</v>
      </c>
      <c r="BL46" s="573">
        <f>INPUTS!AT42</f>
        <v>57.65</v>
      </c>
      <c r="BM46" s="573">
        <f>INPUTS!AU42</f>
        <v>47.85</v>
      </c>
      <c r="BN46" s="573">
        <f>INPUTS!AV42</f>
        <v>44.65</v>
      </c>
      <c r="BO46" s="573">
        <f>INPUTS!AW42</f>
        <v>30.1</v>
      </c>
      <c r="BP46" s="573">
        <f>INPUTS!AX42</f>
        <v>34.25</v>
      </c>
      <c r="BQ46" s="573">
        <f>INPUTS!AY42</f>
        <v>41.15</v>
      </c>
      <c r="BR46" s="573">
        <f>INPUTS!AZ42</f>
        <v>45.45</v>
      </c>
      <c r="BS46" s="573">
        <f>INPUTS!BA42</f>
        <v>37.75</v>
      </c>
    </row>
    <row r="47" spans="1:71" s="367" customFormat="1" ht="15" customHeight="1">
      <c r="A47" s="102"/>
      <c r="B47" s="271">
        <f>tblIndicators!A43</f>
        <v>42</v>
      </c>
      <c r="C47" s="271">
        <f>tblIndicators!AD43</f>
        <v>1</v>
      </c>
      <c r="D47" s="271">
        <f>tblIndicators!G43</f>
        <v>2</v>
      </c>
      <c r="E47" s="103" t="str">
        <f>tblIndicators!H43</f>
        <v>3_2</v>
      </c>
      <c r="F47" s="103"/>
      <c r="G47" s="271">
        <f>tblIndicators!AG43</f>
        <v>1</v>
      </c>
      <c r="H47" s="100" t="str">
        <f>REPT(" ",D47)&amp;tblIndicators!AL43</f>
        <v xml:space="preserve">  3.2) Government support</v>
      </c>
      <c r="I47" s="101" t="str">
        <f>IF(G47=1,"",tblIndicators!Z43)</f>
        <v/>
      </c>
      <c r="K47" s="519" t="str">
        <f t="shared" si="63"/>
        <v/>
      </c>
      <c r="L47" s="519" t="str">
        <f t="shared" si="64"/>
        <v/>
      </c>
      <c r="M47" s="519" t="str">
        <f t="shared" si="65"/>
        <v/>
      </c>
      <c r="N47" s="519" t="str">
        <f t="shared" si="66"/>
        <v/>
      </c>
      <c r="O47" s="519" t="str">
        <f t="shared" si="67"/>
        <v/>
      </c>
      <c r="P47" s="519" t="str">
        <f t="shared" si="68"/>
        <v/>
      </c>
      <c r="Q47" s="519" t="str">
        <f t="shared" si="69"/>
        <v/>
      </c>
      <c r="R47" s="519" t="str">
        <f t="shared" si="70"/>
        <v/>
      </c>
      <c r="S47" s="519" t="str">
        <f t="shared" si="71"/>
        <v/>
      </c>
      <c r="T47" s="519" t="str">
        <f t="shared" si="72"/>
        <v/>
      </c>
      <c r="U47" s="519" t="str">
        <f t="shared" si="73"/>
        <v/>
      </c>
      <c r="V47" s="519" t="str">
        <f t="shared" si="74"/>
        <v/>
      </c>
      <c r="W47" s="519" t="str">
        <f t="shared" si="75"/>
        <v/>
      </c>
      <c r="X47" s="519" t="str">
        <f t="shared" si="76"/>
        <v/>
      </c>
      <c r="Y47" s="519" t="str">
        <f t="shared" si="77"/>
        <v/>
      </c>
      <c r="Z47" s="519" t="str">
        <f t="shared" si="78"/>
        <v/>
      </c>
      <c r="AA47" s="519" t="str">
        <f t="shared" si="79"/>
        <v/>
      </c>
      <c r="AB47" s="519" t="str">
        <f t="shared" si="80"/>
        <v/>
      </c>
      <c r="AC47" s="519" t="str">
        <f t="shared" si="81"/>
        <v/>
      </c>
      <c r="AD47" s="519" t="str">
        <f t="shared" si="82"/>
        <v/>
      </c>
      <c r="AE47" s="519" t="str">
        <f t="shared" si="83"/>
        <v/>
      </c>
      <c r="AF47" s="519" t="str">
        <f t="shared" si="84"/>
        <v/>
      </c>
      <c r="AG47" s="519" t="str">
        <f t="shared" si="85"/>
        <v/>
      </c>
      <c r="AH47" s="519" t="str">
        <f t="shared" si="86"/>
        <v/>
      </c>
      <c r="AI47" s="519" t="str">
        <f t="shared" si="87"/>
        <v/>
      </c>
      <c r="AJ47" s="519" t="str">
        <f t="shared" si="88"/>
        <v/>
      </c>
      <c r="AK47" s="519" t="str">
        <f t="shared" si="89"/>
        <v/>
      </c>
      <c r="AL47" s="519" t="str">
        <f t="shared" si="90"/>
        <v/>
      </c>
      <c r="AM47" s="519" t="str">
        <f t="shared" si="91"/>
        <v/>
      </c>
      <c r="AN47" s="519" t="str">
        <f t="shared" si="92"/>
        <v/>
      </c>
      <c r="AO47" s="364"/>
      <c r="AP47" s="573"/>
      <c r="AQ47" s="573"/>
      <c r="AR47" s="573"/>
      <c r="AS47" s="573"/>
      <c r="AT47" s="573"/>
      <c r="AU47" s="573"/>
      <c r="AV47" s="573"/>
      <c r="AW47" s="573"/>
      <c r="AX47" s="573"/>
      <c r="AY47" s="573"/>
      <c r="AZ47" s="573"/>
      <c r="BA47" s="573"/>
      <c r="BB47" s="573"/>
      <c r="BC47" s="573"/>
      <c r="BD47" s="573"/>
      <c r="BE47" s="573"/>
      <c r="BF47" s="573"/>
      <c r="BG47" s="573"/>
      <c r="BH47" s="573"/>
      <c r="BI47" s="573"/>
      <c r="BJ47" s="573"/>
      <c r="BK47" s="573"/>
      <c r="BL47" s="573"/>
      <c r="BM47" s="573"/>
      <c r="BN47" s="573"/>
      <c r="BO47" s="573"/>
      <c r="BP47" s="573"/>
      <c r="BQ47" s="573"/>
      <c r="BR47" s="573"/>
      <c r="BS47" s="573"/>
    </row>
    <row r="48" spans="1:71" s="367" customFormat="1" ht="15" customHeight="1">
      <c r="A48" s="102"/>
      <c r="B48" s="271">
        <f>tblIndicators!A44</f>
        <v>43</v>
      </c>
      <c r="C48" s="271">
        <f>tblIndicators!AD44</f>
        <v>0</v>
      </c>
      <c r="D48" s="271">
        <f>tblIndicators!G44</f>
        <v>3</v>
      </c>
      <c r="E48" s="103" t="str">
        <f>tblIndicators!H44</f>
        <v>3_2_1</v>
      </c>
      <c r="F48" s="103"/>
      <c r="G48" s="271">
        <f>tblIndicators!AG44</f>
        <v>3</v>
      </c>
      <c r="H48" s="100" t="str">
        <f>REPT(" ",D48)&amp;tblIndicators!AL44</f>
        <v xml:space="preserve">   3.2.1) Data protection law</v>
      </c>
      <c r="I48" s="101" t="str">
        <f>IF(G48=1,"",tblIndicators!Z44)</f>
        <v>Scale (0-2)</v>
      </c>
      <c r="K48" s="519">
        <f t="shared" si="63"/>
        <v>2</v>
      </c>
      <c r="L48" s="519">
        <f t="shared" si="64"/>
        <v>2</v>
      </c>
      <c r="M48" s="519">
        <f t="shared" si="65"/>
        <v>1</v>
      </c>
      <c r="N48" s="519">
        <f t="shared" si="66"/>
        <v>2</v>
      </c>
      <c r="O48" s="519">
        <f t="shared" si="67"/>
        <v>2</v>
      </c>
      <c r="P48" s="519">
        <f t="shared" si="68"/>
        <v>2</v>
      </c>
      <c r="Q48" s="519">
        <f t="shared" si="69"/>
        <v>2</v>
      </c>
      <c r="R48" s="519">
        <f t="shared" si="70"/>
        <v>2</v>
      </c>
      <c r="S48" s="519">
        <f t="shared" si="71"/>
        <v>1</v>
      </c>
      <c r="T48" s="519">
        <f t="shared" si="72"/>
        <v>1</v>
      </c>
      <c r="U48" s="519">
        <f t="shared" si="73"/>
        <v>2</v>
      </c>
      <c r="V48" s="519">
        <f t="shared" si="74"/>
        <v>2</v>
      </c>
      <c r="W48" s="519">
        <f t="shared" si="75"/>
        <v>1</v>
      </c>
      <c r="X48" s="519">
        <f t="shared" si="76"/>
        <v>2</v>
      </c>
      <c r="Y48" s="519">
        <f t="shared" si="77"/>
        <v>2</v>
      </c>
      <c r="Z48" s="519">
        <f t="shared" si="78"/>
        <v>2</v>
      </c>
      <c r="AA48" s="519">
        <f t="shared" si="79"/>
        <v>2</v>
      </c>
      <c r="AB48" s="519">
        <f t="shared" si="80"/>
        <v>2</v>
      </c>
      <c r="AC48" s="519">
        <f t="shared" si="81"/>
        <v>1</v>
      </c>
      <c r="AD48" s="519">
        <f t="shared" si="82"/>
        <v>1</v>
      </c>
      <c r="AE48" s="519">
        <f t="shared" si="83"/>
        <v>2</v>
      </c>
      <c r="AF48" s="519">
        <f t="shared" si="84"/>
        <v>2</v>
      </c>
      <c r="AG48" s="519">
        <f t="shared" si="85"/>
        <v>2</v>
      </c>
      <c r="AH48" s="519">
        <f t="shared" si="86"/>
        <v>2</v>
      </c>
      <c r="AI48" s="519">
        <f t="shared" si="87"/>
        <v>2</v>
      </c>
      <c r="AJ48" s="519">
        <f t="shared" si="88"/>
        <v>2</v>
      </c>
      <c r="AK48" s="519">
        <f t="shared" si="89"/>
        <v>2</v>
      </c>
      <c r="AL48" s="519">
        <f t="shared" si="90"/>
        <v>2</v>
      </c>
      <c r="AM48" s="519">
        <f t="shared" si="91"/>
        <v>2</v>
      </c>
      <c r="AN48" s="519">
        <f t="shared" si="92"/>
        <v>2</v>
      </c>
      <c r="AO48" s="364"/>
      <c r="AP48" s="573">
        <f>INPUTS!X44</f>
        <v>2</v>
      </c>
      <c r="AQ48" s="573">
        <f>INPUTS!Y44</f>
        <v>2</v>
      </c>
      <c r="AR48" s="573">
        <f>INPUTS!Z44</f>
        <v>1</v>
      </c>
      <c r="AS48" s="573">
        <f>INPUTS!AA44</f>
        <v>2</v>
      </c>
      <c r="AT48" s="573">
        <f>INPUTS!AB44</f>
        <v>2</v>
      </c>
      <c r="AU48" s="573">
        <f>INPUTS!AC44</f>
        <v>2</v>
      </c>
      <c r="AV48" s="573">
        <f>INPUTS!AD44</f>
        <v>2</v>
      </c>
      <c r="AW48" s="573">
        <f>INPUTS!AE44</f>
        <v>2</v>
      </c>
      <c r="AX48" s="573">
        <f>INPUTS!AF44</f>
        <v>1</v>
      </c>
      <c r="AY48" s="573">
        <f>INPUTS!AG44</f>
        <v>1</v>
      </c>
      <c r="AZ48" s="573">
        <f>INPUTS!AH44</f>
        <v>2</v>
      </c>
      <c r="BA48" s="573">
        <f>INPUTS!AI44</f>
        <v>2</v>
      </c>
      <c r="BB48" s="573">
        <f>INPUTS!AJ44</f>
        <v>1</v>
      </c>
      <c r="BC48" s="573">
        <f>INPUTS!AK44</f>
        <v>2</v>
      </c>
      <c r="BD48" s="573">
        <f>INPUTS!AL44</f>
        <v>2</v>
      </c>
      <c r="BE48" s="573">
        <f>INPUTS!AM44</f>
        <v>2</v>
      </c>
      <c r="BF48" s="573">
        <f>INPUTS!AN44</f>
        <v>2</v>
      </c>
      <c r="BG48" s="573">
        <f>INPUTS!AO44</f>
        <v>2</v>
      </c>
      <c r="BH48" s="573">
        <f>INPUTS!AP44</f>
        <v>1</v>
      </c>
      <c r="BI48" s="573">
        <f>INPUTS!AQ44</f>
        <v>1</v>
      </c>
      <c r="BJ48" s="573">
        <f>INPUTS!AR44</f>
        <v>2</v>
      </c>
      <c r="BK48" s="573">
        <f>INPUTS!AS44</f>
        <v>2</v>
      </c>
      <c r="BL48" s="573">
        <f>INPUTS!AT44</f>
        <v>2</v>
      </c>
      <c r="BM48" s="573">
        <f>INPUTS!AU44</f>
        <v>2</v>
      </c>
      <c r="BN48" s="573">
        <f>INPUTS!AV44</f>
        <v>2</v>
      </c>
      <c r="BO48" s="573">
        <f>INPUTS!AW44</f>
        <v>2</v>
      </c>
      <c r="BP48" s="573">
        <f>INPUTS!AX44</f>
        <v>2</v>
      </c>
      <c r="BQ48" s="573">
        <f>INPUTS!AY44</f>
        <v>2</v>
      </c>
      <c r="BR48" s="573">
        <f>INPUTS!AZ44</f>
        <v>2</v>
      </c>
      <c r="BS48" s="573">
        <f>INPUTS!BA44</f>
        <v>2</v>
      </c>
    </row>
    <row r="49" spans="1:71" s="367" customFormat="1" ht="15" customHeight="1">
      <c r="A49" s="102"/>
      <c r="B49" s="271">
        <f>tblIndicators!A45</f>
        <v>44</v>
      </c>
      <c r="C49" s="271">
        <f>tblIndicators!AD45</f>
        <v>0</v>
      </c>
      <c r="D49" s="271">
        <f>tblIndicators!G45</f>
        <v>3</v>
      </c>
      <c r="E49" s="103" t="str">
        <f>tblIndicators!H45</f>
        <v>3_2_2</v>
      </c>
      <c r="F49" s="103"/>
      <c r="G49" s="271">
        <f>tblIndicators!AG45</f>
        <v>3</v>
      </c>
      <c r="H49" s="100" t="str">
        <f>REPT(" ",D49)&amp;tblIndicators!AL45</f>
        <v xml:space="preserve">   3.2.2) Cyber security preparedness</v>
      </c>
      <c r="I49" s="101" t="str">
        <f>IF(G49=1,"",tblIndicators!Z45)</f>
        <v>Scale (0-4 )</v>
      </c>
      <c r="K49" s="519">
        <f t="shared" si="63"/>
        <v>3</v>
      </c>
      <c r="L49" s="519">
        <f t="shared" si="64"/>
        <v>4</v>
      </c>
      <c r="M49" s="519">
        <f t="shared" si="65"/>
        <v>2</v>
      </c>
      <c r="N49" s="519">
        <f t="shared" si="66"/>
        <v>3</v>
      </c>
      <c r="O49" s="519">
        <f t="shared" si="67"/>
        <v>3</v>
      </c>
      <c r="P49" s="519">
        <f t="shared" si="68"/>
        <v>3</v>
      </c>
      <c r="Q49" s="519">
        <f t="shared" si="69"/>
        <v>3</v>
      </c>
      <c r="R49" s="519">
        <f t="shared" si="70"/>
        <v>4</v>
      </c>
      <c r="S49" s="519">
        <f t="shared" si="71"/>
        <v>4</v>
      </c>
      <c r="T49" s="519">
        <f t="shared" si="72"/>
        <v>3</v>
      </c>
      <c r="U49" s="519">
        <f t="shared" si="73"/>
        <v>3</v>
      </c>
      <c r="V49" s="519">
        <f t="shared" si="74"/>
        <v>2</v>
      </c>
      <c r="W49" s="519">
        <f t="shared" si="75"/>
        <v>3</v>
      </c>
      <c r="X49" s="519">
        <f t="shared" si="76"/>
        <v>4</v>
      </c>
      <c r="Y49" s="519">
        <f t="shared" si="77"/>
        <v>3</v>
      </c>
      <c r="Z49" s="519">
        <f t="shared" si="78"/>
        <v>3</v>
      </c>
      <c r="AA49" s="519">
        <f t="shared" si="79"/>
        <v>2</v>
      </c>
      <c r="AB49" s="519">
        <f t="shared" si="80"/>
        <v>2</v>
      </c>
      <c r="AC49" s="519">
        <f t="shared" si="81"/>
        <v>2</v>
      </c>
      <c r="AD49" s="519">
        <f t="shared" si="82"/>
        <v>4</v>
      </c>
      <c r="AE49" s="519">
        <f t="shared" si="83"/>
        <v>3</v>
      </c>
      <c r="AF49" s="519">
        <f t="shared" si="84"/>
        <v>2</v>
      </c>
      <c r="AG49" s="519">
        <f t="shared" si="85"/>
        <v>3</v>
      </c>
      <c r="AH49" s="519">
        <f t="shared" si="86"/>
        <v>4</v>
      </c>
      <c r="AI49" s="519">
        <f t="shared" si="87"/>
        <v>3</v>
      </c>
      <c r="AJ49" s="519">
        <f t="shared" si="88"/>
        <v>3</v>
      </c>
      <c r="AK49" s="519">
        <f t="shared" si="89"/>
        <v>3</v>
      </c>
      <c r="AL49" s="519">
        <f t="shared" si="90"/>
        <v>4</v>
      </c>
      <c r="AM49" s="519">
        <f t="shared" si="91"/>
        <v>4</v>
      </c>
      <c r="AN49" s="519">
        <f t="shared" si="92"/>
        <v>4</v>
      </c>
      <c r="AO49" s="364"/>
      <c r="AP49" s="573">
        <f>INPUTS!X45</f>
        <v>3</v>
      </c>
      <c r="AQ49" s="573">
        <f>INPUTS!Y45</f>
        <v>4</v>
      </c>
      <c r="AR49" s="573">
        <f>INPUTS!Z45</f>
        <v>2</v>
      </c>
      <c r="AS49" s="573">
        <f>INPUTS!AA45</f>
        <v>3</v>
      </c>
      <c r="AT49" s="573">
        <f>INPUTS!AB45</f>
        <v>3</v>
      </c>
      <c r="AU49" s="573">
        <f>INPUTS!AC45</f>
        <v>3</v>
      </c>
      <c r="AV49" s="573">
        <f>INPUTS!AD45</f>
        <v>3</v>
      </c>
      <c r="AW49" s="573">
        <f>INPUTS!AE45</f>
        <v>4</v>
      </c>
      <c r="AX49" s="573">
        <f>INPUTS!AF45</f>
        <v>4</v>
      </c>
      <c r="AY49" s="573">
        <f>INPUTS!AG45</f>
        <v>3</v>
      </c>
      <c r="AZ49" s="573">
        <f>INPUTS!AH45</f>
        <v>3</v>
      </c>
      <c r="BA49" s="573">
        <f>INPUTS!AI45</f>
        <v>2</v>
      </c>
      <c r="BB49" s="573">
        <f>INPUTS!AJ45</f>
        <v>3</v>
      </c>
      <c r="BC49" s="573">
        <f>INPUTS!AK45</f>
        <v>4</v>
      </c>
      <c r="BD49" s="573">
        <f>INPUTS!AL45</f>
        <v>3</v>
      </c>
      <c r="BE49" s="573">
        <f>INPUTS!AM45</f>
        <v>3</v>
      </c>
      <c r="BF49" s="573">
        <f>INPUTS!AN45</f>
        <v>2</v>
      </c>
      <c r="BG49" s="573">
        <f>INPUTS!AO45</f>
        <v>2</v>
      </c>
      <c r="BH49" s="573">
        <f>INPUTS!AP45</f>
        <v>2</v>
      </c>
      <c r="BI49" s="573">
        <f>INPUTS!AQ45</f>
        <v>4</v>
      </c>
      <c r="BJ49" s="573">
        <f>INPUTS!AR45</f>
        <v>3</v>
      </c>
      <c r="BK49" s="573">
        <f>INPUTS!AS45</f>
        <v>2</v>
      </c>
      <c r="BL49" s="573">
        <f>INPUTS!AT45</f>
        <v>3</v>
      </c>
      <c r="BM49" s="573">
        <f>INPUTS!AU45</f>
        <v>4</v>
      </c>
      <c r="BN49" s="573">
        <f>INPUTS!AV45</f>
        <v>3</v>
      </c>
      <c r="BO49" s="573">
        <f>INPUTS!AW45</f>
        <v>3</v>
      </c>
      <c r="BP49" s="573">
        <f>INPUTS!AX45</f>
        <v>3</v>
      </c>
      <c r="BQ49" s="573">
        <f>INPUTS!AY45</f>
        <v>4</v>
      </c>
      <c r="BR49" s="573">
        <f>INPUTS!AZ45</f>
        <v>4</v>
      </c>
      <c r="BS49" s="573">
        <f>INPUTS!BA45</f>
        <v>4</v>
      </c>
    </row>
    <row r="50" spans="1:71" s="367" customFormat="1" ht="15" customHeight="1">
      <c r="A50" s="102"/>
      <c r="B50" s="271">
        <f>tblIndicators!A46</f>
        <v>45</v>
      </c>
      <c r="C50" s="271">
        <f>tblIndicators!AD46</f>
        <v>0</v>
      </c>
      <c r="D50" s="271">
        <f>tblIndicators!G46</f>
        <v>3</v>
      </c>
      <c r="E50" s="103" t="str">
        <f>tblIndicators!H46</f>
        <v>3_2_3</v>
      </c>
      <c r="F50" s="103"/>
      <c r="G50" s="271">
        <f>tblIndicators!AG46</f>
        <v>3</v>
      </c>
      <c r="H50" s="100" t="str">
        <f>REPT(" ",D50)&amp;tblIndicators!AL46</f>
        <v xml:space="preserve">   3.2.3) Cyber security risk awareness</v>
      </c>
      <c r="I50" s="101" t="str">
        <f>IF(G50=1,"",tblIndicators!Z46)</f>
        <v>Scale (0-4)</v>
      </c>
      <c r="K50" s="519">
        <f t="shared" si="63"/>
        <v>2</v>
      </c>
      <c r="L50" s="519">
        <f t="shared" si="64"/>
        <v>2</v>
      </c>
      <c r="M50" s="519">
        <f t="shared" si="65"/>
        <v>2</v>
      </c>
      <c r="N50" s="519">
        <f t="shared" si="66"/>
        <v>2</v>
      </c>
      <c r="O50" s="519">
        <f t="shared" si="67"/>
        <v>3</v>
      </c>
      <c r="P50" s="519">
        <f t="shared" si="68"/>
        <v>3</v>
      </c>
      <c r="Q50" s="519">
        <f t="shared" si="69"/>
        <v>2</v>
      </c>
      <c r="R50" s="519">
        <f t="shared" si="70"/>
        <v>2</v>
      </c>
      <c r="S50" s="519">
        <f t="shared" si="71"/>
        <v>3</v>
      </c>
      <c r="T50" s="519">
        <f t="shared" si="72"/>
        <v>2</v>
      </c>
      <c r="U50" s="519">
        <f t="shared" si="73"/>
        <v>3</v>
      </c>
      <c r="V50" s="519">
        <f t="shared" si="74"/>
        <v>2</v>
      </c>
      <c r="W50" s="519">
        <f t="shared" si="75"/>
        <v>1</v>
      </c>
      <c r="X50" s="519">
        <f t="shared" si="76"/>
        <v>3</v>
      </c>
      <c r="Y50" s="519">
        <f t="shared" si="77"/>
        <v>3</v>
      </c>
      <c r="Z50" s="519">
        <f t="shared" si="78"/>
        <v>2</v>
      </c>
      <c r="AA50" s="519">
        <f t="shared" si="79"/>
        <v>3</v>
      </c>
      <c r="AB50" s="519">
        <f t="shared" si="80"/>
        <v>2</v>
      </c>
      <c r="AC50" s="519">
        <f t="shared" si="81"/>
        <v>3</v>
      </c>
      <c r="AD50" s="519">
        <f t="shared" si="82"/>
        <v>3</v>
      </c>
      <c r="AE50" s="519">
        <f t="shared" si="83"/>
        <v>3</v>
      </c>
      <c r="AF50" s="519">
        <f t="shared" si="84"/>
        <v>3</v>
      </c>
      <c r="AG50" s="519">
        <f t="shared" si="85"/>
        <v>3</v>
      </c>
      <c r="AH50" s="519">
        <f t="shared" si="86"/>
        <v>2</v>
      </c>
      <c r="AI50" s="519">
        <f t="shared" si="87"/>
        <v>4</v>
      </c>
      <c r="AJ50" s="519">
        <f t="shared" si="88"/>
        <v>3</v>
      </c>
      <c r="AK50" s="519">
        <f t="shared" si="89"/>
        <v>3</v>
      </c>
      <c r="AL50" s="519">
        <f t="shared" si="90"/>
        <v>4</v>
      </c>
      <c r="AM50" s="519">
        <f t="shared" si="91"/>
        <v>3</v>
      </c>
      <c r="AN50" s="519">
        <f t="shared" si="92"/>
        <v>3</v>
      </c>
      <c r="AO50" s="364"/>
      <c r="AP50" s="573">
        <f>INPUTS!X46</f>
        <v>2</v>
      </c>
      <c r="AQ50" s="573">
        <f>INPUTS!Y46</f>
        <v>2</v>
      </c>
      <c r="AR50" s="573">
        <f>INPUTS!Z46</f>
        <v>2</v>
      </c>
      <c r="AS50" s="573">
        <f>INPUTS!AA46</f>
        <v>2</v>
      </c>
      <c r="AT50" s="573">
        <f>INPUTS!AB46</f>
        <v>3</v>
      </c>
      <c r="AU50" s="573">
        <f>INPUTS!AC46</f>
        <v>3</v>
      </c>
      <c r="AV50" s="573">
        <f>INPUTS!AD46</f>
        <v>2</v>
      </c>
      <c r="AW50" s="573">
        <f>INPUTS!AE46</f>
        <v>2</v>
      </c>
      <c r="AX50" s="573">
        <f>INPUTS!AF46</f>
        <v>3</v>
      </c>
      <c r="AY50" s="573">
        <f>INPUTS!AG46</f>
        <v>2</v>
      </c>
      <c r="AZ50" s="573">
        <f>INPUTS!AH46</f>
        <v>3</v>
      </c>
      <c r="BA50" s="573">
        <f>INPUTS!AI46</f>
        <v>2</v>
      </c>
      <c r="BB50" s="573">
        <f>INPUTS!AJ46</f>
        <v>1</v>
      </c>
      <c r="BC50" s="573">
        <f>INPUTS!AK46</f>
        <v>3</v>
      </c>
      <c r="BD50" s="573">
        <f>INPUTS!AL46</f>
        <v>3</v>
      </c>
      <c r="BE50" s="573">
        <f>INPUTS!AM46</f>
        <v>2</v>
      </c>
      <c r="BF50" s="573">
        <f>INPUTS!AN46</f>
        <v>3</v>
      </c>
      <c r="BG50" s="573">
        <f>INPUTS!AO46</f>
        <v>2</v>
      </c>
      <c r="BH50" s="573">
        <f>INPUTS!AP46</f>
        <v>3</v>
      </c>
      <c r="BI50" s="573">
        <f>INPUTS!AQ46</f>
        <v>3</v>
      </c>
      <c r="BJ50" s="573">
        <f>INPUTS!AR46</f>
        <v>3</v>
      </c>
      <c r="BK50" s="573">
        <f>INPUTS!AS46</f>
        <v>3</v>
      </c>
      <c r="BL50" s="573">
        <f>INPUTS!AT46</f>
        <v>3</v>
      </c>
      <c r="BM50" s="573">
        <f>INPUTS!AU46</f>
        <v>2</v>
      </c>
      <c r="BN50" s="573">
        <f>INPUTS!AV46</f>
        <v>4</v>
      </c>
      <c r="BO50" s="573">
        <f>INPUTS!AW46</f>
        <v>3</v>
      </c>
      <c r="BP50" s="573">
        <f>INPUTS!AX46</f>
        <v>3</v>
      </c>
      <c r="BQ50" s="573">
        <f>INPUTS!AY46</f>
        <v>4</v>
      </c>
      <c r="BR50" s="573">
        <f>INPUTS!AZ46</f>
        <v>3</v>
      </c>
      <c r="BS50" s="573">
        <f>INPUTS!BA46</f>
        <v>3</v>
      </c>
    </row>
    <row r="51" spans="1:71" s="367" customFormat="1" ht="15" customHeight="1">
      <c r="A51" s="102"/>
      <c r="B51" s="271">
        <f>tblIndicators!A47</f>
        <v>46</v>
      </c>
      <c r="C51" s="271">
        <f>tblIndicators!AD47</f>
        <v>0</v>
      </c>
      <c r="D51" s="271">
        <f>tblIndicators!G47</f>
        <v>3</v>
      </c>
      <c r="E51" s="103" t="str">
        <f>tblIndicators!H47</f>
        <v>3_2_4</v>
      </c>
      <c r="F51" s="103"/>
      <c r="G51" s="271">
        <f>tblIndicators!AG47</f>
        <v>2</v>
      </c>
      <c r="H51" s="100" t="str">
        <f>REPT(" ",D51)&amp;tblIndicators!AL47</f>
        <v xml:space="preserve">   3.2.4) Open data access and use</v>
      </c>
      <c r="I51" s="101" t="str">
        <f>IF(G51=1,"",tblIndicators!Z47)</f>
        <v>Scale (0-100)</v>
      </c>
      <c r="K51" s="519">
        <f t="shared" si="63"/>
        <v>75</v>
      </c>
      <c r="L51" s="519">
        <f t="shared" si="64"/>
        <v>79</v>
      </c>
      <c r="M51" s="519">
        <f t="shared" si="65"/>
        <v>28</v>
      </c>
      <c r="N51" s="519">
        <f t="shared" si="66"/>
        <v>73</v>
      </c>
      <c r="O51" s="519">
        <f t="shared" si="67"/>
        <v>20</v>
      </c>
      <c r="P51" s="519">
        <f t="shared" si="68"/>
        <v>70</v>
      </c>
      <c r="Q51" s="519">
        <f t="shared" si="69"/>
        <v>38</v>
      </c>
      <c r="R51" s="519">
        <f t="shared" si="70"/>
        <v>71</v>
      </c>
      <c r="S51" s="519">
        <f t="shared" si="71"/>
        <v>82</v>
      </c>
      <c r="T51" s="519">
        <f t="shared" si="72"/>
        <v>26</v>
      </c>
      <c r="U51" s="519">
        <f t="shared" si="73"/>
        <v>70</v>
      </c>
      <c r="V51" s="519">
        <f t="shared" si="74"/>
        <v>59</v>
      </c>
      <c r="W51" s="519">
        <f t="shared" si="75"/>
        <v>38</v>
      </c>
      <c r="X51" s="519">
        <f t="shared" si="76"/>
        <v>28</v>
      </c>
      <c r="Y51" s="519">
        <f t="shared" si="77"/>
        <v>100</v>
      </c>
      <c r="Z51" s="519">
        <f t="shared" si="78"/>
        <v>73</v>
      </c>
      <c r="AA51" s="519">
        <f t="shared" si="79"/>
        <v>55</v>
      </c>
      <c r="AB51" s="519">
        <f t="shared" si="80"/>
        <v>73</v>
      </c>
      <c r="AC51" s="519">
        <f t="shared" si="81"/>
        <v>43</v>
      </c>
      <c r="AD51" s="519">
        <f t="shared" si="82"/>
        <v>82</v>
      </c>
      <c r="AE51" s="519">
        <f t="shared" si="83"/>
        <v>85</v>
      </c>
      <c r="AF51" s="519">
        <f t="shared" si="84"/>
        <v>56</v>
      </c>
      <c r="AG51" s="519">
        <f t="shared" si="85"/>
        <v>59</v>
      </c>
      <c r="AH51" s="519">
        <f t="shared" si="86"/>
        <v>81</v>
      </c>
      <c r="AI51" s="519">
        <f t="shared" si="87"/>
        <v>53</v>
      </c>
      <c r="AJ51" s="519">
        <f t="shared" si="88"/>
        <v>81</v>
      </c>
      <c r="AK51" s="519">
        <f t="shared" si="89"/>
        <v>75</v>
      </c>
      <c r="AL51" s="519">
        <f t="shared" si="90"/>
        <v>90</v>
      </c>
      <c r="AM51" s="519">
        <f t="shared" si="91"/>
        <v>82</v>
      </c>
      <c r="AN51" s="519">
        <f t="shared" si="92"/>
        <v>58</v>
      </c>
      <c r="AO51" s="364"/>
      <c r="AP51" s="573">
        <f>INPUTS!X47</f>
        <v>75</v>
      </c>
      <c r="AQ51" s="573">
        <f>INPUTS!Y47</f>
        <v>79</v>
      </c>
      <c r="AR51" s="573">
        <f>INPUTS!Z47</f>
        <v>28</v>
      </c>
      <c r="AS51" s="573">
        <f>INPUTS!AA47</f>
        <v>73</v>
      </c>
      <c r="AT51" s="573">
        <f>INPUTS!AB47</f>
        <v>20</v>
      </c>
      <c r="AU51" s="573">
        <f>INPUTS!AC47</f>
        <v>70</v>
      </c>
      <c r="AV51" s="573">
        <f>INPUTS!AD47</f>
        <v>38</v>
      </c>
      <c r="AW51" s="573">
        <f>INPUTS!AE47</f>
        <v>71</v>
      </c>
      <c r="AX51" s="573">
        <f>INPUTS!AF47</f>
        <v>82</v>
      </c>
      <c r="AY51" s="573">
        <f>INPUTS!AG47</f>
        <v>26</v>
      </c>
      <c r="AZ51" s="573">
        <f>INPUTS!AH47</f>
        <v>70</v>
      </c>
      <c r="BA51" s="573">
        <f>INPUTS!AI47</f>
        <v>58.67</v>
      </c>
      <c r="BB51" s="573">
        <f>INPUTS!AJ47</f>
        <v>38</v>
      </c>
      <c r="BC51" s="573">
        <f>INPUTS!AK47</f>
        <v>28</v>
      </c>
      <c r="BD51" s="573">
        <f>INPUTS!AL47</f>
        <v>100</v>
      </c>
      <c r="BE51" s="573">
        <f>INPUTS!AM47</f>
        <v>73</v>
      </c>
      <c r="BF51" s="573">
        <f>INPUTS!AN47</f>
        <v>55</v>
      </c>
      <c r="BG51" s="573">
        <f>INPUTS!AO47</f>
        <v>73</v>
      </c>
      <c r="BH51" s="573">
        <f>INPUTS!AP47</f>
        <v>43</v>
      </c>
      <c r="BI51" s="573">
        <f>INPUTS!AQ47</f>
        <v>82</v>
      </c>
      <c r="BJ51" s="573">
        <f>INPUTS!AR47</f>
        <v>85</v>
      </c>
      <c r="BK51" s="573">
        <f>INPUTS!AS47</f>
        <v>56</v>
      </c>
      <c r="BL51" s="573">
        <f>INPUTS!AT47</f>
        <v>59</v>
      </c>
      <c r="BM51" s="573">
        <f>INPUTS!AU47</f>
        <v>81</v>
      </c>
      <c r="BN51" s="573">
        <f>INPUTS!AV47</f>
        <v>53</v>
      </c>
      <c r="BO51" s="573">
        <f>INPUTS!AW47</f>
        <v>81</v>
      </c>
      <c r="BP51" s="573">
        <f>INPUTS!AX47</f>
        <v>75</v>
      </c>
      <c r="BQ51" s="573">
        <f>INPUTS!AY47</f>
        <v>90</v>
      </c>
      <c r="BR51" s="573">
        <f>INPUTS!AZ47</f>
        <v>82</v>
      </c>
      <c r="BS51" s="573">
        <f>INPUTS!BA47</f>
        <v>58</v>
      </c>
    </row>
    <row r="52" spans="1:71" s="367" customFormat="1" ht="15" customHeight="1">
      <c r="A52" s="102"/>
      <c r="B52" s="271">
        <f>tblIndicators!A48</f>
        <v>47</v>
      </c>
      <c r="C52" s="271">
        <f>tblIndicators!AD48</f>
        <v>1</v>
      </c>
      <c r="D52" s="271">
        <f>tblIndicators!G48</f>
        <v>3</v>
      </c>
      <c r="E52" s="103" t="str">
        <f>tblIndicators!H48</f>
        <v>3_2_5</v>
      </c>
      <c r="F52" s="103"/>
      <c r="G52" s="271">
        <f>tblIndicators!AG48</f>
        <v>2</v>
      </c>
      <c r="H52" s="100" t="str">
        <f>REPT(" ",D52)&amp;tblIndicators!AL48</f>
        <v xml:space="preserve">   3.2.5) Internet freedom</v>
      </c>
      <c r="I52" s="101" t="str">
        <f>IF(G52=1,"",tblIndicators!Z48)</f>
        <v>Scale (0-100)</v>
      </c>
      <c r="K52" s="519">
        <f t="shared" ref="K52" si="93">IF($G52=1,"",IF(AP52="-","",IF(ISNUMBER(AP52),ROUND(AP52,$C52),"")))</f>
        <v>78.5</v>
      </c>
      <c r="L52" s="519">
        <f t="shared" ref="L52" si="94">IF($G52=1,"",IF(AQ52="-","",IF(ISNUMBER(AQ52),ROUND(AQ52,$C52),"")))</f>
        <v>75</v>
      </c>
      <c r="M52" s="519">
        <f t="shared" ref="M52" si="95">IF($G52=1,"",IF(AR52="-","",IF(ISNUMBER(AR52),ROUND(AR52,$C52),"")))</f>
        <v>36</v>
      </c>
      <c r="N52" s="519">
        <f t="shared" ref="N52" si="96">IF($G52=1,"",IF(AS52="-","",IF(ISNUMBER(AS52),ROUND(AS52,$C52),"")))</f>
        <v>73.5</v>
      </c>
      <c r="O52" s="519">
        <f t="shared" ref="O52" si="97">IF($G52=1,"",IF(AT52="-","",IF(ISNUMBER(AT52),ROUND(AT52,$C52),"")))</f>
        <v>10</v>
      </c>
      <c r="P52" s="519">
        <f t="shared" ref="P52" si="98">IF($G52=1,"",IF(AU52="-","",IF(ISNUMBER(AU52),ROUND(AU52,$C52),"")))</f>
        <v>79</v>
      </c>
      <c r="Q52" s="519">
        <f t="shared" ref="Q52" si="99">IF($G52=1,"",IF(AV52="-","",IF(ISNUMBER(AV52),ROUND(AV52,$C52),"")))</f>
        <v>71</v>
      </c>
      <c r="R52" s="519">
        <f t="shared" ref="R52" si="100">IF($G52=1,"",IF(AW52="-","",IF(ISNUMBER(AW52),ROUND(AW52,$C52),"")))</f>
        <v>89.3</v>
      </c>
      <c r="S52" s="519">
        <f t="shared" ref="S52" si="101">IF($G52=1,"",IF(AX52="-","",IF(ISNUMBER(AX52),ROUND(AX52,$C52),"")))</f>
        <v>75</v>
      </c>
      <c r="T52" s="519">
        <f t="shared" ref="T52" si="102">IF($G52=1,"",IF(AY52="-","",IF(ISNUMBER(AY52),ROUND(AY52,$C52),"")))</f>
        <v>27</v>
      </c>
      <c r="U52" s="519">
        <f t="shared" ref="U52" si="103">IF($G52=1,"",IF(AZ52="-","",IF(ISNUMBER(AZ52),ROUND(AZ52,$C52),"")))</f>
        <v>79</v>
      </c>
      <c r="V52" s="519">
        <f t="shared" ref="V52" si="104">IF($G52=1,"",IF(BA52="-","",IF(ISNUMBER(BA52),ROUND(BA52,$C52),"")))</f>
        <v>51</v>
      </c>
      <c r="W52" s="519">
        <f t="shared" ref="W52" si="105">IF($G52=1,"",IF(BB52="-","",IF(ISNUMBER(BB52),ROUND(BB52,$C52),"")))</f>
        <v>48</v>
      </c>
      <c r="X52" s="519">
        <f t="shared" ref="X52" si="106">IF($G52=1,"",IF(BC52="-","",IF(ISNUMBER(BC52),ROUND(BC52,$C52),"")))</f>
        <v>58</v>
      </c>
      <c r="Y52" s="519">
        <f t="shared" ref="Y52" si="107">IF($G52=1,"",IF(BD52="-","",IF(ISNUMBER(BD52),ROUND(BD52,$C52),"")))</f>
        <v>78</v>
      </c>
      <c r="Z52" s="519">
        <f t="shared" ref="Z52" si="108">IF($G52=1,"",IF(BE52="-","",IF(ISNUMBER(BE52),ROUND(BE52,$C52),"")))</f>
        <v>73.5</v>
      </c>
      <c r="AA52" s="519">
        <f t="shared" ref="AA52" si="109">IF($G52=1,"",IF(BF52="-","",IF(ISNUMBER(BF52),ROUND(BF52,$C52),"")))</f>
        <v>65</v>
      </c>
      <c r="AB52" s="519">
        <f t="shared" ref="AB52" si="110">IF($G52=1,"",IF(BG52="-","",IF(ISNUMBER(BG52),ROUND(BG52,$C52),"")))</f>
        <v>60</v>
      </c>
      <c r="AC52" s="519">
        <f t="shared" ref="AC52" si="111">IF($G52=1,"",IF(BH52="-","",IF(ISNUMBER(BH52),ROUND(BH52,$C52),"")))</f>
        <v>49</v>
      </c>
      <c r="AD52" s="519">
        <f t="shared" ref="AD52" si="112">IF($G52=1,"",IF(BI52="-","",IF(ISNUMBER(BI52),ROUND(BI52,$C52),"")))</f>
        <v>75</v>
      </c>
      <c r="AE52" s="519">
        <f t="shared" ref="AE52" si="113">IF($G52=1,"",IF(BJ52="-","",IF(ISNUMBER(BJ52),ROUND(BJ52,$C52),"")))</f>
        <v>78</v>
      </c>
      <c r="AF52" s="519">
        <f t="shared" ref="AF52" si="114">IF($G52=1,"",IF(BK52="-","",IF(ISNUMBER(BK52),ROUND(BK52,$C52),"")))</f>
        <v>76</v>
      </c>
      <c r="AG52" s="519">
        <f t="shared" ref="AG52" si="115">IF($G52=1,"",IF(BL52="-","",IF(ISNUMBER(BL52),ROUND(BL52,$C52),"")))</f>
        <v>64</v>
      </c>
      <c r="AH52" s="519">
        <f t="shared" ref="AH52" si="116">IF($G52=1,"",IF(BM52="-","",IF(ISNUMBER(BM52),ROUND(BM52,$C52),"")))</f>
        <v>67</v>
      </c>
      <c r="AI52" s="519">
        <f t="shared" ref="AI52" si="117">IF($G52=1,"",IF(BN52="-","",IF(ISNUMBER(BN52),ROUND(BN52,$C52),"")))</f>
        <v>54</v>
      </c>
      <c r="AJ52" s="519">
        <f t="shared" ref="AJ52" si="118">IF($G52=1,"",IF(BO52="-","",IF(ISNUMBER(BO52),ROUND(BO52,$C52),"")))</f>
        <v>75</v>
      </c>
      <c r="AK52" s="519">
        <f t="shared" ref="AK52" si="119">IF($G52=1,"",IF(BP52="-","",IF(ISNUMBER(BP52),ROUND(BP52,$C52),"")))</f>
        <v>76</v>
      </c>
      <c r="AL52" s="519">
        <f t="shared" ref="AL52" si="120">IF($G52=1,"",IF(BQ52="-","",IF(ISNUMBER(BQ52),ROUND(BQ52,$C52),"")))</f>
        <v>87</v>
      </c>
      <c r="AM52" s="519">
        <f t="shared" ref="AM52" si="121">IF($G52=1,"",IF(BR52="-","",IF(ISNUMBER(BR52),ROUND(BR52,$C52),"")))</f>
        <v>75</v>
      </c>
      <c r="AN52" s="519">
        <f t="shared" ref="AN52" si="122">IF($G52=1,"",IF(BS52="-","",IF(ISNUMBER(BS52),ROUND(BS52,$C52),"")))</f>
        <v>78.5</v>
      </c>
      <c r="AO52" s="364"/>
      <c r="AP52" s="573">
        <f>INPUTS!X48</f>
        <v>78.5</v>
      </c>
      <c r="AQ52" s="573">
        <f>INPUTS!Y48</f>
        <v>75</v>
      </c>
      <c r="AR52" s="573">
        <f>INPUTS!Z48</f>
        <v>36</v>
      </c>
      <c r="AS52" s="573">
        <f>INPUTS!AA48</f>
        <v>73.5</v>
      </c>
      <c r="AT52" s="573">
        <f>INPUTS!AB48</f>
        <v>10</v>
      </c>
      <c r="AU52" s="573">
        <f>INPUTS!AC48</f>
        <v>79</v>
      </c>
      <c r="AV52" s="573">
        <f>INPUTS!AD48</f>
        <v>71</v>
      </c>
      <c r="AW52" s="573">
        <f>INPUTS!AE48</f>
        <v>89.33</v>
      </c>
      <c r="AX52" s="573">
        <f>INPUTS!AF48</f>
        <v>75</v>
      </c>
      <c r="AY52" s="573">
        <f>INPUTS!AG48</f>
        <v>27</v>
      </c>
      <c r="AZ52" s="573">
        <f>INPUTS!AH48</f>
        <v>79</v>
      </c>
      <c r="BA52" s="573">
        <f>INPUTS!AI48</f>
        <v>51</v>
      </c>
      <c r="BB52" s="573">
        <f>INPUTS!AJ48</f>
        <v>48</v>
      </c>
      <c r="BC52" s="573">
        <f>INPUTS!AK48</f>
        <v>58</v>
      </c>
      <c r="BD52" s="573">
        <f>INPUTS!AL48</f>
        <v>78</v>
      </c>
      <c r="BE52" s="573">
        <f>INPUTS!AM48</f>
        <v>73.5</v>
      </c>
      <c r="BF52" s="573">
        <f>INPUTS!AN48</f>
        <v>65</v>
      </c>
      <c r="BG52" s="573">
        <f>INPUTS!AO48</f>
        <v>60</v>
      </c>
      <c r="BH52" s="573">
        <f>INPUTS!AP48</f>
        <v>49</v>
      </c>
      <c r="BI52" s="573">
        <f>INPUTS!AQ48</f>
        <v>75</v>
      </c>
      <c r="BJ52" s="573">
        <f>INPUTS!AR48</f>
        <v>78</v>
      </c>
      <c r="BK52" s="573">
        <f>INPUTS!AS48</f>
        <v>76</v>
      </c>
      <c r="BL52" s="573">
        <f>INPUTS!AT48</f>
        <v>64</v>
      </c>
      <c r="BM52" s="573">
        <f>INPUTS!AU48</f>
        <v>67</v>
      </c>
      <c r="BN52" s="573">
        <f>INPUTS!AV48</f>
        <v>54</v>
      </c>
      <c r="BO52" s="573">
        <f>INPUTS!AW48</f>
        <v>75</v>
      </c>
      <c r="BP52" s="573">
        <f>INPUTS!AX48</f>
        <v>76</v>
      </c>
      <c r="BQ52" s="573">
        <f>INPUTS!AY48</f>
        <v>87</v>
      </c>
      <c r="BR52" s="573">
        <f>INPUTS!AZ48</f>
        <v>75</v>
      </c>
      <c r="BS52" s="573">
        <f>INPUTS!BA48</f>
        <v>78.5</v>
      </c>
    </row>
    <row r="53" spans="1:71" s="367" customFormat="1" ht="15" customHeight="1">
      <c r="A53" s="102"/>
      <c r="B53" s="271">
        <f>tblIndicators!A49</f>
        <v>48</v>
      </c>
      <c r="C53" s="271">
        <f>tblIndicators!AD49</f>
        <v>1</v>
      </c>
      <c r="D53" s="271">
        <f>tblIndicators!G49</f>
        <v>2</v>
      </c>
      <c r="E53" s="103" t="str">
        <f>tblIndicators!H49</f>
        <v>3_3</v>
      </c>
      <c r="F53" s="103"/>
      <c r="G53" s="271">
        <f>tblIndicators!AG49</f>
        <v>1</v>
      </c>
      <c r="H53" s="100" t="str">
        <f>REPT(" ",D53)&amp;tblIndicators!AL49</f>
        <v xml:space="preserve">  3.3) Innovation ecosystem</v>
      </c>
      <c r="I53" s="101" t="str">
        <f>IF(G53=1,"",tblIndicators!Z49)</f>
        <v/>
      </c>
      <c r="K53" s="519" t="str">
        <f t="shared" si="63"/>
        <v/>
      </c>
      <c r="L53" s="519" t="str">
        <f t="shared" si="64"/>
        <v/>
      </c>
      <c r="M53" s="519" t="str">
        <f t="shared" si="65"/>
        <v/>
      </c>
      <c r="N53" s="519" t="str">
        <f t="shared" si="66"/>
        <v/>
      </c>
      <c r="O53" s="519" t="str">
        <f t="shared" si="67"/>
        <v/>
      </c>
      <c r="P53" s="519" t="str">
        <f t="shared" si="68"/>
        <v/>
      </c>
      <c r="Q53" s="519" t="str">
        <f t="shared" si="69"/>
        <v/>
      </c>
      <c r="R53" s="519" t="str">
        <f t="shared" si="70"/>
        <v/>
      </c>
      <c r="S53" s="519" t="str">
        <f t="shared" si="71"/>
        <v/>
      </c>
      <c r="T53" s="519" t="str">
        <f t="shared" si="72"/>
        <v/>
      </c>
      <c r="U53" s="519" t="str">
        <f t="shared" si="73"/>
        <v/>
      </c>
      <c r="V53" s="519" t="str">
        <f t="shared" si="74"/>
        <v/>
      </c>
      <c r="W53" s="519" t="str">
        <f t="shared" si="75"/>
        <v/>
      </c>
      <c r="X53" s="519" t="str">
        <f t="shared" si="76"/>
        <v/>
      </c>
      <c r="Y53" s="519" t="str">
        <f t="shared" si="77"/>
        <v/>
      </c>
      <c r="Z53" s="519" t="str">
        <f t="shared" si="78"/>
        <v/>
      </c>
      <c r="AA53" s="519" t="str">
        <f t="shared" si="79"/>
        <v/>
      </c>
      <c r="AB53" s="519" t="str">
        <f t="shared" si="80"/>
        <v/>
      </c>
      <c r="AC53" s="519" t="str">
        <f t="shared" si="81"/>
        <v/>
      </c>
      <c r="AD53" s="519" t="str">
        <f t="shared" si="82"/>
        <v/>
      </c>
      <c r="AE53" s="519" t="str">
        <f t="shared" si="83"/>
        <v/>
      </c>
      <c r="AF53" s="519" t="str">
        <f t="shared" si="84"/>
        <v/>
      </c>
      <c r="AG53" s="519" t="str">
        <f t="shared" si="85"/>
        <v/>
      </c>
      <c r="AH53" s="519" t="str">
        <f t="shared" si="86"/>
        <v/>
      </c>
      <c r="AI53" s="519" t="str">
        <f t="shared" si="87"/>
        <v/>
      </c>
      <c r="AJ53" s="519" t="str">
        <f t="shared" si="88"/>
        <v/>
      </c>
      <c r="AK53" s="519" t="str">
        <f t="shared" si="89"/>
        <v/>
      </c>
      <c r="AL53" s="519" t="str">
        <f t="shared" si="90"/>
        <v/>
      </c>
      <c r="AM53" s="519" t="str">
        <f t="shared" si="91"/>
        <v/>
      </c>
      <c r="AN53" s="519" t="str">
        <f t="shared" si="92"/>
        <v/>
      </c>
      <c r="AO53" s="364"/>
      <c r="AP53" s="573"/>
      <c r="AQ53" s="573"/>
      <c r="AR53" s="573"/>
      <c r="AS53" s="573"/>
      <c r="AT53" s="573"/>
      <c r="AU53" s="573"/>
      <c r="AV53" s="573"/>
      <c r="AW53" s="573"/>
      <c r="AX53" s="573"/>
      <c r="AY53" s="573"/>
      <c r="AZ53" s="573"/>
      <c r="BA53" s="573"/>
      <c r="BB53" s="573"/>
      <c r="BC53" s="573"/>
      <c r="BD53" s="573"/>
      <c r="BE53" s="573"/>
      <c r="BF53" s="573"/>
      <c r="BG53" s="573"/>
      <c r="BH53" s="573"/>
      <c r="BI53" s="573"/>
      <c r="BJ53" s="573"/>
      <c r="BK53" s="573"/>
      <c r="BL53" s="573"/>
      <c r="BM53" s="573"/>
      <c r="BN53" s="573"/>
      <c r="BO53" s="573"/>
      <c r="BP53" s="573"/>
      <c r="BQ53" s="573"/>
      <c r="BR53" s="573"/>
      <c r="BS53" s="573"/>
    </row>
    <row r="54" spans="1:71" s="367" customFormat="1" ht="15" customHeight="1">
      <c r="A54" s="102"/>
      <c r="B54" s="271">
        <f>tblIndicators!A50</f>
        <v>49</v>
      </c>
      <c r="C54" s="271">
        <f>tblIndicators!AD50</f>
        <v>1</v>
      </c>
      <c r="D54" s="271">
        <f>tblIndicators!G50</f>
        <v>3</v>
      </c>
      <c r="E54" s="103" t="str">
        <f>tblIndicators!H50</f>
        <v>3_3_1</v>
      </c>
      <c r="F54" s="103"/>
      <c r="G54" s="271">
        <f>tblIndicators!AG50</f>
        <v>2</v>
      </c>
      <c r="H54" s="100" t="str">
        <f>REPT(" ",D54)&amp;tblIndicators!AL50</f>
        <v xml:space="preserve">   3.3.1) AI readiness of government</v>
      </c>
      <c r="I54" s="101" t="str">
        <f>IF(G54=1,"",tblIndicators!Z50)</f>
        <v>Scale (0-100)</v>
      </c>
      <c r="K54" s="519">
        <f t="shared" si="63"/>
        <v>75.3</v>
      </c>
      <c r="L54" s="519">
        <f t="shared" si="64"/>
        <v>68.099999999999994</v>
      </c>
      <c r="M54" s="519">
        <f t="shared" si="65"/>
        <v>48.2</v>
      </c>
      <c r="N54" s="519">
        <f t="shared" si="66"/>
        <v>68</v>
      </c>
      <c r="O54" s="519">
        <f t="shared" si="67"/>
        <v>69.099999999999994</v>
      </c>
      <c r="P54" s="519">
        <f t="shared" si="68"/>
        <v>79</v>
      </c>
      <c r="Q54" s="519">
        <f t="shared" si="69"/>
        <v>50.8</v>
      </c>
      <c r="R54" s="519">
        <f t="shared" si="70"/>
        <v>75.599999999999994</v>
      </c>
      <c r="S54" s="519">
        <f t="shared" si="71"/>
        <v>85.5</v>
      </c>
      <c r="T54" s="519">
        <f t="shared" si="72"/>
        <v>72.400000000000006</v>
      </c>
      <c r="U54" s="519">
        <f t="shared" si="73"/>
        <v>79</v>
      </c>
      <c r="V54" s="519">
        <f t="shared" si="74"/>
        <v>68.8</v>
      </c>
      <c r="W54" s="519">
        <f t="shared" si="75"/>
        <v>47.5</v>
      </c>
      <c r="X54" s="519">
        <f t="shared" si="76"/>
        <v>63.7</v>
      </c>
      <c r="Y54" s="519">
        <f t="shared" si="77"/>
        <v>81.099999999999994</v>
      </c>
      <c r="Z54" s="519">
        <f t="shared" si="78"/>
        <v>68</v>
      </c>
      <c r="AA54" s="519">
        <f t="shared" si="79"/>
        <v>42.9</v>
      </c>
      <c r="AB54" s="519">
        <f t="shared" si="80"/>
        <v>49.4</v>
      </c>
      <c r="AC54" s="519">
        <f t="shared" si="81"/>
        <v>56</v>
      </c>
      <c r="AD54" s="519">
        <f t="shared" si="82"/>
        <v>85.5</v>
      </c>
      <c r="AE54" s="519">
        <f t="shared" si="83"/>
        <v>73.8</v>
      </c>
      <c r="AF54" s="519">
        <f t="shared" si="84"/>
        <v>65.400000000000006</v>
      </c>
      <c r="AG54" s="519">
        <f t="shared" si="85"/>
        <v>47.5</v>
      </c>
      <c r="AH54" s="519">
        <f t="shared" si="86"/>
        <v>77.7</v>
      </c>
      <c r="AI54" s="519">
        <f t="shared" si="87"/>
        <v>78.7</v>
      </c>
      <c r="AJ54" s="519">
        <f t="shared" si="88"/>
        <v>73.599999999999994</v>
      </c>
      <c r="AK54" s="519">
        <f t="shared" si="89"/>
        <v>73.3</v>
      </c>
      <c r="AL54" s="519">
        <f t="shared" si="90"/>
        <v>73.2</v>
      </c>
      <c r="AM54" s="519">
        <f t="shared" si="91"/>
        <v>85.5</v>
      </c>
      <c r="AN54" s="519">
        <f t="shared" si="92"/>
        <v>69.2</v>
      </c>
      <c r="AO54" s="364"/>
      <c r="AP54" s="573">
        <f>INPUTS!X50</f>
        <v>75.296999999999997</v>
      </c>
      <c r="AQ54" s="573">
        <f>INPUTS!Y50</f>
        <v>68.146000000000001</v>
      </c>
      <c r="AR54" s="573">
        <f>INPUTS!Z50</f>
        <v>48.155999999999999</v>
      </c>
      <c r="AS54" s="573">
        <f>INPUTS!AA50</f>
        <v>68.040999999999997</v>
      </c>
      <c r="AT54" s="573">
        <f>INPUTS!AB50</f>
        <v>69.08</v>
      </c>
      <c r="AU54" s="573">
        <f>INPUTS!AC50</f>
        <v>78.974000000000004</v>
      </c>
      <c r="AV54" s="573">
        <f>INPUTS!AD50</f>
        <v>50.753999999999998</v>
      </c>
      <c r="AW54" s="573">
        <f>INPUTS!AE50</f>
        <v>75.617999999999995</v>
      </c>
      <c r="AX54" s="573">
        <f>INPUTS!AF50</f>
        <v>85.478999999999999</v>
      </c>
      <c r="AY54" s="573">
        <f>INPUTS!AG50</f>
        <v>72.394999999999996</v>
      </c>
      <c r="AZ54" s="573">
        <f>INPUTS!AH50</f>
        <v>78.974000000000004</v>
      </c>
      <c r="BA54" s="573">
        <f>INPUTS!AI50</f>
        <v>68.840999999999994</v>
      </c>
      <c r="BB54" s="573">
        <f>INPUTS!AJ50</f>
        <v>47.527999999999999</v>
      </c>
      <c r="BC54" s="573">
        <f>INPUTS!AK50</f>
        <v>63.662999999999997</v>
      </c>
      <c r="BD54" s="573">
        <f>INPUTS!AL50</f>
        <v>81.123999999999995</v>
      </c>
      <c r="BE54" s="573">
        <f>INPUTS!AM50</f>
        <v>68.040999999999997</v>
      </c>
      <c r="BF54" s="573">
        <f>INPUTS!AN50</f>
        <v>42.944000000000003</v>
      </c>
      <c r="BG54" s="573">
        <f>INPUTS!AO50</f>
        <v>49.357999999999997</v>
      </c>
      <c r="BH54" s="573">
        <f>INPUTS!AP50</f>
        <v>55.982999999999997</v>
      </c>
      <c r="BI54" s="573">
        <f>INPUTS!AQ50</f>
        <v>85.478999999999999</v>
      </c>
      <c r="BJ54" s="573">
        <f>INPUTS!AR50</f>
        <v>73.766999999999996</v>
      </c>
      <c r="BK54" s="573">
        <f>INPUTS!AS50</f>
        <v>65.391000000000005</v>
      </c>
      <c r="BL54" s="573">
        <f>INPUTS!AT50</f>
        <v>47.463999999999999</v>
      </c>
      <c r="BM54" s="573">
        <f>INPUTS!AU50</f>
        <v>77.694999999999993</v>
      </c>
      <c r="BN54" s="573">
        <f>INPUTS!AV50</f>
        <v>78.703999999999994</v>
      </c>
      <c r="BO54" s="573">
        <f>INPUTS!AW50</f>
        <v>73.576999999999998</v>
      </c>
      <c r="BP54" s="573">
        <f>INPUTS!AX50</f>
        <v>73.302999999999997</v>
      </c>
      <c r="BQ54" s="573">
        <f>INPUTS!AY50</f>
        <v>73.158000000000001</v>
      </c>
      <c r="BR54" s="573">
        <f>INPUTS!AZ50</f>
        <v>85.478999999999999</v>
      </c>
      <c r="BS54" s="573">
        <f>INPUTS!BA50</f>
        <v>69.218999999999994</v>
      </c>
    </row>
    <row r="55" spans="1:71" s="367" customFormat="1" ht="15" customHeight="1">
      <c r="A55" s="102"/>
      <c r="B55" s="271">
        <f>tblIndicators!A51</f>
        <v>50</v>
      </c>
      <c r="C55" s="271">
        <f>tblIndicators!AD51</f>
        <v>0</v>
      </c>
      <c r="D55" s="271">
        <f>tblIndicators!G51</f>
        <v>3</v>
      </c>
      <c r="E55" s="103" t="str">
        <f>tblIndicators!H51</f>
        <v>3_3_2</v>
      </c>
      <c r="F55" s="103"/>
      <c r="G55" s="271">
        <f>tblIndicators!AG51</f>
        <v>3</v>
      </c>
      <c r="H55" s="100" t="str">
        <f>REPT(" ",D55)&amp;tblIndicators!AL51</f>
        <v xml:space="preserve">   3.3.2) Blockchain technology strategy</v>
      </c>
      <c r="I55" s="101" t="str">
        <f>IF(G55=1,"",tblIndicators!Z51)</f>
        <v>Scale (0-3)</v>
      </c>
      <c r="K55" s="519">
        <f t="shared" si="63"/>
        <v>1</v>
      </c>
      <c r="L55" s="519">
        <f t="shared" si="64"/>
        <v>0</v>
      </c>
      <c r="M55" s="519">
        <f t="shared" si="65"/>
        <v>0</v>
      </c>
      <c r="N55" s="519">
        <f t="shared" si="66"/>
        <v>2</v>
      </c>
      <c r="O55" s="519">
        <f t="shared" si="67"/>
        <v>3</v>
      </c>
      <c r="P55" s="519">
        <f t="shared" si="68"/>
        <v>2</v>
      </c>
      <c r="Q55" s="519">
        <f t="shared" si="69"/>
        <v>0</v>
      </c>
      <c r="R55" s="519">
        <f t="shared" si="70"/>
        <v>1</v>
      </c>
      <c r="S55" s="519">
        <f t="shared" si="71"/>
        <v>0</v>
      </c>
      <c r="T55" s="519">
        <f t="shared" si="72"/>
        <v>3</v>
      </c>
      <c r="U55" s="519">
        <f t="shared" si="73"/>
        <v>2</v>
      </c>
      <c r="V55" s="519">
        <f t="shared" si="74"/>
        <v>0</v>
      </c>
      <c r="W55" s="519">
        <f t="shared" si="75"/>
        <v>0</v>
      </c>
      <c r="X55" s="519">
        <f t="shared" si="76"/>
        <v>0</v>
      </c>
      <c r="Y55" s="519">
        <f t="shared" si="77"/>
        <v>0</v>
      </c>
      <c r="Z55" s="519">
        <f t="shared" si="78"/>
        <v>0</v>
      </c>
      <c r="AA55" s="519">
        <f t="shared" si="79"/>
        <v>0</v>
      </c>
      <c r="AB55" s="519">
        <f t="shared" si="80"/>
        <v>0</v>
      </c>
      <c r="AC55" s="519">
        <f t="shared" si="81"/>
        <v>3</v>
      </c>
      <c r="AD55" s="519">
        <f t="shared" si="82"/>
        <v>0</v>
      </c>
      <c r="AE55" s="519">
        <f t="shared" si="83"/>
        <v>1</v>
      </c>
      <c r="AF55" s="519">
        <f t="shared" si="84"/>
        <v>1</v>
      </c>
      <c r="AG55" s="519">
        <f t="shared" si="85"/>
        <v>2</v>
      </c>
      <c r="AH55" s="519">
        <f t="shared" si="86"/>
        <v>3</v>
      </c>
      <c r="AI55" s="519">
        <f t="shared" si="87"/>
        <v>3</v>
      </c>
      <c r="AJ55" s="519">
        <f t="shared" si="88"/>
        <v>3</v>
      </c>
      <c r="AK55" s="519">
        <f t="shared" si="89"/>
        <v>0</v>
      </c>
      <c r="AL55" s="519">
        <f t="shared" si="90"/>
        <v>0</v>
      </c>
      <c r="AM55" s="519">
        <f t="shared" si="91"/>
        <v>0</v>
      </c>
      <c r="AN55" s="519">
        <f t="shared" si="92"/>
        <v>2</v>
      </c>
      <c r="AO55" s="364"/>
      <c r="AP55" s="573">
        <f>INPUTS!X51</f>
        <v>1</v>
      </c>
      <c r="AQ55" s="573">
        <f>INPUTS!Y51</f>
        <v>0</v>
      </c>
      <c r="AR55" s="573">
        <f>INPUTS!Z51</f>
        <v>0</v>
      </c>
      <c r="AS55" s="573">
        <f>INPUTS!AA51</f>
        <v>2</v>
      </c>
      <c r="AT55" s="573">
        <f>INPUTS!AB51</f>
        <v>3</v>
      </c>
      <c r="AU55" s="573">
        <f>INPUTS!AC51</f>
        <v>2</v>
      </c>
      <c r="AV55" s="573">
        <f>INPUTS!AD51</f>
        <v>0</v>
      </c>
      <c r="AW55" s="573">
        <f>INPUTS!AE51</f>
        <v>1</v>
      </c>
      <c r="AX55" s="573">
        <f>INPUTS!AF51</f>
        <v>0</v>
      </c>
      <c r="AY55" s="573">
        <f>INPUTS!AG51</f>
        <v>3</v>
      </c>
      <c r="AZ55" s="573">
        <f>INPUTS!AH51</f>
        <v>2</v>
      </c>
      <c r="BA55" s="573">
        <f>INPUTS!AI51</f>
        <v>0</v>
      </c>
      <c r="BB55" s="573">
        <f>INPUTS!AJ51</f>
        <v>0</v>
      </c>
      <c r="BC55" s="573">
        <f>INPUTS!AK51</f>
        <v>0</v>
      </c>
      <c r="BD55" s="573">
        <f>INPUTS!AL51</f>
        <v>0</v>
      </c>
      <c r="BE55" s="573">
        <f>INPUTS!AM51</f>
        <v>0</v>
      </c>
      <c r="BF55" s="573">
        <f>INPUTS!AN51</f>
        <v>0</v>
      </c>
      <c r="BG55" s="573">
        <f>INPUTS!AO51</f>
        <v>0</v>
      </c>
      <c r="BH55" s="573">
        <f>INPUTS!AP51</f>
        <v>3</v>
      </c>
      <c r="BI55" s="573">
        <f>INPUTS!AQ51</f>
        <v>0</v>
      </c>
      <c r="BJ55" s="573">
        <f>INPUTS!AR51</f>
        <v>1</v>
      </c>
      <c r="BK55" s="573">
        <f>INPUTS!AS51</f>
        <v>1</v>
      </c>
      <c r="BL55" s="573">
        <f>INPUTS!AT51</f>
        <v>2</v>
      </c>
      <c r="BM55" s="573">
        <f>INPUTS!AU51</f>
        <v>3</v>
      </c>
      <c r="BN55" s="573">
        <f>INPUTS!AV51</f>
        <v>3</v>
      </c>
      <c r="BO55" s="573">
        <f>INPUTS!AW51</f>
        <v>3</v>
      </c>
      <c r="BP55" s="573">
        <f>INPUTS!AX51</f>
        <v>0</v>
      </c>
      <c r="BQ55" s="573">
        <f>INPUTS!AY51</f>
        <v>0</v>
      </c>
      <c r="BR55" s="573">
        <f>INPUTS!AZ51</f>
        <v>0</v>
      </c>
      <c r="BS55" s="573">
        <f>INPUTS!BA51</f>
        <v>2</v>
      </c>
    </row>
    <row r="56" spans="1:71" s="367" customFormat="1" ht="15" customHeight="1">
      <c r="A56" s="102"/>
      <c r="B56" s="271">
        <f>tblIndicators!A52</f>
        <v>51</v>
      </c>
      <c r="C56" s="271">
        <f>tblIndicators!AD52</f>
        <v>1</v>
      </c>
      <c r="D56" s="271">
        <f>tblIndicators!G52</f>
        <v>3</v>
      </c>
      <c r="E56" s="103" t="str">
        <f>tblIndicators!H52</f>
        <v>3_3_3</v>
      </c>
      <c r="F56" s="103"/>
      <c r="G56" s="271">
        <f>tblIndicators!AG52</f>
        <v>2</v>
      </c>
      <c r="H56" s="100" t="str">
        <f>REPT(" ",D56)&amp;tblIndicators!AL52</f>
        <v xml:space="preserve">   3.3.3) Tech startup ecosytem</v>
      </c>
      <c r="I56" s="101" t="str">
        <f>IF(G56=1,"",tblIndicators!Z52)</f>
        <v>Score</v>
      </c>
      <c r="K56" s="519">
        <f t="shared" si="63"/>
        <v>10.3</v>
      </c>
      <c r="L56" s="519">
        <f t="shared" si="64"/>
        <v>1.5</v>
      </c>
      <c r="M56" s="519">
        <f t="shared" si="65"/>
        <v>4.2</v>
      </c>
      <c r="N56" s="519">
        <f t="shared" si="66"/>
        <v>8.6</v>
      </c>
      <c r="O56" s="519">
        <f t="shared" si="67"/>
        <v>63.6</v>
      </c>
      <c r="P56" s="519">
        <f t="shared" si="68"/>
        <v>20.399999999999999</v>
      </c>
      <c r="Q56" s="519">
        <f t="shared" si="69"/>
        <v>5.2</v>
      </c>
      <c r="R56" s="519">
        <f t="shared" si="70"/>
        <v>3.4</v>
      </c>
      <c r="S56" s="519">
        <f t="shared" si="71"/>
        <v>11.7</v>
      </c>
      <c r="T56" s="519">
        <f t="shared" si="72"/>
        <v>4.0999999999999996</v>
      </c>
      <c r="U56" s="519">
        <f t="shared" si="73"/>
        <v>2</v>
      </c>
      <c r="V56" s="519">
        <f t="shared" si="74"/>
        <v>11</v>
      </c>
      <c r="W56" s="519">
        <f t="shared" si="75"/>
        <v>11.5</v>
      </c>
      <c r="X56" s="519">
        <f t="shared" si="76"/>
        <v>3.2</v>
      </c>
      <c r="Y56" s="519">
        <f t="shared" si="77"/>
        <v>53.2</v>
      </c>
      <c r="Z56" s="519">
        <f t="shared" si="78"/>
        <v>6.2</v>
      </c>
      <c r="AA56" s="519">
        <f t="shared" si="79"/>
        <v>3.7</v>
      </c>
      <c r="AB56" s="519">
        <f t="shared" si="80"/>
        <v>5.8</v>
      </c>
      <c r="AC56" s="519">
        <f t="shared" si="81"/>
        <v>19.8</v>
      </c>
      <c r="AD56" s="519">
        <f t="shared" si="82"/>
        <v>107</v>
      </c>
      <c r="AE56" s="519">
        <f t="shared" si="83"/>
        <v>21.9</v>
      </c>
      <c r="AF56" s="519">
        <f t="shared" si="84"/>
        <v>1.2</v>
      </c>
      <c r="AG56" s="519">
        <f t="shared" si="85"/>
        <v>15.4</v>
      </c>
      <c r="AH56" s="519">
        <f t="shared" si="86"/>
        <v>13.4</v>
      </c>
      <c r="AI56" s="519">
        <f t="shared" si="87"/>
        <v>12.4</v>
      </c>
      <c r="AJ56" s="519">
        <f t="shared" si="88"/>
        <v>8.5</v>
      </c>
      <c r="AK56" s="519">
        <f t="shared" si="89"/>
        <v>18.5</v>
      </c>
      <c r="AL56" s="519">
        <f t="shared" si="90"/>
        <v>12.1</v>
      </c>
      <c r="AM56" s="519">
        <f t="shared" si="91"/>
        <v>14.3</v>
      </c>
      <c r="AN56" s="519">
        <f t="shared" si="92"/>
        <v>4</v>
      </c>
      <c r="AO56" s="364"/>
      <c r="AP56" s="573">
        <f>INPUTS!X52</f>
        <v>10.280000000000001</v>
      </c>
      <c r="AQ56" s="573">
        <f>INPUTS!Y52</f>
        <v>1.5</v>
      </c>
      <c r="AR56" s="573">
        <f>INPUTS!Z52</f>
        <v>4.1999999999999993</v>
      </c>
      <c r="AS56" s="573">
        <f>INPUTS!AA52</f>
        <v>8.6</v>
      </c>
      <c r="AT56" s="573">
        <f>INPUTS!AB52</f>
        <v>63.62</v>
      </c>
      <c r="AU56" s="573">
        <f>INPUTS!AC52</f>
        <v>20.380000000000003</v>
      </c>
      <c r="AV56" s="573">
        <f>INPUTS!AD52</f>
        <v>5.17</v>
      </c>
      <c r="AW56" s="573">
        <f>INPUTS!AE52</f>
        <v>3.41</v>
      </c>
      <c r="AX56" s="573">
        <f>INPUTS!AF52</f>
        <v>11.74</v>
      </c>
      <c r="AY56" s="573">
        <f>INPUTS!AG52</f>
        <v>4.08</v>
      </c>
      <c r="AZ56" s="573">
        <f>INPUTS!AH52</f>
        <v>1.9500000000000002</v>
      </c>
      <c r="BA56" s="573">
        <f>INPUTS!AI52</f>
        <v>10.95</v>
      </c>
      <c r="BB56" s="573">
        <f>INPUTS!AJ52</f>
        <v>11.459999999999999</v>
      </c>
      <c r="BC56" s="573">
        <f>INPUTS!AK52</f>
        <v>3.23</v>
      </c>
      <c r="BD56" s="573">
        <f>INPUTS!AL52</f>
        <v>53.209999999999994</v>
      </c>
      <c r="BE56" s="573">
        <f>INPUTS!AM52</f>
        <v>6.24</v>
      </c>
      <c r="BF56" s="573">
        <f>INPUTS!AN52</f>
        <v>3.69</v>
      </c>
      <c r="BG56" s="573">
        <f>INPUTS!AO52</f>
        <v>5.84</v>
      </c>
      <c r="BH56" s="573">
        <f>INPUTS!AP52</f>
        <v>19.78</v>
      </c>
      <c r="BI56" s="573">
        <f>INPUTS!AQ52</f>
        <v>106.97999999999999</v>
      </c>
      <c r="BJ56" s="573">
        <f>INPUTS!AR52</f>
        <v>21.89</v>
      </c>
      <c r="BK56" s="573">
        <f>INPUTS!AS52</f>
        <v>1.1499999999999999</v>
      </c>
      <c r="BL56" s="573">
        <f>INPUTS!AT52</f>
        <v>15.350000000000001</v>
      </c>
      <c r="BM56" s="573">
        <f>INPUTS!AU52</f>
        <v>13.43</v>
      </c>
      <c r="BN56" s="573">
        <f>INPUTS!AV52</f>
        <v>12.41</v>
      </c>
      <c r="BO56" s="573">
        <f>INPUTS!AW52</f>
        <v>8.5</v>
      </c>
      <c r="BP56" s="573">
        <f>INPUTS!AX52</f>
        <v>18.5</v>
      </c>
      <c r="BQ56" s="573">
        <f>INPUTS!AY52</f>
        <v>12.129999999999999</v>
      </c>
      <c r="BR56" s="573">
        <f>INPUTS!AZ52</f>
        <v>14.26</v>
      </c>
      <c r="BS56" s="573">
        <f>INPUTS!BA52</f>
        <v>3.98</v>
      </c>
    </row>
    <row r="57" spans="1:71" s="367" customFormat="1" ht="15" customHeight="1">
      <c r="A57" s="102"/>
      <c r="B57" s="271">
        <f>tblIndicators!A53</f>
        <v>52</v>
      </c>
      <c r="C57" s="271">
        <f>tblIndicators!AD53</f>
        <v>0</v>
      </c>
      <c r="D57" s="271">
        <f>tblIndicators!G53</f>
        <v>3</v>
      </c>
      <c r="E57" s="103" t="str">
        <f>tblIndicators!H53</f>
        <v>3_3_4</v>
      </c>
      <c r="F57" s="103"/>
      <c r="G57" s="271">
        <f>tblIndicators!AG53</f>
        <v>3</v>
      </c>
      <c r="H57" s="100" t="str">
        <f>REPT(" ",D57)&amp;tblIndicators!AL53</f>
        <v xml:space="preserve">   3.3.4) Intellectual property rights</v>
      </c>
      <c r="I57" s="101" t="str">
        <f>IF(G57=1,"",tblIndicators!Z53)</f>
        <v>Scale (1-5)</v>
      </c>
      <c r="K57" s="519">
        <f t="shared" si="63"/>
        <v>5</v>
      </c>
      <c r="L57" s="519">
        <f t="shared" si="64"/>
        <v>4</v>
      </c>
      <c r="M57" s="519">
        <f t="shared" si="65"/>
        <v>2</v>
      </c>
      <c r="N57" s="519">
        <f t="shared" si="66"/>
        <v>4</v>
      </c>
      <c r="O57" s="519">
        <f t="shared" si="67"/>
        <v>2</v>
      </c>
      <c r="P57" s="519">
        <f t="shared" si="68"/>
        <v>5</v>
      </c>
      <c r="Q57" s="519">
        <f t="shared" si="69"/>
        <v>3</v>
      </c>
      <c r="R57" s="519">
        <f t="shared" si="70"/>
        <v>5</v>
      </c>
      <c r="S57" s="519">
        <f t="shared" si="71"/>
        <v>5</v>
      </c>
      <c r="T57" s="519">
        <f t="shared" si="72"/>
        <v>4</v>
      </c>
      <c r="U57" s="519">
        <f t="shared" si="73"/>
        <v>5</v>
      </c>
      <c r="V57" s="519">
        <f t="shared" si="74"/>
        <v>4</v>
      </c>
      <c r="W57" s="519">
        <f t="shared" si="75"/>
        <v>2</v>
      </c>
      <c r="X57" s="519">
        <f t="shared" si="76"/>
        <v>3</v>
      </c>
      <c r="Y57" s="519">
        <f t="shared" si="77"/>
        <v>5</v>
      </c>
      <c r="Z57" s="519">
        <f t="shared" si="78"/>
        <v>4</v>
      </c>
      <c r="AA57" s="519">
        <f t="shared" si="79"/>
        <v>2</v>
      </c>
      <c r="AB57" s="519">
        <f t="shared" si="80"/>
        <v>3</v>
      </c>
      <c r="AC57" s="519">
        <f t="shared" si="81"/>
        <v>1</v>
      </c>
      <c r="AD57" s="519">
        <f t="shared" si="82"/>
        <v>5</v>
      </c>
      <c r="AE57" s="519">
        <f t="shared" si="83"/>
        <v>5</v>
      </c>
      <c r="AF57" s="519">
        <f t="shared" si="84"/>
        <v>4</v>
      </c>
      <c r="AG57" s="519">
        <f t="shared" si="85"/>
        <v>3</v>
      </c>
      <c r="AH57" s="519">
        <f t="shared" si="86"/>
        <v>3</v>
      </c>
      <c r="AI57" s="519">
        <f t="shared" si="87"/>
        <v>5</v>
      </c>
      <c r="AJ57" s="519">
        <f t="shared" si="88"/>
        <v>5</v>
      </c>
      <c r="AK57" s="519">
        <f t="shared" si="89"/>
        <v>4</v>
      </c>
      <c r="AL57" s="519">
        <f t="shared" si="90"/>
        <v>5</v>
      </c>
      <c r="AM57" s="519">
        <f t="shared" si="91"/>
        <v>5</v>
      </c>
      <c r="AN57" s="519">
        <f t="shared" si="92"/>
        <v>5</v>
      </c>
      <c r="AO57" s="364"/>
      <c r="AP57" s="573">
        <f>INPUTS!X53</f>
        <v>5</v>
      </c>
      <c r="AQ57" s="573">
        <f>INPUTS!Y53</f>
        <v>4.4000000000000004</v>
      </c>
      <c r="AR57" s="573">
        <f>INPUTS!Z53</f>
        <v>2</v>
      </c>
      <c r="AS57" s="573">
        <f>INPUTS!AA53</f>
        <v>4</v>
      </c>
      <c r="AT57" s="573">
        <f>INPUTS!AB53</f>
        <v>2.4</v>
      </c>
      <c r="AU57" s="573">
        <f>INPUTS!AC53</f>
        <v>5</v>
      </c>
      <c r="AV57" s="573">
        <f>INPUTS!AD53</f>
        <v>3</v>
      </c>
      <c r="AW57" s="573">
        <f>INPUTS!AE53</f>
        <v>5</v>
      </c>
      <c r="AX57" s="573">
        <f>INPUTS!AF53</f>
        <v>5</v>
      </c>
      <c r="AY57" s="573">
        <f>INPUTS!AG53</f>
        <v>3.6</v>
      </c>
      <c r="AZ57" s="573">
        <f>INPUTS!AH53</f>
        <v>5</v>
      </c>
      <c r="BA57" s="573">
        <f>INPUTS!AI53</f>
        <v>4</v>
      </c>
      <c r="BB57" s="573">
        <f>INPUTS!AJ53</f>
        <v>2</v>
      </c>
      <c r="BC57" s="573">
        <f>INPUTS!AK53</f>
        <v>3</v>
      </c>
      <c r="BD57" s="573">
        <f>INPUTS!AL53</f>
        <v>5</v>
      </c>
      <c r="BE57" s="573">
        <f>INPUTS!AM53</f>
        <v>4</v>
      </c>
      <c r="BF57" s="573">
        <f>INPUTS!AN53</f>
        <v>2</v>
      </c>
      <c r="BG57" s="573">
        <f>INPUTS!AO53</f>
        <v>3</v>
      </c>
      <c r="BH57" s="573">
        <f>INPUTS!AP53</f>
        <v>1.3</v>
      </c>
      <c r="BI57" s="573">
        <f>INPUTS!AQ53</f>
        <v>5</v>
      </c>
      <c r="BJ57" s="573">
        <f>INPUTS!AR53</f>
        <v>5</v>
      </c>
      <c r="BK57" s="573">
        <f>INPUTS!AS53</f>
        <v>4</v>
      </c>
      <c r="BL57" s="573">
        <f>INPUTS!AT53</f>
        <v>3</v>
      </c>
      <c r="BM57" s="573">
        <f>INPUTS!AU53</f>
        <v>3.4</v>
      </c>
      <c r="BN57" s="573">
        <f>INPUTS!AV53</f>
        <v>5</v>
      </c>
      <c r="BO57" s="573">
        <f>INPUTS!AW53</f>
        <v>5</v>
      </c>
      <c r="BP57" s="573">
        <f>INPUTS!AX53</f>
        <v>4</v>
      </c>
      <c r="BQ57" s="573">
        <f>INPUTS!AY53</f>
        <v>5</v>
      </c>
      <c r="BR57" s="573">
        <f>INPUTS!AZ53</f>
        <v>5</v>
      </c>
      <c r="BS57" s="573">
        <f>INPUTS!BA53</f>
        <v>5</v>
      </c>
    </row>
    <row r="58" spans="1:71" s="367" customFormat="1" ht="15" customHeight="1">
      <c r="A58" s="102"/>
      <c r="B58" s="271">
        <f>tblIndicators!A54</f>
        <v>53</v>
      </c>
      <c r="C58" s="271">
        <f>tblIndicators!AD54</f>
        <v>1</v>
      </c>
      <c r="D58" s="271">
        <f>tblIndicators!G54</f>
        <v>3</v>
      </c>
      <c r="E58" s="103" t="str">
        <f>tblIndicators!H54</f>
        <v>3_3_5</v>
      </c>
      <c r="F58" s="103"/>
      <c r="G58" s="271">
        <f>tblIndicators!AG54</f>
        <v>2</v>
      </c>
      <c r="H58" s="100" t="str">
        <f>REPT(" ",D58)&amp;tblIndicators!AL54</f>
        <v xml:space="preserve">   3.3.5) Business environment</v>
      </c>
      <c r="I58" s="101" t="str">
        <f>IF(G58=1,"",tblIndicators!Z54)</f>
        <v>Scale (0-100)</v>
      </c>
      <c r="K58" s="519">
        <f t="shared" ref="K58" si="123">IF($G58=1,"",IF(AP58="-","",IF(ISNUMBER(AP58),ROUND(AP58,$C58),"")))</f>
        <v>95</v>
      </c>
      <c r="L58" s="519">
        <f t="shared" ref="L58" si="124">IF($G58=1,"",IF(AQ58="-","",IF(ISNUMBER(AQ58),ROUND(AQ58,$C58),"")))</f>
        <v>98.3</v>
      </c>
      <c r="M58" s="519">
        <f t="shared" ref="M58" si="125">IF($G58=1,"",IF(AR58="-","",IF(ISNUMBER(AR58),ROUND(AR58,$C58),"")))</f>
        <v>76.7</v>
      </c>
      <c r="N58" s="519">
        <f t="shared" ref="N58" si="126">IF($G58=1,"",IF(AS58="-","",IF(ISNUMBER(AS58),ROUND(AS58,$C58),"")))</f>
        <v>83.3</v>
      </c>
      <c r="O58" s="519">
        <f t="shared" ref="O58" si="127">IF($G58=1,"",IF(AT58="-","",IF(ISNUMBER(AT58),ROUND(AT58,$C58),"")))</f>
        <v>65</v>
      </c>
      <c r="P58" s="519">
        <f t="shared" ref="P58" si="128">IF($G58=1,"",IF(AU58="-","",IF(ISNUMBER(AU58),ROUND(AU58,$C58),"")))</f>
        <v>88.3</v>
      </c>
      <c r="Q58" s="519">
        <f t="shared" ref="Q58" si="129">IF($G58=1,"",IF(AV58="-","",IF(ISNUMBER(AV58),ROUND(AV58,$C58),"")))</f>
        <v>55</v>
      </c>
      <c r="R58" s="519">
        <f t="shared" ref="R58" si="130">IF($G58=1,"",IF(AW58="-","",IF(ISNUMBER(AW58),ROUND(AW58,$C58),"")))</f>
        <v>95</v>
      </c>
      <c r="S58" s="519">
        <f t="shared" ref="S58" si="131">IF($G58=1,"",IF(AX58="-","",IF(ISNUMBER(AX58),ROUND(AX58,$C58),"")))</f>
        <v>100</v>
      </c>
      <c r="T58" s="519">
        <f t="shared" ref="T58" si="132">IF($G58=1,"",IF(AY58="-","",IF(ISNUMBER(AY58),ROUND(AY58,$C58),"")))</f>
        <v>85</v>
      </c>
      <c r="U58" s="519">
        <f t="shared" ref="U58" si="133">IF($G58=1,"",IF(AZ58="-","",IF(ISNUMBER(AZ58),ROUND(AZ58,$C58),"")))</f>
        <v>88.3</v>
      </c>
      <c r="V58" s="519">
        <f t="shared" ref="V58" si="134">IF($G58=1,"",IF(BA58="-","",IF(ISNUMBER(BA58),ROUND(BA58,$C58),"")))</f>
        <v>88.3</v>
      </c>
      <c r="W58" s="519">
        <f t="shared" ref="W58" si="135">IF($G58=1,"",IF(BB58="-","",IF(ISNUMBER(BB58),ROUND(BB58,$C58),"")))</f>
        <v>65</v>
      </c>
      <c r="X58" s="519">
        <f t="shared" ref="X58" si="136">IF($G58=1,"",IF(BC58="-","",IF(ISNUMBER(BC58),ROUND(BC58,$C58),"")))</f>
        <v>76.7</v>
      </c>
      <c r="Y58" s="519">
        <f t="shared" ref="Y58" si="137">IF($G58=1,"",IF(BD58="-","",IF(ISNUMBER(BD58),ROUND(BD58,$C58),"")))</f>
        <v>93.3</v>
      </c>
      <c r="Z58" s="519">
        <f t="shared" ref="Z58" si="138">IF($G58=1,"",IF(BE58="-","",IF(ISNUMBER(BE58),ROUND(BE58,$C58),"")))</f>
        <v>83.3</v>
      </c>
      <c r="AA58" s="519">
        <f t="shared" ref="AA58" si="139">IF($G58=1,"",IF(BF58="-","",IF(ISNUMBER(BF58),ROUND(BF58,$C58),"")))</f>
        <v>65</v>
      </c>
      <c r="AB58" s="519">
        <f t="shared" ref="AB58" si="140">IF($G58=1,"",IF(BG58="-","",IF(ISNUMBER(BG58),ROUND(BG58,$C58),"")))</f>
        <v>66.7</v>
      </c>
      <c r="AC58" s="519">
        <f t="shared" ref="AC58" si="141">IF($G58=1,"",IF(BH58="-","",IF(ISNUMBER(BH58),ROUND(BH58,$C58),"")))</f>
        <v>70</v>
      </c>
      <c r="AD58" s="519">
        <f t="shared" ref="AD58" si="142">IF($G58=1,"",IF(BI58="-","",IF(ISNUMBER(BI58),ROUND(BI58,$C58),"")))</f>
        <v>100</v>
      </c>
      <c r="AE58" s="519">
        <f t="shared" ref="AE58" si="143">IF($G58=1,"",IF(BJ58="-","",IF(ISNUMBER(BJ58),ROUND(BJ58,$C58),"")))</f>
        <v>83.3</v>
      </c>
      <c r="AF58" s="519">
        <f t="shared" ref="AF58" si="144">IF($G58=1,"",IF(BK58="-","",IF(ISNUMBER(BK58),ROUND(BK58,$C58),"")))</f>
        <v>70</v>
      </c>
      <c r="AG58" s="519">
        <f t="shared" ref="AG58" si="145">IF($G58=1,"",IF(BL58="-","",IF(ISNUMBER(BL58),ROUND(BL58,$C58),"")))</f>
        <v>81.7</v>
      </c>
      <c r="AH58" s="519">
        <f t="shared" ref="AH58" si="146">IF($G58=1,"",IF(BM58="-","",IF(ISNUMBER(BM58),ROUND(BM58,$C58),"")))</f>
        <v>81.7</v>
      </c>
      <c r="AI58" s="519">
        <f t="shared" ref="AI58" si="147">IF($G58=1,"",IF(BN58="-","",IF(ISNUMBER(BN58),ROUND(BN58,$C58),"")))</f>
        <v>98.3</v>
      </c>
      <c r="AJ58" s="519">
        <f t="shared" ref="AJ58" si="148">IF($G58=1,"",IF(BO58="-","",IF(ISNUMBER(BO58),ROUND(BO58,$C58),"")))</f>
        <v>90</v>
      </c>
      <c r="AK58" s="519">
        <f t="shared" ref="AK58" si="149">IF($G58=1,"",IF(BP58="-","",IF(ISNUMBER(BP58),ROUND(BP58,$C58),"")))</f>
        <v>80</v>
      </c>
      <c r="AL58" s="519">
        <f t="shared" ref="AL58" si="150">IF($G58=1,"",IF(BQ58="-","",IF(ISNUMBER(BQ58),ROUND(BQ58,$C58),"")))</f>
        <v>98.3</v>
      </c>
      <c r="AM58" s="519">
        <f t="shared" ref="AM58" si="151">IF($G58=1,"",IF(BR58="-","",IF(ISNUMBER(BR58),ROUND(BR58,$C58),"")))</f>
        <v>100</v>
      </c>
      <c r="AN58" s="519">
        <f t="shared" ref="AN58" si="152">IF($G58=1,"",IF(BS58="-","",IF(ISNUMBER(BS58),ROUND(BS58,$C58),"")))</f>
        <v>90</v>
      </c>
      <c r="AO58" s="364"/>
      <c r="AP58" s="573">
        <f>INPUTS!X54</f>
        <v>95</v>
      </c>
      <c r="AQ58" s="573">
        <f>INPUTS!Y54</f>
        <v>98.33</v>
      </c>
      <c r="AR58" s="573">
        <f>INPUTS!Z54</f>
        <v>76.67</v>
      </c>
      <c r="AS58" s="573">
        <f>INPUTS!AA54</f>
        <v>83.33</v>
      </c>
      <c r="AT58" s="573">
        <f>INPUTS!AB54</f>
        <v>65</v>
      </c>
      <c r="AU58" s="573">
        <f>INPUTS!AC54</f>
        <v>88.33</v>
      </c>
      <c r="AV58" s="573">
        <f>INPUTS!AD54</f>
        <v>55</v>
      </c>
      <c r="AW58" s="573">
        <f>INPUTS!AE54</f>
        <v>95</v>
      </c>
      <c r="AX58" s="573">
        <f>INPUTS!AF54</f>
        <v>100</v>
      </c>
      <c r="AY58" s="573">
        <f>INPUTS!AG54</f>
        <v>85</v>
      </c>
      <c r="AZ58" s="573">
        <f>INPUTS!AH54</f>
        <v>88.33</v>
      </c>
      <c r="BA58" s="573">
        <f>INPUTS!AI54</f>
        <v>88.33</v>
      </c>
      <c r="BB58" s="573">
        <f>INPUTS!AJ54</f>
        <v>65</v>
      </c>
      <c r="BC58" s="573">
        <f>INPUTS!AK54</f>
        <v>76.67</v>
      </c>
      <c r="BD58" s="573">
        <f>INPUTS!AL54</f>
        <v>93.33</v>
      </c>
      <c r="BE58" s="573">
        <f>INPUTS!AM54</f>
        <v>83.33</v>
      </c>
      <c r="BF58" s="573">
        <f>INPUTS!AN54</f>
        <v>65</v>
      </c>
      <c r="BG58" s="573">
        <f>INPUTS!AO54</f>
        <v>66.67</v>
      </c>
      <c r="BH58" s="573">
        <f>INPUTS!AP54</f>
        <v>70</v>
      </c>
      <c r="BI58" s="573">
        <f>INPUTS!AQ54</f>
        <v>100</v>
      </c>
      <c r="BJ58" s="573">
        <f>INPUTS!AR54</f>
        <v>83.33</v>
      </c>
      <c r="BK58" s="573">
        <f>INPUTS!AS54</f>
        <v>70</v>
      </c>
      <c r="BL58" s="573">
        <f>INPUTS!AT54</f>
        <v>81.67</v>
      </c>
      <c r="BM58" s="573">
        <f>INPUTS!AU54</f>
        <v>81.67</v>
      </c>
      <c r="BN58" s="573">
        <f>INPUTS!AV54</f>
        <v>98.33</v>
      </c>
      <c r="BO58" s="573">
        <f>INPUTS!AW54</f>
        <v>90</v>
      </c>
      <c r="BP58" s="573">
        <f>INPUTS!AX54</f>
        <v>80</v>
      </c>
      <c r="BQ58" s="573">
        <f>INPUTS!AY54</f>
        <v>98.33</v>
      </c>
      <c r="BR58" s="573">
        <f>INPUTS!AZ54</f>
        <v>100</v>
      </c>
      <c r="BS58" s="573">
        <f>INPUTS!BA54</f>
        <v>90</v>
      </c>
    </row>
    <row r="59" spans="1:71" s="367" customFormat="1" ht="15" customHeight="1">
      <c r="A59" s="102"/>
      <c r="B59" s="271">
        <f>tblIndicators!A55</f>
        <v>54</v>
      </c>
      <c r="C59" s="271">
        <f>tblIndicators!AD55</f>
        <v>1</v>
      </c>
      <c r="D59" s="271">
        <f>tblIndicators!G55</f>
        <v>2</v>
      </c>
      <c r="E59" s="103" t="str">
        <f>tblIndicators!H55</f>
        <v>3_4</v>
      </c>
      <c r="F59" s="103"/>
      <c r="G59" s="271">
        <f>tblIndicators!AG55</f>
        <v>1</v>
      </c>
      <c r="H59" s="100" t="str">
        <f>REPT(" ",D59)&amp;tblIndicators!AL55</f>
        <v xml:space="preserve">  3.4) Public attitude and engagement</v>
      </c>
      <c r="I59" s="101" t="str">
        <f>IF(G59=1,"",tblIndicators!Z55)</f>
        <v/>
      </c>
      <c r="K59" s="519" t="str">
        <f t="shared" si="63"/>
        <v/>
      </c>
      <c r="L59" s="519" t="str">
        <f t="shared" si="64"/>
        <v/>
      </c>
      <c r="M59" s="519" t="str">
        <f t="shared" si="65"/>
        <v/>
      </c>
      <c r="N59" s="519" t="str">
        <f t="shared" si="66"/>
        <v/>
      </c>
      <c r="O59" s="519" t="str">
        <f t="shared" si="67"/>
        <v/>
      </c>
      <c r="P59" s="519" t="str">
        <f t="shared" si="68"/>
        <v/>
      </c>
      <c r="Q59" s="519" t="str">
        <f t="shared" si="69"/>
        <v/>
      </c>
      <c r="R59" s="519" t="str">
        <f t="shared" si="70"/>
        <v/>
      </c>
      <c r="S59" s="519" t="str">
        <f t="shared" si="71"/>
        <v/>
      </c>
      <c r="T59" s="519" t="str">
        <f t="shared" si="72"/>
        <v/>
      </c>
      <c r="U59" s="519" t="str">
        <f t="shared" si="73"/>
        <v/>
      </c>
      <c r="V59" s="519" t="str">
        <f t="shared" si="74"/>
        <v/>
      </c>
      <c r="W59" s="519" t="str">
        <f t="shared" si="75"/>
        <v/>
      </c>
      <c r="X59" s="519" t="str">
        <f t="shared" si="76"/>
        <v/>
      </c>
      <c r="Y59" s="519" t="str">
        <f t="shared" si="77"/>
        <v/>
      </c>
      <c r="Z59" s="519" t="str">
        <f t="shared" si="78"/>
        <v/>
      </c>
      <c r="AA59" s="519" t="str">
        <f t="shared" si="79"/>
        <v/>
      </c>
      <c r="AB59" s="519" t="str">
        <f t="shared" si="80"/>
        <v/>
      </c>
      <c r="AC59" s="519" t="str">
        <f t="shared" si="81"/>
        <v/>
      </c>
      <c r="AD59" s="519" t="str">
        <f t="shared" si="82"/>
        <v/>
      </c>
      <c r="AE59" s="519" t="str">
        <f t="shared" si="83"/>
        <v/>
      </c>
      <c r="AF59" s="519" t="str">
        <f t="shared" si="84"/>
        <v/>
      </c>
      <c r="AG59" s="519" t="str">
        <f t="shared" si="85"/>
        <v/>
      </c>
      <c r="AH59" s="519" t="str">
        <f t="shared" si="86"/>
        <v/>
      </c>
      <c r="AI59" s="519" t="str">
        <f t="shared" si="87"/>
        <v/>
      </c>
      <c r="AJ59" s="519" t="str">
        <f t="shared" si="88"/>
        <v/>
      </c>
      <c r="AK59" s="519" t="str">
        <f t="shared" si="89"/>
        <v/>
      </c>
      <c r="AL59" s="519" t="str">
        <f t="shared" si="90"/>
        <v/>
      </c>
      <c r="AM59" s="519" t="str">
        <f t="shared" si="91"/>
        <v/>
      </c>
      <c r="AN59" s="519" t="str">
        <f t="shared" si="92"/>
        <v/>
      </c>
      <c r="AO59" s="364"/>
      <c r="AP59" s="573"/>
      <c r="AQ59" s="573"/>
      <c r="AR59" s="573"/>
      <c r="AS59" s="573"/>
      <c r="AT59" s="573"/>
      <c r="AU59" s="573"/>
      <c r="AV59" s="573"/>
      <c r="AW59" s="573"/>
      <c r="AX59" s="573"/>
      <c r="AY59" s="573"/>
      <c r="AZ59" s="573"/>
      <c r="BA59" s="573"/>
      <c r="BB59" s="573"/>
      <c r="BC59" s="573"/>
      <c r="BD59" s="573"/>
      <c r="BE59" s="573"/>
      <c r="BF59" s="573"/>
      <c r="BG59" s="573"/>
      <c r="BH59" s="573"/>
      <c r="BI59" s="573"/>
      <c r="BJ59" s="573"/>
      <c r="BK59" s="573"/>
      <c r="BL59" s="573"/>
      <c r="BM59" s="573"/>
      <c r="BN59" s="573"/>
      <c r="BO59" s="573"/>
      <c r="BP59" s="573"/>
      <c r="BQ59" s="573"/>
      <c r="BR59" s="573"/>
      <c r="BS59" s="573"/>
    </row>
    <row r="60" spans="1:71" s="367" customFormat="1" ht="15" customHeight="1">
      <c r="A60" s="102"/>
      <c r="B60" s="271">
        <f>tblIndicators!A56</f>
        <v>55</v>
      </c>
      <c r="C60" s="271">
        <f>tblIndicators!AD56</f>
        <v>0</v>
      </c>
      <c r="D60" s="271">
        <f>tblIndicators!G56</f>
        <v>3</v>
      </c>
      <c r="E60" s="103" t="str">
        <f>tblIndicators!H56</f>
        <v>3_4_1</v>
      </c>
      <c r="F60" s="103"/>
      <c r="G60" s="271">
        <f>tblIndicators!AG56</f>
        <v>2</v>
      </c>
      <c r="H60" s="100" t="str">
        <f>REPT(" ",D60)&amp;tblIndicators!AL56</f>
        <v xml:space="preserve">   3.4.1) Public comfort with sharing information online</v>
      </c>
      <c r="I60" s="101" t="str">
        <f>IF(G60=1,"",tblIndicators!Z56)</f>
        <v>Scale (0-100)</v>
      </c>
      <c r="K60" s="519">
        <f t="shared" si="63"/>
        <v>47</v>
      </c>
      <c r="L60" s="519">
        <f t="shared" si="64"/>
        <v>67</v>
      </c>
      <c r="M60" s="519">
        <f t="shared" si="65"/>
        <v>53</v>
      </c>
      <c r="N60" s="519">
        <f t="shared" si="66"/>
        <v>47</v>
      </c>
      <c r="O60" s="519">
        <f t="shared" si="67"/>
        <v>53</v>
      </c>
      <c r="P60" s="519">
        <f t="shared" si="68"/>
        <v>47</v>
      </c>
      <c r="Q60" s="519">
        <f t="shared" si="69"/>
        <v>60</v>
      </c>
      <c r="R60" s="519">
        <f t="shared" si="70"/>
        <v>53</v>
      </c>
      <c r="S60" s="519">
        <f t="shared" si="71"/>
        <v>47</v>
      </c>
      <c r="T60" s="519">
        <f t="shared" si="72"/>
        <v>60</v>
      </c>
      <c r="U60" s="519">
        <f t="shared" si="73"/>
        <v>47</v>
      </c>
      <c r="V60" s="519">
        <f t="shared" si="74"/>
        <v>33</v>
      </c>
      <c r="W60" s="519">
        <f t="shared" si="75"/>
        <v>60</v>
      </c>
      <c r="X60" s="519">
        <f t="shared" si="76"/>
        <v>60</v>
      </c>
      <c r="Y60" s="519">
        <f t="shared" si="77"/>
        <v>40</v>
      </c>
      <c r="Z60" s="519">
        <f t="shared" si="78"/>
        <v>40</v>
      </c>
      <c r="AA60" s="519">
        <f t="shared" si="79"/>
        <v>47</v>
      </c>
      <c r="AB60" s="519">
        <f t="shared" si="80"/>
        <v>47</v>
      </c>
      <c r="AC60" s="519">
        <f t="shared" si="81"/>
        <v>53</v>
      </c>
      <c r="AD60" s="519">
        <f t="shared" si="82"/>
        <v>47</v>
      </c>
      <c r="AE60" s="519">
        <f t="shared" si="83"/>
        <v>53</v>
      </c>
      <c r="AF60" s="519">
        <f t="shared" si="84"/>
        <v>40</v>
      </c>
      <c r="AG60" s="519">
        <f t="shared" si="85"/>
        <v>53</v>
      </c>
      <c r="AH60" s="519">
        <f t="shared" si="86"/>
        <v>53</v>
      </c>
      <c r="AI60" s="519">
        <f t="shared" si="87"/>
        <v>40</v>
      </c>
      <c r="AJ60" s="519">
        <f t="shared" si="88"/>
        <v>40</v>
      </c>
      <c r="AK60" s="519">
        <f t="shared" si="89"/>
        <v>47</v>
      </c>
      <c r="AL60" s="519">
        <f t="shared" si="90"/>
        <v>47</v>
      </c>
      <c r="AM60" s="519">
        <f t="shared" si="91"/>
        <v>47</v>
      </c>
      <c r="AN60" s="519">
        <f t="shared" si="92"/>
        <v>47</v>
      </c>
      <c r="AO60" s="364"/>
      <c r="AP60" s="573">
        <f>INPUTS!X56</f>
        <v>46.67</v>
      </c>
      <c r="AQ60" s="573">
        <f>INPUTS!Y56</f>
        <v>66.67</v>
      </c>
      <c r="AR60" s="573">
        <f>INPUTS!Z56</f>
        <v>53.33</v>
      </c>
      <c r="AS60" s="573">
        <f>INPUTS!AA56</f>
        <v>46.67</v>
      </c>
      <c r="AT60" s="573">
        <f>INPUTS!AB56</f>
        <v>53.33</v>
      </c>
      <c r="AU60" s="573">
        <f>INPUTS!AC56</f>
        <v>46.67</v>
      </c>
      <c r="AV60" s="573">
        <f>INPUTS!AD56</f>
        <v>60</v>
      </c>
      <c r="AW60" s="573">
        <f>INPUTS!AE56</f>
        <v>53.33</v>
      </c>
      <c r="AX60" s="573">
        <f>INPUTS!AF56</f>
        <v>46.67</v>
      </c>
      <c r="AY60" s="573">
        <f>INPUTS!AG56</f>
        <v>60</v>
      </c>
      <c r="AZ60" s="573">
        <f>INPUTS!AH56</f>
        <v>46.67</v>
      </c>
      <c r="BA60" s="573">
        <f>INPUTS!AI56</f>
        <v>33.33</v>
      </c>
      <c r="BB60" s="573">
        <f>INPUTS!AJ56</f>
        <v>60</v>
      </c>
      <c r="BC60" s="573">
        <f>INPUTS!AK56</f>
        <v>60</v>
      </c>
      <c r="BD60" s="573">
        <f>INPUTS!AL56</f>
        <v>40</v>
      </c>
      <c r="BE60" s="573">
        <f>INPUTS!AM56</f>
        <v>40</v>
      </c>
      <c r="BF60" s="573">
        <f>INPUTS!AN56</f>
        <v>46.67</v>
      </c>
      <c r="BG60" s="573">
        <f>INPUTS!AO56</f>
        <v>46.67</v>
      </c>
      <c r="BH60" s="573">
        <f>INPUTS!AP56</f>
        <v>53.33</v>
      </c>
      <c r="BI60" s="573">
        <f>INPUTS!AQ56</f>
        <v>46.67</v>
      </c>
      <c r="BJ60" s="573">
        <f>INPUTS!AR56</f>
        <v>53.33</v>
      </c>
      <c r="BK60" s="573">
        <f>INPUTS!AS56</f>
        <v>40</v>
      </c>
      <c r="BL60" s="573">
        <f>INPUTS!AT56</f>
        <v>53.33</v>
      </c>
      <c r="BM60" s="573">
        <f>INPUTS!AU56</f>
        <v>53.33</v>
      </c>
      <c r="BN60" s="573">
        <f>INPUTS!AV56</f>
        <v>40</v>
      </c>
      <c r="BO60" s="573">
        <f>INPUTS!AW56</f>
        <v>40</v>
      </c>
      <c r="BP60" s="573">
        <f>INPUTS!AX56</f>
        <v>46.67</v>
      </c>
      <c r="BQ60" s="573">
        <f>INPUTS!AY56</f>
        <v>46.67</v>
      </c>
      <c r="BR60" s="573">
        <f>INPUTS!AZ56</f>
        <v>46.67</v>
      </c>
      <c r="BS60" s="573">
        <f>INPUTS!BA56</f>
        <v>46.67</v>
      </c>
    </row>
    <row r="61" spans="1:71" s="367" customFormat="1" ht="15" customHeight="1">
      <c r="A61" s="102"/>
      <c r="B61" s="271">
        <f>tblIndicators!A57</f>
        <v>56</v>
      </c>
      <c r="C61" s="271">
        <f>tblIndicators!AD57</f>
        <v>1</v>
      </c>
      <c r="D61" s="271">
        <f>tblIndicators!G57</f>
        <v>3</v>
      </c>
      <c r="E61" s="103" t="str">
        <f>tblIndicators!H57</f>
        <v>3_4_2</v>
      </c>
      <c r="F61" s="103"/>
      <c r="G61" s="271">
        <f>tblIndicators!AG57</f>
        <v>2</v>
      </c>
      <c r="H61" s="100" t="str">
        <f>REPT(" ",D61)&amp;tblIndicators!AL57</f>
        <v xml:space="preserve">   3.4.2) E-participation on government portals</v>
      </c>
      <c r="I61" s="101" t="str">
        <f>IF(G61=1,"",tblIndicators!Z57)</f>
        <v>%</v>
      </c>
      <c r="K61" s="519">
        <f t="shared" si="63"/>
        <v>27</v>
      </c>
      <c r="L61" s="519">
        <f t="shared" si="64"/>
        <v>34.9</v>
      </c>
      <c r="M61" s="519">
        <f t="shared" si="65"/>
        <v>44.5</v>
      </c>
      <c r="N61" s="519">
        <f t="shared" si="66"/>
        <v>33</v>
      </c>
      <c r="O61" s="519">
        <f t="shared" si="67"/>
        <v>62.9</v>
      </c>
      <c r="P61" s="519">
        <f t="shared" si="68"/>
        <v>17.5</v>
      </c>
      <c r="Q61" s="519">
        <f t="shared" si="69"/>
        <v>27</v>
      </c>
      <c r="R61" s="519">
        <f t="shared" si="70"/>
        <v>30.8</v>
      </c>
      <c r="S61" s="519">
        <f t="shared" si="71"/>
        <v>37.6</v>
      </c>
      <c r="T61" s="519">
        <f t="shared" si="72"/>
        <v>71.900000000000006</v>
      </c>
      <c r="U61" s="519">
        <f t="shared" si="73"/>
        <v>24.4</v>
      </c>
      <c r="V61" s="519">
        <f t="shared" si="74"/>
        <v>23.9</v>
      </c>
      <c r="W61" s="519">
        <f t="shared" si="75"/>
        <v>57.3</v>
      </c>
      <c r="X61" s="519">
        <f t="shared" si="76"/>
        <v>36.299999999999997</v>
      </c>
      <c r="Y61" s="519">
        <f t="shared" si="77"/>
        <v>20.100000000000001</v>
      </c>
      <c r="Z61" s="519">
        <f t="shared" si="78"/>
        <v>34</v>
      </c>
      <c r="AA61" s="519">
        <f t="shared" si="79"/>
        <v>41.1</v>
      </c>
      <c r="AB61" s="519">
        <f t="shared" si="80"/>
        <v>33.4</v>
      </c>
      <c r="AC61" s="519">
        <f t="shared" si="81"/>
        <v>71.099999999999994</v>
      </c>
      <c r="AD61" s="519">
        <f t="shared" si="82"/>
        <v>35.5</v>
      </c>
      <c r="AE61" s="519">
        <f t="shared" si="83"/>
        <v>29.1</v>
      </c>
      <c r="AF61" s="519">
        <f t="shared" si="84"/>
        <v>29.5</v>
      </c>
      <c r="AG61" s="519">
        <f t="shared" si="85"/>
        <v>37.9</v>
      </c>
      <c r="AH61" s="519">
        <f t="shared" si="86"/>
        <v>44</v>
      </c>
      <c r="AI61" s="519">
        <f t="shared" si="87"/>
        <v>35.5</v>
      </c>
      <c r="AJ61" s="519">
        <f t="shared" si="88"/>
        <v>20.8</v>
      </c>
      <c r="AK61" s="519">
        <f t="shared" si="89"/>
        <v>8.6</v>
      </c>
      <c r="AL61" s="519">
        <f t="shared" si="90"/>
        <v>22.5</v>
      </c>
      <c r="AM61" s="519">
        <f t="shared" si="91"/>
        <v>36.299999999999997</v>
      </c>
      <c r="AN61" s="519">
        <f t="shared" si="92"/>
        <v>32.799999999999997</v>
      </c>
      <c r="AO61" s="364"/>
      <c r="AP61" s="573">
        <f>INPUTS!X57</f>
        <v>27</v>
      </c>
      <c r="AQ61" s="573">
        <f>INPUTS!Y57</f>
        <v>34.875</v>
      </c>
      <c r="AR61" s="573">
        <f>INPUTS!Z57</f>
        <v>44.5</v>
      </c>
      <c r="AS61" s="573">
        <f>INPUTS!AA57</f>
        <v>33</v>
      </c>
      <c r="AT61" s="573">
        <f>INPUTS!AB57</f>
        <v>62.875</v>
      </c>
      <c r="AU61" s="573">
        <f>INPUTS!AC57</f>
        <v>17.5</v>
      </c>
      <c r="AV61" s="573">
        <f>INPUTS!AD57</f>
        <v>27</v>
      </c>
      <c r="AW61" s="573">
        <f>INPUTS!AE57</f>
        <v>30.75</v>
      </c>
      <c r="AX61" s="573">
        <f>INPUTS!AF57</f>
        <v>37.625</v>
      </c>
      <c r="AY61" s="573">
        <f>INPUTS!AG57</f>
        <v>71.875</v>
      </c>
      <c r="AZ61" s="573">
        <f>INPUTS!AH57</f>
        <v>24.375</v>
      </c>
      <c r="BA61" s="573">
        <f>INPUTS!AI57</f>
        <v>23.875</v>
      </c>
      <c r="BB61" s="573">
        <f>INPUTS!AJ57</f>
        <v>57.25</v>
      </c>
      <c r="BC61" s="573">
        <f>INPUTS!AK57</f>
        <v>36.25</v>
      </c>
      <c r="BD61" s="573">
        <f>INPUTS!AL57</f>
        <v>20.125</v>
      </c>
      <c r="BE61" s="573">
        <f>INPUTS!AM57</f>
        <v>34</v>
      </c>
      <c r="BF61" s="573">
        <f>INPUTS!AN57</f>
        <v>41.125</v>
      </c>
      <c r="BG61" s="573">
        <f>INPUTS!AO57</f>
        <v>33.375</v>
      </c>
      <c r="BH61" s="573">
        <f>INPUTS!AP57</f>
        <v>71.125</v>
      </c>
      <c r="BI61" s="573">
        <f>INPUTS!AQ57</f>
        <v>35.5</v>
      </c>
      <c r="BJ61" s="573">
        <f>INPUTS!AR57</f>
        <v>29.125</v>
      </c>
      <c r="BK61" s="573">
        <f>INPUTS!AS57</f>
        <v>29.5</v>
      </c>
      <c r="BL61" s="573">
        <f>INPUTS!AT57</f>
        <v>37.875</v>
      </c>
      <c r="BM61" s="573">
        <f>INPUTS!AU57</f>
        <v>44</v>
      </c>
      <c r="BN61" s="573">
        <f>INPUTS!AV57</f>
        <v>35.5</v>
      </c>
      <c r="BO61" s="573">
        <f>INPUTS!AW57</f>
        <v>20.75</v>
      </c>
      <c r="BP61" s="573">
        <f>INPUTS!AX57</f>
        <v>8.625</v>
      </c>
      <c r="BQ61" s="573">
        <f>INPUTS!AY57</f>
        <v>22.5</v>
      </c>
      <c r="BR61" s="573">
        <f>INPUTS!AZ57</f>
        <v>36.25</v>
      </c>
      <c r="BS61" s="573">
        <f>INPUTS!BA57</f>
        <v>32.75</v>
      </c>
    </row>
    <row r="62" spans="1:71" s="367" customFormat="1" ht="15" customHeight="1">
      <c r="A62" s="102"/>
      <c r="B62" s="271">
        <f>tblIndicators!A58</f>
        <v>57</v>
      </c>
      <c r="C62" s="271">
        <f>tblIndicators!AD58</f>
        <v>1</v>
      </c>
      <c r="D62" s="271">
        <f>tblIndicators!G58</f>
        <v>1</v>
      </c>
      <c r="E62" s="103">
        <f>tblIndicators!H58</f>
        <v>4</v>
      </c>
      <c r="F62" s="103"/>
      <c r="G62" s="271">
        <f>tblIndicators!AG58</f>
        <v>1</v>
      </c>
      <c r="H62" s="100" t="str">
        <f>REPT(" ",D62)&amp;tblIndicators!AL58</f>
        <v xml:space="preserve"> 4) SUSTAINABILITY</v>
      </c>
      <c r="I62" s="101" t="str">
        <f>IF(G62=1,"",tblIndicators!Z58)</f>
        <v/>
      </c>
      <c r="K62" s="519" t="str">
        <f t="shared" si="63"/>
        <v/>
      </c>
      <c r="L62" s="519" t="str">
        <f t="shared" si="64"/>
        <v/>
      </c>
      <c r="M62" s="519" t="str">
        <f t="shared" si="65"/>
        <v/>
      </c>
      <c r="N62" s="519" t="str">
        <f t="shared" si="66"/>
        <v/>
      </c>
      <c r="O62" s="519" t="str">
        <f t="shared" si="67"/>
        <v/>
      </c>
      <c r="P62" s="519" t="str">
        <f t="shared" si="68"/>
        <v/>
      </c>
      <c r="Q62" s="519" t="str">
        <f t="shared" si="69"/>
        <v/>
      </c>
      <c r="R62" s="519" t="str">
        <f t="shared" si="70"/>
        <v/>
      </c>
      <c r="S62" s="519" t="str">
        <f t="shared" si="71"/>
        <v/>
      </c>
      <c r="T62" s="519" t="str">
        <f t="shared" si="72"/>
        <v/>
      </c>
      <c r="U62" s="519" t="str">
        <f t="shared" si="73"/>
        <v/>
      </c>
      <c r="V62" s="519" t="str">
        <f t="shared" si="74"/>
        <v/>
      </c>
      <c r="W62" s="519" t="str">
        <f t="shared" si="75"/>
        <v/>
      </c>
      <c r="X62" s="519" t="str">
        <f t="shared" si="76"/>
        <v/>
      </c>
      <c r="Y62" s="519" t="str">
        <f t="shared" si="77"/>
        <v/>
      </c>
      <c r="Z62" s="519" t="str">
        <f t="shared" si="78"/>
        <v/>
      </c>
      <c r="AA62" s="519" t="str">
        <f t="shared" si="79"/>
        <v/>
      </c>
      <c r="AB62" s="519" t="str">
        <f t="shared" si="80"/>
        <v/>
      </c>
      <c r="AC62" s="519" t="str">
        <f t="shared" si="81"/>
        <v/>
      </c>
      <c r="AD62" s="519" t="str">
        <f t="shared" si="82"/>
        <v/>
      </c>
      <c r="AE62" s="519" t="str">
        <f t="shared" si="83"/>
        <v/>
      </c>
      <c r="AF62" s="519" t="str">
        <f t="shared" si="84"/>
        <v/>
      </c>
      <c r="AG62" s="519" t="str">
        <f t="shared" si="85"/>
        <v/>
      </c>
      <c r="AH62" s="519" t="str">
        <f t="shared" si="86"/>
        <v/>
      </c>
      <c r="AI62" s="519" t="str">
        <f t="shared" si="87"/>
        <v/>
      </c>
      <c r="AJ62" s="519" t="str">
        <f t="shared" si="88"/>
        <v/>
      </c>
      <c r="AK62" s="519" t="str">
        <f t="shared" si="89"/>
        <v/>
      </c>
      <c r="AL62" s="519" t="str">
        <f t="shared" si="90"/>
        <v/>
      </c>
      <c r="AM62" s="519" t="str">
        <f t="shared" si="91"/>
        <v/>
      </c>
      <c r="AN62" s="519" t="str">
        <f t="shared" si="92"/>
        <v/>
      </c>
      <c r="AO62" s="364"/>
      <c r="AP62" s="573"/>
      <c r="AQ62" s="573"/>
      <c r="AR62" s="573"/>
      <c r="AS62" s="573"/>
      <c r="AT62" s="573"/>
      <c r="AU62" s="573"/>
      <c r="AV62" s="573"/>
      <c r="AW62" s="573"/>
      <c r="AX62" s="573"/>
      <c r="AY62" s="573"/>
      <c r="AZ62" s="573"/>
      <c r="BA62" s="573"/>
      <c r="BB62" s="573"/>
      <c r="BC62" s="573"/>
      <c r="BD62" s="573"/>
      <c r="BE62" s="573"/>
      <c r="BF62" s="573"/>
      <c r="BG62" s="573"/>
      <c r="BH62" s="573"/>
      <c r="BI62" s="573"/>
      <c r="BJ62" s="573"/>
      <c r="BK62" s="573"/>
      <c r="BL62" s="573"/>
      <c r="BM62" s="573"/>
      <c r="BN62" s="573"/>
      <c r="BO62" s="573"/>
      <c r="BP62" s="573"/>
      <c r="BQ62" s="573"/>
      <c r="BR62" s="573"/>
      <c r="BS62" s="573"/>
    </row>
    <row r="63" spans="1:71" s="367" customFormat="1" ht="15" customHeight="1">
      <c r="A63" s="102"/>
      <c r="B63" s="271">
        <f>tblIndicators!A59</f>
        <v>58</v>
      </c>
      <c r="C63" s="271">
        <f>tblIndicators!AD59</f>
        <v>1</v>
      </c>
      <c r="D63" s="271">
        <f>tblIndicators!G59</f>
        <v>2</v>
      </c>
      <c r="E63" s="103" t="str">
        <f>tblIndicators!H59</f>
        <v>4_1</v>
      </c>
      <c r="F63" s="103"/>
      <c r="G63" s="271">
        <f>tblIndicators!AG59</f>
        <v>1</v>
      </c>
      <c r="H63" s="100" t="str">
        <f>REPT(" ",D63)&amp;tblIndicators!AL59</f>
        <v xml:space="preserve">  4.1) Efficient resource management</v>
      </c>
      <c r="I63" s="101" t="str">
        <f>IF(G63=1,"",tblIndicators!Z59)</f>
        <v/>
      </c>
      <c r="K63" s="519" t="str">
        <f t="shared" si="63"/>
        <v/>
      </c>
      <c r="L63" s="519" t="str">
        <f t="shared" si="64"/>
        <v/>
      </c>
      <c r="M63" s="519" t="str">
        <f t="shared" si="65"/>
        <v/>
      </c>
      <c r="N63" s="519" t="str">
        <f t="shared" si="66"/>
        <v/>
      </c>
      <c r="O63" s="519" t="str">
        <f t="shared" si="67"/>
        <v/>
      </c>
      <c r="P63" s="519" t="str">
        <f t="shared" si="68"/>
        <v/>
      </c>
      <c r="Q63" s="519" t="str">
        <f t="shared" si="69"/>
        <v/>
      </c>
      <c r="R63" s="519" t="str">
        <f t="shared" si="70"/>
        <v/>
      </c>
      <c r="S63" s="519" t="str">
        <f t="shared" si="71"/>
        <v/>
      </c>
      <c r="T63" s="519" t="str">
        <f t="shared" si="72"/>
        <v/>
      </c>
      <c r="U63" s="519" t="str">
        <f t="shared" si="73"/>
        <v/>
      </c>
      <c r="V63" s="519" t="str">
        <f t="shared" si="74"/>
        <v/>
      </c>
      <c r="W63" s="519" t="str">
        <f t="shared" si="75"/>
        <v/>
      </c>
      <c r="X63" s="519" t="str">
        <f t="shared" si="76"/>
        <v/>
      </c>
      <c r="Y63" s="519" t="str">
        <f t="shared" si="77"/>
        <v/>
      </c>
      <c r="Z63" s="519" t="str">
        <f t="shared" si="78"/>
        <v/>
      </c>
      <c r="AA63" s="519" t="str">
        <f t="shared" si="79"/>
        <v/>
      </c>
      <c r="AB63" s="519" t="str">
        <f t="shared" si="80"/>
        <v/>
      </c>
      <c r="AC63" s="519" t="str">
        <f t="shared" si="81"/>
        <v/>
      </c>
      <c r="AD63" s="519" t="str">
        <f t="shared" si="82"/>
        <v/>
      </c>
      <c r="AE63" s="519" t="str">
        <f t="shared" si="83"/>
        <v/>
      </c>
      <c r="AF63" s="519" t="str">
        <f t="shared" si="84"/>
        <v/>
      </c>
      <c r="AG63" s="519" t="str">
        <f t="shared" si="85"/>
        <v/>
      </c>
      <c r="AH63" s="519" t="str">
        <f t="shared" si="86"/>
        <v/>
      </c>
      <c r="AI63" s="519" t="str">
        <f t="shared" si="87"/>
        <v/>
      </c>
      <c r="AJ63" s="519" t="str">
        <f t="shared" si="88"/>
        <v/>
      </c>
      <c r="AK63" s="519" t="str">
        <f t="shared" si="89"/>
        <v/>
      </c>
      <c r="AL63" s="519" t="str">
        <f t="shared" si="90"/>
        <v/>
      </c>
      <c r="AM63" s="519" t="str">
        <f t="shared" si="91"/>
        <v/>
      </c>
      <c r="AN63" s="519" t="str">
        <f t="shared" si="92"/>
        <v/>
      </c>
      <c r="AO63" s="364"/>
      <c r="AP63" s="573"/>
      <c r="AQ63" s="573"/>
      <c r="AR63" s="573"/>
      <c r="AS63" s="573"/>
      <c r="AT63" s="573"/>
      <c r="AU63" s="573"/>
      <c r="AV63" s="573"/>
      <c r="AW63" s="573"/>
      <c r="AX63" s="573"/>
      <c r="AY63" s="573"/>
      <c r="AZ63" s="573"/>
      <c r="BA63" s="573"/>
      <c r="BB63" s="573"/>
      <c r="BC63" s="573"/>
      <c r="BD63" s="573"/>
      <c r="BE63" s="573"/>
      <c r="BF63" s="573"/>
      <c r="BG63" s="573"/>
      <c r="BH63" s="573"/>
      <c r="BI63" s="573"/>
      <c r="BJ63" s="573"/>
      <c r="BK63" s="573"/>
      <c r="BL63" s="573"/>
      <c r="BM63" s="573"/>
      <c r="BN63" s="573"/>
      <c r="BO63" s="573"/>
      <c r="BP63" s="573"/>
      <c r="BQ63" s="573"/>
      <c r="BR63" s="573"/>
      <c r="BS63" s="573"/>
    </row>
    <row r="64" spans="1:71" s="367" customFormat="1" ht="15" customHeight="1">
      <c r="A64" s="102"/>
      <c r="B64" s="271">
        <f>tblIndicators!A60</f>
        <v>59</v>
      </c>
      <c r="C64" s="271">
        <f>tblIndicators!AD60</f>
        <v>0</v>
      </c>
      <c r="D64" s="271">
        <f>tblIndicators!G60</f>
        <v>3</v>
      </c>
      <c r="E64" s="103" t="str">
        <f>tblIndicators!H60</f>
        <v>4_1_1</v>
      </c>
      <c r="F64" s="103"/>
      <c r="G64" s="271">
        <f>tblIndicators!AG60</f>
        <v>3</v>
      </c>
      <c r="H64" s="100" t="str">
        <f>REPT(" ",D64)&amp;tblIndicators!AL60</f>
        <v xml:space="preserve">   4.1.1) Smart utility management</v>
      </c>
      <c r="I64" s="101" t="str">
        <f>IF(G64=1,"",tblIndicators!Z60)</f>
        <v>Scale (0-4)</v>
      </c>
      <c r="K64" s="519">
        <f t="shared" si="63"/>
        <v>3</v>
      </c>
      <c r="L64" s="519">
        <f t="shared" si="64"/>
        <v>3</v>
      </c>
      <c r="M64" s="519">
        <f t="shared" si="65"/>
        <v>1</v>
      </c>
      <c r="N64" s="519">
        <f t="shared" si="66"/>
        <v>4</v>
      </c>
      <c r="O64" s="519">
        <f t="shared" si="67"/>
        <v>4</v>
      </c>
      <c r="P64" s="519">
        <f t="shared" si="68"/>
        <v>3</v>
      </c>
      <c r="Q64" s="519">
        <f t="shared" si="69"/>
        <v>3</v>
      </c>
      <c r="R64" s="519">
        <f t="shared" si="70"/>
        <v>4</v>
      </c>
      <c r="S64" s="519">
        <f t="shared" si="71"/>
        <v>3</v>
      </c>
      <c r="T64" s="519">
        <f t="shared" si="72"/>
        <v>4</v>
      </c>
      <c r="U64" s="519">
        <f t="shared" si="73"/>
        <v>3</v>
      </c>
      <c r="V64" s="519">
        <f t="shared" si="74"/>
        <v>4</v>
      </c>
      <c r="W64" s="519">
        <f t="shared" si="75"/>
        <v>1</v>
      </c>
      <c r="X64" s="519">
        <f t="shared" si="76"/>
        <v>1</v>
      </c>
      <c r="Y64" s="519">
        <f t="shared" si="77"/>
        <v>4</v>
      </c>
      <c r="Z64" s="519">
        <f t="shared" si="78"/>
        <v>3</v>
      </c>
      <c r="AA64" s="519">
        <f t="shared" si="79"/>
        <v>2</v>
      </c>
      <c r="AB64" s="519">
        <f t="shared" si="80"/>
        <v>2</v>
      </c>
      <c r="AC64" s="519">
        <f t="shared" si="81"/>
        <v>3</v>
      </c>
      <c r="AD64" s="519">
        <f t="shared" si="82"/>
        <v>4</v>
      </c>
      <c r="AE64" s="519">
        <f t="shared" si="83"/>
        <v>4</v>
      </c>
      <c r="AF64" s="519">
        <f t="shared" si="84"/>
        <v>2</v>
      </c>
      <c r="AG64" s="519">
        <f t="shared" si="85"/>
        <v>3</v>
      </c>
      <c r="AH64" s="519">
        <f t="shared" si="86"/>
        <v>4</v>
      </c>
      <c r="AI64" s="519">
        <f t="shared" si="87"/>
        <v>2</v>
      </c>
      <c r="AJ64" s="519">
        <f t="shared" si="88"/>
        <v>3</v>
      </c>
      <c r="AK64" s="519">
        <f t="shared" si="89"/>
        <v>3</v>
      </c>
      <c r="AL64" s="519">
        <f t="shared" si="90"/>
        <v>4</v>
      </c>
      <c r="AM64" s="519">
        <f t="shared" si="91"/>
        <v>3</v>
      </c>
      <c r="AN64" s="519">
        <f t="shared" si="92"/>
        <v>1</v>
      </c>
      <c r="AO64" s="364"/>
      <c r="AP64" s="573">
        <f>INPUTS!X60</f>
        <v>3</v>
      </c>
      <c r="AQ64" s="573">
        <f>INPUTS!Y60</f>
        <v>3</v>
      </c>
      <c r="AR64" s="573">
        <f>INPUTS!Z60</f>
        <v>1</v>
      </c>
      <c r="AS64" s="573">
        <f>INPUTS!AA60</f>
        <v>4</v>
      </c>
      <c r="AT64" s="573">
        <f>INPUTS!AB60</f>
        <v>4</v>
      </c>
      <c r="AU64" s="573">
        <f>INPUTS!AC60</f>
        <v>3</v>
      </c>
      <c r="AV64" s="573">
        <f>INPUTS!AD60</f>
        <v>3</v>
      </c>
      <c r="AW64" s="573">
        <f>INPUTS!AE60</f>
        <v>4</v>
      </c>
      <c r="AX64" s="573">
        <f>INPUTS!AF60</f>
        <v>3</v>
      </c>
      <c r="AY64" s="573">
        <f>INPUTS!AG60</f>
        <v>4</v>
      </c>
      <c r="AZ64" s="573">
        <f>INPUTS!AH60</f>
        <v>3</v>
      </c>
      <c r="BA64" s="573">
        <f>INPUTS!AI60</f>
        <v>4</v>
      </c>
      <c r="BB64" s="573">
        <f>INPUTS!AJ60</f>
        <v>1</v>
      </c>
      <c r="BC64" s="573">
        <f>INPUTS!AK60</f>
        <v>1</v>
      </c>
      <c r="BD64" s="573">
        <f>INPUTS!AL60</f>
        <v>4</v>
      </c>
      <c r="BE64" s="573">
        <f>INPUTS!AM60</f>
        <v>3</v>
      </c>
      <c r="BF64" s="573">
        <f>INPUTS!AN60</f>
        <v>2</v>
      </c>
      <c r="BG64" s="573">
        <f>INPUTS!AO60</f>
        <v>2</v>
      </c>
      <c r="BH64" s="573">
        <f>INPUTS!AP60</f>
        <v>3</v>
      </c>
      <c r="BI64" s="573">
        <f>INPUTS!AQ60</f>
        <v>4</v>
      </c>
      <c r="BJ64" s="573">
        <f>INPUTS!AR60</f>
        <v>4</v>
      </c>
      <c r="BK64" s="573">
        <f>INPUTS!AS60</f>
        <v>2</v>
      </c>
      <c r="BL64" s="573">
        <f>INPUTS!AT60</f>
        <v>3</v>
      </c>
      <c r="BM64" s="573">
        <f>INPUTS!AU60</f>
        <v>4</v>
      </c>
      <c r="BN64" s="573">
        <f>INPUTS!AV60</f>
        <v>2</v>
      </c>
      <c r="BO64" s="573">
        <f>INPUTS!AW60</f>
        <v>3</v>
      </c>
      <c r="BP64" s="573">
        <f>INPUTS!AX60</f>
        <v>3</v>
      </c>
      <c r="BQ64" s="573">
        <f>INPUTS!AY60</f>
        <v>4</v>
      </c>
      <c r="BR64" s="573">
        <f>INPUTS!AZ60</f>
        <v>3</v>
      </c>
      <c r="BS64" s="573">
        <f>INPUTS!BA60</f>
        <v>1</v>
      </c>
    </row>
    <row r="65" spans="1:71" s="367" customFormat="1" ht="15" customHeight="1">
      <c r="A65" s="102"/>
      <c r="B65" s="271">
        <f>tblIndicators!A61</f>
        <v>60</v>
      </c>
      <c r="C65" s="271">
        <f>tblIndicators!AD61</f>
        <v>0</v>
      </c>
      <c r="D65" s="271">
        <f>tblIndicators!G61</f>
        <v>3</v>
      </c>
      <c r="E65" s="103" t="str">
        <f>tblIndicators!H61</f>
        <v>4_1_2</v>
      </c>
      <c r="F65" s="103"/>
      <c r="G65" s="271">
        <f>tblIndicators!AG61</f>
        <v>3</v>
      </c>
      <c r="H65" s="100" t="str">
        <f>REPT(" ",D65)&amp;tblIndicators!AL61</f>
        <v xml:space="preserve">   4.1.2) Smart urban agriculture</v>
      </c>
      <c r="I65" s="101" t="str">
        <f>IF(G65=1,"",tblIndicators!Z61)</f>
        <v>Scale (0-1)</v>
      </c>
      <c r="K65" s="519">
        <f t="shared" si="63"/>
        <v>1</v>
      </c>
      <c r="L65" s="519">
        <f t="shared" si="64"/>
        <v>1</v>
      </c>
      <c r="M65" s="519">
        <f t="shared" si="65"/>
        <v>1</v>
      </c>
      <c r="N65" s="519">
        <f t="shared" si="66"/>
        <v>1</v>
      </c>
      <c r="O65" s="519">
        <f t="shared" si="67"/>
        <v>1</v>
      </c>
      <c r="P65" s="519">
        <f t="shared" si="68"/>
        <v>1</v>
      </c>
      <c r="Q65" s="519">
        <f t="shared" si="69"/>
        <v>0</v>
      </c>
      <c r="R65" s="519">
        <f t="shared" si="70"/>
        <v>1</v>
      </c>
      <c r="S65" s="519">
        <f t="shared" si="71"/>
        <v>0</v>
      </c>
      <c r="T65" s="519">
        <f t="shared" si="72"/>
        <v>1</v>
      </c>
      <c r="U65" s="519">
        <f t="shared" si="73"/>
        <v>1</v>
      </c>
      <c r="V65" s="519">
        <f t="shared" si="74"/>
        <v>1</v>
      </c>
      <c r="W65" s="519">
        <f t="shared" si="75"/>
        <v>0</v>
      </c>
      <c r="X65" s="519">
        <f t="shared" si="76"/>
        <v>0</v>
      </c>
      <c r="Y65" s="519">
        <f t="shared" si="77"/>
        <v>1</v>
      </c>
      <c r="Z65" s="519">
        <f t="shared" si="78"/>
        <v>0</v>
      </c>
      <c r="AA65" s="519">
        <f t="shared" si="79"/>
        <v>1</v>
      </c>
      <c r="AB65" s="519">
        <f t="shared" si="80"/>
        <v>0</v>
      </c>
      <c r="AC65" s="519">
        <f t="shared" si="81"/>
        <v>0</v>
      </c>
      <c r="AD65" s="519">
        <f t="shared" si="82"/>
        <v>1</v>
      </c>
      <c r="AE65" s="519">
        <f t="shared" si="83"/>
        <v>1</v>
      </c>
      <c r="AF65" s="519">
        <f t="shared" si="84"/>
        <v>1</v>
      </c>
      <c r="AG65" s="519">
        <f t="shared" si="85"/>
        <v>1</v>
      </c>
      <c r="AH65" s="519">
        <f t="shared" si="86"/>
        <v>1</v>
      </c>
      <c r="AI65" s="519">
        <f t="shared" si="87"/>
        <v>1</v>
      </c>
      <c r="AJ65" s="519">
        <f t="shared" si="88"/>
        <v>1</v>
      </c>
      <c r="AK65" s="519">
        <f t="shared" si="89"/>
        <v>1</v>
      </c>
      <c r="AL65" s="519">
        <f t="shared" si="90"/>
        <v>1</v>
      </c>
      <c r="AM65" s="519">
        <f t="shared" si="91"/>
        <v>1</v>
      </c>
      <c r="AN65" s="519">
        <f t="shared" si="92"/>
        <v>1</v>
      </c>
      <c r="AO65" s="364"/>
      <c r="AP65" s="573">
        <f>INPUTS!X61</f>
        <v>1</v>
      </c>
      <c r="AQ65" s="573">
        <f>INPUTS!Y61</f>
        <v>1</v>
      </c>
      <c r="AR65" s="573">
        <f>INPUTS!Z61</f>
        <v>1</v>
      </c>
      <c r="AS65" s="573">
        <f>INPUTS!AA61</f>
        <v>1</v>
      </c>
      <c r="AT65" s="573">
        <f>INPUTS!AB61</f>
        <v>1</v>
      </c>
      <c r="AU65" s="573">
        <f>INPUTS!AC61</f>
        <v>1</v>
      </c>
      <c r="AV65" s="573">
        <f>INPUTS!AD61</f>
        <v>0</v>
      </c>
      <c r="AW65" s="573">
        <f>INPUTS!AE61</f>
        <v>1</v>
      </c>
      <c r="AX65" s="573">
        <f>INPUTS!AF61</f>
        <v>0</v>
      </c>
      <c r="AY65" s="573">
        <f>INPUTS!AG61</f>
        <v>1</v>
      </c>
      <c r="AZ65" s="573">
        <f>INPUTS!AH61</f>
        <v>1</v>
      </c>
      <c r="BA65" s="573">
        <f>INPUTS!AI61</f>
        <v>1</v>
      </c>
      <c r="BB65" s="573">
        <f>INPUTS!AJ61</f>
        <v>0</v>
      </c>
      <c r="BC65" s="573">
        <f>INPUTS!AK61</f>
        <v>0</v>
      </c>
      <c r="BD65" s="573">
        <f>INPUTS!AL61</f>
        <v>1</v>
      </c>
      <c r="BE65" s="573">
        <f>INPUTS!AM61</f>
        <v>0</v>
      </c>
      <c r="BF65" s="573">
        <f>INPUTS!AN61</f>
        <v>1</v>
      </c>
      <c r="BG65" s="573">
        <f>INPUTS!AO61</f>
        <v>0</v>
      </c>
      <c r="BH65" s="573">
        <f>INPUTS!AP61</f>
        <v>0</v>
      </c>
      <c r="BI65" s="573">
        <f>INPUTS!AQ61</f>
        <v>1</v>
      </c>
      <c r="BJ65" s="573">
        <f>INPUTS!AR61</f>
        <v>1</v>
      </c>
      <c r="BK65" s="573">
        <f>INPUTS!AS61</f>
        <v>1</v>
      </c>
      <c r="BL65" s="573">
        <f>INPUTS!AT61</f>
        <v>1</v>
      </c>
      <c r="BM65" s="573">
        <f>INPUTS!AU61</f>
        <v>1</v>
      </c>
      <c r="BN65" s="573">
        <f>INPUTS!AV61</f>
        <v>1</v>
      </c>
      <c r="BO65" s="573">
        <f>INPUTS!AW61</f>
        <v>1</v>
      </c>
      <c r="BP65" s="573">
        <f>INPUTS!AX61</f>
        <v>1</v>
      </c>
      <c r="BQ65" s="573">
        <f>INPUTS!AY61</f>
        <v>1</v>
      </c>
      <c r="BR65" s="573">
        <f>INPUTS!AZ61</f>
        <v>1</v>
      </c>
      <c r="BS65" s="573">
        <f>INPUTS!BA61</f>
        <v>1</v>
      </c>
    </row>
    <row r="66" spans="1:71" s="367" customFormat="1" ht="15" customHeight="1">
      <c r="A66" s="102"/>
      <c r="B66" s="271">
        <f>tblIndicators!A62</f>
        <v>61</v>
      </c>
      <c r="C66" s="271">
        <f>tblIndicators!AD62</f>
        <v>0</v>
      </c>
      <c r="D66" s="271">
        <f>tblIndicators!G62</f>
        <v>3</v>
      </c>
      <c r="E66" s="103" t="str">
        <f>tblIndicators!H62</f>
        <v>4_1_3</v>
      </c>
      <c r="F66" s="103"/>
      <c r="G66" s="271">
        <f>tblIndicators!AG62</f>
        <v>3</v>
      </c>
      <c r="H66" s="100" t="str">
        <f>REPT(" ",D66)&amp;tblIndicators!AL62</f>
        <v xml:space="preserve">   4.1.3) Smart construction</v>
      </c>
      <c r="I66" s="101" t="str">
        <f>IF(G66=1,"",tblIndicators!Z62)</f>
        <v>Scale (0-1)</v>
      </c>
      <c r="K66" s="519">
        <f t="shared" si="63"/>
        <v>1</v>
      </c>
      <c r="L66" s="519">
        <f t="shared" si="64"/>
        <v>1</v>
      </c>
      <c r="M66" s="519">
        <f t="shared" si="65"/>
        <v>1</v>
      </c>
      <c r="N66" s="519">
        <f t="shared" si="66"/>
        <v>1</v>
      </c>
      <c r="O66" s="519">
        <f t="shared" si="67"/>
        <v>1</v>
      </c>
      <c r="P66" s="519">
        <f t="shared" si="68"/>
        <v>1</v>
      </c>
      <c r="Q66" s="519">
        <f t="shared" si="69"/>
        <v>0</v>
      </c>
      <c r="R66" s="519">
        <f t="shared" si="70"/>
        <v>1</v>
      </c>
      <c r="S66" s="519">
        <f t="shared" si="71"/>
        <v>1</v>
      </c>
      <c r="T66" s="519">
        <f t="shared" si="72"/>
        <v>1</v>
      </c>
      <c r="U66" s="519">
        <f t="shared" si="73"/>
        <v>1</v>
      </c>
      <c r="V66" s="519">
        <f t="shared" si="74"/>
        <v>1</v>
      </c>
      <c r="W66" s="519">
        <f t="shared" si="75"/>
        <v>1</v>
      </c>
      <c r="X66" s="519">
        <f t="shared" si="76"/>
        <v>1</v>
      </c>
      <c r="Y66" s="519">
        <f t="shared" si="77"/>
        <v>1</v>
      </c>
      <c r="Z66" s="519">
        <f t="shared" si="78"/>
        <v>1</v>
      </c>
      <c r="AA66" s="519">
        <f t="shared" si="79"/>
        <v>0</v>
      </c>
      <c r="AB66" s="519">
        <f t="shared" si="80"/>
        <v>0</v>
      </c>
      <c r="AC66" s="519">
        <f t="shared" si="81"/>
        <v>0</v>
      </c>
      <c r="AD66" s="519">
        <f t="shared" si="82"/>
        <v>1</v>
      </c>
      <c r="AE66" s="519">
        <f t="shared" si="83"/>
        <v>1</v>
      </c>
      <c r="AF66" s="519">
        <f t="shared" si="84"/>
        <v>0</v>
      </c>
      <c r="AG66" s="519">
        <f t="shared" si="85"/>
        <v>0</v>
      </c>
      <c r="AH66" s="519">
        <f t="shared" si="86"/>
        <v>1</v>
      </c>
      <c r="AI66" s="519">
        <f t="shared" si="87"/>
        <v>1</v>
      </c>
      <c r="AJ66" s="519">
        <f t="shared" si="88"/>
        <v>1</v>
      </c>
      <c r="AK66" s="519">
        <f t="shared" si="89"/>
        <v>1</v>
      </c>
      <c r="AL66" s="519">
        <f t="shared" si="90"/>
        <v>1</v>
      </c>
      <c r="AM66" s="519">
        <f t="shared" si="91"/>
        <v>1</v>
      </c>
      <c r="AN66" s="519">
        <f t="shared" si="92"/>
        <v>1</v>
      </c>
      <c r="AO66" s="364"/>
      <c r="AP66" s="573">
        <f>INPUTS!X62</f>
        <v>1</v>
      </c>
      <c r="AQ66" s="573">
        <f>INPUTS!Y62</f>
        <v>1</v>
      </c>
      <c r="AR66" s="573">
        <f>INPUTS!Z62</f>
        <v>1</v>
      </c>
      <c r="AS66" s="573">
        <f>INPUTS!AA62</f>
        <v>1</v>
      </c>
      <c r="AT66" s="573">
        <f>INPUTS!AB62</f>
        <v>1</v>
      </c>
      <c r="AU66" s="573">
        <f>INPUTS!AC62</f>
        <v>1</v>
      </c>
      <c r="AV66" s="573">
        <f>INPUTS!AD62</f>
        <v>0</v>
      </c>
      <c r="AW66" s="573">
        <f>INPUTS!AE62</f>
        <v>1</v>
      </c>
      <c r="AX66" s="573">
        <f>INPUTS!AF62</f>
        <v>1</v>
      </c>
      <c r="AY66" s="573">
        <f>INPUTS!AG62</f>
        <v>1</v>
      </c>
      <c r="AZ66" s="573">
        <f>INPUTS!AH62</f>
        <v>1</v>
      </c>
      <c r="BA66" s="573">
        <f>INPUTS!AI62</f>
        <v>1</v>
      </c>
      <c r="BB66" s="573">
        <f>INPUTS!AJ62</f>
        <v>1</v>
      </c>
      <c r="BC66" s="573">
        <f>INPUTS!AK62</f>
        <v>1</v>
      </c>
      <c r="BD66" s="573">
        <f>INPUTS!AL62</f>
        <v>1</v>
      </c>
      <c r="BE66" s="573">
        <f>INPUTS!AM62</f>
        <v>1</v>
      </c>
      <c r="BF66" s="573">
        <f>INPUTS!AN62</f>
        <v>0</v>
      </c>
      <c r="BG66" s="573">
        <f>INPUTS!AO62</f>
        <v>0</v>
      </c>
      <c r="BH66" s="573">
        <f>INPUTS!AP62</f>
        <v>0</v>
      </c>
      <c r="BI66" s="573">
        <f>INPUTS!AQ62</f>
        <v>1</v>
      </c>
      <c r="BJ66" s="573">
        <f>INPUTS!AR62</f>
        <v>1</v>
      </c>
      <c r="BK66" s="573">
        <f>INPUTS!AS62</f>
        <v>0</v>
      </c>
      <c r="BL66" s="573">
        <f>INPUTS!AT62</f>
        <v>0</v>
      </c>
      <c r="BM66" s="573">
        <f>INPUTS!AU62</f>
        <v>1</v>
      </c>
      <c r="BN66" s="573">
        <f>INPUTS!AV62</f>
        <v>1</v>
      </c>
      <c r="BO66" s="573">
        <f>INPUTS!AW62</f>
        <v>1</v>
      </c>
      <c r="BP66" s="573">
        <f>INPUTS!AX62</f>
        <v>1</v>
      </c>
      <c r="BQ66" s="573">
        <f>INPUTS!AY62</f>
        <v>1</v>
      </c>
      <c r="BR66" s="573">
        <f>INPUTS!AZ62</f>
        <v>1</v>
      </c>
      <c r="BS66" s="573">
        <f>INPUTS!BA62</f>
        <v>1</v>
      </c>
    </row>
    <row r="67" spans="1:71" s="367" customFormat="1" ht="15" customHeight="1">
      <c r="A67" s="102"/>
      <c r="B67" s="271">
        <f>tblIndicators!A63</f>
        <v>62</v>
      </c>
      <c r="C67" s="271">
        <f>tblIndicators!AD63</f>
        <v>1</v>
      </c>
      <c r="D67" s="271">
        <f>tblIndicators!G63</f>
        <v>2</v>
      </c>
      <c r="E67" s="103" t="str">
        <f>tblIndicators!H63</f>
        <v>4_2</v>
      </c>
      <c r="F67" s="103"/>
      <c r="G67" s="271">
        <f>tblIndicators!AG63</f>
        <v>1</v>
      </c>
      <c r="H67" s="100" t="str">
        <f>REPT(" ",D67)&amp;tblIndicators!AL63</f>
        <v xml:space="preserve">  4.2) Emissions reduction</v>
      </c>
      <c r="I67" s="101" t="str">
        <f>IF(G67=1,"",tblIndicators!Z63)</f>
        <v/>
      </c>
      <c r="K67" s="519" t="str">
        <f t="shared" si="63"/>
        <v/>
      </c>
      <c r="L67" s="519" t="str">
        <f t="shared" si="64"/>
        <v/>
      </c>
      <c r="M67" s="519" t="str">
        <f t="shared" si="65"/>
        <v/>
      </c>
      <c r="N67" s="519" t="str">
        <f t="shared" si="66"/>
        <v/>
      </c>
      <c r="O67" s="519" t="str">
        <f t="shared" si="67"/>
        <v/>
      </c>
      <c r="P67" s="519" t="str">
        <f t="shared" si="68"/>
        <v/>
      </c>
      <c r="Q67" s="519" t="str">
        <f t="shared" si="69"/>
        <v/>
      </c>
      <c r="R67" s="519" t="str">
        <f t="shared" si="70"/>
        <v/>
      </c>
      <c r="S67" s="519" t="str">
        <f t="shared" si="71"/>
        <v/>
      </c>
      <c r="T67" s="519" t="str">
        <f t="shared" si="72"/>
        <v/>
      </c>
      <c r="U67" s="519" t="str">
        <f t="shared" si="73"/>
        <v/>
      </c>
      <c r="V67" s="519" t="str">
        <f t="shared" si="74"/>
        <v/>
      </c>
      <c r="W67" s="519" t="str">
        <f t="shared" si="75"/>
        <v/>
      </c>
      <c r="X67" s="519" t="str">
        <f t="shared" si="76"/>
        <v/>
      </c>
      <c r="Y67" s="519" t="str">
        <f t="shared" si="77"/>
        <v/>
      </c>
      <c r="Z67" s="519" t="str">
        <f t="shared" si="78"/>
        <v/>
      </c>
      <c r="AA67" s="519" t="str">
        <f t="shared" si="79"/>
        <v/>
      </c>
      <c r="AB67" s="519" t="str">
        <f t="shared" si="80"/>
        <v/>
      </c>
      <c r="AC67" s="519" t="str">
        <f t="shared" si="81"/>
        <v/>
      </c>
      <c r="AD67" s="519" t="str">
        <f t="shared" si="82"/>
        <v/>
      </c>
      <c r="AE67" s="519" t="str">
        <f t="shared" si="83"/>
        <v/>
      </c>
      <c r="AF67" s="519" t="str">
        <f t="shared" si="84"/>
        <v/>
      </c>
      <c r="AG67" s="519" t="str">
        <f t="shared" si="85"/>
        <v/>
      </c>
      <c r="AH67" s="519" t="str">
        <f t="shared" si="86"/>
        <v/>
      </c>
      <c r="AI67" s="519" t="str">
        <f t="shared" si="87"/>
        <v/>
      </c>
      <c r="AJ67" s="519" t="str">
        <f t="shared" si="88"/>
        <v/>
      </c>
      <c r="AK67" s="519" t="str">
        <f t="shared" si="89"/>
        <v/>
      </c>
      <c r="AL67" s="519" t="str">
        <f t="shared" si="90"/>
        <v/>
      </c>
      <c r="AM67" s="519" t="str">
        <f t="shared" si="91"/>
        <v/>
      </c>
      <c r="AN67" s="519" t="str">
        <f t="shared" si="92"/>
        <v/>
      </c>
      <c r="AO67" s="364"/>
      <c r="AP67" s="573"/>
      <c r="AQ67" s="573"/>
      <c r="AR67" s="573"/>
      <c r="AS67" s="573"/>
      <c r="AT67" s="573"/>
      <c r="AU67" s="573"/>
      <c r="AV67" s="573"/>
      <c r="AW67" s="573"/>
      <c r="AX67" s="573"/>
      <c r="AY67" s="573"/>
      <c r="AZ67" s="573"/>
      <c r="BA67" s="573"/>
      <c r="BB67" s="573"/>
      <c r="BC67" s="573"/>
      <c r="BD67" s="573"/>
      <c r="BE67" s="573"/>
      <c r="BF67" s="573"/>
      <c r="BG67" s="573"/>
      <c r="BH67" s="573"/>
      <c r="BI67" s="573"/>
      <c r="BJ67" s="573"/>
      <c r="BK67" s="573"/>
      <c r="BL67" s="573"/>
      <c r="BM67" s="573"/>
      <c r="BN67" s="573"/>
      <c r="BO67" s="573"/>
      <c r="BP67" s="573"/>
      <c r="BQ67" s="573"/>
      <c r="BR67" s="573"/>
      <c r="BS67" s="573"/>
    </row>
    <row r="68" spans="1:71" s="367" customFormat="1" ht="15" customHeight="1">
      <c r="A68" s="102"/>
      <c r="B68" s="271">
        <f>tblIndicators!A64</f>
        <v>63</v>
      </c>
      <c r="C68" s="271">
        <f>tblIndicators!AD64</f>
        <v>0</v>
      </c>
      <c r="D68" s="271">
        <f>tblIndicators!G64</f>
        <v>3</v>
      </c>
      <c r="E68" s="103" t="str">
        <f>tblIndicators!H64</f>
        <v>4_2_1</v>
      </c>
      <c r="F68" s="103"/>
      <c r="G68" s="271">
        <f>tblIndicators!AG64</f>
        <v>3</v>
      </c>
      <c r="H68" s="100" t="str">
        <f>REPT(" ",D68)&amp;tblIndicators!AL64</f>
        <v xml:space="preserve">   4.2.1) Net-zero emission</v>
      </c>
      <c r="I68" s="101" t="str">
        <f>IF(G68=1,"",tblIndicators!Z64)</f>
        <v>Scale (0-2)</v>
      </c>
      <c r="K68" s="519">
        <f t="shared" si="63"/>
        <v>2</v>
      </c>
      <c r="L68" s="519">
        <f t="shared" si="64"/>
        <v>2</v>
      </c>
      <c r="M68" s="519">
        <f t="shared" si="65"/>
        <v>1</v>
      </c>
      <c r="N68" s="519">
        <f t="shared" si="66"/>
        <v>2</v>
      </c>
      <c r="O68" s="519">
        <f t="shared" si="67"/>
        <v>2</v>
      </c>
      <c r="P68" s="519">
        <f t="shared" si="68"/>
        <v>2</v>
      </c>
      <c r="Q68" s="519">
        <f t="shared" si="69"/>
        <v>2</v>
      </c>
      <c r="R68" s="519">
        <f t="shared" si="70"/>
        <v>2</v>
      </c>
      <c r="S68" s="519">
        <f t="shared" si="71"/>
        <v>2</v>
      </c>
      <c r="T68" s="519">
        <f t="shared" si="72"/>
        <v>1</v>
      </c>
      <c r="U68" s="519">
        <f t="shared" si="73"/>
        <v>2</v>
      </c>
      <c r="V68" s="519">
        <f t="shared" si="74"/>
        <v>2</v>
      </c>
      <c r="W68" s="519">
        <f t="shared" si="75"/>
        <v>2</v>
      </c>
      <c r="X68" s="519">
        <f t="shared" si="76"/>
        <v>1</v>
      </c>
      <c r="Y68" s="519">
        <f t="shared" si="77"/>
        <v>2</v>
      </c>
      <c r="Z68" s="519">
        <f t="shared" si="78"/>
        <v>2</v>
      </c>
      <c r="AA68" s="519">
        <f t="shared" si="79"/>
        <v>0</v>
      </c>
      <c r="AB68" s="519">
        <f t="shared" si="80"/>
        <v>0</v>
      </c>
      <c r="AC68" s="519">
        <f t="shared" si="81"/>
        <v>1</v>
      </c>
      <c r="AD68" s="519">
        <f t="shared" si="82"/>
        <v>2</v>
      </c>
      <c r="AE68" s="519">
        <f t="shared" si="83"/>
        <v>2</v>
      </c>
      <c r="AF68" s="519">
        <f t="shared" si="84"/>
        <v>2</v>
      </c>
      <c r="AG68" s="519">
        <f t="shared" si="85"/>
        <v>1</v>
      </c>
      <c r="AH68" s="519">
        <f t="shared" si="86"/>
        <v>2</v>
      </c>
      <c r="AI68" s="519">
        <f t="shared" si="87"/>
        <v>0</v>
      </c>
      <c r="AJ68" s="519">
        <f t="shared" si="88"/>
        <v>2</v>
      </c>
      <c r="AK68" s="519">
        <f t="shared" si="89"/>
        <v>2</v>
      </c>
      <c r="AL68" s="519">
        <f t="shared" si="90"/>
        <v>2</v>
      </c>
      <c r="AM68" s="519">
        <f t="shared" si="91"/>
        <v>2</v>
      </c>
      <c r="AN68" s="519">
        <f t="shared" si="92"/>
        <v>2</v>
      </c>
      <c r="AO68" s="364"/>
      <c r="AP68" s="573">
        <f>INPUTS!X64</f>
        <v>2</v>
      </c>
      <c r="AQ68" s="573">
        <f>INPUTS!Y64</f>
        <v>2</v>
      </c>
      <c r="AR68" s="573">
        <f>INPUTS!Z64</f>
        <v>1</v>
      </c>
      <c r="AS68" s="573">
        <f>INPUTS!AA64</f>
        <v>2</v>
      </c>
      <c r="AT68" s="573">
        <f>INPUTS!AB64</f>
        <v>2</v>
      </c>
      <c r="AU68" s="573">
        <f>INPUTS!AC64</f>
        <v>2</v>
      </c>
      <c r="AV68" s="573">
        <f>INPUTS!AD64</f>
        <v>2</v>
      </c>
      <c r="AW68" s="573">
        <f>INPUTS!AE64</f>
        <v>2</v>
      </c>
      <c r="AX68" s="573">
        <f>INPUTS!AF64</f>
        <v>2</v>
      </c>
      <c r="AY68" s="573">
        <f>INPUTS!AG64</f>
        <v>1</v>
      </c>
      <c r="AZ68" s="573">
        <f>INPUTS!AH64</f>
        <v>2</v>
      </c>
      <c r="BA68" s="573">
        <f>INPUTS!AI64</f>
        <v>2</v>
      </c>
      <c r="BB68" s="573">
        <f>INPUTS!AJ64</f>
        <v>2</v>
      </c>
      <c r="BC68" s="573">
        <f>INPUTS!AK64</f>
        <v>1</v>
      </c>
      <c r="BD68" s="573">
        <f>INPUTS!AL64</f>
        <v>2</v>
      </c>
      <c r="BE68" s="573">
        <f>INPUTS!AM64</f>
        <v>2</v>
      </c>
      <c r="BF68" s="573">
        <f>INPUTS!AN64</f>
        <v>0</v>
      </c>
      <c r="BG68" s="573">
        <f>INPUTS!AO64</f>
        <v>0</v>
      </c>
      <c r="BH68" s="573">
        <f>INPUTS!AP64</f>
        <v>1</v>
      </c>
      <c r="BI68" s="573">
        <f>INPUTS!AQ64</f>
        <v>2</v>
      </c>
      <c r="BJ68" s="573">
        <f>INPUTS!AR64</f>
        <v>2</v>
      </c>
      <c r="BK68" s="573">
        <f>INPUTS!AS64</f>
        <v>2</v>
      </c>
      <c r="BL68" s="573">
        <f>INPUTS!AT64</f>
        <v>1</v>
      </c>
      <c r="BM68" s="573">
        <f>INPUTS!AU64</f>
        <v>2</v>
      </c>
      <c r="BN68" s="573">
        <f>INPUTS!AV64</f>
        <v>0</v>
      </c>
      <c r="BO68" s="573">
        <f>INPUTS!AW64</f>
        <v>2</v>
      </c>
      <c r="BP68" s="573">
        <f>INPUTS!AX64</f>
        <v>2</v>
      </c>
      <c r="BQ68" s="573">
        <f>INPUTS!AY64</f>
        <v>2</v>
      </c>
      <c r="BR68" s="573">
        <f>INPUTS!AZ64</f>
        <v>2</v>
      </c>
      <c r="BS68" s="573">
        <f>INPUTS!BA64</f>
        <v>2</v>
      </c>
    </row>
    <row r="69" spans="1:71" s="367" customFormat="1" ht="15" customHeight="1">
      <c r="A69" s="102"/>
      <c r="B69" s="271">
        <f>tblIndicators!A65</f>
        <v>64</v>
      </c>
      <c r="C69" s="271">
        <f>tblIndicators!AD65</f>
        <v>0</v>
      </c>
      <c r="D69" s="271">
        <f>tblIndicators!G65</f>
        <v>3</v>
      </c>
      <c r="E69" s="103" t="str">
        <f>tblIndicators!H65</f>
        <v>4_2_2</v>
      </c>
      <c r="F69" s="103"/>
      <c r="G69" s="271">
        <f>tblIndicators!AG65</f>
        <v>3</v>
      </c>
      <c r="H69" s="100" t="str">
        <f>REPT(" ",D69)&amp;tblIndicators!AL65</f>
        <v xml:space="preserve">   4.2.2) Traffic management </v>
      </c>
      <c r="I69" s="101" t="str">
        <f>IF(G69=1,"",tblIndicators!Z65)</f>
        <v>Scale (0-5)</v>
      </c>
      <c r="K69" s="519">
        <f t="shared" si="63"/>
        <v>5</v>
      </c>
      <c r="L69" s="519">
        <f t="shared" si="64"/>
        <v>4</v>
      </c>
      <c r="M69" s="519">
        <f t="shared" si="65"/>
        <v>2</v>
      </c>
      <c r="N69" s="519">
        <f t="shared" si="66"/>
        <v>4</v>
      </c>
      <c r="O69" s="519">
        <f t="shared" si="67"/>
        <v>4</v>
      </c>
      <c r="P69" s="519">
        <f t="shared" si="68"/>
        <v>4</v>
      </c>
      <c r="Q69" s="519">
        <f t="shared" si="69"/>
        <v>4</v>
      </c>
      <c r="R69" s="519">
        <f t="shared" si="70"/>
        <v>5</v>
      </c>
      <c r="S69" s="519">
        <f t="shared" si="71"/>
        <v>4</v>
      </c>
      <c r="T69" s="519">
        <f t="shared" si="72"/>
        <v>5</v>
      </c>
      <c r="U69" s="519">
        <f t="shared" si="73"/>
        <v>5</v>
      </c>
      <c r="V69" s="519">
        <f t="shared" si="74"/>
        <v>4</v>
      </c>
      <c r="W69" s="519">
        <f t="shared" si="75"/>
        <v>3</v>
      </c>
      <c r="X69" s="519">
        <f t="shared" si="76"/>
        <v>4</v>
      </c>
      <c r="Y69" s="519">
        <f t="shared" si="77"/>
        <v>3</v>
      </c>
      <c r="Z69" s="519">
        <f t="shared" si="78"/>
        <v>5</v>
      </c>
      <c r="AA69" s="519">
        <f t="shared" si="79"/>
        <v>0</v>
      </c>
      <c r="AB69" s="519">
        <f t="shared" si="80"/>
        <v>3</v>
      </c>
      <c r="AC69" s="519">
        <f t="shared" si="81"/>
        <v>1</v>
      </c>
      <c r="AD69" s="519">
        <f t="shared" si="82"/>
        <v>4</v>
      </c>
      <c r="AE69" s="519">
        <f t="shared" si="83"/>
        <v>3</v>
      </c>
      <c r="AF69" s="519">
        <f t="shared" si="84"/>
        <v>4</v>
      </c>
      <c r="AG69" s="519">
        <f t="shared" si="85"/>
        <v>4</v>
      </c>
      <c r="AH69" s="519">
        <f t="shared" si="86"/>
        <v>3</v>
      </c>
      <c r="AI69" s="519">
        <f t="shared" si="87"/>
        <v>4</v>
      </c>
      <c r="AJ69" s="519">
        <f t="shared" si="88"/>
        <v>4</v>
      </c>
      <c r="AK69" s="519">
        <f t="shared" si="89"/>
        <v>2</v>
      </c>
      <c r="AL69" s="519">
        <f t="shared" si="90"/>
        <v>4</v>
      </c>
      <c r="AM69" s="519">
        <f t="shared" si="91"/>
        <v>5</v>
      </c>
      <c r="AN69" s="519">
        <f t="shared" si="92"/>
        <v>4</v>
      </c>
      <c r="AO69" s="364"/>
      <c r="AP69" s="573">
        <f>INPUTS!X65</f>
        <v>5</v>
      </c>
      <c r="AQ69" s="573">
        <f>INPUTS!Y65</f>
        <v>4</v>
      </c>
      <c r="AR69" s="573">
        <f>INPUTS!Z65</f>
        <v>2</v>
      </c>
      <c r="AS69" s="573">
        <f>INPUTS!AA65</f>
        <v>4</v>
      </c>
      <c r="AT69" s="573">
        <f>INPUTS!AB65</f>
        <v>4</v>
      </c>
      <c r="AU69" s="573">
        <f>INPUTS!AC65</f>
        <v>4</v>
      </c>
      <c r="AV69" s="573">
        <f>INPUTS!AD65</f>
        <v>4</v>
      </c>
      <c r="AW69" s="573">
        <f>INPUTS!AE65</f>
        <v>5</v>
      </c>
      <c r="AX69" s="573">
        <f>INPUTS!AF65</f>
        <v>4</v>
      </c>
      <c r="AY69" s="573">
        <f>INPUTS!AG65</f>
        <v>5</v>
      </c>
      <c r="AZ69" s="573">
        <f>INPUTS!AH65</f>
        <v>5</v>
      </c>
      <c r="BA69" s="573">
        <f>INPUTS!AI65</f>
        <v>4</v>
      </c>
      <c r="BB69" s="573">
        <f>INPUTS!AJ65</f>
        <v>3</v>
      </c>
      <c r="BC69" s="573">
        <f>INPUTS!AK65</f>
        <v>4</v>
      </c>
      <c r="BD69" s="573">
        <f>INPUTS!AL65</f>
        <v>3</v>
      </c>
      <c r="BE69" s="573">
        <f>INPUTS!AM65</f>
        <v>5</v>
      </c>
      <c r="BF69" s="573">
        <f>INPUTS!AN65</f>
        <v>0</v>
      </c>
      <c r="BG69" s="573">
        <f>INPUTS!AO65</f>
        <v>3</v>
      </c>
      <c r="BH69" s="573">
        <f>INPUTS!AP65</f>
        <v>1</v>
      </c>
      <c r="BI69" s="573">
        <f>INPUTS!AQ65</f>
        <v>4</v>
      </c>
      <c r="BJ69" s="573">
        <f>INPUTS!AR65</f>
        <v>3</v>
      </c>
      <c r="BK69" s="573">
        <f>INPUTS!AS65</f>
        <v>4</v>
      </c>
      <c r="BL69" s="573">
        <f>INPUTS!AT65</f>
        <v>4</v>
      </c>
      <c r="BM69" s="573">
        <f>INPUTS!AU65</f>
        <v>3</v>
      </c>
      <c r="BN69" s="573">
        <f>INPUTS!AV65</f>
        <v>4</v>
      </c>
      <c r="BO69" s="573">
        <f>INPUTS!AW65</f>
        <v>4</v>
      </c>
      <c r="BP69" s="573">
        <f>INPUTS!AX65</f>
        <v>2</v>
      </c>
      <c r="BQ69" s="573">
        <f>INPUTS!AY65</f>
        <v>4</v>
      </c>
      <c r="BR69" s="573">
        <f>INPUTS!AZ65</f>
        <v>5</v>
      </c>
      <c r="BS69" s="573">
        <f>INPUTS!BA65</f>
        <v>4</v>
      </c>
    </row>
    <row r="70" spans="1:71" s="367" customFormat="1" ht="15" customHeight="1">
      <c r="A70" s="102"/>
      <c r="B70" s="271">
        <f>tblIndicators!A66</f>
        <v>65</v>
      </c>
      <c r="C70" s="271">
        <f>tblIndicators!AD66</f>
        <v>0</v>
      </c>
      <c r="D70" s="271">
        <f>tblIndicators!G66</f>
        <v>3</v>
      </c>
      <c r="E70" s="103" t="str">
        <f>tblIndicators!H66</f>
        <v>4_2_3</v>
      </c>
      <c r="F70" s="103"/>
      <c r="G70" s="271">
        <f>tblIndicators!AG66</f>
        <v>3</v>
      </c>
      <c r="H70" s="100" t="str">
        <f>REPT(" ",D70)&amp;tblIndicators!AL66</f>
        <v xml:space="preserve">   4.2.3) Autonomous vehicle support</v>
      </c>
      <c r="I70" s="101" t="str">
        <f>IF(G70=1,"",tblIndicators!Z66)</f>
        <v>Scale (0-2)</v>
      </c>
      <c r="K70" s="519">
        <f t="shared" si="63"/>
        <v>2</v>
      </c>
      <c r="L70" s="519">
        <f t="shared" si="64"/>
        <v>1</v>
      </c>
      <c r="M70" s="519">
        <f t="shared" si="65"/>
        <v>1</v>
      </c>
      <c r="N70" s="519">
        <f t="shared" si="66"/>
        <v>2</v>
      </c>
      <c r="O70" s="519">
        <f t="shared" si="67"/>
        <v>2</v>
      </c>
      <c r="P70" s="519">
        <f t="shared" si="68"/>
        <v>2</v>
      </c>
      <c r="Q70" s="519">
        <f t="shared" si="69"/>
        <v>1</v>
      </c>
      <c r="R70" s="519">
        <f t="shared" si="70"/>
        <v>2</v>
      </c>
      <c r="S70" s="519">
        <f t="shared" si="71"/>
        <v>2</v>
      </c>
      <c r="T70" s="519">
        <f t="shared" si="72"/>
        <v>2</v>
      </c>
      <c r="U70" s="519">
        <f t="shared" si="73"/>
        <v>2</v>
      </c>
      <c r="V70" s="519">
        <f t="shared" si="74"/>
        <v>1</v>
      </c>
      <c r="W70" s="519">
        <f t="shared" si="75"/>
        <v>1</v>
      </c>
      <c r="X70" s="519">
        <f t="shared" si="76"/>
        <v>2</v>
      </c>
      <c r="Y70" s="519">
        <f t="shared" si="77"/>
        <v>2</v>
      </c>
      <c r="Z70" s="519">
        <f t="shared" si="78"/>
        <v>2</v>
      </c>
      <c r="AA70" s="519">
        <f t="shared" si="79"/>
        <v>1</v>
      </c>
      <c r="AB70" s="519">
        <f t="shared" si="80"/>
        <v>0</v>
      </c>
      <c r="AC70" s="519">
        <f t="shared" si="81"/>
        <v>0</v>
      </c>
      <c r="AD70" s="519">
        <f t="shared" si="82"/>
        <v>2</v>
      </c>
      <c r="AE70" s="519">
        <f t="shared" si="83"/>
        <v>2</v>
      </c>
      <c r="AF70" s="519">
        <f t="shared" si="84"/>
        <v>2</v>
      </c>
      <c r="AG70" s="519">
        <f t="shared" si="85"/>
        <v>0</v>
      </c>
      <c r="AH70" s="519">
        <f t="shared" si="86"/>
        <v>2</v>
      </c>
      <c r="AI70" s="519">
        <f t="shared" si="87"/>
        <v>2</v>
      </c>
      <c r="AJ70" s="519">
        <f t="shared" si="88"/>
        <v>2</v>
      </c>
      <c r="AK70" s="519">
        <f t="shared" si="89"/>
        <v>2</v>
      </c>
      <c r="AL70" s="519">
        <f t="shared" si="90"/>
        <v>2</v>
      </c>
      <c r="AM70" s="519">
        <f t="shared" si="91"/>
        <v>2</v>
      </c>
      <c r="AN70" s="519">
        <f t="shared" si="92"/>
        <v>2</v>
      </c>
      <c r="AO70" s="364"/>
      <c r="AP70" s="573">
        <f>INPUTS!X66</f>
        <v>2</v>
      </c>
      <c r="AQ70" s="573">
        <f>INPUTS!Y66</f>
        <v>1</v>
      </c>
      <c r="AR70" s="573">
        <f>INPUTS!Z66</f>
        <v>1</v>
      </c>
      <c r="AS70" s="573">
        <f>INPUTS!AA66</f>
        <v>2</v>
      </c>
      <c r="AT70" s="573">
        <f>INPUTS!AB66</f>
        <v>2</v>
      </c>
      <c r="AU70" s="573">
        <f>INPUTS!AC66</f>
        <v>2</v>
      </c>
      <c r="AV70" s="573">
        <f>INPUTS!AD66</f>
        <v>1</v>
      </c>
      <c r="AW70" s="573">
        <f>INPUTS!AE66</f>
        <v>2</v>
      </c>
      <c r="AX70" s="573">
        <f>INPUTS!AF66</f>
        <v>2</v>
      </c>
      <c r="AY70" s="573">
        <f>INPUTS!AG66</f>
        <v>2</v>
      </c>
      <c r="AZ70" s="573">
        <f>INPUTS!AH66</f>
        <v>2</v>
      </c>
      <c r="BA70" s="573">
        <f>INPUTS!AI66</f>
        <v>1</v>
      </c>
      <c r="BB70" s="573">
        <f>INPUTS!AJ66</f>
        <v>1</v>
      </c>
      <c r="BC70" s="573">
        <f>INPUTS!AK66</f>
        <v>2</v>
      </c>
      <c r="BD70" s="573">
        <f>INPUTS!AL66</f>
        <v>2</v>
      </c>
      <c r="BE70" s="573">
        <f>INPUTS!AM66</f>
        <v>2</v>
      </c>
      <c r="BF70" s="573">
        <f>INPUTS!AN66</f>
        <v>1</v>
      </c>
      <c r="BG70" s="573">
        <f>INPUTS!AO66</f>
        <v>0</v>
      </c>
      <c r="BH70" s="573">
        <f>INPUTS!AP66</f>
        <v>0</v>
      </c>
      <c r="BI70" s="573">
        <f>INPUTS!AQ66</f>
        <v>2</v>
      </c>
      <c r="BJ70" s="573">
        <f>INPUTS!AR66</f>
        <v>2</v>
      </c>
      <c r="BK70" s="573">
        <f>INPUTS!AS66</f>
        <v>2</v>
      </c>
      <c r="BL70" s="573">
        <f>INPUTS!AT66</f>
        <v>0</v>
      </c>
      <c r="BM70" s="573">
        <f>INPUTS!AU66</f>
        <v>2</v>
      </c>
      <c r="BN70" s="573">
        <f>INPUTS!AV66</f>
        <v>2</v>
      </c>
      <c r="BO70" s="573">
        <f>INPUTS!AW66</f>
        <v>2</v>
      </c>
      <c r="BP70" s="573">
        <f>INPUTS!AX66</f>
        <v>2</v>
      </c>
      <c r="BQ70" s="573">
        <f>INPUTS!AY66</f>
        <v>2</v>
      </c>
      <c r="BR70" s="573">
        <f>INPUTS!AZ66</f>
        <v>2</v>
      </c>
      <c r="BS70" s="573">
        <f>INPUTS!BA66</f>
        <v>2</v>
      </c>
    </row>
    <row r="71" spans="1:71" s="367" customFormat="1" ht="15" customHeight="1">
      <c r="A71" s="102"/>
      <c r="B71" s="271">
        <f>tblIndicators!A67</f>
        <v>66</v>
      </c>
      <c r="C71" s="271">
        <f>tblIndicators!AD67</f>
        <v>1</v>
      </c>
      <c r="D71" s="271">
        <f>tblIndicators!G67</f>
        <v>2</v>
      </c>
      <c r="E71" s="103" t="str">
        <f>tblIndicators!H67</f>
        <v>4_3</v>
      </c>
      <c r="F71" s="103"/>
      <c r="G71" s="271">
        <f>tblIndicators!AG67</f>
        <v>1</v>
      </c>
      <c r="H71" s="100" t="str">
        <f>REPT(" ",D71)&amp;tblIndicators!AL67</f>
        <v xml:space="preserve">  4.3) Pollution</v>
      </c>
      <c r="I71" s="101" t="str">
        <f>IF(G71=1,"",tblIndicators!Z67)</f>
        <v/>
      </c>
      <c r="K71" s="519" t="str">
        <f t="shared" si="63"/>
        <v/>
      </c>
      <c r="L71" s="519" t="str">
        <f t="shared" si="64"/>
        <v/>
      </c>
      <c r="M71" s="519" t="str">
        <f t="shared" si="65"/>
        <v/>
      </c>
      <c r="N71" s="519" t="str">
        <f t="shared" si="66"/>
        <v/>
      </c>
      <c r="O71" s="519" t="str">
        <f t="shared" si="67"/>
        <v/>
      </c>
      <c r="P71" s="519" t="str">
        <f t="shared" si="68"/>
        <v/>
      </c>
      <c r="Q71" s="519" t="str">
        <f t="shared" si="69"/>
        <v/>
      </c>
      <c r="R71" s="519" t="str">
        <f t="shared" si="70"/>
        <v/>
      </c>
      <c r="S71" s="519" t="str">
        <f t="shared" si="71"/>
        <v/>
      </c>
      <c r="T71" s="519" t="str">
        <f t="shared" si="72"/>
        <v/>
      </c>
      <c r="U71" s="519" t="str">
        <f t="shared" si="73"/>
        <v/>
      </c>
      <c r="V71" s="519" t="str">
        <f t="shared" si="74"/>
        <v/>
      </c>
      <c r="W71" s="519" t="str">
        <f t="shared" si="75"/>
        <v/>
      </c>
      <c r="X71" s="519" t="str">
        <f t="shared" si="76"/>
        <v/>
      </c>
      <c r="Y71" s="519" t="str">
        <f t="shared" si="77"/>
        <v/>
      </c>
      <c r="Z71" s="519" t="str">
        <f t="shared" si="78"/>
        <v/>
      </c>
      <c r="AA71" s="519" t="str">
        <f t="shared" si="79"/>
        <v/>
      </c>
      <c r="AB71" s="519" t="str">
        <f t="shared" si="80"/>
        <v/>
      </c>
      <c r="AC71" s="519" t="str">
        <f t="shared" si="81"/>
        <v/>
      </c>
      <c r="AD71" s="519" t="str">
        <f t="shared" si="82"/>
        <v/>
      </c>
      <c r="AE71" s="519" t="str">
        <f t="shared" si="83"/>
        <v/>
      </c>
      <c r="AF71" s="519" t="str">
        <f t="shared" si="84"/>
        <v/>
      </c>
      <c r="AG71" s="519" t="str">
        <f t="shared" si="85"/>
        <v/>
      </c>
      <c r="AH71" s="519" t="str">
        <f t="shared" si="86"/>
        <v/>
      </c>
      <c r="AI71" s="519" t="str">
        <f t="shared" si="87"/>
        <v/>
      </c>
      <c r="AJ71" s="519" t="str">
        <f t="shared" si="88"/>
        <v/>
      </c>
      <c r="AK71" s="519" t="str">
        <f t="shared" si="89"/>
        <v/>
      </c>
      <c r="AL71" s="519" t="str">
        <f t="shared" si="90"/>
        <v/>
      </c>
      <c r="AM71" s="519" t="str">
        <f t="shared" si="91"/>
        <v/>
      </c>
      <c r="AN71" s="519" t="str">
        <f t="shared" si="92"/>
        <v/>
      </c>
      <c r="AO71" s="364"/>
      <c r="AP71" s="573"/>
      <c r="AQ71" s="573"/>
      <c r="AR71" s="573"/>
      <c r="AS71" s="573"/>
      <c r="AT71" s="573"/>
      <c r="AU71" s="573"/>
      <c r="AV71" s="573"/>
      <c r="AW71" s="573"/>
      <c r="AX71" s="573"/>
      <c r="AY71" s="573"/>
      <c r="AZ71" s="573"/>
      <c r="BA71" s="573"/>
      <c r="BB71" s="573"/>
      <c r="BC71" s="573"/>
      <c r="BD71" s="573"/>
      <c r="BE71" s="573"/>
      <c r="BF71" s="573"/>
      <c r="BG71" s="573"/>
      <c r="BH71" s="573"/>
      <c r="BI71" s="573"/>
      <c r="BJ71" s="573"/>
      <c r="BK71" s="573"/>
      <c r="BL71" s="573"/>
      <c r="BM71" s="573"/>
      <c r="BN71" s="573"/>
      <c r="BO71" s="573"/>
      <c r="BP71" s="573"/>
      <c r="BQ71" s="573"/>
      <c r="BR71" s="573"/>
      <c r="BS71" s="573"/>
    </row>
    <row r="72" spans="1:71" s="367" customFormat="1" ht="15" customHeight="1">
      <c r="A72" s="102"/>
      <c r="B72" s="271">
        <f>tblIndicators!A68</f>
        <v>67</v>
      </c>
      <c r="C72" s="271">
        <f>tblIndicators!AD68</f>
        <v>0</v>
      </c>
      <c r="D72" s="271">
        <f>tblIndicators!G68</f>
        <v>3</v>
      </c>
      <c r="E72" s="103" t="str">
        <f>tblIndicators!H68</f>
        <v>4_3_1</v>
      </c>
      <c r="F72" s="103"/>
      <c r="G72" s="271">
        <f>tblIndicators!AG68</f>
        <v>3</v>
      </c>
      <c r="H72" s="100" t="str">
        <f>REPT(" ",D72)&amp;tblIndicators!AL68</f>
        <v xml:space="preserve">   4.3.1) Air pollution</v>
      </c>
      <c r="I72" s="101" t="str">
        <f>IF(G72=1,"",tblIndicators!Z68)</f>
        <v>Scale (0-6)</v>
      </c>
      <c r="K72" s="519">
        <f t="shared" si="63"/>
        <v>3</v>
      </c>
      <c r="L72" s="519">
        <f t="shared" si="64"/>
        <v>6</v>
      </c>
      <c r="M72" s="519">
        <f t="shared" si="65"/>
        <v>3</v>
      </c>
      <c r="N72" s="519">
        <f t="shared" si="66"/>
        <v>5</v>
      </c>
      <c r="O72" s="519">
        <f t="shared" si="67"/>
        <v>3</v>
      </c>
      <c r="P72" s="519">
        <f t="shared" si="68"/>
        <v>3</v>
      </c>
      <c r="Q72" s="519">
        <f t="shared" si="69"/>
        <v>3</v>
      </c>
      <c r="R72" s="519">
        <f t="shared" si="70"/>
        <v>4</v>
      </c>
      <c r="S72" s="519">
        <f t="shared" si="71"/>
        <v>3</v>
      </c>
      <c r="T72" s="519">
        <f t="shared" si="72"/>
        <v>1</v>
      </c>
      <c r="U72" s="519">
        <f t="shared" si="73"/>
        <v>3</v>
      </c>
      <c r="V72" s="519">
        <f t="shared" si="74"/>
        <v>4</v>
      </c>
      <c r="W72" s="519">
        <f t="shared" si="75"/>
        <v>1</v>
      </c>
      <c r="X72" s="519">
        <f t="shared" si="76"/>
        <v>3</v>
      </c>
      <c r="Y72" s="519">
        <f t="shared" si="77"/>
        <v>5</v>
      </c>
      <c r="Z72" s="519">
        <f t="shared" si="78"/>
        <v>4</v>
      </c>
      <c r="AA72" s="519">
        <f t="shared" si="79"/>
        <v>3</v>
      </c>
      <c r="AB72" s="519">
        <f t="shared" si="80"/>
        <v>3</v>
      </c>
      <c r="AC72" s="519">
        <f t="shared" si="81"/>
        <v>2</v>
      </c>
      <c r="AD72" s="519">
        <f t="shared" si="82"/>
        <v>4</v>
      </c>
      <c r="AE72" s="519">
        <f t="shared" si="83"/>
        <v>3</v>
      </c>
      <c r="AF72" s="519">
        <f t="shared" si="84"/>
        <v>4</v>
      </c>
      <c r="AG72" s="519">
        <f t="shared" si="85"/>
        <v>3</v>
      </c>
      <c r="AH72" s="519">
        <f t="shared" si="86"/>
        <v>5</v>
      </c>
      <c r="AI72" s="519">
        <f t="shared" si="87"/>
        <v>4</v>
      </c>
      <c r="AJ72" s="519">
        <f t="shared" si="88"/>
        <v>4</v>
      </c>
      <c r="AK72" s="519">
        <f t="shared" si="89"/>
        <v>3</v>
      </c>
      <c r="AL72" s="519">
        <f t="shared" si="90"/>
        <v>4</v>
      </c>
      <c r="AM72" s="519">
        <f t="shared" si="91"/>
        <v>4</v>
      </c>
      <c r="AN72" s="519">
        <f t="shared" si="92"/>
        <v>4</v>
      </c>
      <c r="AO72" s="364"/>
      <c r="AP72" s="573">
        <f>INPUTS!X68</f>
        <v>3</v>
      </c>
      <c r="AQ72" s="573">
        <f>INPUTS!Y68</f>
        <v>6</v>
      </c>
      <c r="AR72" s="573">
        <f>INPUTS!Z68</f>
        <v>3</v>
      </c>
      <c r="AS72" s="573">
        <f>INPUTS!AA68</f>
        <v>5</v>
      </c>
      <c r="AT72" s="573">
        <f>INPUTS!AB68</f>
        <v>3</v>
      </c>
      <c r="AU72" s="573">
        <f>INPUTS!AC68</f>
        <v>3</v>
      </c>
      <c r="AV72" s="573">
        <f>INPUTS!AD68</f>
        <v>3</v>
      </c>
      <c r="AW72" s="573">
        <f>INPUTS!AE68</f>
        <v>4</v>
      </c>
      <c r="AX72" s="573">
        <f>INPUTS!AF68</f>
        <v>3</v>
      </c>
      <c r="AY72" s="573">
        <f>INPUTS!AG68</f>
        <v>1</v>
      </c>
      <c r="AZ72" s="573">
        <f>INPUTS!AH68</f>
        <v>3</v>
      </c>
      <c r="BA72" s="573">
        <f>INPUTS!AI68</f>
        <v>4</v>
      </c>
      <c r="BB72" s="573">
        <f>INPUTS!AJ68</f>
        <v>1</v>
      </c>
      <c r="BC72" s="573">
        <f>INPUTS!AK68</f>
        <v>3</v>
      </c>
      <c r="BD72" s="573">
        <f>INPUTS!AL68</f>
        <v>5</v>
      </c>
      <c r="BE72" s="573">
        <f>INPUTS!AM68</f>
        <v>4</v>
      </c>
      <c r="BF72" s="573">
        <f>INPUTS!AN68</f>
        <v>3</v>
      </c>
      <c r="BG72" s="573">
        <f>INPUTS!AO68</f>
        <v>3</v>
      </c>
      <c r="BH72" s="573">
        <f>INPUTS!AP68</f>
        <v>2</v>
      </c>
      <c r="BI72" s="573">
        <f>INPUTS!AQ68</f>
        <v>4</v>
      </c>
      <c r="BJ72" s="573">
        <f>INPUTS!AR68</f>
        <v>3</v>
      </c>
      <c r="BK72" s="573">
        <f>INPUTS!AS68</f>
        <v>4</v>
      </c>
      <c r="BL72" s="573">
        <f>INPUTS!AT68</f>
        <v>3</v>
      </c>
      <c r="BM72" s="573">
        <f>INPUTS!AU68</f>
        <v>5</v>
      </c>
      <c r="BN72" s="573">
        <f>INPUTS!AV68</f>
        <v>4</v>
      </c>
      <c r="BO72" s="573">
        <f>INPUTS!AW68</f>
        <v>4</v>
      </c>
      <c r="BP72" s="573">
        <f>INPUTS!AX68</f>
        <v>3</v>
      </c>
      <c r="BQ72" s="573">
        <f>INPUTS!AY68</f>
        <v>4</v>
      </c>
      <c r="BR72" s="573">
        <f>INPUTS!AZ68</f>
        <v>4</v>
      </c>
      <c r="BS72" s="573">
        <f>INPUTS!BA68</f>
        <v>4</v>
      </c>
    </row>
    <row r="73" spans="1:71" s="367" customFormat="1" ht="15" customHeight="1">
      <c r="A73" s="102"/>
      <c r="B73" s="271">
        <f>tblIndicators!A69</f>
        <v>68</v>
      </c>
      <c r="C73" s="271">
        <f>tblIndicators!AD69</f>
        <v>1</v>
      </c>
      <c r="D73" s="271">
        <f>tblIndicators!G69</f>
        <v>2</v>
      </c>
      <c r="E73" s="103" t="str">
        <f>tblIndicators!H69</f>
        <v>4_4</v>
      </c>
      <c r="F73" s="103"/>
      <c r="G73" s="271">
        <f>tblIndicators!AG69</f>
        <v>1</v>
      </c>
      <c r="H73" s="100" t="str">
        <f>REPT(" ",D73)&amp;tblIndicators!AL69</f>
        <v xml:space="preserve">  4.4) Circular economy</v>
      </c>
      <c r="I73" s="101" t="str">
        <f>IF(G73=1,"",tblIndicators!Z69)</f>
        <v/>
      </c>
      <c r="K73" s="519" t="str">
        <f t="shared" ref="K73:K75" si="153">IF($G73=1,"",IF(AP73="-","",IF(ISNUMBER(AP73),ROUND(AP73,$C73),"")))</f>
        <v/>
      </c>
      <c r="L73" s="519" t="str">
        <f t="shared" ref="L73:L75" si="154">IF($G73=1,"",IF(AQ73="-","",IF(ISNUMBER(AQ73),ROUND(AQ73,$C73),"")))</f>
        <v/>
      </c>
      <c r="M73" s="519" t="str">
        <f t="shared" ref="M73:M75" si="155">IF($G73=1,"",IF(AR73="-","",IF(ISNUMBER(AR73),ROUND(AR73,$C73),"")))</f>
        <v/>
      </c>
      <c r="N73" s="519" t="str">
        <f t="shared" ref="N73:N75" si="156">IF($G73=1,"",IF(AS73="-","",IF(ISNUMBER(AS73),ROUND(AS73,$C73),"")))</f>
        <v/>
      </c>
      <c r="O73" s="519" t="str">
        <f t="shared" ref="O73:O75" si="157">IF($G73=1,"",IF(AT73="-","",IF(ISNUMBER(AT73),ROUND(AT73,$C73),"")))</f>
        <v/>
      </c>
      <c r="P73" s="519" t="str">
        <f t="shared" ref="P73:P75" si="158">IF($G73=1,"",IF(AU73="-","",IF(ISNUMBER(AU73),ROUND(AU73,$C73),"")))</f>
        <v/>
      </c>
      <c r="Q73" s="519" t="str">
        <f t="shared" ref="Q73:Q75" si="159">IF($G73=1,"",IF(AV73="-","",IF(ISNUMBER(AV73),ROUND(AV73,$C73),"")))</f>
        <v/>
      </c>
      <c r="R73" s="519" t="str">
        <f t="shared" ref="R73:R75" si="160">IF($G73=1,"",IF(AW73="-","",IF(ISNUMBER(AW73),ROUND(AW73,$C73),"")))</f>
        <v/>
      </c>
      <c r="S73" s="519" t="str">
        <f t="shared" ref="S73:S75" si="161">IF($G73=1,"",IF(AX73="-","",IF(ISNUMBER(AX73),ROUND(AX73,$C73),"")))</f>
        <v/>
      </c>
      <c r="T73" s="519" t="str">
        <f t="shared" ref="T73:T75" si="162">IF($G73=1,"",IF(AY73="-","",IF(ISNUMBER(AY73),ROUND(AY73,$C73),"")))</f>
        <v/>
      </c>
      <c r="U73" s="519" t="str">
        <f t="shared" ref="U73:U75" si="163">IF($G73=1,"",IF(AZ73="-","",IF(ISNUMBER(AZ73),ROUND(AZ73,$C73),"")))</f>
        <v/>
      </c>
      <c r="V73" s="519" t="str">
        <f t="shared" ref="V73:V75" si="164">IF($G73=1,"",IF(BA73="-","",IF(ISNUMBER(BA73),ROUND(BA73,$C73),"")))</f>
        <v/>
      </c>
      <c r="W73" s="519" t="str">
        <f t="shared" ref="W73:W75" si="165">IF($G73=1,"",IF(BB73="-","",IF(ISNUMBER(BB73),ROUND(BB73,$C73),"")))</f>
        <v/>
      </c>
      <c r="X73" s="519" t="str">
        <f t="shared" ref="X73:X75" si="166">IF($G73=1,"",IF(BC73="-","",IF(ISNUMBER(BC73),ROUND(BC73,$C73),"")))</f>
        <v/>
      </c>
      <c r="Y73" s="519" t="str">
        <f t="shared" ref="Y73:Y75" si="167">IF($G73=1,"",IF(BD73="-","",IF(ISNUMBER(BD73),ROUND(BD73,$C73),"")))</f>
        <v/>
      </c>
      <c r="Z73" s="519" t="str">
        <f t="shared" ref="Z73:Z75" si="168">IF($G73=1,"",IF(BE73="-","",IF(ISNUMBER(BE73),ROUND(BE73,$C73),"")))</f>
        <v/>
      </c>
      <c r="AA73" s="519" t="str">
        <f t="shared" ref="AA73:AA75" si="169">IF($G73=1,"",IF(BF73="-","",IF(ISNUMBER(BF73),ROUND(BF73,$C73),"")))</f>
        <v/>
      </c>
      <c r="AB73" s="519" t="str">
        <f t="shared" ref="AB73:AB75" si="170">IF($G73=1,"",IF(BG73="-","",IF(ISNUMBER(BG73),ROUND(BG73,$C73),"")))</f>
        <v/>
      </c>
      <c r="AC73" s="519" t="str">
        <f t="shared" ref="AC73:AC75" si="171">IF($G73=1,"",IF(BH73="-","",IF(ISNUMBER(BH73),ROUND(BH73,$C73),"")))</f>
        <v/>
      </c>
      <c r="AD73" s="519" t="str">
        <f t="shared" ref="AD73:AD75" si="172">IF($G73=1,"",IF(BI73="-","",IF(ISNUMBER(BI73),ROUND(BI73,$C73),"")))</f>
        <v/>
      </c>
      <c r="AE73" s="519" t="str">
        <f t="shared" ref="AE73:AE75" si="173">IF($G73=1,"",IF(BJ73="-","",IF(ISNUMBER(BJ73),ROUND(BJ73,$C73),"")))</f>
        <v/>
      </c>
      <c r="AF73" s="519" t="str">
        <f t="shared" ref="AF73:AF75" si="174">IF($G73=1,"",IF(BK73="-","",IF(ISNUMBER(BK73),ROUND(BK73,$C73),"")))</f>
        <v/>
      </c>
      <c r="AG73" s="519" t="str">
        <f t="shared" ref="AG73:AG75" si="175">IF($G73=1,"",IF(BL73="-","",IF(ISNUMBER(BL73),ROUND(BL73,$C73),"")))</f>
        <v/>
      </c>
      <c r="AH73" s="519" t="str">
        <f t="shared" ref="AH73:AH75" si="176">IF($G73=1,"",IF(BM73="-","",IF(ISNUMBER(BM73),ROUND(BM73,$C73),"")))</f>
        <v/>
      </c>
      <c r="AI73" s="519" t="str">
        <f t="shared" ref="AI73:AI75" si="177">IF($G73=1,"",IF(BN73="-","",IF(ISNUMBER(BN73),ROUND(BN73,$C73),"")))</f>
        <v/>
      </c>
      <c r="AJ73" s="519" t="str">
        <f t="shared" ref="AJ73:AJ75" si="178">IF($G73=1,"",IF(BO73="-","",IF(ISNUMBER(BO73),ROUND(BO73,$C73),"")))</f>
        <v/>
      </c>
      <c r="AK73" s="519" t="str">
        <f t="shared" ref="AK73:AK75" si="179">IF($G73=1,"",IF(BP73="-","",IF(ISNUMBER(BP73),ROUND(BP73,$C73),"")))</f>
        <v/>
      </c>
      <c r="AL73" s="519" t="str">
        <f t="shared" ref="AL73:AL75" si="180">IF($G73=1,"",IF(BQ73="-","",IF(ISNUMBER(BQ73),ROUND(BQ73,$C73),"")))</f>
        <v/>
      </c>
      <c r="AM73" s="519" t="str">
        <f t="shared" ref="AM73:AM75" si="181">IF($G73=1,"",IF(BR73="-","",IF(ISNUMBER(BR73),ROUND(BR73,$C73),"")))</f>
        <v/>
      </c>
      <c r="AN73" s="519" t="str">
        <f t="shared" ref="AN73:AN75" si="182">IF($G73=1,"",IF(BS73="-","",IF(ISNUMBER(BS73),ROUND(BS73,$C73),"")))</f>
        <v/>
      </c>
      <c r="AO73" s="364"/>
      <c r="AP73" s="573"/>
      <c r="AQ73" s="573"/>
      <c r="AR73" s="573"/>
      <c r="AS73" s="573"/>
      <c r="AT73" s="573"/>
      <c r="AU73" s="573"/>
      <c r="AV73" s="573"/>
      <c r="AW73" s="573"/>
      <c r="AX73" s="573"/>
      <c r="AY73" s="573"/>
      <c r="AZ73" s="573"/>
      <c r="BA73" s="573"/>
      <c r="BB73" s="573"/>
      <c r="BC73" s="573"/>
      <c r="BD73" s="573"/>
      <c r="BE73" s="573"/>
      <c r="BF73" s="573"/>
      <c r="BG73" s="573"/>
      <c r="BH73" s="573"/>
      <c r="BI73" s="573"/>
      <c r="BJ73" s="573"/>
      <c r="BK73" s="573"/>
      <c r="BL73" s="573"/>
      <c r="BM73" s="573"/>
      <c r="BN73" s="573"/>
      <c r="BO73" s="573"/>
      <c r="BP73" s="573"/>
      <c r="BQ73" s="573"/>
      <c r="BR73" s="573"/>
      <c r="BS73" s="573"/>
    </row>
    <row r="74" spans="1:71" s="367" customFormat="1" ht="15" customHeight="1">
      <c r="A74" s="102"/>
      <c r="B74" s="271">
        <f>tblIndicators!A70</f>
        <v>69</v>
      </c>
      <c r="C74" s="271">
        <f>tblIndicators!AD70</f>
        <v>0</v>
      </c>
      <c r="D74" s="271">
        <f>tblIndicators!G70</f>
        <v>3</v>
      </c>
      <c r="E74" s="103" t="str">
        <f>tblIndicators!H70</f>
        <v>4_4_1</v>
      </c>
      <c r="F74" s="103"/>
      <c r="G74" s="271">
        <f>tblIndicators!AG70</f>
        <v>3</v>
      </c>
      <c r="H74" s="100" t="str">
        <f>REPT(" ",D74)&amp;tblIndicators!AL70</f>
        <v xml:space="preserve">   4.4.1) Sharing economy development</v>
      </c>
      <c r="I74" s="101" t="str">
        <f>IF(G74=1,"",tblIndicators!Z70)</f>
        <v>Scale (0-2)</v>
      </c>
      <c r="K74" s="519">
        <f t="shared" si="153"/>
        <v>2</v>
      </c>
      <c r="L74" s="519">
        <f t="shared" si="154"/>
        <v>0</v>
      </c>
      <c r="M74" s="519">
        <f t="shared" si="155"/>
        <v>0</v>
      </c>
      <c r="N74" s="519">
        <f t="shared" si="156"/>
        <v>1</v>
      </c>
      <c r="O74" s="519">
        <f t="shared" si="157"/>
        <v>2</v>
      </c>
      <c r="P74" s="519">
        <f t="shared" si="158"/>
        <v>0</v>
      </c>
      <c r="Q74" s="519">
        <f t="shared" si="159"/>
        <v>0</v>
      </c>
      <c r="R74" s="519">
        <f t="shared" si="160"/>
        <v>2</v>
      </c>
      <c r="S74" s="519">
        <f t="shared" si="161"/>
        <v>0</v>
      </c>
      <c r="T74" s="519">
        <f t="shared" si="162"/>
        <v>0</v>
      </c>
      <c r="U74" s="519">
        <f t="shared" si="163"/>
        <v>0</v>
      </c>
      <c r="V74" s="519">
        <f t="shared" si="164"/>
        <v>0</v>
      </c>
      <c r="W74" s="519">
        <f t="shared" si="165"/>
        <v>0</v>
      </c>
      <c r="X74" s="519">
        <f t="shared" si="166"/>
        <v>2</v>
      </c>
      <c r="Y74" s="519">
        <f t="shared" si="167"/>
        <v>1</v>
      </c>
      <c r="Z74" s="519">
        <f t="shared" si="168"/>
        <v>0</v>
      </c>
      <c r="AA74" s="519">
        <f t="shared" si="169"/>
        <v>0</v>
      </c>
      <c r="AB74" s="519">
        <f t="shared" si="170"/>
        <v>0</v>
      </c>
      <c r="AC74" s="519">
        <f t="shared" si="171"/>
        <v>0</v>
      </c>
      <c r="AD74" s="519">
        <f t="shared" si="172"/>
        <v>0</v>
      </c>
      <c r="AE74" s="519">
        <f t="shared" si="173"/>
        <v>0</v>
      </c>
      <c r="AF74" s="519">
        <f t="shared" si="174"/>
        <v>0</v>
      </c>
      <c r="AG74" s="519">
        <f t="shared" si="175"/>
        <v>0</v>
      </c>
      <c r="AH74" s="519">
        <f t="shared" si="176"/>
        <v>2</v>
      </c>
      <c r="AI74" s="519">
        <f t="shared" si="177"/>
        <v>0</v>
      </c>
      <c r="AJ74" s="519">
        <f t="shared" si="178"/>
        <v>2</v>
      </c>
      <c r="AK74" s="519">
        <f t="shared" si="179"/>
        <v>1</v>
      </c>
      <c r="AL74" s="519">
        <f t="shared" si="180"/>
        <v>2</v>
      </c>
      <c r="AM74" s="519">
        <f t="shared" si="181"/>
        <v>0</v>
      </c>
      <c r="AN74" s="519">
        <f t="shared" si="182"/>
        <v>0</v>
      </c>
      <c r="AO74" s="364"/>
      <c r="AP74" s="573">
        <f>INPUTS!X70</f>
        <v>2</v>
      </c>
      <c r="AQ74" s="573">
        <f>INPUTS!Y70</f>
        <v>0</v>
      </c>
      <c r="AR74" s="573">
        <f>INPUTS!Z70</f>
        <v>0</v>
      </c>
      <c r="AS74" s="573">
        <f>INPUTS!AA70</f>
        <v>1</v>
      </c>
      <c r="AT74" s="573">
        <f>INPUTS!AB70</f>
        <v>2</v>
      </c>
      <c r="AU74" s="573">
        <f>INPUTS!AC70</f>
        <v>0</v>
      </c>
      <c r="AV74" s="573">
        <f>INPUTS!AD70</f>
        <v>0</v>
      </c>
      <c r="AW74" s="573">
        <f>INPUTS!AE70</f>
        <v>2</v>
      </c>
      <c r="AX74" s="573">
        <f>INPUTS!AF70</f>
        <v>0</v>
      </c>
      <c r="AY74" s="573">
        <f>INPUTS!AG70</f>
        <v>0</v>
      </c>
      <c r="AZ74" s="573">
        <f>INPUTS!AH70</f>
        <v>0</v>
      </c>
      <c r="BA74" s="573">
        <f>INPUTS!AI70</f>
        <v>0</v>
      </c>
      <c r="BB74" s="573">
        <f>INPUTS!AJ70</f>
        <v>0</v>
      </c>
      <c r="BC74" s="573">
        <f>INPUTS!AK70</f>
        <v>2</v>
      </c>
      <c r="BD74" s="573">
        <f>INPUTS!AL70</f>
        <v>1</v>
      </c>
      <c r="BE74" s="573">
        <f>INPUTS!AM70</f>
        <v>0</v>
      </c>
      <c r="BF74" s="573">
        <f>INPUTS!AN70</f>
        <v>0</v>
      </c>
      <c r="BG74" s="573">
        <f>INPUTS!AO70</f>
        <v>0</v>
      </c>
      <c r="BH74" s="573">
        <f>INPUTS!AP70</f>
        <v>0</v>
      </c>
      <c r="BI74" s="573">
        <f>INPUTS!AQ70</f>
        <v>0</v>
      </c>
      <c r="BJ74" s="573">
        <f>INPUTS!AR70</f>
        <v>0</v>
      </c>
      <c r="BK74" s="573">
        <f>INPUTS!AS70</f>
        <v>0</v>
      </c>
      <c r="BL74" s="573">
        <f>INPUTS!AT70</f>
        <v>0</v>
      </c>
      <c r="BM74" s="573">
        <f>INPUTS!AU70</f>
        <v>2</v>
      </c>
      <c r="BN74" s="573">
        <f>INPUTS!AV70</f>
        <v>0</v>
      </c>
      <c r="BO74" s="573">
        <f>INPUTS!AW70</f>
        <v>2</v>
      </c>
      <c r="BP74" s="573">
        <f>INPUTS!AX70</f>
        <v>1</v>
      </c>
      <c r="BQ74" s="573">
        <f>INPUTS!AY70</f>
        <v>2</v>
      </c>
      <c r="BR74" s="573">
        <f>INPUTS!AZ70</f>
        <v>0</v>
      </c>
      <c r="BS74" s="573">
        <f>INPUTS!BA70</f>
        <v>0</v>
      </c>
    </row>
    <row r="75" spans="1:71" s="367" customFormat="1" ht="15" customHeight="1">
      <c r="A75" s="102"/>
      <c r="B75" s="271">
        <f>tblIndicators!A71</f>
        <v>70</v>
      </c>
      <c r="C75" s="271">
        <f>tblIndicators!AD71</f>
        <v>0</v>
      </c>
      <c r="D75" s="271">
        <f>tblIndicators!G71</f>
        <v>3</v>
      </c>
      <c r="E75" s="103" t="str">
        <f>tblIndicators!H71</f>
        <v>4_4_2</v>
      </c>
      <c r="F75" s="103"/>
      <c r="G75" s="271">
        <f>tblIndicators!AG71</f>
        <v>3</v>
      </c>
      <c r="H75" s="100" t="str">
        <f>REPT(" ",D75)&amp;tblIndicators!AL71</f>
        <v xml:space="preserve">   4.4.2) E-waste management</v>
      </c>
      <c r="I75" s="101" t="str">
        <f>IF(G75=1,"",tblIndicators!Z71)</f>
        <v>Scale (0-1)</v>
      </c>
      <c r="K75" s="519">
        <f t="shared" si="153"/>
        <v>1</v>
      </c>
      <c r="L75" s="519">
        <f t="shared" si="154"/>
        <v>0</v>
      </c>
      <c r="M75" s="519">
        <f t="shared" si="155"/>
        <v>0</v>
      </c>
      <c r="N75" s="519">
        <f t="shared" si="156"/>
        <v>1</v>
      </c>
      <c r="O75" s="519">
        <f t="shared" si="157"/>
        <v>1</v>
      </c>
      <c r="P75" s="519">
        <f t="shared" si="158"/>
        <v>1</v>
      </c>
      <c r="Q75" s="519">
        <f t="shared" si="159"/>
        <v>1</v>
      </c>
      <c r="R75" s="519">
        <f t="shared" si="160"/>
        <v>1</v>
      </c>
      <c r="S75" s="519">
        <f t="shared" si="161"/>
        <v>1</v>
      </c>
      <c r="T75" s="519">
        <f t="shared" si="162"/>
        <v>0</v>
      </c>
      <c r="U75" s="519">
        <f t="shared" si="163"/>
        <v>1</v>
      </c>
      <c r="V75" s="519">
        <f t="shared" si="164"/>
        <v>1</v>
      </c>
      <c r="W75" s="519">
        <f t="shared" si="165"/>
        <v>0</v>
      </c>
      <c r="X75" s="519">
        <f t="shared" si="166"/>
        <v>1</v>
      </c>
      <c r="Y75" s="519">
        <f t="shared" si="167"/>
        <v>1</v>
      </c>
      <c r="Z75" s="519">
        <f t="shared" si="168"/>
        <v>1</v>
      </c>
      <c r="AA75" s="519">
        <f t="shared" si="169"/>
        <v>0</v>
      </c>
      <c r="AB75" s="519">
        <f t="shared" si="170"/>
        <v>1</v>
      </c>
      <c r="AC75" s="519">
        <f t="shared" si="171"/>
        <v>1</v>
      </c>
      <c r="AD75" s="519">
        <f t="shared" si="172"/>
        <v>1</v>
      </c>
      <c r="AE75" s="519">
        <f t="shared" si="173"/>
        <v>1</v>
      </c>
      <c r="AF75" s="519">
        <f t="shared" si="174"/>
        <v>1</v>
      </c>
      <c r="AG75" s="519">
        <f t="shared" si="175"/>
        <v>1</v>
      </c>
      <c r="AH75" s="519">
        <f t="shared" si="176"/>
        <v>1</v>
      </c>
      <c r="AI75" s="519">
        <f t="shared" si="177"/>
        <v>1</v>
      </c>
      <c r="AJ75" s="519">
        <f t="shared" si="178"/>
        <v>0</v>
      </c>
      <c r="AK75" s="519">
        <f t="shared" si="179"/>
        <v>1</v>
      </c>
      <c r="AL75" s="519">
        <f t="shared" si="180"/>
        <v>1</v>
      </c>
      <c r="AM75" s="519">
        <f t="shared" si="181"/>
        <v>1</v>
      </c>
      <c r="AN75" s="519">
        <f t="shared" si="182"/>
        <v>1</v>
      </c>
      <c r="AO75" s="364"/>
      <c r="AP75" s="573">
        <f>INPUTS!X71</f>
        <v>1</v>
      </c>
      <c r="AQ75" s="573">
        <f>INPUTS!Y71</f>
        <v>0</v>
      </c>
      <c r="AR75" s="573">
        <f>INPUTS!Z71</f>
        <v>0</v>
      </c>
      <c r="AS75" s="573">
        <f>INPUTS!AA71</f>
        <v>1</v>
      </c>
      <c r="AT75" s="573">
        <f>INPUTS!AB71</f>
        <v>1</v>
      </c>
      <c r="AU75" s="573">
        <f>INPUTS!AC71</f>
        <v>1</v>
      </c>
      <c r="AV75" s="573">
        <f>INPUTS!AD71</f>
        <v>1</v>
      </c>
      <c r="AW75" s="573">
        <f>INPUTS!AE71</f>
        <v>1</v>
      </c>
      <c r="AX75" s="573">
        <f>INPUTS!AF71</f>
        <v>1</v>
      </c>
      <c r="AY75" s="573">
        <f>INPUTS!AG71</f>
        <v>0</v>
      </c>
      <c r="AZ75" s="573">
        <f>INPUTS!AH71</f>
        <v>1</v>
      </c>
      <c r="BA75" s="573">
        <f>INPUTS!AI71</f>
        <v>1</v>
      </c>
      <c r="BB75" s="573">
        <f>INPUTS!AJ71</f>
        <v>0</v>
      </c>
      <c r="BC75" s="573">
        <f>INPUTS!AK71</f>
        <v>1</v>
      </c>
      <c r="BD75" s="573">
        <f>INPUTS!AL71</f>
        <v>1</v>
      </c>
      <c r="BE75" s="573">
        <f>INPUTS!AM71</f>
        <v>1</v>
      </c>
      <c r="BF75" s="573">
        <f>INPUTS!AN71</f>
        <v>0</v>
      </c>
      <c r="BG75" s="573">
        <f>INPUTS!AO71</f>
        <v>1</v>
      </c>
      <c r="BH75" s="573">
        <f>INPUTS!AP71</f>
        <v>1</v>
      </c>
      <c r="BI75" s="573">
        <f>INPUTS!AQ71</f>
        <v>1</v>
      </c>
      <c r="BJ75" s="573">
        <f>INPUTS!AR71</f>
        <v>1</v>
      </c>
      <c r="BK75" s="573">
        <f>INPUTS!AS71</f>
        <v>1</v>
      </c>
      <c r="BL75" s="573">
        <f>INPUTS!AT71</f>
        <v>1</v>
      </c>
      <c r="BM75" s="573">
        <f>INPUTS!AU71</f>
        <v>1</v>
      </c>
      <c r="BN75" s="573">
        <f>INPUTS!AV71</f>
        <v>1</v>
      </c>
      <c r="BO75" s="573">
        <f>INPUTS!AW71</f>
        <v>0</v>
      </c>
      <c r="BP75" s="573">
        <f>INPUTS!AX71</f>
        <v>1</v>
      </c>
      <c r="BQ75" s="573">
        <f>INPUTS!AY71</f>
        <v>1</v>
      </c>
      <c r="BR75" s="573">
        <f>INPUTS!AZ71</f>
        <v>1</v>
      </c>
      <c r="BS75" s="573">
        <f>INPUTS!BA71</f>
        <v>1</v>
      </c>
    </row>
    <row r="76" spans="1:71" s="367" customFormat="1" ht="15" customHeight="1">
      <c r="A76" s="102"/>
      <c r="B76" s="271">
        <f>tblIndicators!A72</f>
        <v>71</v>
      </c>
      <c r="C76" s="271">
        <f>tblIndicators!AD72</f>
        <v>0</v>
      </c>
      <c r="D76" s="271">
        <f>tblIndicators!G72</f>
        <v>2</v>
      </c>
      <c r="E76" s="103">
        <f>tblIndicators!H72</f>
        <v>1</v>
      </c>
      <c r="F76" s="103"/>
      <c r="G76" s="271">
        <f>tblIndicators!AG72</f>
        <v>0</v>
      </c>
      <c r="H76" s="100" t="str">
        <f>REPT(" ",D76)&amp;tblIndicators!AL72</f>
        <v xml:space="preserve">  </v>
      </c>
      <c r="I76" s="101" t="str">
        <f>IF(G76=1,"",tblIndicators!Z72)</f>
        <v/>
      </c>
      <c r="K76" s="519" t="str">
        <f t="shared" ref="K76:K81" si="183">IF($G76=1,"",IF(AP76="-","",IF(ISNUMBER(AP76),ROUND(AP76,$C76),"")))</f>
        <v/>
      </c>
      <c r="L76" s="519" t="str">
        <f t="shared" ref="L76:L81" si="184">IF($G76=1,"",IF(AQ76="-","",IF(ISNUMBER(AQ76),ROUND(AQ76,$C76),"")))</f>
        <v/>
      </c>
      <c r="M76" s="519" t="str">
        <f t="shared" ref="M76:M81" si="185">IF($G76=1,"",IF(AR76="-","",IF(ISNUMBER(AR76),ROUND(AR76,$C76),"")))</f>
        <v/>
      </c>
      <c r="N76" s="519" t="str">
        <f t="shared" ref="N76:N81" si="186">IF($G76=1,"",IF(AS76="-","",IF(ISNUMBER(AS76),ROUND(AS76,$C76),"")))</f>
        <v/>
      </c>
      <c r="O76" s="519" t="str">
        <f t="shared" ref="O76:O81" si="187">IF($G76=1,"",IF(AT76="-","",IF(ISNUMBER(AT76),ROUND(AT76,$C76),"")))</f>
        <v/>
      </c>
      <c r="P76" s="519" t="str">
        <f t="shared" ref="P76:P81" si="188">IF($G76=1,"",IF(AU76="-","",IF(ISNUMBER(AU76),ROUND(AU76,$C76),"")))</f>
        <v/>
      </c>
      <c r="Q76" s="519" t="str">
        <f t="shared" ref="Q76:Q81" si="189">IF($G76=1,"",IF(AV76="-","",IF(ISNUMBER(AV76),ROUND(AV76,$C76),"")))</f>
        <v/>
      </c>
      <c r="R76" s="519" t="str">
        <f t="shared" ref="R76:R81" si="190">IF($G76=1,"",IF(AW76="-","",IF(ISNUMBER(AW76),ROUND(AW76,$C76),"")))</f>
        <v/>
      </c>
      <c r="S76" s="519" t="str">
        <f t="shared" ref="S76:S81" si="191">IF($G76=1,"",IF(AX76="-","",IF(ISNUMBER(AX76),ROUND(AX76,$C76),"")))</f>
        <v/>
      </c>
      <c r="T76" s="519" t="str">
        <f t="shared" ref="T76:T81" si="192">IF($G76=1,"",IF(AY76="-","",IF(ISNUMBER(AY76),ROUND(AY76,$C76),"")))</f>
        <v/>
      </c>
      <c r="U76" s="519" t="str">
        <f t="shared" ref="U76:U81" si="193">IF($G76=1,"",IF(AZ76="-","",IF(ISNUMBER(AZ76),ROUND(AZ76,$C76),"")))</f>
        <v/>
      </c>
      <c r="V76" s="519" t="str">
        <f t="shared" ref="V76:V81" si="194">IF($G76=1,"",IF(BA76="-","",IF(ISNUMBER(BA76),ROUND(BA76,$C76),"")))</f>
        <v/>
      </c>
      <c r="W76" s="519" t="str">
        <f t="shared" ref="W76:W81" si="195">IF($G76=1,"",IF(BB76="-","",IF(ISNUMBER(BB76),ROUND(BB76,$C76),"")))</f>
        <v/>
      </c>
      <c r="X76" s="519" t="str">
        <f t="shared" ref="X76:X81" si="196">IF($G76=1,"",IF(BC76="-","",IF(ISNUMBER(BC76),ROUND(BC76,$C76),"")))</f>
        <v/>
      </c>
      <c r="Y76" s="519" t="str">
        <f t="shared" ref="Y76:Y81" si="197">IF($G76=1,"",IF(BD76="-","",IF(ISNUMBER(BD76),ROUND(BD76,$C76),"")))</f>
        <v/>
      </c>
      <c r="Z76" s="519" t="str">
        <f t="shared" ref="Z76:Z81" si="198">IF($G76=1,"",IF(BE76="-","",IF(ISNUMBER(BE76),ROUND(BE76,$C76),"")))</f>
        <v/>
      </c>
      <c r="AA76" s="519" t="str">
        <f t="shared" ref="AA76:AA81" si="199">IF($G76=1,"",IF(BF76="-","",IF(ISNUMBER(BF76),ROUND(BF76,$C76),"")))</f>
        <v/>
      </c>
      <c r="AB76" s="519" t="str">
        <f t="shared" ref="AB76:AB81" si="200">IF($G76=1,"",IF(BG76="-","",IF(ISNUMBER(BG76),ROUND(BG76,$C76),"")))</f>
        <v/>
      </c>
      <c r="AC76" s="519" t="str">
        <f t="shared" ref="AC76:AC81" si="201">IF($G76=1,"",IF(BH76="-","",IF(ISNUMBER(BH76),ROUND(BH76,$C76),"")))</f>
        <v/>
      </c>
      <c r="AD76" s="519" t="str">
        <f t="shared" ref="AD76:AD81" si="202">IF($G76=1,"",IF(BI76="-","",IF(ISNUMBER(BI76),ROUND(BI76,$C76),"")))</f>
        <v/>
      </c>
      <c r="AE76" s="519" t="str">
        <f t="shared" ref="AE76:AE81" si="203">IF($G76=1,"",IF(BJ76="-","",IF(ISNUMBER(BJ76),ROUND(BJ76,$C76),"")))</f>
        <v/>
      </c>
      <c r="AF76" s="519" t="str">
        <f t="shared" ref="AF76:AF81" si="204">IF($G76=1,"",IF(BK76="-","",IF(ISNUMBER(BK76),ROUND(BK76,$C76),"")))</f>
        <v/>
      </c>
      <c r="AG76" s="519" t="str">
        <f t="shared" ref="AG76:AG81" si="205">IF($G76=1,"",IF(BL76="-","",IF(ISNUMBER(BL76),ROUND(BL76,$C76),"")))</f>
        <v/>
      </c>
      <c r="AH76" s="519" t="str">
        <f t="shared" ref="AH76:AH81" si="206">IF($G76=1,"",IF(BM76="-","",IF(ISNUMBER(BM76),ROUND(BM76,$C76),"")))</f>
        <v/>
      </c>
      <c r="AI76" s="519" t="str">
        <f t="shared" ref="AI76:AI81" si="207">IF($G76=1,"",IF(BN76="-","",IF(ISNUMBER(BN76),ROUND(BN76,$C76),"")))</f>
        <v/>
      </c>
      <c r="AJ76" s="519" t="str">
        <f t="shared" ref="AJ76:AJ81" si="208">IF($G76=1,"",IF(BO76="-","",IF(ISNUMBER(BO76),ROUND(BO76,$C76),"")))</f>
        <v/>
      </c>
      <c r="AK76" s="519" t="str">
        <f t="shared" ref="AK76:AK81" si="209">IF($G76=1,"",IF(BP76="-","",IF(ISNUMBER(BP76),ROUND(BP76,$C76),"")))</f>
        <v/>
      </c>
      <c r="AL76" s="519" t="str">
        <f t="shared" ref="AL76:AL81" si="210">IF($G76=1,"",IF(BQ76="-","",IF(ISNUMBER(BQ76),ROUND(BQ76,$C76),"")))</f>
        <v/>
      </c>
      <c r="AM76" s="519" t="str">
        <f t="shared" ref="AM76:AM81" si="211">IF($G76=1,"",IF(BR76="-","",IF(ISNUMBER(BR76),ROUND(BR76,$C76),"")))</f>
        <v/>
      </c>
      <c r="AN76" s="519" t="str">
        <f t="shared" ref="AN76:AN81" si="212">IF($G76=1,"",IF(BS76="-","",IF(ISNUMBER(BS76),ROUND(BS76,$C76),"")))</f>
        <v/>
      </c>
      <c r="AO76" s="364"/>
      <c r="AP76" s="573"/>
      <c r="AQ76" s="573"/>
      <c r="AR76" s="573"/>
      <c r="AS76" s="573"/>
      <c r="AT76" s="573"/>
      <c r="AU76" s="573"/>
      <c r="AV76" s="573"/>
      <c r="AW76" s="573"/>
      <c r="AX76" s="573"/>
      <c r="AY76" s="573"/>
      <c r="AZ76" s="573"/>
      <c r="BA76" s="573"/>
      <c r="BB76" s="573"/>
      <c r="BC76" s="573"/>
      <c r="BD76" s="573"/>
      <c r="BE76" s="573"/>
      <c r="BF76" s="573"/>
      <c r="BG76" s="573"/>
      <c r="BH76" s="573"/>
      <c r="BI76" s="573"/>
      <c r="BJ76" s="573"/>
      <c r="BK76" s="573"/>
      <c r="BL76" s="573"/>
      <c r="BM76" s="573"/>
      <c r="BN76" s="573"/>
      <c r="BO76" s="573"/>
      <c r="BP76" s="573"/>
      <c r="BQ76" s="573"/>
      <c r="BR76" s="573"/>
      <c r="BS76" s="573"/>
    </row>
    <row r="77" spans="1:71" s="367" customFormat="1" ht="15" customHeight="1">
      <c r="A77" s="102"/>
      <c r="B77" s="271">
        <f>tblIndicators!A73</f>
        <v>72</v>
      </c>
      <c r="C77" s="271">
        <f>tblIndicators!AD73</f>
        <v>1</v>
      </c>
      <c r="D77" s="271">
        <f>tblIndicators!G73</f>
        <v>3</v>
      </c>
      <c r="E77" s="103" t="str">
        <f>tblIndicators!H73</f>
        <v>1_1</v>
      </c>
      <c r="F77" s="103"/>
      <c r="G77" s="271">
        <f>tblIndicators!AG73</f>
        <v>2</v>
      </c>
      <c r="H77" s="100" t="str">
        <f>REPT(" ",D77)&amp;tblIndicators!AL73</f>
        <v xml:space="preserve">   BG_1.1) Real GDP growth</v>
      </c>
      <c r="I77" s="101" t="str">
        <f>IF(G77=1,"",tblIndicators!Z73)</f>
        <v>%</v>
      </c>
      <c r="K77" s="519">
        <f t="shared" si="183"/>
        <v>4.4000000000000004</v>
      </c>
      <c r="L77" s="519">
        <f t="shared" si="184"/>
        <v>6.1</v>
      </c>
      <c r="M77" s="519">
        <f t="shared" si="185"/>
        <v>1.3</v>
      </c>
      <c r="N77" s="519">
        <f t="shared" si="186"/>
        <v>4.7</v>
      </c>
      <c r="O77" s="519">
        <f t="shared" si="187"/>
        <v>7.9</v>
      </c>
      <c r="P77" s="519">
        <f t="shared" si="188"/>
        <v>2.7</v>
      </c>
      <c r="Q77" s="519">
        <f t="shared" si="189"/>
        <v>9.6999999999999993</v>
      </c>
      <c r="R77" s="519">
        <f t="shared" si="190"/>
        <v>3.2</v>
      </c>
      <c r="S77" s="519">
        <f t="shared" si="191"/>
        <v>5.5</v>
      </c>
      <c r="T77" s="519">
        <f t="shared" si="192"/>
        <v>3.8</v>
      </c>
      <c r="U77" s="519">
        <f t="shared" si="193"/>
        <v>2.7</v>
      </c>
      <c r="V77" s="519">
        <f t="shared" si="194"/>
        <v>6.5</v>
      </c>
      <c r="W77" s="519">
        <f t="shared" si="195"/>
        <v>3.1</v>
      </c>
      <c r="X77" s="519">
        <f t="shared" si="196"/>
        <v>3</v>
      </c>
      <c r="Y77" s="519">
        <f t="shared" si="197"/>
        <v>7.2</v>
      </c>
      <c r="Z77" s="519">
        <f t="shared" si="198"/>
        <v>4.7</v>
      </c>
      <c r="AA77" s="519">
        <f t="shared" si="199"/>
        <v>4.8</v>
      </c>
      <c r="AB77" s="519">
        <f t="shared" si="200"/>
        <v>5.6</v>
      </c>
      <c r="AC77" s="519">
        <f t="shared" si="201"/>
        <v>9.1999999999999993</v>
      </c>
      <c r="AD77" s="519">
        <f t="shared" si="202"/>
        <v>5.5</v>
      </c>
      <c r="AE77" s="519">
        <f t="shared" si="203"/>
        <v>6.7</v>
      </c>
      <c r="AF77" s="519">
        <f t="shared" si="204"/>
        <v>6.3</v>
      </c>
      <c r="AG77" s="519">
        <f t="shared" si="205"/>
        <v>4.8</v>
      </c>
      <c r="AH77" s="519">
        <f t="shared" si="206"/>
        <v>3.9</v>
      </c>
      <c r="AI77" s="519">
        <f t="shared" si="207"/>
        <v>6.8</v>
      </c>
      <c r="AJ77" s="519">
        <f t="shared" si="208"/>
        <v>3.9</v>
      </c>
      <c r="AK77" s="519">
        <f t="shared" si="209"/>
        <v>2</v>
      </c>
      <c r="AL77" s="519">
        <f t="shared" si="210"/>
        <v>4.7</v>
      </c>
      <c r="AM77" s="519">
        <f t="shared" si="211"/>
        <v>5.5</v>
      </c>
      <c r="AN77" s="519">
        <f t="shared" si="212"/>
        <v>3.6</v>
      </c>
      <c r="AO77" s="364"/>
      <c r="AP77" s="573">
        <f>INPUTS!X73</f>
        <v>4.4000000000000004</v>
      </c>
      <c r="AQ77" s="573">
        <f>INPUTS!Y73</f>
        <v>6.1</v>
      </c>
      <c r="AR77" s="573">
        <f>INPUTS!Z73</f>
        <v>1.3</v>
      </c>
      <c r="AS77" s="573">
        <f>INPUTS!AA73</f>
        <v>4.7</v>
      </c>
      <c r="AT77" s="573">
        <f>INPUTS!AB73</f>
        <v>7.9</v>
      </c>
      <c r="AU77" s="573">
        <f>INPUTS!AC73</f>
        <v>2.7</v>
      </c>
      <c r="AV77" s="573">
        <f>INPUTS!AD73</f>
        <v>9.6999999999999993</v>
      </c>
      <c r="AW77" s="573">
        <f>INPUTS!AE73</f>
        <v>3.2</v>
      </c>
      <c r="AX77" s="573">
        <f>INPUTS!AF73</f>
        <v>5.5</v>
      </c>
      <c r="AY77" s="573">
        <f>INPUTS!AG73</f>
        <v>3.8</v>
      </c>
      <c r="AZ77" s="573">
        <f>INPUTS!AH73</f>
        <v>2.7</v>
      </c>
      <c r="BA77" s="573">
        <f>INPUTS!AI73</f>
        <v>6.5</v>
      </c>
      <c r="BB77" s="573">
        <f>INPUTS!AJ73</f>
        <v>3.1</v>
      </c>
      <c r="BC77" s="573">
        <f>INPUTS!AK73</f>
        <v>3</v>
      </c>
      <c r="BD77" s="573">
        <f>INPUTS!AL73</f>
        <v>7.2</v>
      </c>
      <c r="BE77" s="573">
        <f>INPUTS!AM73</f>
        <v>4.7</v>
      </c>
      <c r="BF77" s="573">
        <f>INPUTS!AN73</f>
        <v>4.8</v>
      </c>
      <c r="BG77" s="573">
        <f>INPUTS!AO73</f>
        <v>5.6</v>
      </c>
      <c r="BH77" s="573">
        <f>INPUTS!AP73</f>
        <v>9.1999999999999993</v>
      </c>
      <c r="BI77" s="573">
        <f>INPUTS!AQ73</f>
        <v>5.5</v>
      </c>
      <c r="BJ77" s="573">
        <f>INPUTS!AR73</f>
        <v>6.7</v>
      </c>
      <c r="BK77" s="573">
        <f>INPUTS!AS73</f>
        <v>6.3</v>
      </c>
      <c r="BL77" s="573">
        <f>INPUTS!AT73</f>
        <v>4.8</v>
      </c>
      <c r="BM77" s="573">
        <f>INPUTS!AU73</f>
        <v>3.9</v>
      </c>
      <c r="BN77" s="573">
        <f>INPUTS!AV73</f>
        <v>6.8</v>
      </c>
      <c r="BO77" s="573">
        <f>INPUTS!AW73</f>
        <v>3.9</v>
      </c>
      <c r="BP77" s="573">
        <f>INPUTS!AX73</f>
        <v>2</v>
      </c>
      <c r="BQ77" s="573">
        <f>INPUTS!AY73</f>
        <v>4.7</v>
      </c>
      <c r="BR77" s="573">
        <f>INPUTS!AZ73</f>
        <v>5.5</v>
      </c>
      <c r="BS77" s="573">
        <f>INPUTS!BA73</f>
        <v>3.6</v>
      </c>
    </row>
    <row r="78" spans="1:71" s="367" customFormat="1" ht="15" customHeight="1">
      <c r="A78" s="102"/>
      <c r="B78" s="271">
        <f>tblIndicators!A74</f>
        <v>73</v>
      </c>
      <c r="C78" s="271">
        <f>tblIndicators!AD74</f>
        <v>1</v>
      </c>
      <c r="D78" s="271">
        <f>tblIndicators!G74</f>
        <v>3</v>
      </c>
      <c r="E78" s="103" t="str">
        <f>tblIndicators!H74</f>
        <v>1_2</v>
      </c>
      <c r="F78" s="103"/>
      <c r="G78" s="271">
        <f>tblIndicators!AG74</f>
        <v>2</v>
      </c>
      <c r="H78" s="100" t="str">
        <f>REPT(" ",D78)&amp;tblIndicators!AL74</f>
        <v xml:space="preserve">   BG_1.2) Corruption</v>
      </c>
      <c r="I78" s="101" t="str">
        <f>IF(G78=1,"",tblIndicators!Z74)</f>
        <v>0-4 score</v>
      </c>
      <c r="K78" s="519">
        <f t="shared" si="183"/>
        <v>0</v>
      </c>
      <c r="L78" s="519">
        <f t="shared" si="184"/>
        <v>0</v>
      </c>
      <c r="M78" s="519">
        <f t="shared" si="185"/>
        <v>3</v>
      </c>
      <c r="N78" s="519">
        <f t="shared" si="186"/>
        <v>2</v>
      </c>
      <c r="O78" s="519">
        <f t="shared" si="187"/>
        <v>2</v>
      </c>
      <c r="P78" s="519">
        <f t="shared" si="188"/>
        <v>0</v>
      </c>
      <c r="Q78" s="519">
        <f t="shared" si="189"/>
        <v>2</v>
      </c>
      <c r="R78" s="519">
        <f t="shared" si="190"/>
        <v>0</v>
      </c>
      <c r="S78" s="519">
        <f t="shared" si="191"/>
        <v>0</v>
      </c>
      <c r="T78" s="519">
        <f t="shared" si="192"/>
        <v>0</v>
      </c>
      <c r="U78" s="519">
        <f t="shared" si="193"/>
        <v>0</v>
      </c>
      <c r="V78" s="519">
        <f t="shared" si="194"/>
        <v>0</v>
      </c>
      <c r="W78" s="519">
        <f t="shared" si="195"/>
        <v>3</v>
      </c>
      <c r="X78" s="519">
        <f t="shared" si="196"/>
        <v>2</v>
      </c>
      <c r="Y78" s="519">
        <f t="shared" si="197"/>
        <v>0</v>
      </c>
      <c r="Z78" s="519">
        <f t="shared" si="198"/>
        <v>2</v>
      </c>
      <c r="AA78" s="519">
        <f t="shared" si="199"/>
        <v>3</v>
      </c>
      <c r="AB78" s="519">
        <f t="shared" si="200"/>
        <v>3</v>
      </c>
      <c r="AC78" s="519">
        <f t="shared" si="201"/>
        <v>3</v>
      </c>
      <c r="AD78" s="519">
        <f t="shared" si="202"/>
        <v>0</v>
      </c>
      <c r="AE78" s="519">
        <f t="shared" si="203"/>
        <v>1</v>
      </c>
      <c r="AF78" s="519">
        <f t="shared" si="204"/>
        <v>2</v>
      </c>
      <c r="AG78" s="519">
        <f t="shared" si="205"/>
        <v>3</v>
      </c>
      <c r="AH78" s="519">
        <f t="shared" si="206"/>
        <v>2</v>
      </c>
      <c r="AI78" s="519">
        <f t="shared" si="207"/>
        <v>0</v>
      </c>
      <c r="AJ78" s="519">
        <f t="shared" si="208"/>
        <v>0</v>
      </c>
      <c r="AK78" s="519">
        <f t="shared" si="209"/>
        <v>1</v>
      </c>
      <c r="AL78" s="519">
        <f t="shared" si="210"/>
        <v>0</v>
      </c>
      <c r="AM78" s="519">
        <f t="shared" si="211"/>
        <v>0</v>
      </c>
      <c r="AN78" s="519">
        <f t="shared" si="212"/>
        <v>0</v>
      </c>
      <c r="AO78" s="364"/>
      <c r="AP78" s="573">
        <f>INPUTS!X74</f>
        <v>0</v>
      </c>
      <c r="AQ78" s="573">
        <f>INPUTS!Y74</f>
        <v>0</v>
      </c>
      <c r="AR78" s="573">
        <f>INPUTS!Z74</f>
        <v>3</v>
      </c>
      <c r="AS78" s="573">
        <f>INPUTS!AA74</f>
        <v>2</v>
      </c>
      <c r="AT78" s="573">
        <f>INPUTS!AB74</f>
        <v>2</v>
      </c>
      <c r="AU78" s="573">
        <f>INPUTS!AC74</f>
        <v>0</v>
      </c>
      <c r="AV78" s="573">
        <f>INPUTS!AD74</f>
        <v>2</v>
      </c>
      <c r="AW78" s="573">
        <f>INPUTS!AE74</f>
        <v>0</v>
      </c>
      <c r="AX78" s="573">
        <f>INPUTS!AF74</f>
        <v>0</v>
      </c>
      <c r="AY78" s="573">
        <f>INPUTS!AG74</f>
        <v>0</v>
      </c>
      <c r="AZ78" s="573">
        <f>INPUTS!AH74</f>
        <v>0</v>
      </c>
      <c r="BA78" s="573">
        <f>INPUTS!AI74</f>
        <v>0</v>
      </c>
      <c r="BB78" s="573">
        <f>INPUTS!AJ74</f>
        <v>3</v>
      </c>
      <c r="BC78" s="573">
        <f>INPUTS!AK74</f>
        <v>2</v>
      </c>
      <c r="BD78" s="573">
        <f>INPUTS!AL74</f>
        <v>0</v>
      </c>
      <c r="BE78" s="573">
        <f>INPUTS!AM74</f>
        <v>2</v>
      </c>
      <c r="BF78" s="573">
        <f>INPUTS!AN74</f>
        <v>3</v>
      </c>
      <c r="BG78" s="573">
        <f>INPUTS!AO74</f>
        <v>3</v>
      </c>
      <c r="BH78" s="573">
        <f>INPUTS!AP74</f>
        <v>3</v>
      </c>
      <c r="BI78" s="573">
        <f>INPUTS!AQ74</f>
        <v>0</v>
      </c>
      <c r="BJ78" s="573">
        <f>INPUTS!AR74</f>
        <v>1</v>
      </c>
      <c r="BK78" s="573">
        <f>INPUTS!AS74</f>
        <v>2</v>
      </c>
      <c r="BL78" s="573">
        <f>INPUTS!AT74</f>
        <v>3</v>
      </c>
      <c r="BM78" s="573">
        <f>INPUTS!AU74</f>
        <v>2</v>
      </c>
      <c r="BN78" s="573">
        <f>INPUTS!AV74</f>
        <v>0</v>
      </c>
      <c r="BO78" s="573">
        <f>INPUTS!AW74</f>
        <v>0</v>
      </c>
      <c r="BP78" s="573">
        <f>INPUTS!AX74</f>
        <v>1</v>
      </c>
      <c r="BQ78" s="573">
        <f>INPUTS!AY74</f>
        <v>0</v>
      </c>
      <c r="BR78" s="573">
        <f>INPUTS!AZ74</f>
        <v>0</v>
      </c>
      <c r="BS78" s="573">
        <f>INPUTS!BA74</f>
        <v>0</v>
      </c>
    </row>
    <row r="79" spans="1:71" s="367" customFormat="1" ht="15" customHeight="1">
      <c r="A79" s="102"/>
      <c r="B79" s="271">
        <f>tblIndicators!A75</f>
        <v>74</v>
      </c>
      <c r="C79" s="271">
        <f>tblIndicators!AD75</f>
        <v>3</v>
      </c>
      <c r="D79" s="271">
        <f>tblIndicators!G75</f>
        <v>3</v>
      </c>
      <c r="E79" s="103" t="str">
        <f>tblIndicators!H75</f>
        <v>1_3</v>
      </c>
      <c r="F79" s="103"/>
      <c r="G79" s="271">
        <f>tblIndicators!AG75</f>
        <v>2</v>
      </c>
      <c r="H79" s="100" t="str">
        <f>REPT(" ",D79)&amp;tblIndicators!AL75</f>
        <v xml:space="preserve">   BG_1.3) Human Development Index</v>
      </c>
      <c r="I79" s="101" t="str">
        <f>IF(G79=1,"",tblIndicators!Z75)</f>
        <v>0-1 score (Fragmented into decimal points)</v>
      </c>
      <c r="K79" s="519">
        <f t="shared" si="183"/>
        <v>0.96299999999999997</v>
      </c>
      <c r="L79" s="519">
        <f t="shared" si="184"/>
        <v>0.94499999999999995</v>
      </c>
      <c r="M79" s="519">
        <f t="shared" si="185"/>
        <v>0.81399999999999995</v>
      </c>
      <c r="N79" s="519">
        <f t="shared" si="186"/>
        <v>0.91600000000000004</v>
      </c>
      <c r="O79" s="519">
        <f t="shared" si="187"/>
        <v>0.90400000000000003</v>
      </c>
      <c r="P79" s="519">
        <f t="shared" si="188"/>
        <v>0.96399999999999997</v>
      </c>
      <c r="Q79" s="519">
        <f t="shared" si="189"/>
        <v>0.88200000000000001</v>
      </c>
      <c r="R79" s="519">
        <f t="shared" si="190"/>
        <v>0.96099999999999997</v>
      </c>
      <c r="S79" s="519">
        <f t="shared" si="191"/>
        <v>0.91700000000000004</v>
      </c>
      <c r="T79" s="519">
        <f t="shared" si="192"/>
        <v>0.88900000000000001</v>
      </c>
      <c r="U79" s="519">
        <f t="shared" si="193"/>
        <v>0.95499999999999996</v>
      </c>
      <c r="V79" s="519">
        <f t="shared" si="194"/>
        <v>0.94899999999999995</v>
      </c>
      <c r="W79" s="519">
        <f t="shared" si="195"/>
        <v>0.77300000000000002</v>
      </c>
      <c r="X79" s="519">
        <f t="shared" si="196"/>
        <v>0.86699999999999999</v>
      </c>
      <c r="Y79" s="519">
        <f t="shared" si="197"/>
        <v>0.97599999999999998</v>
      </c>
      <c r="Z79" s="519">
        <f t="shared" si="198"/>
        <v>0.94099999999999995</v>
      </c>
      <c r="AA79" s="519">
        <f t="shared" si="199"/>
        <v>0.78100000000000003</v>
      </c>
      <c r="AB79" s="519">
        <f t="shared" si="200"/>
        <v>0.78400000000000003</v>
      </c>
      <c r="AC79" s="519">
        <f t="shared" si="201"/>
        <v>0.746</v>
      </c>
      <c r="AD79" s="519">
        <f t="shared" si="202"/>
        <v>0.94399999999999995</v>
      </c>
      <c r="AE79" s="519">
        <f t="shared" si="203"/>
        <v>0.94699999999999995</v>
      </c>
      <c r="AF79" s="519">
        <f t="shared" si="204"/>
        <v>0.91400000000000003</v>
      </c>
      <c r="AG79" s="519">
        <f t="shared" si="205"/>
        <v>0.79100000000000004</v>
      </c>
      <c r="AH79" s="519">
        <f t="shared" si="206"/>
        <v>0.94299999999999995</v>
      </c>
      <c r="AI79" s="519">
        <f t="shared" si="207"/>
        <v>0.93799999999999994</v>
      </c>
      <c r="AJ79" s="519">
        <f t="shared" si="208"/>
        <v>0.94499999999999995</v>
      </c>
      <c r="AK79" s="519">
        <f t="shared" si="209"/>
        <v>0.94399999999999995</v>
      </c>
      <c r="AL79" s="519">
        <f t="shared" si="210"/>
        <v>0.93700000000000006</v>
      </c>
      <c r="AM79" s="519">
        <f t="shared" si="211"/>
        <v>0.94599999999999995</v>
      </c>
      <c r="AN79" s="519">
        <f t="shared" si="212"/>
        <v>0.98</v>
      </c>
      <c r="AO79" s="364"/>
      <c r="AP79" s="573">
        <f>INPUTS!X75</f>
        <v>0.96299999999999997</v>
      </c>
      <c r="AQ79" s="573">
        <f>INPUTS!Y75</f>
        <v>0.94499999999999995</v>
      </c>
      <c r="AR79" s="573">
        <f>INPUTS!Z75</f>
        <v>0.81399999999999995</v>
      </c>
      <c r="AS79" s="573">
        <f>INPUTS!AA75</f>
        <v>0.91600000000000004</v>
      </c>
      <c r="AT79" s="573">
        <f>INPUTS!AB75</f>
        <v>0.90400000000000003</v>
      </c>
      <c r="AU79" s="573">
        <f>INPUTS!AC75</f>
        <v>0.96399999999999997</v>
      </c>
      <c r="AV79" s="573">
        <f>INPUTS!AD75</f>
        <v>0.88200000000000001</v>
      </c>
      <c r="AW79" s="573">
        <f>INPUTS!AE75</f>
        <v>0.96099999999999997</v>
      </c>
      <c r="AX79" s="573">
        <f>INPUTS!AF75</f>
        <v>0.91700000000000004</v>
      </c>
      <c r="AY79" s="573">
        <f>INPUTS!AG75</f>
        <v>0.88900000000000001</v>
      </c>
      <c r="AZ79" s="573">
        <f>INPUTS!AH75</f>
        <v>0.95499999999999996</v>
      </c>
      <c r="BA79" s="573">
        <f>INPUTS!AI75</f>
        <v>0.94899999999999995</v>
      </c>
      <c r="BB79" s="573">
        <f>INPUTS!AJ75</f>
        <v>0.77300000000000002</v>
      </c>
      <c r="BC79" s="573">
        <f>INPUTS!AK75</f>
        <v>0.86699999999999999</v>
      </c>
      <c r="BD79" s="573">
        <f>INPUTS!AL75</f>
        <v>0.97599999999999998</v>
      </c>
      <c r="BE79" s="573">
        <f>INPUTS!AM75</f>
        <v>0.94099999999999995</v>
      </c>
      <c r="BF79" s="573">
        <f>INPUTS!AN75</f>
        <v>0.78100000000000003</v>
      </c>
      <c r="BG79" s="573">
        <f>INPUTS!AO75</f>
        <v>0.78400000000000003</v>
      </c>
      <c r="BH79" s="573">
        <f>INPUTS!AP75</f>
        <v>0.746</v>
      </c>
      <c r="BI79" s="573">
        <f>INPUTS!AQ75</f>
        <v>0.94399999999999995</v>
      </c>
      <c r="BJ79" s="573">
        <f>INPUTS!AR75</f>
        <v>0.94699999999999995</v>
      </c>
      <c r="BK79" s="573">
        <f>INPUTS!AS75</f>
        <v>0.91400000000000003</v>
      </c>
      <c r="BL79" s="573">
        <f>INPUTS!AT75</f>
        <v>0.79100000000000004</v>
      </c>
      <c r="BM79" s="573">
        <f>INPUTS!AU75</f>
        <v>0.94299999999999995</v>
      </c>
      <c r="BN79" s="573">
        <f>INPUTS!AV75</f>
        <v>0.93799999999999994</v>
      </c>
      <c r="BO79" s="573">
        <f>INPUTS!AW75</f>
        <v>0.94499999999999995</v>
      </c>
      <c r="BP79" s="573">
        <f>INPUTS!AX75</f>
        <v>0.94399999999999995</v>
      </c>
      <c r="BQ79" s="573">
        <f>INPUTS!AY75</f>
        <v>0.93700000000000006</v>
      </c>
      <c r="BR79" s="573">
        <f>INPUTS!AZ75</f>
        <v>0.94599999999999995</v>
      </c>
      <c r="BS79" s="573">
        <f>INPUTS!BA75</f>
        <v>0.98</v>
      </c>
    </row>
    <row r="80" spans="1:71" s="367" customFormat="1" ht="15" customHeight="1">
      <c r="A80" s="102"/>
      <c r="B80" s="271">
        <f>tblIndicators!A76</f>
        <v>75</v>
      </c>
      <c r="C80" s="271">
        <f>tblIndicators!AD76</f>
        <v>3</v>
      </c>
      <c r="D80" s="271">
        <f>tblIndicators!G76</f>
        <v>3</v>
      </c>
      <c r="E80" s="103" t="str">
        <f>tblIndicators!H76</f>
        <v>1_4</v>
      </c>
      <c r="F80" s="103"/>
      <c r="G80" s="271">
        <f>tblIndicators!AG76</f>
        <v>2</v>
      </c>
      <c r="H80" s="100" t="str">
        <f>REPT(" ",D80)&amp;tblIndicators!AL76</f>
        <v xml:space="preserve">   BG_1.4) Gender Inequality Index</v>
      </c>
      <c r="I80" s="101" t="str">
        <f>IF(G80=1,"",tblIndicators!Z76)</f>
        <v>0-1 score (Fragmented into decimal points)</v>
      </c>
      <c r="K80" s="519">
        <f t="shared" si="183"/>
        <v>4.2999999999999997E-2</v>
      </c>
      <c r="L80" s="519">
        <f t="shared" si="184"/>
        <v>0.123</v>
      </c>
      <c r="M80" s="519">
        <f t="shared" si="185"/>
        <v>0.35899999999999999</v>
      </c>
      <c r="N80" s="519">
        <f t="shared" si="186"/>
        <v>7.0000000000000007E-2</v>
      </c>
      <c r="O80" s="519">
        <f t="shared" si="187"/>
        <v>0.16800000000000001</v>
      </c>
      <c r="P80" s="519">
        <f t="shared" si="188"/>
        <v>8.4000000000000005E-2</v>
      </c>
      <c r="Q80" s="519">
        <f t="shared" si="189"/>
        <v>0.32800000000000001</v>
      </c>
      <c r="R80" s="519">
        <f t="shared" si="190"/>
        <v>3.7999999999999999E-2</v>
      </c>
      <c r="S80" s="519">
        <f t="shared" si="191"/>
        <v>0.20399999999999999</v>
      </c>
      <c r="T80" s="519">
        <f t="shared" si="192"/>
        <v>7.9000000000000001E-2</v>
      </c>
      <c r="U80" s="519">
        <f t="shared" si="193"/>
        <v>8.4000000000000005E-2</v>
      </c>
      <c r="V80" s="519">
        <f t="shared" si="194"/>
        <v>0</v>
      </c>
      <c r="W80" s="519">
        <f t="shared" si="195"/>
        <v>0.48</v>
      </c>
      <c r="X80" s="519">
        <f t="shared" si="196"/>
        <v>0.253</v>
      </c>
      <c r="Y80" s="519">
        <f t="shared" si="197"/>
        <v>0.11799999999999999</v>
      </c>
      <c r="Z80" s="519">
        <f t="shared" si="198"/>
        <v>7.0000000000000007E-2</v>
      </c>
      <c r="AA80" s="519">
        <f t="shared" si="199"/>
        <v>0.43</v>
      </c>
      <c r="AB80" s="519">
        <f t="shared" si="200"/>
        <v>0.32200000000000001</v>
      </c>
      <c r="AC80" s="519">
        <f t="shared" si="201"/>
        <v>0.48799999999999999</v>
      </c>
      <c r="AD80" s="519">
        <f t="shared" si="202"/>
        <v>0.20399999999999999</v>
      </c>
      <c r="AE80" s="519">
        <f t="shared" si="203"/>
        <v>4.9000000000000002E-2</v>
      </c>
      <c r="AF80" s="519">
        <f t="shared" si="204"/>
        <v>6.9000000000000006E-2</v>
      </c>
      <c r="AG80" s="519">
        <f t="shared" si="205"/>
        <v>0.40799999999999997</v>
      </c>
      <c r="AH80" s="519">
        <f t="shared" si="206"/>
        <v>6.4000000000000001E-2</v>
      </c>
      <c r="AI80" s="519">
        <f t="shared" si="207"/>
        <v>6.5000000000000002E-2</v>
      </c>
      <c r="AJ80" s="519">
        <f t="shared" si="208"/>
        <v>9.7000000000000003E-2</v>
      </c>
      <c r="AK80" s="519">
        <f t="shared" si="209"/>
        <v>9.4E-2</v>
      </c>
      <c r="AL80" s="519">
        <f t="shared" si="210"/>
        <v>0.08</v>
      </c>
      <c r="AM80" s="519">
        <f t="shared" si="211"/>
        <v>0.20399999999999999</v>
      </c>
      <c r="AN80" s="519">
        <f t="shared" si="212"/>
        <v>2.5000000000000001E-2</v>
      </c>
      <c r="AO80" s="364"/>
      <c r="AP80" s="573">
        <f>INPUTS!X76</f>
        <v>4.2999999999999997E-2</v>
      </c>
      <c r="AQ80" s="573">
        <f>INPUTS!Y76</f>
        <v>0.123</v>
      </c>
      <c r="AR80" s="573">
        <f>INPUTS!Z76</f>
        <v>0.35899999999999999</v>
      </c>
      <c r="AS80" s="573">
        <f>INPUTS!AA76</f>
        <v>7.0000000000000007E-2</v>
      </c>
      <c r="AT80" s="573">
        <f>INPUTS!AB76</f>
        <v>0.16800000000000001</v>
      </c>
      <c r="AU80" s="573">
        <f>INPUTS!AC76</f>
        <v>8.4000000000000005E-2</v>
      </c>
      <c r="AV80" s="573">
        <f>INPUTS!AD76</f>
        <v>0.32800000000000001</v>
      </c>
      <c r="AW80" s="573">
        <f>INPUTS!AE76</f>
        <v>3.7999999999999999E-2</v>
      </c>
      <c r="AX80" s="573">
        <f>INPUTS!AF76</f>
        <v>0.20399999999999999</v>
      </c>
      <c r="AY80" s="573">
        <f>INPUTS!AG76</f>
        <v>7.9000000000000001E-2</v>
      </c>
      <c r="AZ80" s="573">
        <f>INPUTS!AH76</f>
        <v>8.4000000000000005E-2</v>
      </c>
      <c r="BA80" s="573">
        <f>INPUTS!AI76</f>
        <v>0</v>
      </c>
      <c r="BB80" s="573">
        <f>INPUTS!AJ76</f>
        <v>0.48</v>
      </c>
      <c r="BC80" s="573">
        <f>INPUTS!AK76</f>
        <v>0.253</v>
      </c>
      <c r="BD80" s="573">
        <f>INPUTS!AL76</f>
        <v>0.11799999999999999</v>
      </c>
      <c r="BE80" s="573">
        <f>INPUTS!AM76</f>
        <v>7.0000000000000007E-2</v>
      </c>
      <c r="BF80" s="573">
        <f>INPUTS!AN76</f>
        <v>0.43</v>
      </c>
      <c r="BG80" s="573">
        <f>INPUTS!AO76</f>
        <v>0.32200000000000001</v>
      </c>
      <c r="BH80" s="573">
        <f>INPUTS!AP76</f>
        <v>0.48799999999999999</v>
      </c>
      <c r="BI80" s="573">
        <f>INPUTS!AQ76</f>
        <v>0.20399999999999999</v>
      </c>
      <c r="BJ80" s="573">
        <f>INPUTS!AR76</f>
        <v>4.9000000000000002E-2</v>
      </c>
      <c r="BK80" s="573">
        <f>INPUTS!AS76</f>
        <v>6.9000000000000006E-2</v>
      </c>
      <c r="BL80" s="573">
        <f>INPUTS!AT76</f>
        <v>0.40799999999999997</v>
      </c>
      <c r="BM80" s="573">
        <f>INPUTS!AU76</f>
        <v>6.4000000000000001E-2</v>
      </c>
      <c r="BN80" s="573">
        <f>INPUTS!AV76</f>
        <v>6.5000000000000002E-2</v>
      </c>
      <c r="BO80" s="573">
        <f>INPUTS!AW76</f>
        <v>9.7000000000000003E-2</v>
      </c>
      <c r="BP80" s="573">
        <f>INPUTS!AX76</f>
        <v>9.4E-2</v>
      </c>
      <c r="BQ80" s="573">
        <f>INPUTS!AY76</f>
        <v>0.08</v>
      </c>
      <c r="BR80" s="573">
        <f>INPUTS!AZ76</f>
        <v>0.20399999999999999</v>
      </c>
      <c r="BS80" s="573">
        <f>INPUTS!BA76</f>
        <v>2.5000000000000001E-2</v>
      </c>
    </row>
    <row r="81" spans="1:71" s="367" customFormat="1" ht="15" customHeight="1">
      <c r="A81" s="102"/>
      <c r="B81" s="271">
        <f>tblIndicators!A77</f>
        <v>76</v>
      </c>
      <c r="C81" s="271">
        <f>tblIndicators!AD77</f>
        <v>0</v>
      </c>
      <c r="D81" s="271">
        <f>tblIndicators!G77</f>
        <v>3</v>
      </c>
      <c r="E81" s="103" t="str">
        <f>tblIndicators!H77</f>
        <v>1_5</v>
      </c>
      <c r="F81" s="103"/>
      <c r="G81" s="271">
        <f>tblIndicators!AG77</f>
        <v>2</v>
      </c>
      <c r="H81" s="100" t="str">
        <f>REPT(" ",D81)&amp;tblIndicators!AL77</f>
        <v xml:space="preserve">   BG_1.5) Per capita income</v>
      </c>
      <c r="I81" s="101" t="str">
        <f>IF(G81=1,"",tblIndicators!Z77)</f>
        <v>per head, US$</v>
      </c>
      <c r="K81" s="519">
        <f t="shared" si="183"/>
        <v>31714</v>
      </c>
      <c r="L81" s="519">
        <f t="shared" si="184"/>
        <v>22293</v>
      </c>
      <c r="M81" s="519">
        <f t="shared" si="185"/>
        <v>7130</v>
      </c>
      <c r="N81" s="519">
        <f t="shared" si="186"/>
        <v>20191</v>
      </c>
      <c r="O81" s="519">
        <f t="shared" si="187"/>
        <v>12810</v>
      </c>
      <c r="P81" s="519">
        <f t="shared" si="188"/>
        <v>22804</v>
      </c>
      <c r="Q81" s="519">
        <f t="shared" si="189"/>
        <v>9190</v>
      </c>
      <c r="R81" s="519">
        <f t="shared" si="190"/>
        <v>33291</v>
      </c>
      <c r="S81" s="519">
        <f t="shared" si="191"/>
        <v>49936</v>
      </c>
      <c r="T81" s="519">
        <f t="shared" si="192"/>
        <v>16475</v>
      </c>
      <c r="U81" s="519">
        <f t="shared" si="193"/>
        <v>37926</v>
      </c>
      <c r="V81" s="519">
        <f t="shared" si="194"/>
        <v>36000</v>
      </c>
      <c r="W81" s="519">
        <f t="shared" si="195"/>
        <v>5439</v>
      </c>
      <c r="X81" s="519">
        <f t="shared" si="196"/>
        <v>10429</v>
      </c>
      <c r="Y81" s="519">
        <f t="shared" si="197"/>
        <v>39776</v>
      </c>
      <c r="Z81" s="519">
        <f t="shared" si="198"/>
        <v>23771</v>
      </c>
      <c r="AA81" s="519">
        <f t="shared" si="199"/>
        <v>6935</v>
      </c>
      <c r="AB81" s="519">
        <f t="shared" si="200"/>
        <v>14963</v>
      </c>
      <c r="AC81" s="519">
        <f t="shared" si="201"/>
        <v>2913</v>
      </c>
      <c r="AD81" s="519">
        <f t="shared" si="202"/>
        <v>69395</v>
      </c>
      <c r="AE81" s="519">
        <f t="shared" si="203"/>
        <v>37651</v>
      </c>
      <c r="AF81" s="519">
        <f t="shared" si="204"/>
        <v>25287</v>
      </c>
      <c r="AG81" s="519">
        <f t="shared" si="205"/>
        <v>7160</v>
      </c>
      <c r="AH81" s="519">
        <f t="shared" si="206"/>
        <v>17763</v>
      </c>
      <c r="AI81" s="519">
        <f t="shared" si="207"/>
        <v>32230</v>
      </c>
      <c r="AJ81" s="519">
        <f t="shared" si="208"/>
        <v>31186</v>
      </c>
      <c r="AK81" s="519">
        <f t="shared" si="209"/>
        <v>24962</v>
      </c>
      <c r="AL81" s="519">
        <f t="shared" si="210"/>
        <v>26965</v>
      </c>
      <c r="AM81" s="519">
        <f t="shared" si="211"/>
        <v>67938</v>
      </c>
      <c r="AN81" s="519">
        <f t="shared" si="212"/>
        <v>56646</v>
      </c>
      <c r="AO81" s="364"/>
      <c r="AP81" s="573">
        <f>INPUTS!X77</f>
        <v>31714</v>
      </c>
      <c r="AQ81" s="573">
        <f>INPUTS!Y77</f>
        <v>22293</v>
      </c>
      <c r="AR81" s="573">
        <f>INPUTS!Z77</f>
        <v>7130</v>
      </c>
      <c r="AS81" s="573">
        <f>INPUTS!AA77</f>
        <v>20191</v>
      </c>
      <c r="AT81" s="573">
        <f>INPUTS!AB77</f>
        <v>12810</v>
      </c>
      <c r="AU81" s="573">
        <f>INPUTS!AC77</f>
        <v>22804</v>
      </c>
      <c r="AV81" s="573">
        <f>INPUTS!AD77</f>
        <v>9190</v>
      </c>
      <c r="AW81" s="573">
        <f>INPUTS!AE77</f>
        <v>33291</v>
      </c>
      <c r="AX81" s="573">
        <f>INPUTS!AF77</f>
        <v>49936</v>
      </c>
      <c r="AY81" s="573">
        <f>INPUTS!AG77</f>
        <v>16475</v>
      </c>
      <c r="AZ81" s="573">
        <f>INPUTS!AH77</f>
        <v>37926</v>
      </c>
      <c r="BA81" s="573">
        <f>INPUTS!AI77</f>
        <v>36000</v>
      </c>
      <c r="BB81" s="573">
        <f>INPUTS!AJ77</f>
        <v>5439</v>
      </c>
      <c r="BC81" s="573">
        <f>INPUTS!AK77</f>
        <v>10429</v>
      </c>
      <c r="BD81" s="573">
        <f>INPUTS!AL77</f>
        <v>39776</v>
      </c>
      <c r="BE81" s="573">
        <f>INPUTS!AM77</f>
        <v>23771</v>
      </c>
      <c r="BF81" s="573">
        <f>INPUTS!AN77</f>
        <v>6935</v>
      </c>
      <c r="BG81" s="573">
        <f>INPUTS!AO77</f>
        <v>14963</v>
      </c>
      <c r="BH81" s="573">
        <f>INPUTS!AP77</f>
        <v>2913</v>
      </c>
      <c r="BI81" s="573">
        <f>INPUTS!AQ77</f>
        <v>69395</v>
      </c>
      <c r="BJ81" s="573">
        <f>INPUTS!AR77</f>
        <v>37651</v>
      </c>
      <c r="BK81" s="573">
        <f>INPUTS!AS77</f>
        <v>25287</v>
      </c>
      <c r="BL81" s="573">
        <f>INPUTS!AT77</f>
        <v>7160</v>
      </c>
      <c r="BM81" s="573">
        <f>INPUTS!AU77</f>
        <v>17763</v>
      </c>
      <c r="BN81" s="573">
        <f>INPUTS!AV77</f>
        <v>32230</v>
      </c>
      <c r="BO81" s="573">
        <f>INPUTS!AW77</f>
        <v>31186</v>
      </c>
      <c r="BP81" s="573">
        <f>INPUTS!AX77</f>
        <v>24962</v>
      </c>
      <c r="BQ81" s="573">
        <f>INPUTS!AY77</f>
        <v>26965</v>
      </c>
      <c r="BR81" s="573">
        <f>INPUTS!AZ77</f>
        <v>67938</v>
      </c>
      <c r="BS81" s="573">
        <f>INPUTS!BA77</f>
        <v>56646</v>
      </c>
    </row>
    <row r="82" spans="1:71" ht="15" customHeight="1">
      <c r="A82" s="49"/>
      <c r="B82" s="352"/>
      <c r="C82" s="115"/>
      <c r="D82" s="352"/>
      <c r="E82"/>
      <c r="F82" s="13"/>
      <c r="G82" s="352"/>
      <c r="H82"/>
      <c r="I82"/>
      <c r="J82"/>
      <c r="K82"/>
      <c r="L82" s="367"/>
      <c r="M82" s="367"/>
      <c r="N82" s="367"/>
      <c r="O82" s="367"/>
      <c r="P82" s="367"/>
      <c r="Q82" s="367"/>
      <c r="R82" s="367"/>
      <c r="S82" s="367"/>
      <c r="T82" s="367"/>
      <c r="U82" s="367"/>
      <c r="V82" s="367"/>
      <c r="W82" s="367"/>
      <c r="X82" s="367"/>
      <c r="Y82" s="367"/>
      <c r="Z82" s="367"/>
      <c r="AA82" s="367"/>
      <c r="AB82" s="367"/>
      <c r="AC82" s="367"/>
      <c r="AD82" s="367"/>
      <c r="AE82" s="367"/>
      <c r="AF82" s="367"/>
      <c r="AG82" s="367"/>
      <c r="AH82" s="367"/>
      <c r="AI82" s="367"/>
      <c r="AJ82" s="367"/>
      <c r="AK82" s="367"/>
      <c r="AL82" s="367"/>
      <c r="AM82" s="367"/>
      <c r="AN82" s="367"/>
      <c r="AO82"/>
      <c r="AP82"/>
      <c r="AQ82" s="367"/>
      <c r="AR82" s="367"/>
      <c r="AS82" s="367"/>
      <c r="AT82" s="367"/>
      <c r="AU82" s="367"/>
      <c r="AV82" s="367"/>
      <c r="AW82" s="367"/>
      <c r="AX82" s="367"/>
      <c r="AY82" s="367"/>
      <c r="AZ82" s="367"/>
      <c r="BA82" s="367"/>
      <c r="BB82" s="367"/>
      <c r="BC82" s="367"/>
      <c r="BD82" s="367"/>
      <c r="BE82" s="367"/>
      <c r="BF82" s="367"/>
      <c r="BG82" s="367"/>
      <c r="BH82" s="367"/>
      <c r="BI82" s="367"/>
      <c r="BJ82" s="367"/>
      <c r="BK82" s="367"/>
      <c r="BL82" s="367"/>
      <c r="BM82" s="367"/>
      <c r="BN82" s="367"/>
      <c r="BO82" s="367"/>
      <c r="BP82" s="367"/>
      <c r="BQ82" s="367"/>
      <c r="BR82" s="367"/>
      <c r="BS82" s="367"/>
    </row>
    <row r="83" spans="1:71" ht="15" customHeight="1">
      <c r="A83" s="49"/>
      <c r="B83" s="352"/>
      <c r="C83" s="115"/>
      <c r="D83" s="352"/>
      <c r="E83"/>
      <c r="F83" s="13"/>
      <c r="G83" s="352"/>
      <c r="H83"/>
      <c r="I83"/>
      <c r="J83"/>
      <c r="K83"/>
      <c r="L83" s="367"/>
      <c r="M83" s="367"/>
      <c r="N83" s="367"/>
      <c r="O83" s="367"/>
      <c r="P83" s="367"/>
      <c r="Q83" s="367"/>
      <c r="R83" s="367"/>
      <c r="S83" s="367"/>
      <c r="T83" s="367"/>
      <c r="U83" s="367"/>
      <c r="V83" s="367"/>
      <c r="W83" s="367"/>
      <c r="X83" s="367"/>
      <c r="Y83" s="367"/>
      <c r="Z83" s="367"/>
      <c r="AA83" s="367"/>
      <c r="AB83" s="367"/>
      <c r="AC83" s="367"/>
      <c r="AD83" s="367"/>
      <c r="AE83" s="367"/>
      <c r="AF83" s="367"/>
      <c r="AG83" s="367"/>
      <c r="AH83" s="367"/>
      <c r="AI83" s="367"/>
      <c r="AJ83" s="367"/>
      <c r="AK83" s="367"/>
      <c r="AL83" s="367"/>
      <c r="AM83" s="367"/>
      <c r="AN83" s="367"/>
      <c r="AO83"/>
      <c r="AP83"/>
      <c r="AQ83" s="367"/>
      <c r="AR83" s="367"/>
      <c r="AS83" s="367"/>
      <c r="AT83" s="367"/>
      <c r="AU83" s="367"/>
      <c r="AV83" s="367"/>
      <c r="AW83" s="367"/>
      <c r="AX83" s="367"/>
      <c r="AY83" s="367"/>
      <c r="AZ83" s="367"/>
      <c r="BA83" s="367"/>
      <c r="BB83" s="367"/>
      <c r="BC83" s="367"/>
      <c r="BD83" s="367"/>
      <c r="BE83" s="367"/>
      <c r="BF83" s="367"/>
      <c r="BG83" s="367"/>
      <c r="BH83" s="367"/>
      <c r="BI83" s="367"/>
      <c r="BJ83" s="367"/>
      <c r="BK83" s="367"/>
      <c r="BL83" s="367"/>
      <c r="BM83" s="367"/>
      <c r="BN83" s="367"/>
      <c r="BO83" s="367"/>
      <c r="BP83" s="367"/>
      <c r="BQ83" s="367"/>
      <c r="BR83" s="367"/>
      <c r="BS83" s="367"/>
    </row>
    <row r="84" spans="1:71" ht="22.5" customHeight="1">
      <c r="A84" s="49"/>
      <c r="B84" s="352"/>
      <c r="C84" s="115"/>
      <c r="D84" s="352"/>
      <c r="E84"/>
      <c r="F84" s="13"/>
      <c r="G84" s="352"/>
      <c r="H84"/>
      <c r="I84"/>
      <c r="J84"/>
      <c r="K84"/>
      <c r="L84" s="367"/>
      <c r="M84" s="367"/>
      <c r="N84" s="367"/>
      <c r="O84" s="367"/>
      <c r="P84" s="367"/>
      <c r="Q84" s="367"/>
      <c r="R84" s="367"/>
      <c r="S84" s="367"/>
      <c r="T84" s="367"/>
      <c r="U84" s="367"/>
      <c r="V84" s="367"/>
      <c r="W84" s="367"/>
      <c r="X84" s="367"/>
      <c r="Y84" s="367"/>
      <c r="Z84" s="367"/>
      <c r="AA84" s="367"/>
      <c r="AB84" s="367"/>
      <c r="AC84" s="367"/>
      <c r="AD84" s="367"/>
      <c r="AE84" s="367"/>
      <c r="AF84" s="367"/>
      <c r="AG84" s="367"/>
      <c r="AH84" s="367"/>
      <c r="AI84" s="367"/>
      <c r="AJ84" s="367"/>
      <c r="AK84" s="367"/>
      <c r="AL84" s="367"/>
      <c r="AM84" s="367"/>
      <c r="AN84" s="367"/>
      <c r="AO84" s="276"/>
      <c r="AP84"/>
      <c r="AQ84" s="367"/>
      <c r="AR84" s="367"/>
      <c r="AS84" s="367"/>
      <c r="AT84" s="367"/>
      <c r="AU84" s="367"/>
      <c r="AV84" s="367"/>
      <c r="AW84" s="367"/>
      <c r="AX84" s="367"/>
      <c r="AY84" s="367"/>
      <c r="AZ84" s="367"/>
      <c r="BA84" s="367"/>
      <c r="BB84" s="367"/>
      <c r="BC84" s="367"/>
      <c r="BD84" s="367"/>
      <c r="BE84" s="367"/>
      <c r="BF84" s="367"/>
      <c r="BG84" s="367"/>
      <c r="BH84" s="367"/>
      <c r="BI84" s="367"/>
      <c r="BJ84" s="367"/>
      <c r="BK84" s="367"/>
      <c r="BL84" s="367"/>
      <c r="BM84" s="367"/>
      <c r="BN84" s="367"/>
      <c r="BO84" s="367"/>
      <c r="BP84" s="367"/>
      <c r="BQ84" s="367"/>
      <c r="BR84" s="367"/>
      <c r="BS84" s="367"/>
    </row>
    <row r="85" spans="1:71" ht="22.5" customHeight="1">
      <c r="A85" s="49"/>
      <c r="B85" s="352"/>
      <c r="C85" s="115"/>
      <c r="D85" s="352"/>
      <c r="E85"/>
      <c r="F85" s="13"/>
      <c r="G85" s="352"/>
      <c r="H85"/>
      <c r="I85"/>
      <c r="J85"/>
      <c r="K85"/>
      <c r="L85" s="367"/>
      <c r="M85" s="367"/>
      <c r="N85" s="367"/>
      <c r="O85" s="367"/>
      <c r="P85" s="367"/>
      <c r="Q85" s="367"/>
      <c r="R85" s="367"/>
      <c r="S85" s="367"/>
      <c r="T85" s="367"/>
      <c r="U85" s="367"/>
      <c r="V85" s="367"/>
      <c r="W85" s="367"/>
      <c r="X85" s="367"/>
      <c r="Y85" s="367"/>
      <c r="Z85" s="367"/>
      <c r="AA85" s="367"/>
      <c r="AB85" s="367"/>
      <c r="AC85" s="367"/>
      <c r="AD85" s="367"/>
      <c r="AE85" s="367"/>
      <c r="AF85" s="367"/>
      <c r="AG85" s="367"/>
      <c r="AH85" s="367"/>
      <c r="AI85" s="367"/>
      <c r="AJ85" s="367"/>
      <c r="AK85" s="367"/>
      <c r="AL85" s="367"/>
      <c r="AM85" s="367"/>
      <c r="AN85" s="367"/>
      <c r="AO85" s="276"/>
      <c r="AP85"/>
      <c r="AQ85" s="367"/>
      <c r="AR85" s="367"/>
      <c r="AS85" s="367"/>
      <c r="AT85" s="367"/>
      <c r="AU85" s="367"/>
      <c r="AV85" s="367"/>
      <c r="AW85" s="367"/>
      <c r="AX85" s="367"/>
      <c r="AY85" s="367"/>
      <c r="AZ85" s="367"/>
      <c r="BA85" s="367"/>
      <c r="BB85" s="367"/>
      <c r="BC85" s="367"/>
      <c r="BD85" s="367"/>
      <c r="BE85" s="367"/>
      <c r="BF85" s="367"/>
      <c r="BG85" s="367"/>
      <c r="BH85" s="367"/>
      <c r="BI85" s="367"/>
      <c r="BJ85" s="367"/>
      <c r="BK85" s="367"/>
      <c r="BL85" s="367"/>
      <c r="BM85" s="367"/>
      <c r="BN85" s="367"/>
      <c r="BO85" s="367"/>
      <c r="BP85" s="367"/>
      <c r="BQ85" s="367"/>
      <c r="BR85" s="367"/>
      <c r="BS85" s="367"/>
    </row>
    <row r="86" spans="1:71" ht="22.5" customHeight="1">
      <c r="A86" s="49"/>
      <c r="B86" s="352"/>
      <c r="C86" s="115"/>
      <c r="D86" s="352"/>
      <c r="E86"/>
      <c r="F86" s="13"/>
      <c r="G86" s="352"/>
      <c r="H86"/>
      <c r="I86"/>
      <c r="J86"/>
      <c r="K86"/>
      <c r="L86" s="367"/>
      <c r="M86" s="367"/>
      <c r="N86" s="367"/>
      <c r="O86" s="367"/>
      <c r="P86" s="367"/>
      <c r="Q86" s="367"/>
      <c r="R86" s="367"/>
      <c r="S86" s="367"/>
      <c r="T86" s="367"/>
      <c r="U86" s="367"/>
      <c r="V86" s="367"/>
      <c r="W86" s="367"/>
      <c r="X86" s="367"/>
      <c r="Y86" s="367"/>
      <c r="Z86" s="367"/>
      <c r="AA86" s="367"/>
      <c r="AB86" s="367"/>
      <c r="AC86" s="367"/>
      <c r="AD86" s="367"/>
      <c r="AE86" s="367"/>
      <c r="AF86" s="367"/>
      <c r="AG86" s="367"/>
      <c r="AH86" s="367"/>
      <c r="AI86" s="367"/>
      <c r="AJ86" s="367"/>
      <c r="AK86" s="367"/>
      <c r="AL86" s="367"/>
      <c r="AM86" s="367"/>
      <c r="AN86" s="367"/>
      <c r="AO86" s="276"/>
      <c r="AP86"/>
      <c r="AQ86" s="367"/>
      <c r="AR86" s="367"/>
      <c r="AS86" s="367"/>
      <c r="AT86" s="367"/>
      <c r="AU86" s="367"/>
      <c r="AV86" s="367"/>
      <c r="AW86" s="367"/>
      <c r="AX86" s="367"/>
      <c r="AY86" s="367"/>
      <c r="AZ86" s="367"/>
      <c r="BA86" s="367"/>
      <c r="BB86" s="367"/>
      <c r="BC86" s="367"/>
      <c r="BD86" s="367"/>
      <c r="BE86" s="367"/>
      <c r="BF86" s="367"/>
      <c r="BG86" s="367"/>
      <c r="BH86" s="367"/>
      <c r="BI86" s="367"/>
      <c r="BJ86" s="367"/>
      <c r="BK86" s="367"/>
      <c r="BL86" s="367"/>
      <c r="BM86" s="367"/>
      <c r="BN86" s="367"/>
      <c r="BO86" s="367"/>
      <c r="BP86" s="367"/>
      <c r="BQ86" s="367"/>
      <c r="BR86" s="367"/>
      <c r="BS86" s="367"/>
    </row>
    <row r="87" spans="1:71">
      <c r="A87" s="49"/>
      <c r="B87" s="352"/>
      <c r="C87" s="115"/>
      <c r="D87" s="352"/>
      <c r="E87"/>
      <c r="F87" s="13"/>
      <c r="G87" s="352"/>
      <c r="H87"/>
      <c r="I87"/>
      <c r="J87"/>
      <c r="K87"/>
      <c r="L87" s="367"/>
      <c r="M87" s="367"/>
      <c r="N87" s="367"/>
      <c r="O87" s="367"/>
      <c r="P87" s="367"/>
      <c r="Q87" s="367"/>
      <c r="R87" s="367"/>
      <c r="S87" s="367"/>
      <c r="T87" s="367"/>
      <c r="U87" s="367"/>
      <c r="V87" s="367"/>
      <c r="W87" s="367"/>
      <c r="X87" s="367"/>
      <c r="Y87" s="367"/>
      <c r="Z87" s="367"/>
      <c r="AA87" s="367"/>
      <c r="AB87" s="367"/>
      <c r="AC87" s="367"/>
      <c r="AD87" s="367"/>
      <c r="AE87" s="367"/>
      <c r="AF87" s="367"/>
      <c r="AG87" s="367"/>
      <c r="AH87" s="367"/>
      <c r="AI87" s="367"/>
      <c r="AJ87" s="367"/>
      <c r="AK87" s="367"/>
      <c r="AL87" s="367"/>
      <c r="AM87" s="367"/>
      <c r="AN87" s="367"/>
      <c r="AO87" s="276"/>
      <c r="AP87"/>
      <c r="AQ87" s="367"/>
      <c r="AR87" s="367"/>
      <c r="AS87" s="367"/>
      <c r="AT87" s="367"/>
      <c r="AU87" s="367"/>
      <c r="AV87" s="367"/>
      <c r="AW87" s="367"/>
      <c r="AX87" s="367"/>
      <c r="AY87" s="367"/>
      <c r="AZ87" s="367"/>
      <c r="BA87" s="367"/>
      <c r="BB87" s="367"/>
      <c r="BC87" s="367"/>
      <c r="BD87" s="367"/>
      <c r="BE87" s="367"/>
      <c r="BF87" s="367"/>
      <c r="BG87" s="367"/>
      <c r="BH87" s="367"/>
      <c r="BI87" s="367"/>
      <c r="BJ87" s="367"/>
      <c r="BK87" s="367"/>
      <c r="BL87" s="367"/>
      <c r="BM87" s="367"/>
      <c r="BN87" s="367"/>
      <c r="BO87" s="367"/>
      <c r="BP87" s="367"/>
      <c r="BQ87" s="367"/>
      <c r="BR87" s="367"/>
      <c r="BS87" s="367"/>
    </row>
    <row r="88" spans="1:71">
      <c r="A88" s="49"/>
      <c r="B88" s="352"/>
      <c r="C88" s="115"/>
      <c r="D88" s="352"/>
      <c r="E88"/>
      <c r="F88" s="13"/>
      <c r="G88" s="352"/>
      <c r="H88"/>
      <c r="I88"/>
      <c r="J88"/>
      <c r="K88"/>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276"/>
      <c r="AP88"/>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row>
    <row r="89" spans="1:71">
      <c r="A89" s="49"/>
      <c r="B89" s="272"/>
      <c r="C89" s="272"/>
      <c r="D89" s="272"/>
      <c r="E89" s="48"/>
      <c r="F89" s="358"/>
      <c r="G89" s="272"/>
      <c r="H89" s="76"/>
      <c r="I89" s="63"/>
      <c r="J89" s="63"/>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276"/>
      <c r="AP89"/>
      <c r="AQ89" s="367"/>
      <c r="AR89" s="367"/>
      <c r="AS89" s="367"/>
      <c r="AT89" s="367"/>
      <c r="AU89" s="367"/>
      <c r="AV89" s="367"/>
      <c r="AW89" s="367"/>
      <c r="AX89" s="367"/>
      <c r="AY89" s="367"/>
      <c r="AZ89" s="367"/>
      <c r="BA89" s="367"/>
      <c r="BB89" s="367"/>
      <c r="BC89" s="367"/>
      <c r="BD89" s="367"/>
      <c r="BE89" s="367"/>
      <c r="BF89" s="367"/>
      <c r="BG89" s="367"/>
      <c r="BH89" s="367"/>
      <c r="BI89" s="367"/>
      <c r="BJ89" s="367"/>
      <c r="BK89" s="367"/>
      <c r="BL89" s="367"/>
      <c r="BM89" s="367"/>
      <c r="BN89" s="367"/>
      <c r="BO89" s="367"/>
      <c r="BP89" s="367"/>
      <c r="BQ89" s="367"/>
      <c r="BR89" s="367"/>
      <c r="BS89" s="367"/>
    </row>
    <row r="90" spans="1:71">
      <c r="A90" s="49"/>
      <c r="B90" s="272"/>
      <c r="C90" s="272"/>
      <c r="D90" s="272"/>
      <c r="E90" s="48"/>
      <c r="F90" s="358"/>
      <c r="G90" s="272"/>
      <c r="H90" s="76"/>
      <c r="I90" s="63"/>
      <c r="J90" s="63"/>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276"/>
      <c r="AP90"/>
      <c r="AQ90" s="367"/>
      <c r="AR90" s="367"/>
      <c r="AS90" s="367"/>
      <c r="AT90" s="367"/>
      <c r="AU90" s="367"/>
      <c r="AV90" s="367"/>
      <c r="AW90" s="367"/>
      <c r="AX90" s="367"/>
      <c r="AY90" s="367"/>
      <c r="AZ90" s="367"/>
      <c r="BA90" s="367"/>
      <c r="BB90" s="367"/>
      <c r="BC90" s="367"/>
      <c r="BD90" s="367"/>
      <c r="BE90" s="367"/>
      <c r="BF90" s="367"/>
      <c r="BG90" s="367"/>
      <c r="BH90" s="367"/>
      <c r="BI90" s="367"/>
      <c r="BJ90" s="367"/>
      <c r="BK90" s="367"/>
      <c r="BL90" s="367"/>
      <c r="BM90" s="367"/>
      <c r="BN90" s="367"/>
      <c r="BO90" s="367"/>
      <c r="BP90" s="367"/>
      <c r="BQ90" s="367"/>
      <c r="BR90" s="367"/>
      <c r="BS90" s="367"/>
    </row>
    <row r="91" spans="1:71">
      <c r="A91" s="49"/>
      <c r="B91" s="272"/>
      <c r="C91" s="272"/>
      <c r="D91" s="272"/>
      <c r="E91" s="48"/>
      <c r="F91" s="358"/>
      <c r="G91" s="272"/>
      <c r="H91" s="76"/>
      <c r="I91" s="63"/>
      <c r="J91" s="63"/>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276"/>
      <c r="AP91"/>
      <c r="AQ91" s="367"/>
      <c r="AR91" s="367"/>
      <c r="AS91" s="367"/>
      <c r="AT91" s="367"/>
      <c r="AU91" s="367"/>
      <c r="AV91" s="367"/>
      <c r="AW91" s="367"/>
      <c r="AX91" s="367"/>
      <c r="AY91" s="367"/>
      <c r="AZ91" s="367"/>
      <c r="BA91" s="367"/>
      <c r="BB91" s="367"/>
      <c r="BC91" s="367"/>
      <c r="BD91" s="367"/>
      <c r="BE91" s="367"/>
      <c r="BF91" s="367"/>
      <c r="BG91" s="367"/>
      <c r="BH91" s="367"/>
      <c r="BI91" s="367"/>
      <c r="BJ91" s="367"/>
      <c r="BK91" s="367"/>
      <c r="BL91" s="367"/>
      <c r="BM91" s="367"/>
      <c r="BN91" s="367"/>
      <c r="BO91" s="367"/>
      <c r="BP91" s="367"/>
      <c r="BQ91" s="367"/>
      <c r="BR91" s="367"/>
      <c r="BS91" s="367"/>
    </row>
    <row r="92" spans="1:71">
      <c r="A92" s="49"/>
      <c r="B92" s="272"/>
      <c r="C92" s="272"/>
      <c r="D92" s="272"/>
      <c r="E92" s="48"/>
      <c r="F92" s="358"/>
      <c r="G92" s="272"/>
      <c r="H92" s="76"/>
      <c r="I92" s="63"/>
      <c r="J92" s="63"/>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276"/>
      <c r="AP92"/>
      <c r="AQ92" s="367"/>
      <c r="AR92" s="367"/>
      <c r="AS92" s="367"/>
      <c r="AT92" s="367"/>
      <c r="AU92" s="367"/>
      <c r="AV92" s="367"/>
      <c r="AW92" s="367"/>
      <c r="AX92" s="367"/>
      <c r="AY92" s="367"/>
      <c r="AZ92" s="367"/>
      <c r="BA92" s="367"/>
      <c r="BB92" s="367"/>
      <c r="BC92" s="367"/>
      <c r="BD92" s="367"/>
      <c r="BE92" s="367"/>
      <c r="BF92" s="367"/>
      <c r="BG92" s="367"/>
      <c r="BH92" s="367"/>
      <c r="BI92" s="367"/>
      <c r="BJ92" s="367"/>
      <c r="BK92" s="367"/>
      <c r="BL92" s="367"/>
      <c r="BM92" s="367"/>
      <c r="BN92" s="367"/>
      <c r="BO92" s="367"/>
      <c r="BP92" s="367"/>
      <c r="BQ92" s="367"/>
      <c r="BR92" s="367"/>
      <c r="BS92" s="367"/>
    </row>
    <row r="93" spans="1:71">
      <c r="A93" s="49"/>
      <c r="B93" s="272"/>
      <c r="C93" s="272"/>
      <c r="D93" s="272"/>
      <c r="E93" s="48"/>
      <c r="F93" s="358"/>
      <c r="G93" s="272"/>
      <c r="H93" s="76"/>
      <c r="I93" s="63"/>
      <c r="J93" s="63"/>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276"/>
      <c r="AP93"/>
      <c r="AQ93" s="367"/>
      <c r="AR93" s="367"/>
      <c r="AS93" s="367"/>
      <c r="AT93" s="367"/>
      <c r="AU93" s="367"/>
      <c r="AV93" s="367"/>
      <c r="AW93" s="367"/>
      <c r="AX93" s="367"/>
      <c r="AY93" s="367"/>
      <c r="AZ93" s="367"/>
      <c r="BA93" s="367"/>
      <c r="BB93" s="367"/>
      <c r="BC93" s="367"/>
      <c r="BD93" s="367"/>
      <c r="BE93" s="367"/>
      <c r="BF93" s="367"/>
      <c r="BG93" s="367"/>
      <c r="BH93" s="367"/>
      <c r="BI93" s="367"/>
      <c r="BJ93" s="367"/>
      <c r="BK93" s="367"/>
      <c r="BL93" s="367"/>
      <c r="BM93" s="367"/>
      <c r="BN93" s="367"/>
      <c r="BO93" s="367"/>
      <c r="BP93" s="367"/>
      <c r="BQ93" s="367"/>
      <c r="BR93" s="367"/>
      <c r="BS93" s="367"/>
    </row>
    <row r="94" spans="1:71">
      <c r="A94" s="49"/>
      <c r="B94" s="272"/>
      <c r="C94" s="272"/>
      <c r="D94" s="272"/>
      <c r="E94" s="48"/>
      <c r="F94" s="358"/>
      <c r="G94" s="272"/>
      <c r="H94" s="76"/>
      <c r="I94" s="63"/>
      <c r="J94" s="63"/>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276"/>
      <c r="AP94"/>
      <c r="AQ94" s="367"/>
      <c r="AR94" s="367"/>
      <c r="AS94" s="367"/>
      <c r="AT94" s="367"/>
      <c r="AU94" s="367"/>
      <c r="AV94" s="367"/>
      <c r="AW94" s="367"/>
      <c r="AX94" s="367"/>
      <c r="AY94" s="367"/>
      <c r="AZ94" s="367"/>
      <c r="BA94" s="367"/>
      <c r="BB94" s="367"/>
      <c r="BC94" s="367"/>
      <c r="BD94" s="367"/>
      <c r="BE94" s="367"/>
      <c r="BF94" s="367"/>
      <c r="BG94" s="367"/>
      <c r="BH94" s="367"/>
      <c r="BI94" s="367"/>
      <c r="BJ94" s="367"/>
      <c r="BK94" s="367"/>
      <c r="BL94" s="367"/>
      <c r="BM94" s="367"/>
      <c r="BN94" s="367"/>
      <c r="BO94" s="367"/>
      <c r="BP94" s="367"/>
      <c r="BQ94" s="367"/>
      <c r="BR94" s="367"/>
      <c r="BS94" s="367"/>
    </row>
    <row r="95" spans="1:71">
      <c r="A95" s="49"/>
      <c r="B95" s="272"/>
      <c r="C95" s="272"/>
      <c r="D95" s="272"/>
      <c r="E95" s="48"/>
      <c r="F95" s="358"/>
      <c r="G95" s="272"/>
      <c r="H95" s="76"/>
      <c r="I95" s="63"/>
      <c r="J95" s="63"/>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276"/>
      <c r="AP95"/>
      <c r="AQ95" s="367"/>
      <c r="AR95" s="367"/>
      <c r="AS95" s="367"/>
      <c r="AT95" s="367"/>
      <c r="AU95" s="367"/>
      <c r="AV95" s="367"/>
      <c r="AW95" s="367"/>
      <c r="AX95" s="367"/>
      <c r="AY95" s="367"/>
      <c r="AZ95" s="367"/>
      <c r="BA95" s="367"/>
      <c r="BB95" s="367"/>
      <c r="BC95" s="367"/>
      <c r="BD95" s="367"/>
      <c r="BE95" s="367"/>
      <c r="BF95" s="367"/>
      <c r="BG95" s="367"/>
      <c r="BH95" s="367"/>
      <c r="BI95" s="367"/>
      <c r="BJ95" s="367"/>
      <c r="BK95" s="367"/>
      <c r="BL95" s="367"/>
      <c r="BM95" s="367"/>
      <c r="BN95" s="367"/>
      <c r="BO95" s="367"/>
      <c r="BP95" s="367"/>
      <c r="BQ95" s="367"/>
      <c r="BR95" s="367"/>
      <c r="BS95" s="367"/>
    </row>
    <row r="96" spans="1:71">
      <c r="A96" s="49"/>
      <c r="B96" s="272"/>
      <c r="C96" s="272"/>
      <c r="D96" s="272"/>
      <c r="E96" s="48"/>
      <c r="F96" s="358"/>
      <c r="G96" s="272"/>
      <c r="H96" s="76"/>
      <c r="I96" s="63"/>
      <c r="J96" s="63"/>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276"/>
      <c r="AP96"/>
      <c r="AQ96" s="367"/>
      <c r="AR96" s="367"/>
      <c r="AS96" s="367"/>
      <c r="AT96" s="367"/>
      <c r="AU96" s="367"/>
      <c r="AV96" s="367"/>
      <c r="AW96" s="367"/>
      <c r="AX96" s="367"/>
      <c r="AY96" s="367"/>
      <c r="AZ96" s="367"/>
      <c r="BA96" s="367"/>
      <c r="BB96" s="367"/>
      <c r="BC96" s="367"/>
      <c r="BD96" s="367"/>
      <c r="BE96" s="367"/>
      <c r="BF96" s="367"/>
      <c r="BG96" s="367"/>
      <c r="BH96" s="367"/>
      <c r="BI96" s="367"/>
      <c r="BJ96" s="367"/>
      <c r="BK96" s="367"/>
      <c r="BL96" s="367"/>
      <c r="BM96" s="367"/>
      <c r="BN96" s="367"/>
      <c r="BO96" s="367"/>
      <c r="BP96" s="367"/>
      <c r="BQ96" s="367"/>
      <c r="BR96" s="367"/>
      <c r="BS96" s="367"/>
    </row>
    <row r="97" spans="1:71">
      <c r="A97" s="49"/>
      <c r="B97" s="272"/>
      <c r="C97" s="272"/>
      <c r="D97" s="272"/>
      <c r="E97" s="48"/>
      <c r="F97" s="358"/>
      <c r="G97" s="272"/>
      <c r="H97" s="76"/>
      <c r="I97" s="63"/>
      <c r="J97" s="63"/>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276"/>
      <c r="AP97"/>
      <c r="AQ97" s="367"/>
      <c r="AR97" s="367"/>
      <c r="AS97" s="367"/>
      <c r="AT97" s="367"/>
      <c r="AU97" s="367"/>
      <c r="AV97" s="367"/>
      <c r="AW97" s="367"/>
      <c r="AX97" s="367"/>
      <c r="AY97" s="367"/>
      <c r="AZ97" s="367"/>
      <c r="BA97" s="367"/>
      <c r="BB97" s="367"/>
      <c r="BC97" s="367"/>
      <c r="BD97" s="367"/>
      <c r="BE97" s="367"/>
      <c r="BF97" s="367"/>
      <c r="BG97" s="367"/>
      <c r="BH97" s="367"/>
      <c r="BI97" s="367"/>
      <c r="BJ97" s="367"/>
      <c r="BK97" s="367"/>
      <c r="BL97" s="367"/>
      <c r="BM97" s="367"/>
      <c r="BN97" s="367"/>
      <c r="BO97" s="367"/>
      <c r="BP97" s="367"/>
      <c r="BQ97" s="367"/>
      <c r="BR97" s="367"/>
      <c r="BS97" s="367"/>
    </row>
    <row r="98" spans="1:71">
      <c r="A98" s="49"/>
      <c r="B98" s="272"/>
      <c r="C98" s="272"/>
      <c r="D98" s="272"/>
      <c r="E98" s="48"/>
      <c r="F98" s="358"/>
      <c r="G98" s="272"/>
      <c r="H98" s="76"/>
      <c r="I98" s="63"/>
      <c r="J98" s="63"/>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276"/>
      <c r="AP98"/>
      <c r="AQ98" s="367"/>
      <c r="AR98" s="367"/>
      <c r="AS98" s="367"/>
      <c r="AT98" s="367"/>
      <c r="AU98" s="367"/>
      <c r="AV98" s="367"/>
      <c r="AW98" s="367"/>
      <c r="AX98" s="367"/>
      <c r="AY98" s="367"/>
      <c r="AZ98" s="367"/>
      <c r="BA98" s="367"/>
      <c r="BB98" s="367"/>
      <c r="BC98" s="367"/>
      <c r="BD98" s="367"/>
      <c r="BE98" s="367"/>
      <c r="BF98" s="367"/>
      <c r="BG98" s="367"/>
      <c r="BH98" s="367"/>
      <c r="BI98" s="367"/>
      <c r="BJ98" s="367"/>
      <c r="BK98" s="367"/>
      <c r="BL98" s="367"/>
      <c r="BM98" s="367"/>
      <c r="BN98" s="367"/>
      <c r="BO98" s="367"/>
      <c r="BP98" s="367"/>
      <c r="BQ98" s="367"/>
      <c r="BR98" s="367"/>
      <c r="BS98" s="367"/>
    </row>
    <row r="99" spans="1:71">
      <c r="A99" s="49"/>
      <c r="B99" s="272"/>
      <c r="C99" s="272"/>
      <c r="D99" s="272"/>
      <c r="E99" s="48"/>
      <c r="F99" s="358"/>
      <c r="G99" s="272"/>
      <c r="H99" s="76"/>
      <c r="I99" s="63"/>
      <c r="J99" s="63"/>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276"/>
      <c r="AP99"/>
      <c r="AQ99" s="367"/>
      <c r="AR99" s="367"/>
      <c r="AS99" s="367"/>
      <c r="AT99" s="367"/>
      <c r="AU99" s="367"/>
      <c r="AV99" s="367"/>
      <c r="AW99" s="367"/>
      <c r="AX99" s="367"/>
      <c r="AY99" s="367"/>
      <c r="AZ99" s="367"/>
      <c r="BA99" s="367"/>
      <c r="BB99" s="367"/>
      <c r="BC99" s="367"/>
      <c r="BD99" s="367"/>
      <c r="BE99" s="367"/>
      <c r="BF99" s="367"/>
      <c r="BG99" s="367"/>
      <c r="BH99" s="367"/>
      <c r="BI99" s="367"/>
      <c r="BJ99" s="367"/>
      <c r="BK99" s="367"/>
      <c r="BL99" s="367"/>
      <c r="BM99" s="367"/>
      <c r="BN99" s="367"/>
      <c r="BO99" s="367"/>
      <c r="BP99" s="367"/>
      <c r="BQ99" s="367"/>
      <c r="BR99" s="367"/>
      <c r="BS99" s="367"/>
    </row>
    <row r="100" spans="1:71">
      <c r="A100" s="49"/>
      <c r="B100" s="272"/>
      <c r="C100" s="272"/>
      <c r="D100" s="272"/>
      <c r="E100" s="48"/>
      <c r="F100" s="358"/>
      <c r="G100" s="272"/>
      <c r="H100" s="76"/>
      <c r="I100" s="63"/>
      <c r="J100" s="63"/>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276"/>
      <c r="AP100"/>
      <c r="AQ100" s="367"/>
      <c r="AR100" s="367"/>
      <c r="AS100" s="367"/>
      <c r="AT100" s="367"/>
      <c r="AU100" s="367"/>
      <c r="AV100" s="367"/>
      <c r="AW100" s="367"/>
      <c r="AX100" s="367"/>
      <c r="AY100" s="367"/>
      <c r="AZ100" s="367"/>
      <c r="BA100" s="367"/>
      <c r="BB100" s="367"/>
      <c r="BC100" s="367"/>
      <c r="BD100" s="367"/>
      <c r="BE100" s="367"/>
      <c r="BF100" s="367"/>
      <c r="BG100" s="367"/>
      <c r="BH100" s="367"/>
      <c r="BI100" s="367"/>
      <c r="BJ100" s="367"/>
      <c r="BK100" s="367"/>
      <c r="BL100" s="367"/>
      <c r="BM100" s="367"/>
      <c r="BN100" s="367"/>
      <c r="BO100" s="367"/>
      <c r="BP100" s="367"/>
      <c r="BQ100" s="367"/>
      <c r="BR100" s="367"/>
      <c r="BS100" s="367"/>
    </row>
    <row r="101" spans="1:71">
      <c r="A101" s="49"/>
      <c r="B101" s="272"/>
      <c r="C101" s="272"/>
      <c r="D101" s="272"/>
      <c r="E101" s="48"/>
      <c r="F101" s="358"/>
      <c r="G101" s="272"/>
      <c r="H101" s="76"/>
      <c r="I101" s="63"/>
      <c r="J101" s="63"/>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276"/>
      <c r="AP101"/>
      <c r="AQ101" s="367"/>
      <c r="AR101" s="367"/>
      <c r="AS101" s="367"/>
      <c r="AT101" s="367"/>
      <c r="AU101" s="367"/>
      <c r="AV101" s="367"/>
      <c r="AW101" s="367"/>
      <c r="AX101" s="367"/>
      <c r="AY101" s="367"/>
      <c r="AZ101" s="367"/>
      <c r="BA101" s="367"/>
      <c r="BB101" s="367"/>
      <c r="BC101" s="367"/>
      <c r="BD101" s="367"/>
      <c r="BE101" s="367"/>
      <c r="BF101" s="367"/>
      <c r="BG101" s="367"/>
      <c r="BH101" s="367"/>
      <c r="BI101" s="367"/>
      <c r="BJ101" s="367"/>
      <c r="BK101" s="367"/>
      <c r="BL101" s="367"/>
      <c r="BM101" s="367"/>
      <c r="BN101" s="367"/>
      <c r="BO101" s="367"/>
      <c r="BP101" s="367"/>
      <c r="BQ101" s="367"/>
      <c r="BR101" s="367"/>
      <c r="BS101" s="367"/>
    </row>
    <row r="102" spans="1:71">
      <c r="A102" s="49"/>
      <c r="B102" s="272"/>
      <c r="C102" s="272"/>
      <c r="D102" s="272"/>
      <c r="E102" s="48"/>
      <c r="F102" s="358"/>
      <c r="G102" s="272"/>
      <c r="H102" s="76"/>
      <c r="I102" s="63"/>
      <c r="J102" s="63"/>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276"/>
      <c r="AP102"/>
      <c r="AQ102" s="367"/>
      <c r="AR102" s="367"/>
      <c r="AS102" s="367"/>
      <c r="AT102" s="367"/>
      <c r="AU102" s="367"/>
      <c r="AV102" s="367"/>
      <c r="AW102" s="367"/>
      <c r="AX102" s="367"/>
      <c r="AY102" s="367"/>
      <c r="AZ102" s="367"/>
      <c r="BA102" s="367"/>
      <c r="BB102" s="367"/>
      <c r="BC102" s="367"/>
      <c r="BD102" s="367"/>
      <c r="BE102" s="367"/>
      <c r="BF102" s="367"/>
      <c r="BG102" s="367"/>
      <c r="BH102" s="367"/>
      <c r="BI102" s="367"/>
      <c r="BJ102" s="367"/>
      <c r="BK102" s="367"/>
      <c r="BL102" s="367"/>
      <c r="BM102" s="367"/>
      <c r="BN102" s="367"/>
      <c r="BO102" s="367"/>
      <c r="BP102" s="367"/>
      <c r="BQ102" s="367"/>
      <c r="BR102" s="367"/>
      <c r="BS102" s="367"/>
    </row>
    <row r="103" spans="1:71">
      <c r="A103" s="49"/>
      <c r="B103" s="272"/>
      <c r="C103" s="272"/>
      <c r="D103" s="272"/>
      <c r="E103" s="48"/>
      <c r="F103" s="358"/>
      <c r="G103" s="272"/>
      <c r="H103" s="76"/>
      <c r="I103" s="63"/>
      <c r="J103" s="63"/>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276"/>
      <c r="AP103"/>
      <c r="AQ103" s="367"/>
      <c r="AR103" s="367"/>
      <c r="AS103" s="367"/>
      <c r="AT103" s="367"/>
      <c r="AU103" s="367"/>
      <c r="AV103" s="367"/>
      <c r="AW103" s="367"/>
      <c r="AX103" s="367"/>
      <c r="AY103" s="367"/>
      <c r="AZ103" s="367"/>
      <c r="BA103" s="367"/>
      <c r="BB103" s="367"/>
      <c r="BC103" s="367"/>
      <c r="BD103" s="367"/>
      <c r="BE103" s="367"/>
      <c r="BF103" s="367"/>
      <c r="BG103" s="367"/>
      <c r="BH103" s="367"/>
      <c r="BI103" s="367"/>
      <c r="BJ103" s="367"/>
      <c r="BK103" s="367"/>
      <c r="BL103" s="367"/>
      <c r="BM103" s="367"/>
      <c r="BN103" s="367"/>
      <c r="BO103" s="367"/>
      <c r="BP103" s="367"/>
      <c r="BQ103" s="367"/>
      <c r="BR103" s="367"/>
      <c r="BS103" s="367"/>
    </row>
    <row r="104" spans="1:71">
      <c r="A104" s="49"/>
      <c r="B104" s="272"/>
      <c r="C104" s="272"/>
      <c r="D104" s="272"/>
      <c r="E104" s="48"/>
      <c r="F104" s="358"/>
      <c r="G104" s="272"/>
      <c r="H104" s="76"/>
      <c r="I104" s="63"/>
      <c r="J104" s="63"/>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276"/>
      <c r="AP104"/>
      <c r="AQ104" s="367"/>
      <c r="AR104" s="367"/>
      <c r="AS104" s="367"/>
      <c r="AT104" s="367"/>
      <c r="AU104" s="367"/>
      <c r="AV104" s="367"/>
      <c r="AW104" s="367"/>
      <c r="AX104" s="367"/>
      <c r="AY104" s="367"/>
      <c r="AZ104" s="367"/>
      <c r="BA104" s="367"/>
      <c r="BB104" s="367"/>
      <c r="BC104" s="367"/>
      <c r="BD104" s="367"/>
      <c r="BE104" s="367"/>
      <c r="BF104" s="367"/>
      <c r="BG104" s="367"/>
      <c r="BH104" s="367"/>
      <c r="BI104" s="367"/>
      <c r="BJ104" s="367"/>
      <c r="BK104" s="367"/>
      <c r="BL104" s="367"/>
      <c r="BM104" s="367"/>
      <c r="BN104" s="367"/>
      <c r="BO104" s="367"/>
      <c r="BP104" s="367"/>
      <c r="BQ104" s="367"/>
      <c r="BR104" s="367"/>
      <c r="BS104" s="367"/>
    </row>
    <row r="105" spans="1:71">
      <c r="A105" s="49"/>
      <c r="B105" s="272"/>
      <c r="C105" s="272"/>
      <c r="D105" s="272"/>
      <c r="E105" s="48"/>
      <c r="F105" s="358"/>
      <c r="G105" s="272"/>
      <c r="H105" s="76"/>
      <c r="I105" s="63"/>
      <c r="J105" s="63"/>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row>
    <row r="106" spans="1:71">
      <c r="A106" s="49"/>
      <c r="B106" s="272"/>
      <c r="C106" s="272"/>
      <c r="D106" s="272"/>
      <c r="E106" s="48"/>
      <c r="F106" s="358"/>
      <c r="G106" s="272"/>
      <c r="H106" s="76"/>
      <c r="I106" s="63"/>
      <c r="J106" s="63"/>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row>
    <row r="107" spans="1:71">
      <c r="A107" s="49"/>
      <c r="B107" s="272"/>
      <c r="C107" s="272"/>
      <c r="D107" s="272"/>
      <c r="E107" s="48"/>
      <c r="F107" s="358"/>
      <c r="G107" s="272"/>
      <c r="H107" s="76"/>
      <c r="I107" s="63"/>
      <c r="J107" s="63"/>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row>
    <row r="108" spans="1:71">
      <c r="A108" s="49"/>
      <c r="B108" s="272"/>
      <c r="C108" s="272"/>
      <c r="D108" s="272"/>
      <c r="E108" s="48"/>
      <c r="F108" s="358"/>
      <c r="G108" s="272"/>
      <c r="H108" s="76"/>
      <c r="I108" s="63"/>
      <c r="J108" s="63"/>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row>
    <row r="109" spans="1:71">
      <c r="A109" s="49"/>
      <c r="B109" s="272"/>
      <c r="C109" s="272"/>
      <c r="D109" s="272"/>
      <c r="E109" s="48"/>
      <c r="F109" s="358"/>
      <c r="G109" s="272"/>
      <c r="H109" s="76"/>
      <c r="I109" s="63"/>
      <c r="J109" s="63"/>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row>
    <row r="110" spans="1:71">
      <c r="A110" s="49"/>
      <c r="B110" s="272"/>
      <c r="C110" s="272"/>
      <c r="D110" s="272"/>
      <c r="E110" s="48"/>
      <c r="F110" s="358"/>
      <c r="G110" s="272"/>
      <c r="H110" s="76"/>
      <c r="I110" s="63"/>
      <c r="J110" s="63"/>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row>
    <row r="111" spans="1:71">
      <c r="A111" s="49"/>
      <c r="B111" s="272"/>
      <c r="C111" s="272"/>
      <c r="D111" s="272"/>
      <c r="E111" s="48"/>
      <c r="F111" s="358"/>
      <c r="G111" s="272"/>
      <c r="H111" s="76"/>
      <c r="I111" s="63"/>
      <c r="J111" s="63"/>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row>
    <row r="112" spans="1:71">
      <c r="A112" s="49"/>
      <c r="B112" s="272"/>
      <c r="C112" s="272"/>
      <c r="D112" s="272"/>
      <c r="E112" s="48"/>
      <c r="F112" s="358"/>
      <c r="G112" s="272"/>
      <c r="H112" s="76"/>
      <c r="I112" s="63"/>
      <c r="J112" s="63"/>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row>
    <row r="113" spans="1:71">
      <c r="A113" s="49"/>
      <c r="B113" s="272"/>
      <c r="C113" s="272"/>
      <c r="D113" s="272"/>
      <c r="E113" s="48"/>
      <c r="F113" s="358"/>
      <c r="G113" s="272"/>
      <c r="H113" s="76"/>
      <c r="I113" s="63"/>
      <c r="J113" s="63"/>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row>
    <row r="114" spans="1:71">
      <c r="A114" s="49"/>
      <c r="B114" s="272"/>
      <c r="C114" s="272"/>
      <c r="D114" s="272"/>
      <c r="E114" s="48"/>
      <c r="F114" s="358"/>
      <c r="G114" s="272"/>
      <c r="H114" s="76"/>
      <c r="I114" s="63"/>
      <c r="J114" s="63"/>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row>
    <row r="115" spans="1:71">
      <c r="A115" s="49"/>
      <c r="B115" s="272"/>
      <c r="C115" s="272"/>
      <c r="D115" s="272"/>
      <c r="E115" s="48"/>
      <c r="F115" s="358"/>
      <c r="G115" s="272"/>
      <c r="H115" s="76"/>
      <c r="I115" s="63"/>
      <c r="J115" s="63"/>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row>
    <row r="116" spans="1:71">
      <c r="A116" s="49"/>
      <c r="B116" s="272"/>
      <c r="C116" s="272"/>
      <c r="D116" s="272"/>
      <c r="E116" s="48"/>
      <c r="F116" s="358"/>
      <c r="G116" s="272"/>
      <c r="H116" s="76"/>
      <c r="I116" s="63"/>
      <c r="J116" s="63"/>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row>
    <row r="117" spans="1:71">
      <c r="A117" s="49"/>
      <c r="B117" s="272"/>
      <c r="C117" s="272"/>
      <c r="D117" s="272"/>
      <c r="E117" s="48"/>
      <c r="F117" s="358"/>
      <c r="G117" s="272"/>
      <c r="H117" s="76"/>
      <c r="I117" s="63"/>
      <c r="J117" s="63"/>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row>
    <row r="118" spans="1:71">
      <c r="A118" s="49"/>
      <c r="B118" s="272"/>
      <c r="C118" s="272"/>
      <c r="D118" s="272"/>
      <c r="E118" s="48"/>
      <c r="F118" s="358"/>
      <c r="G118" s="272"/>
      <c r="H118" s="76"/>
      <c r="I118" s="63"/>
      <c r="J118" s="63"/>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row>
    <row r="119" spans="1:71">
      <c r="A119" s="49"/>
      <c r="B119" s="272"/>
      <c r="C119" s="272"/>
      <c r="D119" s="272"/>
      <c r="E119" s="48"/>
      <c r="F119" s="358"/>
      <c r="G119" s="272"/>
      <c r="H119" s="76"/>
      <c r="I119" s="63"/>
      <c r="J119" s="63"/>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row>
    <row r="120" spans="1:71">
      <c r="A120" s="49"/>
      <c r="B120" s="272"/>
      <c r="C120" s="272"/>
      <c r="D120" s="272"/>
      <c r="E120" s="48"/>
      <c r="F120" s="358"/>
      <c r="G120" s="272"/>
      <c r="H120" s="76"/>
      <c r="I120" s="63"/>
      <c r="J120" s="63"/>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row>
    <row r="121" spans="1:71">
      <c r="A121" s="49"/>
      <c r="B121" s="272"/>
      <c r="C121" s="272"/>
      <c r="D121" s="272"/>
      <c r="E121" s="48"/>
      <c r="F121" s="358"/>
      <c r="G121" s="272"/>
      <c r="H121" s="76"/>
      <c r="I121" s="63"/>
      <c r="J121" s="63"/>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row>
    <row r="122" spans="1:71">
      <c r="A122" s="49"/>
      <c r="B122" s="272"/>
      <c r="C122" s="272"/>
      <c r="D122" s="272"/>
      <c r="E122" s="48"/>
      <c r="F122" s="358"/>
      <c r="G122" s="272"/>
      <c r="H122" s="76"/>
      <c r="I122" s="63"/>
      <c r="J122" s="63"/>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row>
    <row r="123" spans="1:71">
      <c r="A123" s="49"/>
      <c r="B123" s="272"/>
      <c r="C123" s="272"/>
      <c r="D123" s="272"/>
      <c r="E123" s="48"/>
      <c r="F123" s="358"/>
      <c r="G123" s="272"/>
      <c r="H123" s="76"/>
      <c r="I123" s="63"/>
      <c r="J123" s="63"/>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row>
    <row r="124" spans="1:71">
      <c r="A124" s="49"/>
      <c r="B124" s="272"/>
      <c r="C124" s="272"/>
      <c r="D124" s="272"/>
      <c r="E124" s="48"/>
      <c r="F124" s="358"/>
      <c r="G124" s="272"/>
      <c r="H124" s="76"/>
      <c r="I124" s="63"/>
      <c r="J124" s="63"/>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row>
    <row r="125" spans="1:71">
      <c r="A125" s="49"/>
      <c r="B125" s="272"/>
      <c r="C125" s="272"/>
      <c r="D125" s="272"/>
      <c r="E125" s="48"/>
      <c r="F125" s="358"/>
      <c r="G125" s="272"/>
      <c r="H125" s="76"/>
      <c r="I125" s="63"/>
      <c r="J125" s="63"/>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row>
    <row r="126" spans="1:71">
      <c r="A126" s="49"/>
      <c r="B126" s="272"/>
      <c r="C126" s="272"/>
      <c r="D126" s="272"/>
      <c r="E126" s="48"/>
      <c r="F126" s="358"/>
      <c r="G126" s="272"/>
      <c r="H126" s="76"/>
      <c r="I126" s="63"/>
      <c r="J126" s="63"/>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row>
    <row r="127" spans="1:71">
      <c r="A127" s="49"/>
      <c r="B127" s="272"/>
      <c r="C127" s="272"/>
      <c r="D127" s="272"/>
      <c r="E127" s="48"/>
      <c r="F127" s="358"/>
      <c r="G127" s="272"/>
      <c r="H127" s="76"/>
      <c r="I127" s="63"/>
      <c r="J127" s="63"/>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row>
    <row r="128" spans="1:71">
      <c r="A128" s="49"/>
      <c r="B128" s="272"/>
      <c r="C128" s="272"/>
      <c r="D128" s="272"/>
      <c r="E128" s="48"/>
      <c r="F128" s="358"/>
      <c r="G128" s="272"/>
      <c r="H128" s="76"/>
      <c r="I128" s="63"/>
      <c r="J128" s="63"/>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row>
    <row r="129" spans="1:71">
      <c r="A129" s="49"/>
      <c r="B129" s="272"/>
      <c r="C129" s="272"/>
      <c r="D129" s="272"/>
      <c r="E129" s="48"/>
      <c r="F129" s="358"/>
      <c r="G129" s="272"/>
      <c r="H129" s="76"/>
      <c r="I129" s="63"/>
      <c r="J129" s="63"/>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row>
    <row r="130" spans="1:71">
      <c r="A130" s="49"/>
      <c r="B130" s="272"/>
      <c r="C130" s="272"/>
      <c r="D130" s="272"/>
      <c r="E130" s="48"/>
      <c r="F130" s="358"/>
      <c r="G130" s="272"/>
      <c r="H130" s="76"/>
      <c r="I130" s="63"/>
      <c r="J130" s="63"/>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row>
    <row r="131" spans="1:71">
      <c r="A131" s="49"/>
      <c r="B131" s="272"/>
      <c r="C131" s="272"/>
      <c r="D131" s="272"/>
      <c r="E131" s="48"/>
      <c r="F131" s="358"/>
      <c r="G131" s="272"/>
      <c r="H131" s="76"/>
      <c r="I131" s="63"/>
      <c r="J131" s="63"/>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row>
    <row r="132" spans="1:71">
      <c r="A132" s="49"/>
      <c r="B132" s="272"/>
      <c r="C132" s="272"/>
      <c r="D132" s="272"/>
      <c r="E132" s="48"/>
      <c r="F132" s="358"/>
      <c r="G132" s="272"/>
      <c r="H132" s="76"/>
      <c r="I132" s="63"/>
      <c r="J132" s="63"/>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row>
    <row r="133" spans="1:71">
      <c r="A133" s="49"/>
      <c r="B133" s="272"/>
      <c r="C133" s="272"/>
      <c r="D133" s="272"/>
      <c r="E133" s="48"/>
      <c r="F133" s="358"/>
      <c r="G133" s="272"/>
      <c r="H133" s="76"/>
      <c r="I133" s="63"/>
      <c r="J133" s="63"/>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48"/>
      <c r="BN133" s="48"/>
      <c r="BO133" s="48"/>
      <c r="BP133" s="48"/>
      <c r="BQ133" s="48"/>
      <c r="BR133" s="48"/>
      <c r="BS133" s="48"/>
    </row>
    <row r="134" spans="1:71">
      <c r="A134" s="49"/>
      <c r="B134" s="272"/>
      <c r="C134" s="272"/>
      <c r="D134" s="272"/>
      <c r="E134" s="48"/>
      <c r="F134" s="358"/>
      <c r="G134" s="272"/>
      <c r="H134" s="76"/>
      <c r="I134" s="63"/>
      <c r="J134" s="63"/>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row>
    <row r="135" spans="1:71">
      <c r="A135" s="49"/>
      <c r="B135" s="272"/>
      <c r="C135" s="272"/>
      <c r="D135" s="272"/>
      <c r="E135" s="48"/>
      <c r="F135" s="358"/>
      <c r="G135" s="272"/>
      <c r="H135" s="76"/>
      <c r="I135" s="63"/>
      <c r="J135" s="63"/>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row>
    <row r="136" spans="1:71">
      <c r="A136" s="49"/>
      <c r="B136" s="272"/>
      <c r="C136" s="272"/>
      <c r="D136" s="272"/>
      <c r="E136" s="48"/>
      <c r="F136" s="358"/>
      <c r="G136" s="272"/>
      <c r="H136" s="76"/>
      <c r="I136" s="63"/>
      <c r="J136" s="63"/>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row>
    <row r="137" spans="1:71">
      <c r="A137" s="49"/>
      <c r="B137" s="272"/>
      <c r="C137" s="272"/>
      <c r="D137" s="272"/>
      <c r="E137" s="48"/>
      <c r="F137" s="358"/>
      <c r="G137" s="272"/>
      <c r="H137" s="76"/>
      <c r="I137" s="63"/>
      <c r="J137" s="63"/>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row>
    <row r="138" spans="1:71">
      <c r="A138" s="49"/>
      <c r="B138" s="273"/>
      <c r="C138" s="273"/>
      <c r="D138" s="273"/>
      <c r="E138" s="49"/>
      <c r="F138" s="359"/>
      <c r="G138" s="273"/>
      <c r="H138" s="77"/>
      <c r="I138" s="64"/>
      <c r="J138" s="64"/>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row>
    <row r="139" spans="1:71">
      <c r="A139" s="49"/>
      <c r="B139" s="273"/>
      <c r="C139" s="273"/>
      <c r="D139" s="273"/>
      <c r="E139" s="49"/>
      <c r="F139" s="359"/>
      <c r="G139" s="273"/>
      <c r="H139" s="77"/>
      <c r="I139" s="64"/>
      <c r="J139" s="64"/>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row>
    <row r="140" spans="1:71">
      <c r="A140" s="49"/>
      <c r="B140" s="273"/>
      <c r="C140" s="273"/>
      <c r="D140" s="273"/>
      <c r="E140" s="49"/>
      <c r="F140" s="359"/>
      <c r="G140" s="273"/>
      <c r="H140" s="77"/>
      <c r="I140" s="64"/>
      <c r="J140" s="64"/>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row>
    <row r="141" spans="1:71">
      <c r="A141" s="49"/>
      <c r="B141" s="273"/>
      <c r="C141" s="273"/>
      <c r="D141" s="273"/>
      <c r="E141" s="49"/>
      <c r="F141" s="359"/>
      <c r="G141" s="273"/>
      <c r="H141" s="77"/>
      <c r="I141" s="64"/>
      <c r="J141" s="64"/>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row>
    <row r="142" spans="1:71">
      <c r="A142" s="49"/>
      <c r="B142" s="273"/>
      <c r="C142" s="273"/>
      <c r="D142" s="273"/>
      <c r="E142" s="49"/>
      <c r="F142" s="359"/>
      <c r="G142" s="273"/>
      <c r="H142" s="77"/>
      <c r="I142" s="64"/>
      <c r="J142" s="64"/>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row>
    <row r="143" spans="1:71">
      <c r="A143" s="49"/>
      <c r="B143" s="273"/>
      <c r="C143" s="273"/>
      <c r="D143" s="273"/>
      <c r="E143" s="49"/>
      <c r="F143" s="359"/>
      <c r="G143" s="273"/>
      <c r="H143" s="77"/>
      <c r="I143" s="64"/>
      <c r="J143" s="64"/>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row>
    <row r="144" spans="1:71">
      <c r="A144" s="49"/>
      <c r="B144" s="273"/>
      <c r="C144" s="273"/>
      <c r="D144" s="273"/>
      <c r="E144" s="49"/>
      <c r="F144" s="359"/>
      <c r="G144" s="273"/>
      <c r="H144" s="77"/>
      <c r="I144" s="64"/>
      <c r="J144" s="64"/>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row>
    <row r="145" spans="1:71">
      <c r="A145" s="49"/>
      <c r="B145" s="273"/>
      <c r="C145" s="273"/>
      <c r="D145" s="273"/>
      <c r="E145" s="49"/>
      <c r="F145" s="359"/>
      <c r="G145" s="273"/>
      <c r="H145" s="77"/>
      <c r="I145" s="64"/>
      <c r="J145" s="64"/>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row>
    <row r="146" spans="1:71">
      <c r="A146" s="49"/>
      <c r="B146" s="273"/>
      <c r="C146" s="273"/>
      <c r="D146" s="273"/>
      <c r="E146" s="49"/>
      <c r="F146" s="359"/>
      <c r="G146" s="273"/>
      <c r="H146" s="77"/>
      <c r="I146" s="64"/>
      <c r="J146" s="64"/>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row>
    <row r="147" spans="1:71">
      <c r="A147" s="49"/>
      <c r="B147" s="273"/>
      <c r="C147" s="273"/>
      <c r="D147" s="273"/>
      <c r="E147" s="49"/>
      <c r="F147" s="359"/>
      <c r="G147" s="273"/>
      <c r="H147" s="77"/>
      <c r="I147" s="64"/>
      <c r="J147" s="64"/>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row>
    <row r="148" spans="1:71">
      <c r="A148" s="49"/>
      <c r="B148" s="273"/>
      <c r="C148" s="273"/>
      <c r="D148" s="273"/>
      <c r="E148" s="49"/>
      <c r="F148" s="359"/>
      <c r="G148" s="273"/>
      <c r="H148" s="77"/>
      <c r="I148" s="64"/>
      <c r="J148" s="64"/>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row>
    <row r="149" spans="1:71">
      <c r="A149" s="49"/>
      <c r="B149" s="273"/>
      <c r="C149" s="273"/>
      <c r="D149" s="273"/>
      <c r="E149" s="49"/>
      <c r="F149" s="359"/>
      <c r="G149" s="273"/>
      <c r="H149" s="77"/>
      <c r="I149" s="64"/>
      <c r="J149" s="64"/>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row>
    <row r="150" spans="1:71">
      <c r="A150" s="49"/>
      <c r="B150" s="273"/>
      <c r="C150" s="273"/>
      <c r="D150" s="273"/>
      <c r="E150" s="49"/>
      <c r="F150" s="359"/>
      <c r="G150" s="273"/>
      <c r="H150" s="77"/>
      <c r="I150" s="64"/>
      <c r="J150" s="64"/>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row>
    <row r="151" spans="1:71">
      <c r="A151" s="49"/>
      <c r="B151" s="273"/>
      <c r="C151" s="273"/>
      <c r="D151" s="273"/>
      <c r="E151" s="49"/>
      <c r="F151" s="359"/>
      <c r="G151" s="273"/>
      <c r="H151" s="77"/>
      <c r="I151" s="64"/>
      <c r="J151" s="64"/>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row>
    <row r="152" spans="1:71">
      <c r="A152" s="49"/>
      <c r="B152" s="273"/>
      <c r="C152" s="273"/>
      <c r="D152" s="273"/>
      <c r="E152" s="49"/>
      <c r="F152" s="359"/>
      <c r="G152" s="273"/>
      <c r="H152" s="77"/>
      <c r="I152" s="64"/>
      <c r="J152" s="64"/>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row>
    <row r="153" spans="1:71">
      <c r="A153" s="49"/>
      <c r="B153" s="273"/>
      <c r="C153" s="273"/>
      <c r="D153" s="273"/>
      <c r="E153" s="49"/>
      <c r="F153" s="359"/>
      <c r="G153" s="273"/>
      <c r="H153" s="77"/>
      <c r="I153" s="64"/>
      <c r="J153" s="64"/>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row>
    <row r="154" spans="1:71">
      <c r="A154" s="49"/>
      <c r="B154" s="352"/>
      <c r="C154" s="115"/>
      <c r="D154" s="352"/>
      <c r="E154"/>
      <c r="F154" s="13"/>
      <c r="G154" s="352"/>
      <c r="H154" s="78"/>
      <c r="I154" s="17"/>
      <c r="J154" s="17"/>
      <c r="K154"/>
      <c r="L154" s="367"/>
      <c r="M154" s="367"/>
      <c r="N154" s="367"/>
      <c r="O154" s="367"/>
      <c r="P154" s="367"/>
      <c r="Q154" s="367"/>
      <c r="R154" s="367"/>
      <c r="S154" s="367"/>
      <c r="T154" s="367"/>
      <c r="U154" s="367"/>
      <c r="V154" s="367"/>
      <c r="W154" s="367"/>
      <c r="X154" s="367"/>
      <c r="Y154" s="367"/>
      <c r="Z154" s="367"/>
      <c r="AA154" s="367"/>
      <c r="AB154" s="367"/>
      <c r="AC154" s="367"/>
      <c r="AD154" s="367"/>
      <c r="AE154" s="367"/>
      <c r="AF154" s="367"/>
      <c r="AG154" s="367"/>
      <c r="AH154" s="367"/>
      <c r="AI154" s="367"/>
      <c r="AJ154" s="367"/>
      <c r="AK154" s="367"/>
      <c r="AL154" s="367"/>
      <c r="AM154" s="367"/>
      <c r="AN154" s="367"/>
      <c r="AO154"/>
      <c r="AP154"/>
      <c r="AQ154" s="367"/>
      <c r="AR154" s="367"/>
      <c r="AS154" s="367"/>
      <c r="AT154" s="367"/>
      <c r="AU154" s="367"/>
      <c r="AV154" s="367"/>
      <c r="AW154" s="367"/>
      <c r="AX154" s="367"/>
      <c r="AY154" s="367"/>
      <c r="AZ154" s="367"/>
      <c r="BA154" s="367"/>
      <c r="BB154" s="367"/>
      <c r="BC154" s="367"/>
      <c r="BD154" s="367"/>
      <c r="BE154" s="367"/>
      <c r="BF154" s="367"/>
      <c r="BG154" s="367"/>
      <c r="BH154" s="367"/>
      <c r="BI154" s="367"/>
      <c r="BJ154" s="367"/>
      <c r="BK154" s="367"/>
      <c r="BL154" s="367"/>
      <c r="BM154" s="367"/>
      <c r="BN154" s="367"/>
      <c r="BO154" s="367"/>
      <c r="BP154" s="367"/>
      <c r="BQ154" s="367"/>
      <c r="BR154" s="367"/>
      <c r="BS154" s="367"/>
    </row>
    <row r="155" spans="1:71">
      <c r="A155" s="49"/>
      <c r="B155" s="352"/>
      <c r="C155" s="115"/>
      <c r="D155" s="352"/>
      <c r="E155"/>
      <c r="F155" s="13"/>
      <c r="G155" s="352"/>
      <c r="H155" s="78"/>
      <c r="I155" s="17"/>
      <c r="J155" s="17"/>
      <c r="K155"/>
      <c r="L155" s="367"/>
      <c r="M155" s="367"/>
      <c r="N155" s="367"/>
      <c r="O155" s="367"/>
      <c r="P155" s="367"/>
      <c r="Q155" s="367"/>
      <c r="R155" s="367"/>
      <c r="S155" s="367"/>
      <c r="T155" s="367"/>
      <c r="U155" s="367"/>
      <c r="V155" s="367"/>
      <c r="W155" s="367"/>
      <c r="X155" s="367"/>
      <c r="Y155" s="367"/>
      <c r="Z155" s="367"/>
      <c r="AA155" s="367"/>
      <c r="AB155" s="367"/>
      <c r="AC155" s="367"/>
      <c r="AD155" s="367"/>
      <c r="AE155" s="367"/>
      <c r="AF155" s="367"/>
      <c r="AG155" s="367"/>
      <c r="AH155" s="367"/>
      <c r="AI155" s="367"/>
      <c r="AJ155" s="367"/>
      <c r="AK155" s="367"/>
      <c r="AL155" s="367"/>
      <c r="AM155" s="367"/>
      <c r="AN155" s="367"/>
      <c r="AO155"/>
      <c r="AP155"/>
      <c r="AQ155" s="367"/>
      <c r="AR155" s="367"/>
      <c r="AS155" s="367"/>
      <c r="AT155" s="367"/>
      <c r="AU155" s="367"/>
      <c r="AV155" s="367"/>
      <c r="AW155" s="367"/>
      <c r="AX155" s="367"/>
      <c r="AY155" s="367"/>
      <c r="AZ155" s="367"/>
      <c r="BA155" s="367"/>
      <c r="BB155" s="367"/>
      <c r="BC155" s="367"/>
      <c r="BD155" s="367"/>
      <c r="BE155" s="367"/>
      <c r="BF155" s="367"/>
      <c r="BG155" s="367"/>
      <c r="BH155" s="367"/>
      <c r="BI155" s="367"/>
      <c r="BJ155" s="367"/>
      <c r="BK155" s="367"/>
      <c r="BL155" s="367"/>
      <c r="BM155" s="367"/>
      <c r="BN155" s="367"/>
      <c r="BO155" s="367"/>
      <c r="BP155" s="367"/>
      <c r="BQ155" s="367"/>
      <c r="BR155" s="367"/>
      <c r="BS155" s="367"/>
    </row>
    <row r="156" spans="1:71">
      <c r="A156" s="49"/>
      <c r="B156" s="352"/>
      <c r="C156" s="115"/>
      <c r="D156" s="352"/>
      <c r="E156"/>
      <c r="F156" s="13"/>
      <c r="G156" s="352"/>
      <c r="H156" s="78"/>
      <c r="I156" s="17"/>
      <c r="J156" s="17"/>
      <c r="K156"/>
      <c r="L156" s="367"/>
      <c r="M156" s="367"/>
      <c r="N156" s="367"/>
      <c r="O156" s="367"/>
      <c r="P156" s="367"/>
      <c r="Q156" s="367"/>
      <c r="R156" s="367"/>
      <c r="S156" s="367"/>
      <c r="T156" s="367"/>
      <c r="U156" s="367"/>
      <c r="V156" s="367"/>
      <c r="W156" s="367"/>
      <c r="X156" s="367"/>
      <c r="Y156" s="367"/>
      <c r="Z156" s="367"/>
      <c r="AA156" s="367"/>
      <c r="AB156" s="367"/>
      <c r="AC156" s="367"/>
      <c r="AD156" s="367"/>
      <c r="AE156" s="367"/>
      <c r="AF156" s="367"/>
      <c r="AG156" s="367"/>
      <c r="AH156" s="367"/>
      <c r="AI156" s="367"/>
      <c r="AJ156" s="367"/>
      <c r="AK156" s="367"/>
      <c r="AL156" s="367"/>
      <c r="AM156" s="367"/>
      <c r="AN156" s="367"/>
      <c r="AO156"/>
      <c r="AP156"/>
      <c r="AQ156" s="367"/>
      <c r="AR156" s="367"/>
      <c r="AS156" s="367"/>
      <c r="AT156" s="367"/>
      <c r="AU156" s="367"/>
      <c r="AV156" s="367"/>
      <c r="AW156" s="367"/>
      <c r="AX156" s="367"/>
      <c r="AY156" s="367"/>
      <c r="AZ156" s="367"/>
      <c r="BA156" s="367"/>
      <c r="BB156" s="367"/>
      <c r="BC156" s="367"/>
      <c r="BD156" s="367"/>
      <c r="BE156" s="367"/>
      <c r="BF156" s="367"/>
      <c r="BG156" s="367"/>
      <c r="BH156" s="367"/>
      <c r="BI156" s="367"/>
      <c r="BJ156" s="367"/>
      <c r="BK156" s="367"/>
      <c r="BL156" s="367"/>
      <c r="BM156" s="367"/>
      <c r="BN156" s="367"/>
      <c r="BO156" s="367"/>
      <c r="BP156" s="367"/>
      <c r="BQ156" s="367"/>
      <c r="BR156" s="367"/>
      <c r="BS156" s="367"/>
    </row>
    <row r="157" spans="1:71">
      <c r="A157" s="49"/>
      <c r="B157" s="352"/>
      <c r="C157" s="115"/>
      <c r="D157" s="352"/>
      <c r="E157"/>
      <c r="F157" s="13"/>
      <c r="G157" s="352"/>
      <c r="H157" s="78"/>
      <c r="I157" s="17"/>
      <c r="J157" s="17"/>
      <c r="K157"/>
      <c r="L157" s="367"/>
      <c r="M157" s="367"/>
      <c r="N157" s="367"/>
      <c r="O157" s="367"/>
      <c r="P157" s="367"/>
      <c r="Q157" s="367"/>
      <c r="R157" s="367"/>
      <c r="S157" s="367"/>
      <c r="T157" s="367"/>
      <c r="U157" s="367"/>
      <c r="V157" s="367"/>
      <c r="W157" s="367"/>
      <c r="X157" s="367"/>
      <c r="Y157" s="367"/>
      <c r="Z157" s="367"/>
      <c r="AA157" s="367"/>
      <c r="AB157" s="367"/>
      <c r="AC157" s="367"/>
      <c r="AD157" s="367"/>
      <c r="AE157" s="367"/>
      <c r="AF157" s="367"/>
      <c r="AG157" s="367"/>
      <c r="AH157" s="367"/>
      <c r="AI157" s="367"/>
      <c r="AJ157" s="367"/>
      <c r="AK157" s="367"/>
      <c r="AL157" s="367"/>
      <c r="AM157" s="367"/>
      <c r="AN157" s="367"/>
      <c r="AO157"/>
      <c r="AP157"/>
      <c r="AQ157" s="367"/>
      <c r="AR157" s="367"/>
      <c r="AS157" s="367"/>
      <c r="AT157" s="367"/>
      <c r="AU157" s="367"/>
      <c r="AV157" s="367"/>
      <c r="AW157" s="367"/>
      <c r="AX157" s="367"/>
      <c r="AY157" s="367"/>
      <c r="AZ157" s="367"/>
      <c r="BA157" s="367"/>
      <c r="BB157" s="367"/>
      <c r="BC157" s="367"/>
      <c r="BD157" s="367"/>
      <c r="BE157" s="367"/>
      <c r="BF157" s="367"/>
      <c r="BG157" s="367"/>
      <c r="BH157" s="367"/>
      <c r="BI157" s="367"/>
      <c r="BJ157" s="367"/>
      <c r="BK157" s="367"/>
      <c r="BL157" s="367"/>
      <c r="BM157" s="367"/>
      <c r="BN157" s="367"/>
      <c r="BO157" s="367"/>
      <c r="BP157" s="367"/>
      <c r="BQ157" s="367"/>
      <c r="BR157" s="367"/>
      <c r="BS157" s="367"/>
    </row>
  </sheetData>
  <conditionalFormatting sqref="H6:I6">
    <cfRule type="expression" dxfId="9" priority="489">
      <formula>AND($D6=3,$D7=0)</formula>
    </cfRule>
    <cfRule type="expression" dxfId="8" priority="490">
      <formula>$D6=0</formula>
    </cfRule>
    <cfRule type="expression" dxfId="7" priority="491">
      <formula>$D6=3</formula>
    </cfRule>
    <cfRule type="expression" dxfId="6" priority="492">
      <formula>$D6=2</formula>
    </cfRule>
    <cfRule type="expression" dxfId="5" priority="493">
      <formula>$D6=1</formula>
    </cfRule>
    <cfRule type="expression" dxfId="4" priority="494">
      <formula>$D6=5</formula>
    </cfRule>
  </conditionalFormatting>
  <conditionalFormatting sqref="H7:I81 K7:AN81 AP7:BS81">
    <cfRule type="expression" dxfId="3" priority="3243">
      <formula>$D7=4</formula>
    </cfRule>
    <cfRule type="expression" dxfId="2" priority="3244">
      <formula>$D7=3</formula>
    </cfRule>
    <cfRule type="expression" dxfId="1" priority="3245">
      <formula>$D7=1</formula>
    </cfRule>
    <cfRule type="expression" dxfId="0" priority="3246">
      <formula>$D7=2</formula>
    </cfRule>
  </conditionalFormatting>
  <pageMargins left="0.55118110236220474" right="0.55118110236220474" top="0.59055118110236227" bottom="0.78740157480314965" header="0.51181102362204722" footer="0.51181102362204722"/>
  <pageSetup paperSize="9" scale="31" orientation="landscape" r:id="rId1"/>
  <headerFooter alignWithMargins="0">
    <oddHeader>&amp;RCity Water Optimization Index: 2020</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pageSetUpPr fitToPage="1"/>
  </sheetPr>
  <dimension ref="A1:BQ225"/>
  <sheetViews>
    <sheetView showGridLines="0" showRowColHeaders="0" tabSelected="1" zoomScaleNormal="100" workbookViewId="0">
      <pane ySplit="6" topLeftCell="A19" activePane="bottomLeft" state="frozen"/>
      <selection activeCell="X1" sqref="X1"/>
      <selection pane="bottomLeft"/>
    </sheetView>
  </sheetViews>
  <sheetFormatPr defaultColWidth="9.1796875" defaultRowHeight="15" customHeight="1" zeroHeight="1"/>
  <cols>
    <col min="1" max="1" width="1.7265625" style="157" customWidth="1"/>
    <col min="2" max="2" width="0.7265625" style="177" customWidth="1"/>
    <col min="3" max="3" width="1.453125" style="157" customWidth="1"/>
    <col min="4" max="4" width="50.36328125" style="157" customWidth="1"/>
    <col min="5" max="5" width="1.6328125" style="157" customWidth="1"/>
    <col min="6" max="6" width="48.1796875" style="157" customWidth="1"/>
    <col min="7" max="7" width="1.7265625" style="157" customWidth="1"/>
    <col min="8" max="8" width="2.7265625" style="157" hidden="1" customWidth="1"/>
    <col min="9" max="9" width="1.7265625" style="157" customWidth="1"/>
    <col min="10" max="10" width="5.26953125" style="182" hidden="1" customWidth="1"/>
    <col min="11" max="11" width="7.54296875" style="182" hidden="1" customWidth="1"/>
    <col min="12" max="12" width="1.7265625" style="182" customWidth="1"/>
    <col min="13" max="13" width="3.6328125" style="182" customWidth="1"/>
    <col min="14" max="14" width="14.6328125" style="182" customWidth="1"/>
    <col min="15" max="15" width="14.81640625" style="182" hidden="1" customWidth="1"/>
    <col min="16" max="16" width="20.26953125" style="182" customWidth="1"/>
    <col min="17" max="17" width="15.90625" style="182" customWidth="1"/>
    <col min="18" max="18" width="8.81640625" style="182" customWidth="1"/>
    <col min="19" max="20" width="6.7265625" style="182" hidden="1" customWidth="1"/>
    <col min="21" max="21" width="6.7265625" style="157" hidden="1" customWidth="1"/>
    <col min="22" max="22" width="12.453125" style="182" hidden="1" customWidth="1"/>
    <col min="23" max="23" width="22.7265625" style="417" hidden="1" customWidth="1"/>
    <col min="24" max="24" width="1.7265625" style="182" hidden="1" customWidth="1"/>
    <col min="25" max="25" width="8.1796875" style="182" hidden="1" customWidth="1"/>
    <col min="26" max="26" width="22.7265625" style="418" hidden="1" customWidth="1"/>
    <col min="27" max="27" width="1.7265625" style="182" hidden="1" customWidth="1"/>
    <col min="28" max="28" width="10.1796875" style="182" hidden="1" customWidth="1"/>
    <col min="29" max="29" width="22.7265625" style="418" hidden="1" customWidth="1"/>
    <col min="30" max="30" width="1.7265625" style="182" hidden="1" customWidth="1"/>
    <col min="31" max="31" width="6.1796875" style="182" hidden="1" customWidth="1"/>
    <col min="32" max="32" width="22.7265625" style="417" hidden="1" customWidth="1"/>
    <col min="33" max="33" width="1.7265625" style="182" hidden="1" customWidth="1"/>
    <col min="34" max="34" width="4.7265625" style="182" hidden="1" customWidth="1"/>
    <col min="35" max="35" width="22.7265625" style="182" hidden="1" customWidth="1"/>
    <col min="36" max="36" width="4.08984375" style="182" customWidth="1"/>
    <col min="37" max="37" width="0.26953125" style="182" customWidth="1"/>
    <col min="38" max="38" width="5.453125" style="247" customWidth="1"/>
    <col min="39" max="39" width="9.1796875" style="182" customWidth="1"/>
    <col min="40" max="40" width="90.7265625" style="419" customWidth="1"/>
    <col min="41" max="41" width="52.7265625" style="183" customWidth="1"/>
    <col min="42" max="43" width="9.1796875" style="183"/>
    <col min="44" max="44" width="64.7265625" style="184" customWidth="1"/>
    <col min="45" max="45" width="5.26953125" style="183" customWidth="1"/>
    <col min="46" max="46" width="66.7265625" style="184" customWidth="1"/>
    <col min="47" max="48" width="9.1796875" style="182"/>
    <col min="49" max="49" width="9.1796875" style="247"/>
    <col min="50" max="52" width="9.1796875" style="183"/>
    <col min="53" max="53" width="21.7265625" style="183" customWidth="1"/>
    <col min="54" max="54" width="3.453125" style="183" customWidth="1"/>
    <col min="55" max="55" width="3.453125" style="183" hidden="1" customWidth="1"/>
    <col min="56" max="56" width="21.7265625" style="183" customWidth="1"/>
    <col min="57" max="57" width="3.453125" style="183" customWidth="1"/>
    <col min="58" max="58" width="2.453125" style="183" hidden="1" customWidth="1"/>
    <col min="59" max="59" width="21.7265625" style="183" customWidth="1"/>
    <col min="60" max="60" width="3.453125" style="183" customWidth="1"/>
    <col min="61" max="61" width="3.7265625" style="183" hidden="1" customWidth="1"/>
    <col min="62" max="62" width="21.7265625" style="183" customWidth="1"/>
    <col min="63" max="63" width="3.453125" style="183" customWidth="1"/>
    <col min="64" max="64" width="3" style="183" hidden="1" customWidth="1"/>
    <col min="65" max="65" width="17.453125" style="183" customWidth="1"/>
    <col min="66" max="66" width="9.1796875" style="183"/>
    <col min="67" max="67" width="106.1796875" style="183" customWidth="1"/>
    <col min="68" max="69" width="9.1796875" style="183"/>
    <col min="70" max="16384" width="9.1796875" style="182"/>
  </cols>
  <sheetData>
    <row r="1" spans="1:69" s="132" customFormat="1" ht="22.5" customHeight="1">
      <c r="A1" s="599" t="str">
        <f>uxb_works!$B$92</f>
        <v>Digital Cities Index</v>
      </c>
      <c r="B1" s="599"/>
      <c r="C1" s="599"/>
      <c r="D1" s="599"/>
      <c r="E1" s="599"/>
      <c r="F1" s="599"/>
      <c r="G1" s="599"/>
      <c r="H1" s="599"/>
      <c r="I1" s="599"/>
      <c r="J1" s="599"/>
      <c r="K1" s="599"/>
      <c r="L1" s="599"/>
      <c r="M1" s="599"/>
      <c r="N1" s="599"/>
      <c r="O1" s="599"/>
      <c r="P1" s="599"/>
      <c r="Q1" s="599"/>
      <c r="R1" s="599"/>
      <c r="S1" s="599"/>
      <c r="T1" s="599"/>
      <c r="U1" s="599"/>
      <c r="V1" s="599"/>
      <c r="W1" s="599"/>
      <c r="X1" s="599"/>
      <c r="Y1" s="599"/>
      <c r="Z1" s="599"/>
      <c r="AA1" s="599"/>
      <c r="AB1" s="599"/>
      <c r="AC1" s="599"/>
      <c r="AD1" s="393"/>
      <c r="AE1" s="393"/>
      <c r="AF1" s="413"/>
      <c r="AG1" s="393"/>
      <c r="AH1" s="133"/>
      <c r="AI1" s="133"/>
      <c r="AJ1" s="133"/>
      <c r="AK1" s="133"/>
      <c r="AL1" s="175"/>
      <c r="AN1" s="414"/>
      <c r="AO1" s="133"/>
      <c r="AP1" s="170"/>
      <c r="AQ1" s="170"/>
      <c r="AR1" s="161"/>
      <c r="AS1" s="133"/>
      <c r="AT1" s="176"/>
      <c r="AV1" s="170"/>
      <c r="AW1" s="175"/>
      <c r="AX1" s="175"/>
      <c r="AY1" s="175"/>
      <c r="AZ1" s="175"/>
      <c r="BA1" s="133">
        <v>1</v>
      </c>
      <c r="BB1" s="133">
        <v>2</v>
      </c>
      <c r="BC1" s="133"/>
      <c r="BD1" s="133"/>
      <c r="BE1" s="133"/>
      <c r="BF1" s="133"/>
      <c r="BG1" s="133"/>
      <c r="BH1" s="133"/>
      <c r="BI1" s="133"/>
      <c r="BJ1" s="133"/>
      <c r="BK1" s="133"/>
      <c r="BL1" s="133"/>
      <c r="BM1" s="133"/>
      <c r="BN1" s="133"/>
      <c r="BO1" s="133"/>
      <c r="BP1" s="133"/>
      <c r="BQ1" s="133"/>
    </row>
    <row r="2" spans="1:69" s="156" customFormat="1" ht="63" customHeight="1">
      <c r="A2" s="155"/>
      <c r="B2" s="177"/>
      <c r="C2" s="155"/>
      <c r="D2" s="155"/>
      <c r="E2" s="155"/>
      <c r="F2" s="155"/>
      <c r="G2" s="155"/>
      <c r="H2" s="155"/>
      <c r="I2" s="155"/>
      <c r="M2" s="155"/>
      <c r="P2" s="155"/>
      <c r="S2" s="155"/>
      <c r="W2" s="206"/>
      <c r="X2" s="162"/>
      <c r="Z2" s="415"/>
      <c r="AA2" s="162"/>
      <c r="AC2" s="415"/>
      <c r="AD2" s="162"/>
      <c r="AF2" s="206"/>
      <c r="AG2" s="162"/>
      <c r="AJ2" s="162"/>
      <c r="AL2" s="177"/>
      <c r="AN2" s="161"/>
      <c r="AO2" s="155"/>
      <c r="AP2" s="166"/>
      <c r="AQ2" s="166"/>
      <c r="AR2" s="161"/>
      <c r="AS2" s="155"/>
      <c r="AT2" s="176">
        <f>iIndiRank!V2</f>
        <v>0</v>
      </c>
      <c r="AW2" s="177"/>
      <c r="AX2" s="177"/>
      <c r="AY2" s="177"/>
      <c r="AZ2" s="177"/>
      <c r="BA2" s="155"/>
      <c r="BB2" s="178"/>
      <c r="BC2" s="155"/>
      <c r="BD2" s="155"/>
      <c r="BE2" s="178"/>
      <c r="BF2" s="155"/>
      <c r="BG2" s="155"/>
      <c r="BH2" s="178"/>
      <c r="BI2" s="155"/>
      <c r="BJ2" s="155"/>
      <c r="BK2" s="178"/>
      <c r="BL2" s="155"/>
      <c r="BM2" s="155"/>
      <c r="BN2" s="155"/>
      <c r="BO2" s="155"/>
      <c r="BP2" s="155"/>
      <c r="BQ2" s="155"/>
    </row>
    <row r="3" spans="1:69" s="156" customFormat="1" ht="3" customHeight="1">
      <c r="A3" s="369"/>
      <c r="B3" s="369"/>
      <c r="C3" s="369"/>
      <c r="D3" s="369"/>
      <c r="E3" s="369"/>
      <c r="F3" s="369"/>
      <c r="G3" s="369"/>
      <c r="H3" s="369"/>
      <c r="I3" s="369"/>
      <c r="J3" s="369"/>
      <c r="K3" s="369"/>
      <c r="L3" s="369"/>
      <c r="M3" s="369"/>
      <c r="N3" s="369"/>
      <c r="O3" s="369"/>
      <c r="P3" s="369"/>
      <c r="Q3" s="369"/>
      <c r="R3" s="369"/>
      <c r="S3" s="369"/>
      <c r="T3" s="369"/>
      <c r="U3" s="369"/>
      <c r="V3" s="369"/>
      <c r="W3" s="369"/>
      <c r="X3" s="369"/>
      <c r="Y3" s="369"/>
      <c r="Z3" s="369"/>
      <c r="AA3" s="369"/>
      <c r="AB3" s="369"/>
      <c r="AC3" s="369"/>
      <c r="AD3" s="369"/>
      <c r="AE3" s="369"/>
      <c r="AF3" s="369"/>
      <c r="AG3" s="369"/>
      <c r="AH3" s="369"/>
      <c r="AI3" s="369"/>
      <c r="AJ3" s="369"/>
      <c r="AL3" s="177"/>
      <c r="AN3" s="161"/>
      <c r="AO3" s="155"/>
      <c r="AP3" s="155"/>
      <c r="AQ3" s="155"/>
      <c r="AR3" s="176"/>
      <c r="AS3" s="155"/>
      <c r="AT3" s="176"/>
      <c r="AW3" s="177"/>
      <c r="AX3" s="177"/>
      <c r="AY3" s="177"/>
      <c r="AZ3" s="177"/>
      <c r="BA3" s="155"/>
      <c r="BB3" s="178"/>
      <c r="BC3" s="155"/>
      <c r="BD3" s="155"/>
      <c r="BE3" s="178"/>
      <c r="BF3" s="155"/>
      <c r="BG3" s="155"/>
      <c r="BH3" s="178"/>
      <c r="BI3" s="155"/>
      <c r="BJ3" s="155"/>
      <c r="BK3" s="178"/>
      <c r="BL3" s="155"/>
      <c r="BM3" s="155"/>
      <c r="BN3" s="155"/>
      <c r="BO3" s="155"/>
      <c r="BP3" s="155"/>
      <c r="BQ3" s="155"/>
    </row>
    <row r="4" spans="1:69" s="156" customFormat="1" ht="50.15" customHeight="1">
      <c r="A4" s="370"/>
      <c r="B4" s="370"/>
      <c r="C4" s="370"/>
      <c r="D4" s="370"/>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L4" s="177"/>
      <c r="AN4" s="161"/>
      <c r="AO4" s="155"/>
      <c r="AP4" s="155"/>
      <c r="AQ4" s="155"/>
      <c r="AR4" s="176"/>
      <c r="AS4" s="155"/>
      <c r="AT4" s="176"/>
      <c r="AW4" s="177"/>
      <c r="AX4" s="177"/>
      <c r="AY4" s="177"/>
      <c r="AZ4" s="177"/>
      <c r="BA4" s="155"/>
      <c r="BB4" s="178"/>
      <c r="BC4" s="155"/>
      <c r="BD4" s="155"/>
      <c r="BE4" s="178"/>
      <c r="BF4" s="155"/>
      <c r="BG4" s="155"/>
      <c r="BH4" s="178"/>
      <c r="BI4" s="155"/>
      <c r="BJ4" s="155"/>
      <c r="BK4" s="178"/>
      <c r="BL4" s="155"/>
      <c r="BM4" s="155"/>
      <c r="BN4" s="155"/>
      <c r="BO4" s="155"/>
      <c r="BP4" s="155"/>
      <c r="BQ4" s="155"/>
    </row>
    <row r="5" spans="1:69" s="156" customFormat="1" ht="3" customHeight="1">
      <c r="A5" s="369"/>
      <c r="B5" s="369"/>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L5" s="177"/>
      <c r="AN5" s="161"/>
      <c r="AO5" s="155"/>
      <c r="AP5" s="155"/>
      <c r="AQ5" s="155"/>
      <c r="AR5" s="176"/>
      <c r="AS5" s="155"/>
      <c r="AT5" s="176"/>
      <c r="AW5" s="177"/>
      <c r="AX5" s="177"/>
      <c r="AY5" s="177"/>
      <c r="AZ5" s="177"/>
      <c r="BA5" s="155"/>
      <c r="BB5" s="178"/>
      <c r="BC5" s="155"/>
      <c r="BD5" s="155"/>
      <c r="BE5" s="178"/>
      <c r="BF5" s="155"/>
      <c r="BG5" s="155"/>
      <c r="BH5" s="178"/>
      <c r="BI5" s="155"/>
      <c r="BJ5" s="155"/>
      <c r="BK5" s="178"/>
      <c r="BL5" s="155"/>
      <c r="BM5" s="155"/>
      <c r="BN5" s="155"/>
      <c r="BO5" s="155"/>
      <c r="BP5" s="155"/>
      <c r="BQ5" s="155"/>
    </row>
    <row r="6" spans="1:69" s="197" customFormat="1" ht="15" hidden="1" customHeight="1">
      <c r="A6" s="346" t="str">
        <f>uxb_works!$C$5</f>
        <v>The active weight profile has been changed from its default setting</v>
      </c>
      <c r="B6" s="346" t="str">
        <f>uxb_works!$C$5</f>
        <v>The active weight profile has been changed from its default setting</v>
      </c>
      <c r="C6" s="346" t="str">
        <f>uxb_works!$C$5</f>
        <v>The active weight profile has been changed from its default setting</v>
      </c>
      <c r="D6" s="346" t="str">
        <f>uxb_works!$C$5</f>
        <v>The active weight profile has been changed from its default setting</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6"/>
      <c r="AD6" s="346"/>
      <c r="AE6" s="346"/>
      <c r="AF6" s="346"/>
      <c r="AG6" s="346"/>
      <c r="AH6" s="346"/>
      <c r="AI6" s="346"/>
      <c r="AJ6" s="346"/>
      <c r="AK6" s="416"/>
      <c r="AL6" s="177"/>
      <c r="AM6" s="157"/>
      <c r="AN6" s="161"/>
      <c r="AO6" s="155"/>
      <c r="AP6" s="155"/>
      <c r="AQ6" s="155"/>
      <c r="AR6" s="176"/>
      <c r="AS6" s="155"/>
      <c r="AT6" s="176"/>
      <c r="AW6" s="246"/>
      <c r="AX6" s="246"/>
      <c r="AY6" s="246"/>
      <c r="AZ6" s="177"/>
      <c r="BA6" s="155"/>
      <c r="BB6" s="155"/>
      <c r="BC6" s="155"/>
      <c r="BD6" s="155"/>
      <c r="BE6" s="155"/>
      <c r="BF6" s="155"/>
      <c r="BG6" s="155"/>
      <c r="BH6" s="157"/>
      <c r="BI6" s="157"/>
      <c r="BJ6" s="157"/>
      <c r="BK6" s="157"/>
      <c r="BL6" s="157"/>
      <c r="BM6" s="157"/>
      <c r="BN6" s="157"/>
      <c r="BO6" s="179"/>
      <c r="BP6" s="179"/>
      <c r="BQ6" s="179"/>
    </row>
    <row r="7" spans="1:69" s="197" customFormat="1" ht="34.5" hidden="1" customHeight="1">
      <c r="A7" s="347"/>
      <c r="B7" s="347"/>
      <c r="C7" s="347"/>
      <c r="D7" s="347"/>
      <c r="E7" s="347"/>
      <c r="F7" s="347"/>
      <c r="G7" s="347"/>
      <c r="H7" s="347"/>
      <c r="I7" s="347"/>
      <c r="J7" s="347"/>
      <c r="K7" s="347"/>
      <c r="L7" s="347"/>
      <c r="M7" s="347"/>
      <c r="N7" s="347"/>
      <c r="O7" s="347"/>
      <c r="P7" s="347"/>
      <c r="Q7" s="347"/>
      <c r="R7" s="347"/>
      <c r="S7" s="347"/>
      <c r="T7" s="347"/>
      <c r="U7" s="347"/>
      <c r="V7" s="347"/>
      <c r="W7" s="347"/>
      <c r="X7" s="347"/>
      <c r="Y7" s="347"/>
      <c r="Z7" s="347"/>
      <c r="AA7" s="347"/>
      <c r="AB7" s="347"/>
      <c r="AC7" s="347"/>
      <c r="AD7" s="347"/>
      <c r="AE7" s="347"/>
      <c r="AF7" s="347"/>
      <c r="AG7" s="347"/>
      <c r="AH7" s="347"/>
      <c r="AI7" s="347"/>
      <c r="AJ7" s="347"/>
      <c r="AK7" s="158"/>
      <c r="AL7" s="177"/>
      <c r="AM7" s="157"/>
      <c r="AN7" s="161"/>
      <c r="AO7" s="155"/>
      <c r="AP7" s="155"/>
      <c r="AQ7" s="155"/>
      <c r="AR7" s="176"/>
      <c r="AS7" s="155"/>
      <c r="AT7" s="176"/>
      <c r="AW7" s="246"/>
      <c r="AX7" s="246"/>
      <c r="AY7" s="246"/>
      <c r="AZ7" s="177"/>
      <c r="BA7" s="155"/>
      <c r="BB7" s="155"/>
      <c r="BC7" s="155"/>
      <c r="BD7" s="155"/>
      <c r="BE7" s="155"/>
      <c r="BF7" s="155"/>
      <c r="BG7" s="155"/>
      <c r="BH7" s="157"/>
      <c r="BI7" s="157"/>
      <c r="BJ7" s="157"/>
      <c r="BK7" s="157"/>
      <c r="BL7" s="157"/>
      <c r="BM7" s="157"/>
      <c r="BN7" s="157"/>
      <c r="BO7" s="179"/>
      <c r="BP7" s="179"/>
      <c r="BQ7" s="179"/>
    </row>
    <row r="8" spans="1:69" s="197" customFormat="1" ht="15" hidden="1" customHeight="1">
      <c r="A8" s="348" t="str">
        <f>uxb_works!$D$67</f>
        <v>There are 30 cities in the active filter set</v>
      </c>
      <c r="B8" s="348" t="str">
        <f>uxb_works!$D$67</f>
        <v>There are 30 cities in the active filter set</v>
      </c>
      <c r="C8" s="348" t="str">
        <f>uxb_works!$D$67</f>
        <v>There are 30 cities in the active filter set</v>
      </c>
      <c r="D8" s="348" t="str">
        <f>uxb_works!$D$67</f>
        <v>There are 30 cities in the active filter set</v>
      </c>
      <c r="E8" s="348"/>
      <c r="F8" s="348"/>
      <c r="G8" s="348"/>
      <c r="H8" s="348"/>
      <c r="I8" s="348"/>
      <c r="J8" s="348"/>
      <c r="K8" s="348"/>
      <c r="L8" s="348"/>
      <c r="M8" s="348"/>
      <c r="N8" s="348"/>
      <c r="O8" s="348"/>
      <c r="P8" s="348"/>
      <c r="Q8" s="348"/>
      <c r="R8" s="348"/>
      <c r="S8" s="348"/>
      <c r="T8" s="348"/>
      <c r="U8" s="348"/>
      <c r="V8" s="348"/>
      <c r="W8" s="348"/>
      <c r="X8" s="348"/>
      <c r="Y8" s="348"/>
      <c r="Z8" s="348"/>
      <c r="AA8" s="348"/>
      <c r="AB8" s="348"/>
      <c r="AC8" s="348"/>
      <c r="AD8" s="348"/>
      <c r="AE8" s="348"/>
      <c r="AF8" s="348"/>
      <c r="AG8" s="348"/>
      <c r="AH8" s="348"/>
      <c r="AI8" s="348"/>
      <c r="AJ8" s="348"/>
      <c r="AK8" s="158"/>
      <c r="AL8" s="177"/>
      <c r="AM8" s="157"/>
      <c r="AN8" s="161"/>
      <c r="AO8" s="155"/>
      <c r="AP8" s="155"/>
      <c r="AQ8" s="155"/>
      <c r="AR8" s="176"/>
      <c r="AS8" s="155"/>
      <c r="AT8" s="176"/>
      <c r="AW8" s="246"/>
      <c r="AX8" s="246"/>
      <c r="AY8" s="246"/>
      <c r="AZ8" s="177"/>
      <c r="BA8" s="155"/>
      <c r="BB8" s="155"/>
      <c r="BC8" s="155"/>
      <c r="BD8" s="155"/>
      <c r="BE8" s="155"/>
      <c r="BF8" s="155"/>
      <c r="BG8" s="155"/>
      <c r="BH8" s="157"/>
      <c r="BI8" s="157"/>
      <c r="BJ8" s="157"/>
      <c r="BK8" s="157"/>
      <c r="BL8" s="157"/>
      <c r="BM8" s="157"/>
      <c r="BN8" s="157"/>
      <c r="BO8" s="179"/>
      <c r="BP8" s="179"/>
      <c r="BQ8" s="179"/>
    </row>
    <row r="9" spans="1:69" s="197" customFormat="1" ht="46.5" hidden="1" customHeight="1" thickBot="1">
      <c r="A9" s="328"/>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158"/>
      <c r="AL9" s="177"/>
      <c r="AM9" s="157"/>
      <c r="AN9" s="161"/>
      <c r="AO9" s="155"/>
      <c r="AP9" s="155"/>
      <c r="AQ9" s="155"/>
      <c r="AR9" s="176"/>
      <c r="AS9" s="155"/>
      <c r="AT9" s="176"/>
      <c r="AW9" s="246"/>
      <c r="AX9" s="246"/>
      <c r="AY9" s="246"/>
      <c r="AZ9" s="177"/>
      <c r="BA9" s="155"/>
      <c r="BB9" s="155"/>
      <c r="BC9" s="155"/>
      <c r="BD9" s="155"/>
      <c r="BE9" s="155"/>
      <c r="BF9" s="155"/>
      <c r="BG9" s="155"/>
      <c r="BH9" s="157"/>
      <c r="BI9" s="157"/>
      <c r="BJ9" s="157"/>
      <c r="BK9" s="157"/>
      <c r="BL9" s="157"/>
      <c r="BM9" s="157"/>
      <c r="BN9" s="157"/>
      <c r="BO9" s="179"/>
      <c r="BP9" s="179"/>
      <c r="BQ9" s="179"/>
    </row>
    <row r="10" spans="1:69" ht="34.9" customHeight="1">
      <c r="A10" s="155"/>
      <c r="C10" s="180" t="str">
        <f>iIndiRank!$G$2</f>
        <v>3.1) Digital inclusion</v>
      </c>
      <c r="D10" s="181"/>
      <c r="E10" s="181"/>
      <c r="T10" s="157"/>
      <c r="V10" s="157"/>
      <c r="Y10" s="157"/>
      <c r="AB10" s="157"/>
      <c r="AE10" s="157"/>
      <c r="AH10" s="157"/>
      <c r="AK10" s="701"/>
      <c r="AX10" s="247"/>
      <c r="AY10" s="247"/>
      <c r="AZ10" s="177"/>
      <c r="BA10" s="155"/>
      <c r="BB10" s="155"/>
      <c r="BC10" s="155"/>
      <c r="BD10" s="155"/>
      <c r="BE10" s="155"/>
      <c r="BF10" s="155"/>
      <c r="BG10" s="155"/>
      <c r="BH10" s="155"/>
      <c r="BI10" s="155"/>
      <c r="BJ10" s="155"/>
      <c r="BK10" s="155"/>
      <c r="BL10" s="155"/>
      <c r="BM10" s="155"/>
      <c r="BN10" s="155"/>
      <c r="BO10" s="155"/>
    </row>
    <row r="11" spans="1:69" ht="14.5">
      <c r="C11" s="1100" t="str">
        <f>iIndiRank!$F$2</f>
        <v>3.1.3) Digital skills</v>
      </c>
      <c r="D11" s="1100"/>
      <c r="E11" s="1100"/>
      <c r="F11" s="1100"/>
      <c r="G11" s="1100"/>
      <c r="H11" s="186"/>
      <c r="I11" s="186"/>
      <c r="J11" s="186"/>
      <c r="K11" s="186"/>
      <c r="L11" s="186"/>
      <c r="M11" s="186"/>
      <c r="N11" s="186"/>
      <c r="O11" s="186"/>
      <c r="P11" s="186"/>
      <c r="Q11" s="186"/>
      <c r="R11" s="186"/>
      <c r="S11" s="186"/>
      <c r="T11" s="186"/>
      <c r="U11" s="186"/>
      <c r="V11" s="186"/>
      <c r="W11" s="420"/>
      <c r="X11" s="186"/>
      <c r="Y11" s="186"/>
      <c r="Z11" s="421"/>
      <c r="AA11" s="186"/>
      <c r="AB11" s="186"/>
      <c r="AC11" s="421"/>
      <c r="AD11" s="186"/>
      <c r="AE11" s="157"/>
      <c r="AH11" s="157"/>
      <c r="AK11" s="701"/>
      <c r="AZ11" s="155"/>
      <c r="BA11" s="155"/>
      <c r="BB11" s="155"/>
      <c r="BC11" s="155"/>
      <c r="BD11" s="155"/>
      <c r="BE11" s="155"/>
      <c r="BF11" s="155"/>
      <c r="BG11" s="155"/>
      <c r="BH11" s="155"/>
      <c r="BI11" s="155"/>
      <c r="BJ11" s="155"/>
      <c r="BK11" s="155"/>
      <c r="BL11" s="155"/>
      <c r="BM11" s="155"/>
      <c r="BN11" s="155"/>
      <c r="BO11" s="178" t="str">
        <f>C11</f>
        <v>3.1.3) Digital skills</v>
      </c>
    </row>
    <row r="12" spans="1:69" ht="23.25" customHeight="1">
      <c r="C12" s="388"/>
      <c r="M12" s="187"/>
      <c r="AK12" s="701"/>
      <c r="AZ12" s="155"/>
      <c r="BA12" s="155"/>
      <c r="BB12" s="155"/>
      <c r="BC12" s="155"/>
      <c r="BD12" s="155"/>
      <c r="BE12" s="155"/>
      <c r="BF12" s="155"/>
      <c r="BG12" s="155"/>
      <c r="BH12" s="155"/>
      <c r="BI12" s="155"/>
      <c r="BJ12" s="155"/>
      <c r="BK12" s="155"/>
      <c r="BL12" s="155"/>
      <c r="BM12" s="155"/>
      <c r="BN12" s="155"/>
      <c r="BO12" s="155"/>
    </row>
    <row r="13" spans="1:69" ht="5.25" customHeight="1">
      <c r="M13" s="187"/>
      <c r="AK13" s="701"/>
      <c r="AZ13" s="155"/>
      <c r="BA13" s="155"/>
      <c r="BB13" s="155"/>
      <c r="BC13" s="155"/>
      <c r="BD13" s="155"/>
      <c r="BE13" s="155"/>
      <c r="BF13" s="155"/>
      <c r="BG13" s="155"/>
      <c r="BH13" s="155"/>
      <c r="BI13" s="155"/>
      <c r="BJ13" s="155"/>
      <c r="BK13" s="155"/>
      <c r="BL13" s="155"/>
      <c r="BM13" s="155"/>
      <c r="BN13" s="155"/>
      <c r="BO13" s="155"/>
    </row>
    <row r="14" spans="1:69" s="185" customFormat="1" ht="18.75" hidden="1" customHeight="1">
      <c r="A14" s="166"/>
      <c r="B14" s="177"/>
      <c r="C14" s="188"/>
      <c r="D14" s="166"/>
      <c r="E14" s="166">
        <f>iIndiRank!AO2</f>
        <v>0</v>
      </c>
      <c r="F14" s="166"/>
      <c r="G14" s="166"/>
      <c r="H14" s="166"/>
      <c r="I14" s="166"/>
      <c r="K14" s="185">
        <f>COUNT(J17:J46)</f>
        <v>30</v>
      </c>
      <c r="S14" s="166"/>
      <c r="U14" s="189"/>
      <c r="V14" s="185">
        <f ca="1">IF(COUNTIF(V17:V46,"&lt;&gt;0")=0,1,COUNTIF(V17:V46,"&lt;&gt;0"))</f>
        <v>1</v>
      </c>
      <c r="W14" s="422">
        <f>iIndiRank!AU1</f>
        <v>0</v>
      </c>
      <c r="Y14" s="185">
        <f ca="1">IF(COUNTIF(Y17:Y46,"&lt;&gt;0")=0,1,COUNTIF(Y17:Y46,"&lt;&gt;0"))</f>
        <v>1</v>
      </c>
      <c r="Z14" s="423">
        <f>iIndiRank!AX1</f>
        <v>0</v>
      </c>
      <c r="AB14" s="185">
        <f ca="1">IF(COUNTIF(AB17:AB46,"&lt;&gt;0")=0,1,COUNTIF(AB17:AB46,"&lt;&gt;0"))</f>
        <v>1</v>
      </c>
      <c r="AC14" s="423" t="e">
        <f>iIndiRank!BA1</f>
        <v>#VALUE!</v>
      </c>
      <c r="AE14" s="185">
        <f ca="1">IF(COUNTIF(AE17:AE46,"&lt;&gt;0")=0,1,COUNTIF(AE17:AE46,"&lt;&gt;0"))</f>
        <v>1</v>
      </c>
      <c r="AF14" s="422" t="e">
        <f>iIndiRank!BD1</f>
        <v>#VALUE!</v>
      </c>
      <c r="AH14" s="185">
        <f ca="1">IF(COUNTIF(AH17:AH46,"&lt;&gt;0")=0,1,COUNTIF(AH17:AH46,"&lt;&gt;0"))</f>
        <v>1</v>
      </c>
      <c r="AI14" s="185" t="e">
        <f>iIndiRank!BG1</f>
        <v>#VALUE!</v>
      </c>
      <c r="AK14" s="702"/>
      <c r="AL14" s="247"/>
      <c r="AN14" s="419"/>
      <c r="AO14" s="183"/>
      <c r="AR14" s="190"/>
      <c r="AT14" s="190"/>
      <c r="AW14" s="247"/>
      <c r="AX14" s="183"/>
      <c r="AY14" s="183"/>
      <c r="AZ14" s="155"/>
      <c r="BA14" s="155"/>
      <c r="BB14" s="155"/>
      <c r="BC14" s="155"/>
      <c r="BD14" s="155"/>
      <c r="BE14" s="155"/>
      <c r="BF14" s="155"/>
      <c r="BG14" s="155"/>
      <c r="BH14" s="166"/>
      <c r="BI14" s="166"/>
      <c r="BJ14" s="166"/>
      <c r="BK14" s="166"/>
      <c r="BL14" s="166"/>
      <c r="BM14" s="166"/>
      <c r="BN14" s="166"/>
      <c r="BO14" s="155"/>
    </row>
    <row r="15" spans="1:69" ht="27" customHeight="1">
      <c r="A15" s="424"/>
      <c r="B15" s="425">
        <f>iIndiRank!P4</f>
        <v>23</v>
      </c>
      <c r="C15" s="1105" t="s">
        <v>1302</v>
      </c>
      <c r="D15" s="1105"/>
      <c r="E15" s="1105"/>
      <c r="F15" s="1105"/>
      <c r="G15" s="367"/>
      <c r="H15" s="424"/>
      <c r="I15" s="424"/>
      <c r="J15" s="191">
        <f>iIndiRank!G3</f>
        <v>0</v>
      </c>
      <c r="K15" s="191">
        <f>iIndiRank!J3</f>
        <v>0</v>
      </c>
      <c r="L15" s="1106" t="str">
        <f>IF(K15&lt;&gt;2,"Rank","")</f>
        <v>Rank</v>
      </c>
      <c r="M15" s="1107"/>
      <c r="N15" s="1110" t="s">
        <v>192</v>
      </c>
      <c r="O15" s="378"/>
      <c r="P15" s="1112" t="str">
        <f>IF($J$15=0,"Score / 100","")</f>
        <v>Score / 100</v>
      </c>
      <c r="Q15" s="1110" t="str">
        <f>IF($J$15=0,"Visualisation","")</f>
        <v>Visualisation</v>
      </c>
      <c r="R15" s="1114" t="str">
        <f>IF(iIndiRank!P2=1,"","Data")</f>
        <v>Data</v>
      </c>
      <c r="S15" s="424"/>
      <c r="T15" s="191"/>
      <c r="U15" s="426"/>
      <c r="W15" s="1101" t="str">
        <f>IF(W14&lt;&gt;0,iIndiRank!AU3,"")</f>
        <v/>
      </c>
      <c r="X15" s="287"/>
      <c r="Y15" s="287"/>
      <c r="Z15" s="1103" t="str">
        <f>IF(Z14&lt;&gt;0,iIndiRank!AX3,"")</f>
        <v/>
      </c>
      <c r="AA15" s="287"/>
      <c r="AB15" s="287"/>
      <c r="AC15" s="1103" t="e">
        <f>IF(AC14&lt;&gt;0,iIndiRank!BA3,"")</f>
        <v>#VALUE!</v>
      </c>
      <c r="AD15" s="287"/>
      <c r="AE15" s="287"/>
      <c r="AF15" s="1103" t="e">
        <f>IF(AF14&lt;&gt;0,iIndiRank!BD3,"")</f>
        <v>#VALUE!</v>
      </c>
      <c r="AI15" s="1103" t="e">
        <f>IF(AI14&lt;&gt;0,iIndiRank!BG3,"")</f>
        <v>#VALUE!</v>
      </c>
      <c r="AK15" s="701"/>
      <c r="AL15" s="247" t="s">
        <v>201</v>
      </c>
      <c r="AR15" s="427"/>
      <c r="AT15" s="427"/>
      <c r="AZ15" s="253"/>
      <c r="BB15" s="253"/>
      <c r="BC15" s="253"/>
      <c r="BD15" s="253"/>
      <c r="BE15" s="253"/>
      <c r="BF15" s="253"/>
      <c r="BG15" s="253"/>
      <c r="BH15" s="253"/>
      <c r="BI15" s="253"/>
      <c r="BJ15" s="253"/>
      <c r="BK15" s="253"/>
      <c r="BL15" s="253"/>
      <c r="BM15" s="253"/>
      <c r="BN15" s="253"/>
      <c r="BO15" s="253"/>
    </row>
    <row r="16" spans="1:69" ht="14.5">
      <c r="A16" s="165"/>
      <c r="B16" s="428"/>
      <c r="C16" s="1105"/>
      <c r="D16" s="1105"/>
      <c r="E16" s="1105"/>
      <c r="F16" s="1105"/>
      <c r="G16" s="367"/>
      <c r="H16" s="165"/>
      <c r="I16" s="165"/>
      <c r="J16" s="182">
        <f>IF(uxb_works!$J$21=1,COUNTIF(J17:J46,"&gt;0"),MAX(V16,Indicator_Ranking!Y16,Indicator_Ranking!AB16,Indicator_Ranking!AE16,Indicator_Ranking!AH16))</f>
        <v>30</v>
      </c>
      <c r="L16" s="1108" t="s">
        <v>35</v>
      </c>
      <c r="M16" s="1109"/>
      <c r="N16" s="1111" t="s">
        <v>115</v>
      </c>
      <c r="O16" s="379" t="s">
        <v>36</v>
      </c>
      <c r="P16" s="1113" t="s">
        <v>36</v>
      </c>
      <c r="Q16" s="1111" t="s">
        <v>381</v>
      </c>
      <c r="R16" s="1115" t="str">
        <f>iIndiRank!S5</f>
        <v>Data</v>
      </c>
      <c r="S16" s="165"/>
      <c r="U16" s="429"/>
      <c r="V16" s="182">
        <f ca="1">COUNTIF(V17:V46,"&gt;0")</f>
        <v>0</v>
      </c>
      <c r="W16" s="1102"/>
      <c r="X16" s="287"/>
      <c r="Y16" s="287">
        <f ca="1">COUNTIF(Y17:Y46,"&gt;0")</f>
        <v>0</v>
      </c>
      <c r="Z16" s="1104"/>
      <c r="AA16" s="287"/>
      <c r="AB16" s="287">
        <f ca="1">COUNTIF(AB17:AB46,"&gt;0")</f>
        <v>0</v>
      </c>
      <c r="AC16" s="1104"/>
      <c r="AD16" s="287"/>
      <c r="AE16" s="287">
        <f ca="1">COUNTIF(AE17:AE46,"&gt;0")</f>
        <v>0</v>
      </c>
      <c r="AF16" s="1104"/>
      <c r="AH16" s="182">
        <f ca="1">COUNTIF(AH17:AH46,"&gt;0")</f>
        <v>0</v>
      </c>
      <c r="AI16" s="1104"/>
      <c r="AK16" s="701"/>
      <c r="AL16" s="428"/>
      <c r="AR16" s="427"/>
      <c r="AT16" s="427"/>
      <c r="AZ16" s="253"/>
      <c r="BA16" s="169" t="str">
        <f>W15</f>
        <v/>
      </c>
      <c r="BB16" s="253"/>
      <c r="BC16" s="253"/>
      <c r="BD16" s="169" t="str">
        <f>Z15</f>
        <v/>
      </c>
      <c r="BE16" s="169"/>
      <c r="BF16" s="169"/>
      <c r="BG16" s="169" t="e">
        <f>AC15</f>
        <v>#VALUE!</v>
      </c>
      <c r="BH16" s="169"/>
      <c r="BI16" s="169"/>
      <c r="BJ16" s="169" t="e">
        <f>AF15</f>
        <v>#VALUE!</v>
      </c>
      <c r="BK16" s="169"/>
      <c r="BL16" s="169"/>
      <c r="BM16" s="169" t="e">
        <f>AI15</f>
        <v>#VALUE!</v>
      </c>
      <c r="BN16" s="169"/>
      <c r="BO16" s="430"/>
      <c r="BP16" s="431"/>
    </row>
    <row r="17" spans="1:67" ht="19.899999999999999" customHeight="1">
      <c r="A17" s="165"/>
      <c r="B17" s="428"/>
      <c r="C17" s="1105"/>
      <c r="D17" s="1105"/>
      <c r="E17" s="1105"/>
      <c r="F17" s="1105"/>
      <c r="G17" s="432"/>
      <c r="H17" s="165"/>
      <c r="I17" s="165"/>
      <c r="J17" s="193">
        <f>iIndiRank!L6</f>
        <v>1</v>
      </c>
      <c r="K17" s="193">
        <f>IF(J17=0,4,IF($J$15=1,8,IF(P17&lt;=uxb_works!$B$122,0,IF(P17&lt;=uxb_works!$B$121,1,IF(P17&lt;=uxb_works!$B$120,2,3)))))</f>
        <v>3</v>
      </c>
      <c r="L17" s="433"/>
      <c r="M17" s="577">
        <f>IF($K$15=2,"",iIndiRank!P6)</f>
        <v>1</v>
      </c>
      <c r="N17" s="578" t="str">
        <f>iIndiRank!Q6</f>
        <v>New Delhi</v>
      </c>
      <c r="O17" s="577">
        <f>iIndiRank!R6</f>
        <v>100</v>
      </c>
      <c r="P17" s="636">
        <f>IF($J$15=0,iIndiRank!T6,"")</f>
        <v>100</v>
      </c>
      <c r="Q17" s="637" t="str">
        <f>IF($K$15=2,"",IF(ISNUMBER(O17),REPT("|",O17/3),""))</f>
        <v>|||||||||||||||||||||||||||||||||</v>
      </c>
      <c r="R17" s="579" t="str">
        <f>TEXT(iIndiRank!S6,iIndiRank!$E$2)</f>
        <v>82.4</v>
      </c>
      <c r="S17" s="201"/>
      <c r="T17" s="235"/>
      <c r="U17" s="435"/>
      <c r="V17" s="201">
        <f ca="1">iIndiRank!AT6</f>
        <v>0</v>
      </c>
      <c r="W17" s="574" t="str">
        <f ca="1">iIndiRank!AU6</f>
        <v/>
      </c>
      <c r="X17" s="234"/>
      <c r="Y17" s="575">
        <f ca="1">iIndiRank!AW6</f>
        <v>0</v>
      </c>
      <c r="Z17" s="574" t="str">
        <f ca="1">iIndiRank!AX6</f>
        <v/>
      </c>
      <c r="AA17" s="575"/>
      <c r="AB17" s="575">
        <f ca="1">iIndiRank!AZ6</f>
        <v>0</v>
      </c>
      <c r="AC17" s="574" t="str">
        <f ca="1">iIndiRank!BA6</f>
        <v/>
      </c>
      <c r="AD17" s="575"/>
      <c r="AE17" s="575">
        <f ca="1">iIndiRank!BC6</f>
        <v>0</v>
      </c>
      <c r="AF17" s="576" t="str">
        <f ca="1">iIndiRank!BD6</f>
        <v/>
      </c>
      <c r="AG17" s="201"/>
      <c r="AH17" s="201">
        <f ca="1">iIndiRank!BF6</f>
        <v>0</v>
      </c>
      <c r="AI17" s="434" t="str">
        <f ca="1">iIndiRank!BG6</f>
        <v/>
      </c>
      <c r="AJ17" s="201"/>
      <c r="AK17" s="703"/>
      <c r="AL17" s="317"/>
      <c r="AR17" s="427"/>
      <c r="AT17" s="427"/>
      <c r="AZ17" s="253"/>
      <c r="BA17" s="253"/>
      <c r="BB17" s="253"/>
      <c r="BC17" s="253"/>
      <c r="BD17" s="253"/>
      <c r="BE17" s="253"/>
      <c r="BF17" s="253"/>
      <c r="BG17" s="253"/>
      <c r="BH17" s="253"/>
      <c r="BI17" s="253"/>
      <c r="BJ17" s="253"/>
      <c r="BK17" s="253"/>
      <c r="BL17" s="253"/>
      <c r="BM17" s="253"/>
      <c r="BN17" s="253"/>
      <c r="BO17" s="253"/>
    </row>
    <row r="18" spans="1:67" ht="19.899999999999999" customHeight="1">
      <c r="A18" s="165"/>
      <c r="B18" s="428"/>
      <c r="C18" s="1105"/>
      <c r="D18" s="1105"/>
      <c r="E18" s="1105"/>
      <c r="F18" s="1105"/>
      <c r="G18" s="432"/>
      <c r="H18" s="165"/>
      <c r="I18" s="165"/>
      <c r="J18" s="193">
        <f>iIndiRank!L7</f>
        <v>1</v>
      </c>
      <c r="K18" s="193">
        <f>IF(J18=0,4,IF($J$15=1,8,IF(P18&lt;=uxb_works!$B$122,0,IF(P18&lt;=uxb_works!$B$121,1,IF(P18&lt;=uxb_works!$B$120,2,3)))))</f>
        <v>3</v>
      </c>
      <c r="L18" s="433"/>
      <c r="M18" s="577">
        <f>IF($K$15=2,"",iIndiRank!P7)</f>
        <v>2</v>
      </c>
      <c r="N18" s="578" t="str">
        <f>iIndiRank!Q7</f>
        <v>Dubai</v>
      </c>
      <c r="O18" s="577">
        <f>iIndiRank!R7</f>
        <v>81.8</v>
      </c>
      <c r="P18" s="636">
        <f>IF($J$15=0,iIndiRank!T7,"")</f>
        <v>81.8</v>
      </c>
      <c r="Q18" s="637" t="str">
        <f t="shared" ref="Q18:Q46" si="0">IF($K$15=2,"",IF(ISNUMBER(O18),REPT("|",O18/3),""))</f>
        <v>|||||||||||||||||||||||||||</v>
      </c>
      <c r="R18" s="579" t="str">
        <f>TEXT(iIndiRank!S7,iIndiRank!$E$2)</f>
        <v>72.9</v>
      </c>
      <c r="S18" s="201"/>
      <c r="T18" s="235"/>
      <c r="U18" s="435"/>
      <c r="V18" s="201">
        <f ca="1">iIndiRank!AT7</f>
        <v>0</v>
      </c>
      <c r="W18" s="574" t="str">
        <f ca="1">iIndiRank!AU7</f>
        <v/>
      </c>
      <c r="X18" s="234"/>
      <c r="Y18" s="575">
        <f ca="1">iIndiRank!AW7</f>
        <v>0</v>
      </c>
      <c r="Z18" s="574" t="str">
        <f ca="1">iIndiRank!AX7</f>
        <v/>
      </c>
      <c r="AA18" s="575"/>
      <c r="AB18" s="575">
        <f ca="1">iIndiRank!AZ7</f>
        <v>0</v>
      </c>
      <c r="AC18" s="574" t="str">
        <f ca="1">iIndiRank!BA7</f>
        <v/>
      </c>
      <c r="AD18" s="575"/>
      <c r="AE18" s="575">
        <f ca="1">iIndiRank!BC7</f>
        <v>0</v>
      </c>
      <c r="AF18" s="576" t="str">
        <f ca="1">iIndiRank!BD7</f>
        <v/>
      </c>
      <c r="AG18" s="201"/>
      <c r="AH18" s="201">
        <f ca="1">iIndiRank!BF7</f>
        <v>0</v>
      </c>
      <c r="AI18" s="434" t="str">
        <f ca="1">iIndiRank!BG7</f>
        <v/>
      </c>
      <c r="AJ18" s="201"/>
      <c r="AK18" s="703"/>
      <c r="AL18" s="317"/>
      <c r="AR18" s="427"/>
      <c r="AT18" s="427"/>
      <c r="AZ18" s="253"/>
      <c r="BA18" s="253"/>
      <c r="BB18" s="253"/>
      <c r="BC18" s="253"/>
      <c r="BD18" s="253"/>
      <c r="BE18" s="253"/>
      <c r="BF18" s="253"/>
      <c r="BG18" s="253"/>
      <c r="BH18" s="253"/>
      <c r="BI18" s="253"/>
      <c r="BJ18" s="253"/>
      <c r="BK18" s="253"/>
      <c r="BL18" s="253"/>
      <c r="BM18" s="253"/>
      <c r="BN18" s="253"/>
      <c r="BO18" s="253"/>
    </row>
    <row r="19" spans="1:67" ht="19.899999999999999" customHeight="1">
      <c r="A19" s="165"/>
      <c r="B19" s="428"/>
      <c r="C19" s="1105"/>
      <c r="D19" s="1105"/>
      <c r="E19" s="1105"/>
      <c r="F19" s="1105"/>
      <c r="G19" s="432"/>
      <c r="H19" s="165"/>
      <c r="I19" s="165"/>
      <c r="J19" s="193">
        <f>iIndiRank!L8</f>
        <v>1</v>
      </c>
      <c r="K19" s="193">
        <f>IF(J19=0,4,IF($J$15=1,8,IF(P19&lt;=uxb_works!$B$122,0,IF(P19&lt;=uxb_works!$B$121,1,IF(P19&lt;=uxb_works!$B$120,2,3)))))</f>
        <v>3</v>
      </c>
      <c r="L19" s="433"/>
      <c r="M19" s="577">
        <f>IF($K$15=2,"",iIndiRank!P8)</f>
        <v>3</v>
      </c>
      <c r="N19" s="578" t="str">
        <f>iIndiRank!Q8</f>
        <v>Jakarta</v>
      </c>
      <c r="O19" s="577">
        <f>iIndiRank!R8</f>
        <v>80.5</v>
      </c>
      <c r="P19" s="636">
        <f>IF($J$15=0,iIndiRank!T8,"")</f>
        <v>80.5</v>
      </c>
      <c r="Q19" s="637" t="str">
        <f t="shared" si="0"/>
        <v>||||||||||||||||||||||||||</v>
      </c>
      <c r="R19" s="579" t="str">
        <f>TEXT(iIndiRank!S8,iIndiRank!$E$2)</f>
        <v>72.2</v>
      </c>
      <c r="S19" s="201"/>
      <c r="T19" s="235"/>
      <c r="U19" s="435"/>
      <c r="V19" s="201">
        <f ca="1">iIndiRank!AT8</f>
        <v>0</v>
      </c>
      <c r="W19" s="574" t="str">
        <f ca="1">iIndiRank!AU8</f>
        <v/>
      </c>
      <c r="X19" s="234"/>
      <c r="Y19" s="575">
        <f ca="1">iIndiRank!AW8</f>
        <v>0</v>
      </c>
      <c r="Z19" s="574" t="str">
        <f ca="1">iIndiRank!AX8</f>
        <v/>
      </c>
      <c r="AA19" s="575"/>
      <c r="AB19" s="575">
        <f ca="1">iIndiRank!AZ8</f>
        <v>0</v>
      </c>
      <c r="AC19" s="574" t="str">
        <f ca="1">iIndiRank!BA8</f>
        <v/>
      </c>
      <c r="AD19" s="575"/>
      <c r="AE19" s="575">
        <f ca="1">iIndiRank!BC8</f>
        <v>0</v>
      </c>
      <c r="AF19" s="576" t="str">
        <f ca="1">iIndiRank!BD8</f>
        <v/>
      </c>
      <c r="AG19" s="201"/>
      <c r="AH19" s="201">
        <f ca="1">iIndiRank!BF8</f>
        <v>0</v>
      </c>
      <c r="AI19" s="434" t="str">
        <f ca="1">iIndiRank!BG8</f>
        <v/>
      </c>
      <c r="AJ19" s="201"/>
      <c r="AK19" s="703"/>
      <c r="AL19" s="317"/>
      <c r="AR19" s="427"/>
      <c r="AT19" s="427"/>
      <c r="AZ19" s="253"/>
      <c r="BA19" s="253"/>
      <c r="BB19" s="253"/>
      <c r="BC19" s="253"/>
      <c r="BD19" s="253"/>
      <c r="BE19" s="253"/>
      <c r="BF19" s="253"/>
      <c r="BG19" s="253"/>
      <c r="BH19" s="253"/>
      <c r="BI19" s="253"/>
      <c r="BJ19" s="253"/>
      <c r="BK19" s="253"/>
      <c r="BL19" s="253"/>
      <c r="BM19" s="253"/>
      <c r="BN19" s="253"/>
      <c r="BO19" s="253"/>
    </row>
    <row r="20" spans="1:67" ht="19.899999999999999" customHeight="1">
      <c r="A20" s="165"/>
      <c r="B20" s="428"/>
      <c r="C20" s="1105"/>
      <c r="D20" s="1105"/>
      <c r="E20" s="1105"/>
      <c r="F20" s="1105"/>
      <c r="G20" s="432"/>
      <c r="H20" s="165"/>
      <c r="I20" s="165"/>
      <c r="J20" s="193">
        <f>iIndiRank!L9</f>
        <v>1</v>
      </c>
      <c r="K20" s="193">
        <f>IF(J20=0,4,IF($J$15=1,8,IF(P20&lt;=uxb_works!$B$122,0,IF(P20&lt;=uxb_works!$B$121,1,IF(P20&lt;=uxb_works!$B$120,2,3)))))</f>
        <v>2</v>
      </c>
      <c r="L20" s="433"/>
      <c r="M20" s="577" t="str">
        <f>IF($K$15=2,"",iIndiRank!P9)</f>
        <v>=4</v>
      </c>
      <c r="N20" s="578" t="str">
        <f>iIndiRank!Q9</f>
        <v>Beijing</v>
      </c>
      <c r="O20" s="577">
        <f>iIndiRank!R9</f>
        <v>64.599999999999994</v>
      </c>
      <c r="P20" s="636">
        <f>IF($J$15=0,iIndiRank!T9,"")</f>
        <v>64.599999999999994</v>
      </c>
      <c r="Q20" s="637" t="str">
        <f t="shared" si="0"/>
        <v>|||||||||||||||||||||</v>
      </c>
      <c r="R20" s="579" t="str">
        <f>TEXT(iIndiRank!S9,iIndiRank!$E$2)</f>
        <v>63.9</v>
      </c>
      <c r="S20" s="201"/>
      <c r="T20" s="235"/>
      <c r="U20" s="435"/>
      <c r="V20" s="201">
        <f ca="1">iIndiRank!AT9</f>
        <v>0</v>
      </c>
      <c r="W20" s="574" t="str">
        <f ca="1">iIndiRank!AU9</f>
        <v/>
      </c>
      <c r="X20" s="234"/>
      <c r="Y20" s="575">
        <f ca="1">iIndiRank!AW9</f>
        <v>0</v>
      </c>
      <c r="Z20" s="574" t="str">
        <f ca="1">iIndiRank!AX9</f>
        <v/>
      </c>
      <c r="AA20" s="575"/>
      <c r="AB20" s="575">
        <f ca="1">iIndiRank!AZ9</f>
        <v>0</v>
      </c>
      <c r="AC20" s="574" t="str">
        <f ca="1">iIndiRank!BA9</f>
        <v/>
      </c>
      <c r="AD20" s="575"/>
      <c r="AE20" s="575">
        <f ca="1">iIndiRank!BC9</f>
        <v>0</v>
      </c>
      <c r="AF20" s="576" t="str">
        <f ca="1">iIndiRank!BD9</f>
        <v/>
      </c>
      <c r="AG20" s="201"/>
      <c r="AH20" s="201">
        <f ca="1">iIndiRank!BF9</f>
        <v>0</v>
      </c>
      <c r="AI20" s="434" t="str">
        <f ca="1">iIndiRank!BG9</f>
        <v/>
      </c>
      <c r="AJ20" s="201"/>
      <c r="AK20" s="703"/>
      <c r="AL20" s="317"/>
      <c r="AR20" s="427"/>
      <c r="AT20" s="427"/>
      <c r="AZ20" s="253"/>
      <c r="BA20" s="253"/>
      <c r="BB20" s="253"/>
      <c r="BC20" s="253"/>
      <c r="BD20" s="253"/>
      <c r="BE20" s="253"/>
      <c r="BF20" s="253"/>
      <c r="BG20" s="253"/>
      <c r="BH20" s="253"/>
      <c r="BI20" s="253"/>
      <c r="BJ20" s="253"/>
      <c r="BK20" s="253"/>
      <c r="BL20" s="253"/>
      <c r="BM20" s="253"/>
      <c r="BN20" s="253"/>
      <c r="BO20" s="253"/>
    </row>
    <row r="21" spans="1:67" ht="19.899999999999999" customHeight="1">
      <c r="A21" s="165"/>
      <c r="B21" s="428"/>
      <c r="C21" s="1105"/>
      <c r="D21" s="1105"/>
      <c r="E21" s="1105"/>
      <c r="F21" s="1105"/>
      <c r="G21" s="432"/>
      <c r="H21" s="165"/>
      <c r="I21" s="165"/>
      <c r="J21" s="193">
        <f>iIndiRank!L10</f>
        <v>1</v>
      </c>
      <c r="K21" s="193">
        <f>IF(J21=0,4,IF($J$15=1,8,IF(P21&lt;=uxb_works!$B$122,0,IF(P21&lt;=uxb_works!$B$121,1,IF(P21&lt;=uxb_works!$B$120,2,3)))))</f>
        <v>2</v>
      </c>
      <c r="L21" s="433"/>
      <c r="M21" s="577" t="str">
        <f>IF($K$15=2,"",iIndiRank!P10)</f>
        <v>=4</v>
      </c>
      <c r="N21" s="578" t="str">
        <f>iIndiRank!Q10</f>
        <v>Mexico City</v>
      </c>
      <c r="O21" s="577">
        <f>iIndiRank!R10</f>
        <v>64.599999999999994</v>
      </c>
      <c r="P21" s="636">
        <f>IF($J$15=0,iIndiRank!T10,"")</f>
        <v>64.599999999999994</v>
      </c>
      <c r="Q21" s="637" t="str">
        <f t="shared" si="0"/>
        <v>|||||||||||||||||||||</v>
      </c>
      <c r="R21" s="579" t="str">
        <f>TEXT(iIndiRank!S10,iIndiRank!$E$2)</f>
        <v>63.9</v>
      </c>
      <c r="S21" s="201"/>
      <c r="T21" s="235"/>
      <c r="U21" s="435"/>
      <c r="V21" s="201">
        <f ca="1">iIndiRank!AT10</f>
        <v>0</v>
      </c>
      <c r="W21" s="574" t="str">
        <f ca="1">iIndiRank!AU10</f>
        <v/>
      </c>
      <c r="X21" s="234"/>
      <c r="Y21" s="575">
        <f ca="1">iIndiRank!AW10</f>
        <v>0</v>
      </c>
      <c r="Z21" s="574" t="str">
        <f ca="1">iIndiRank!AX10</f>
        <v/>
      </c>
      <c r="AA21" s="575"/>
      <c r="AB21" s="575">
        <f ca="1">iIndiRank!AZ10</f>
        <v>0</v>
      </c>
      <c r="AC21" s="574" t="str">
        <f ca="1">iIndiRank!BA10</f>
        <v/>
      </c>
      <c r="AD21" s="575"/>
      <c r="AE21" s="575">
        <f ca="1">iIndiRank!BC10</f>
        <v>0</v>
      </c>
      <c r="AF21" s="576" t="str">
        <f ca="1">iIndiRank!BD10</f>
        <v/>
      </c>
      <c r="AG21" s="201"/>
      <c r="AH21" s="201">
        <f ca="1">iIndiRank!BF10</f>
        <v>0</v>
      </c>
      <c r="AI21" s="434" t="str">
        <f ca="1">iIndiRank!BG10</f>
        <v/>
      </c>
      <c r="AJ21" s="201"/>
      <c r="AK21" s="703"/>
      <c r="AL21" s="317"/>
      <c r="AR21" s="427"/>
      <c r="AT21" s="427"/>
      <c r="AZ21" s="253"/>
      <c r="BA21" s="253"/>
      <c r="BB21" s="253"/>
      <c r="BC21" s="253"/>
      <c r="BD21" s="253"/>
      <c r="BE21" s="253"/>
      <c r="BF21" s="253"/>
      <c r="BG21" s="253"/>
      <c r="BH21" s="253"/>
      <c r="BI21" s="253"/>
      <c r="BJ21" s="253"/>
      <c r="BK21" s="253"/>
      <c r="BL21" s="253"/>
      <c r="BM21" s="253"/>
      <c r="BN21" s="253"/>
      <c r="BO21" s="253"/>
    </row>
    <row r="22" spans="1:67" ht="19.899999999999999" customHeight="1">
      <c r="A22" s="165"/>
      <c r="B22" s="428"/>
      <c r="C22" s="1105"/>
      <c r="D22" s="1105"/>
      <c r="E22" s="1105"/>
      <c r="F22" s="1105"/>
      <c r="G22" s="432"/>
      <c r="H22" s="165"/>
      <c r="I22" s="165"/>
      <c r="J22" s="193">
        <f>iIndiRank!L11</f>
        <v>1</v>
      </c>
      <c r="K22" s="193">
        <f>IF(J22=0,4,IF($J$15=1,8,IF(P22&lt;=uxb_works!$B$122,0,IF(P22&lt;=uxb_works!$B$121,1,IF(P22&lt;=uxb_works!$B$120,2,3)))))</f>
        <v>2</v>
      </c>
      <c r="L22" s="433"/>
      <c r="M22" s="577">
        <f>IF($K$15=2,"",iIndiRank!P11)</f>
        <v>6</v>
      </c>
      <c r="N22" s="578" t="str">
        <f>iIndiRank!Q11</f>
        <v>Manila</v>
      </c>
      <c r="O22" s="577">
        <f>iIndiRank!R11</f>
        <v>62.5</v>
      </c>
      <c r="P22" s="636">
        <f>IF($J$15=0,iIndiRank!T11,"")</f>
        <v>62.5</v>
      </c>
      <c r="Q22" s="637" t="str">
        <f t="shared" si="0"/>
        <v>||||||||||||||||||||</v>
      </c>
      <c r="R22" s="579" t="str">
        <f>TEXT(iIndiRank!S11,iIndiRank!$E$2)</f>
        <v>62.8</v>
      </c>
      <c r="S22" s="201"/>
      <c r="T22" s="235"/>
      <c r="U22" s="435"/>
      <c r="V22" s="201">
        <f ca="1">iIndiRank!AT11</f>
        <v>0</v>
      </c>
      <c r="W22" s="574" t="str">
        <f ca="1">iIndiRank!AU11</f>
        <v/>
      </c>
      <c r="X22" s="234"/>
      <c r="Y22" s="575">
        <f ca="1">iIndiRank!AW11</f>
        <v>0</v>
      </c>
      <c r="Z22" s="574" t="str">
        <f ca="1">iIndiRank!AX11</f>
        <v/>
      </c>
      <c r="AA22" s="575"/>
      <c r="AB22" s="575">
        <f ca="1">iIndiRank!AZ11</f>
        <v>0</v>
      </c>
      <c r="AC22" s="574" t="str">
        <f ca="1">iIndiRank!BA11</f>
        <v/>
      </c>
      <c r="AD22" s="575"/>
      <c r="AE22" s="575">
        <f ca="1">iIndiRank!BC11</f>
        <v>0</v>
      </c>
      <c r="AF22" s="576" t="str">
        <f ca="1">iIndiRank!BD11</f>
        <v/>
      </c>
      <c r="AG22" s="201"/>
      <c r="AH22" s="201">
        <f ca="1">iIndiRank!BF11</f>
        <v>0</v>
      </c>
      <c r="AI22" s="434" t="str">
        <f ca="1">iIndiRank!BG11</f>
        <v/>
      </c>
      <c r="AJ22" s="201"/>
      <c r="AK22" s="703"/>
      <c r="AL22" s="317"/>
      <c r="AR22" s="427"/>
      <c r="AT22" s="427"/>
      <c r="AZ22" s="253"/>
      <c r="BA22" s="253"/>
      <c r="BB22" s="253"/>
      <c r="BC22" s="253"/>
      <c r="BD22" s="253"/>
      <c r="BE22" s="253"/>
      <c r="BF22" s="253"/>
      <c r="BG22" s="253"/>
      <c r="BH22" s="253"/>
      <c r="BI22" s="253"/>
      <c r="BJ22" s="253"/>
      <c r="BK22" s="253"/>
      <c r="BL22" s="253"/>
      <c r="BM22" s="253"/>
      <c r="BN22" s="253"/>
      <c r="BO22" s="253"/>
    </row>
    <row r="23" spans="1:67" ht="19.899999999999999" customHeight="1">
      <c r="A23" s="165"/>
      <c r="B23" s="428"/>
      <c r="C23" s="1105"/>
      <c r="D23" s="1105"/>
      <c r="E23" s="1105"/>
      <c r="F23" s="1105"/>
      <c r="G23" s="432"/>
      <c r="H23" s="165"/>
      <c r="I23" s="165"/>
      <c r="J23" s="193">
        <f>iIndiRank!L12</f>
        <v>1</v>
      </c>
      <c r="K23" s="193">
        <f>IF(J23=0,4,IF($J$15=1,8,IF(P23&lt;=uxb_works!$B$122,0,IF(P23&lt;=uxb_works!$B$121,1,IF(P23&lt;=uxb_works!$B$120,2,3)))))</f>
        <v>2</v>
      </c>
      <c r="L23" s="433"/>
      <c r="M23" s="577">
        <f>IF($K$15=2,"",iIndiRank!P12)</f>
        <v>7</v>
      </c>
      <c r="N23" s="578" t="str">
        <f>iIndiRank!Q12</f>
        <v>Bangkok</v>
      </c>
      <c r="O23" s="577">
        <f>iIndiRank!R12</f>
        <v>62.3</v>
      </c>
      <c r="P23" s="636">
        <f>IF($J$15=0,iIndiRank!T12,"")</f>
        <v>62.3</v>
      </c>
      <c r="Q23" s="637" t="str">
        <f t="shared" si="0"/>
        <v>||||||||||||||||||||</v>
      </c>
      <c r="R23" s="579" t="str">
        <f>TEXT(iIndiRank!S12,iIndiRank!$E$2)</f>
        <v>62.7</v>
      </c>
      <c r="S23" s="201"/>
      <c r="T23" s="235"/>
      <c r="U23" s="435"/>
      <c r="V23" s="201">
        <f ca="1">iIndiRank!AT12</f>
        <v>0</v>
      </c>
      <c r="W23" s="574" t="str">
        <f ca="1">iIndiRank!AU12</f>
        <v/>
      </c>
      <c r="X23" s="234"/>
      <c r="Y23" s="575">
        <f ca="1">iIndiRank!AW12</f>
        <v>0</v>
      </c>
      <c r="Z23" s="574" t="str">
        <f ca="1">iIndiRank!AX12</f>
        <v/>
      </c>
      <c r="AA23" s="575"/>
      <c r="AB23" s="575">
        <f ca="1">iIndiRank!AZ12</f>
        <v>0</v>
      </c>
      <c r="AC23" s="574" t="str">
        <f ca="1">iIndiRank!BA12</f>
        <v/>
      </c>
      <c r="AD23" s="575"/>
      <c r="AE23" s="575">
        <f ca="1">iIndiRank!BC12</f>
        <v>0</v>
      </c>
      <c r="AF23" s="576" t="str">
        <f ca="1">iIndiRank!BD12</f>
        <v/>
      </c>
      <c r="AG23" s="201"/>
      <c r="AH23" s="201">
        <f ca="1">iIndiRank!BF12</f>
        <v>0</v>
      </c>
      <c r="AI23" s="434" t="str">
        <f ca="1">iIndiRank!BG12</f>
        <v/>
      </c>
      <c r="AJ23" s="201"/>
      <c r="AK23" s="703"/>
      <c r="AL23" s="317"/>
      <c r="AR23" s="427"/>
      <c r="AT23" s="427"/>
      <c r="AZ23" s="253"/>
      <c r="BA23" s="253"/>
      <c r="BB23" s="253"/>
      <c r="BC23" s="253"/>
      <c r="BD23" s="253"/>
      <c r="BE23" s="253"/>
      <c r="BF23" s="253"/>
      <c r="BG23" s="253"/>
      <c r="BH23" s="253"/>
      <c r="BI23" s="253"/>
      <c r="BJ23" s="253"/>
      <c r="BK23" s="253"/>
      <c r="BL23" s="253"/>
      <c r="BM23" s="253"/>
      <c r="BN23" s="253"/>
      <c r="BO23" s="253"/>
    </row>
    <row r="24" spans="1:67" ht="19.899999999999999" customHeight="1">
      <c r="A24" s="165"/>
      <c r="B24" s="428"/>
      <c r="C24" s="1105"/>
      <c r="D24" s="1105"/>
      <c r="E24" s="1105"/>
      <c r="F24" s="1105"/>
      <c r="G24" s="432"/>
      <c r="H24" s="165"/>
      <c r="I24" s="165"/>
      <c r="J24" s="193">
        <f>iIndiRank!L13</f>
        <v>1</v>
      </c>
      <c r="K24" s="193">
        <f>IF(J24=0,4,IF($J$15=1,8,IF(P24&lt;=uxb_works!$B$122,0,IF(P24&lt;=uxb_works!$B$121,1,IF(P24&lt;=uxb_works!$B$120,2,3)))))</f>
        <v>2</v>
      </c>
      <c r="L24" s="433"/>
      <c r="M24" s="577" t="str">
        <f>IF($K$15=2,"",iIndiRank!P13)</f>
        <v>=8</v>
      </c>
      <c r="N24" s="578" t="str">
        <f>iIndiRank!Q13</f>
        <v>Dallas</v>
      </c>
      <c r="O24" s="577">
        <f>iIndiRank!R13</f>
        <v>52.8</v>
      </c>
      <c r="P24" s="636">
        <f>IF($J$15=0,iIndiRank!T13,"")</f>
        <v>52.8</v>
      </c>
      <c r="Q24" s="637" t="str">
        <f t="shared" si="0"/>
        <v>|||||||||||||||||</v>
      </c>
      <c r="R24" s="579" t="str">
        <f>TEXT(iIndiRank!S13,iIndiRank!$E$2)</f>
        <v>57.7</v>
      </c>
      <c r="S24" s="201"/>
      <c r="T24" s="235"/>
      <c r="U24" s="435"/>
      <c r="V24" s="201">
        <f ca="1">iIndiRank!AT13</f>
        <v>0</v>
      </c>
      <c r="W24" s="574" t="str">
        <f ca="1">iIndiRank!AU13</f>
        <v/>
      </c>
      <c r="X24" s="234"/>
      <c r="Y24" s="575">
        <f ca="1">iIndiRank!AW13</f>
        <v>0</v>
      </c>
      <c r="Z24" s="574" t="str">
        <f ca="1">iIndiRank!AX13</f>
        <v/>
      </c>
      <c r="AA24" s="575"/>
      <c r="AB24" s="575">
        <f ca="1">iIndiRank!AZ13</f>
        <v>0</v>
      </c>
      <c r="AC24" s="574" t="str">
        <f ca="1">iIndiRank!BA13</f>
        <v/>
      </c>
      <c r="AD24" s="575"/>
      <c r="AE24" s="575">
        <f ca="1">iIndiRank!BC13</f>
        <v>0</v>
      </c>
      <c r="AF24" s="576" t="str">
        <f ca="1">iIndiRank!BD13</f>
        <v/>
      </c>
      <c r="AG24" s="201"/>
      <c r="AH24" s="201">
        <f ca="1">iIndiRank!BF13</f>
        <v>0</v>
      </c>
      <c r="AI24" s="434" t="str">
        <f ca="1">iIndiRank!BG13</f>
        <v/>
      </c>
      <c r="AJ24" s="201"/>
      <c r="AK24" s="703"/>
      <c r="AL24" s="317"/>
      <c r="AR24" s="427"/>
      <c r="AT24" s="427"/>
      <c r="AZ24" s="253"/>
      <c r="BA24" s="253"/>
      <c r="BB24" s="253"/>
      <c r="BC24" s="253"/>
      <c r="BD24" s="253"/>
      <c r="BE24" s="253"/>
      <c r="BF24" s="253"/>
      <c r="BG24" s="253"/>
      <c r="BH24" s="253"/>
      <c r="BI24" s="253"/>
      <c r="BJ24" s="253"/>
      <c r="BK24" s="253"/>
      <c r="BL24" s="253"/>
      <c r="BM24" s="253"/>
      <c r="BN24" s="253"/>
      <c r="BO24" s="253"/>
    </row>
    <row r="25" spans="1:67" ht="19.899999999999999" customHeight="1">
      <c r="A25" s="165"/>
      <c r="B25" s="428"/>
      <c r="C25" s="1105"/>
      <c r="D25" s="1105"/>
      <c r="E25" s="1105"/>
      <c r="F25" s="1105"/>
      <c r="G25" s="432"/>
      <c r="H25" s="165"/>
      <c r="I25" s="165"/>
      <c r="J25" s="193">
        <f>iIndiRank!L14</f>
        <v>1</v>
      </c>
      <c r="K25" s="193">
        <f>IF(J25=0,4,IF($J$15=1,8,IF(P25&lt;=uxb_works!$B$122,0,IF(P25&lt;=uxb_works!$B$121,1,IF(P25&lt;=uxb_works!$B$120,2,3)))))</f>
        <v>2</v>
      </c>
      <c r="L25" s="433"/>
      <c r="M25" s="577" t="str">
        <f>IF($K$15=2,"",iIndiRank!P14)</f>
        <v>=8</v>
      </c>
      <c r="N25" s="578" t="str">
        <f>iIndiRank!Q14</f>
        <v>Sao Paulo</v>
      </c>
      <c r="O25" s="577">
        <f>iIndiRank!R14</f>
        <v>52.8</v>
      </c>
      <c r="P25" s="636">
        <f>IF($J$15=0,iIndiRank!T14,"")</f>
        <v>52.8</v>
      </c>
      <c r="Q25" s="637" t="str">
        <f t="shared" si="0"/>
        <v>|||||||||||||||||</v>
      </c>
      <c r="R25" s="579" t="str">
        <f>TEXT(iIndiRank!S14,iIndiRank!$E$2)</f>
        <v>57.7</v>
      </c>
      <c r="S25" s="201"/>
      <c r="T25" s="235"/>
      <c r="U25" s="435"/>
      <c r="V25" s="201">
        <f ca="1">iIndiRank!AT14</f>
        <v>0</v>
      </c>
      <c r="W25" s="574" t="str">
        <f ca="1">iIndiRank!AU14</f>
        <v/>
      </c>
      <c r="X25" s="234"/>
      <c r="Y25" s="575">
        <f ca="1">iIndiRank!AW14</f>
        <v>0</v>
      </c>
      <c r="Z25" s="574" t="str">
        <f ca="1">iIndiRank!AX14</f>
        <v/>
      </c>
      <c r="AA25" s="575"/>
      <c r="AB25" s="575">
        <f ca="1">iIndiRank!AZ14</f>
        <v>0</v>
      </c>
      <c r="AC25" s="574" t="str">
        <f ca="1">iIndiRank!BA14</f>
        <v/>
      </c>
      <c r="AD25" s="575"/>
      <c r="AE25" s="575">
        <f ca="1">iIndiRank!BC14</f>
        <v>0</v>
      </c>
      <c r="AF25" s="576" t="str">
        <f ca="1">iIndiRank!BD14</f>
        <v/>
      </c>
      <c r="AG25" s="201"/>
      <c r="AH25" s="201">
        <f ca="1">iIndiRank!BF14</f>
        <v>0</v>
      </c>
      <c r="AI25" s="434" t="str">
        <f ca="1">iIndiRank!BG14</f>
        <v/>
      </c>
      <c r="AJ25" s="201"/>
      <c r="AK25" s="703"/>
      <c r="AL25" s="317"/>
      <c r="AR25" s="427"/>
      <c r="AT25" s="427"/>
      <c r="AZ25" s="253"/>
      <c r="BA25" s="253"/>
      <c r="BB25" s="253"/>
      <c r="BC25" s="253"/>
      <c r="BD25" s="253"/>
      <c r="BE25" s="253"/>
      <c r="BF25" s="253"/>
      <c r="BG25" s="253"/>
      <c r="BH25" s="253"/>
      <c r="BI25" s="253"/>
      <c r="BJ25" s="253"/>
      <c r="BK25" s="253"/>
      <c r="BL25" s="253"/>
      <c r="BM25" s="253"/>
      <c r="BN25" s="253"/>
      <c r="BO25" s="253"/>
    </row>
    <row r="26" spans="1:67" ht="19.899999999999999" customHeight="1">
      <c r="A26" s="165"/>
      <c r="B26" s="428"/>
      <c r="C26" s="1105"/>
      <c r="D26" s="1105"/>
      <c r="E26" s="1105"/>
      <c r="F26" s="1105"/>
      <c r="G26" s="432"/>
      <c r="H26" s="165"/>
      <c r="I26" s="165"/>
      <c r="J26" s="193">
        <f>iIndiRank!L15</f>
        <v>1</v>
      </c>
      <c r="K26" s="193">
        <f>IF(J26=0,4,IF($J$15=1,8,IF(P26&lt;=uxb_works!$B$122,0,IF(P26&lt;=uxb_works!$B$121,1,IF(P26&lt;=uxb_works!$B$120,2,3)))))</f>
        <v>2</v>
      </c>
      <c r="L26" s="433"/>
      <c r="M26" s="577">
        <f>IF($K$15=2,"",iIndiRank!P15)</f>
        <v>10</v>
      </c>
      <c r="N26" s="578" t="str">
        <f>iIndiRank!Q15</f>
        <v>Buenos Aires</v>
      </c>
      <c r="O26" s="577">
        <f>iIndiRank!R15</f>
        <v>51.2</v>
      </c>
      <c r="P26" s="636">
        <f>IF($J$15=0,iIndiRank!T15,"")</f>
        <v>51.2</v>
      </c>
      <c r="Q26" s="637" t="str">
        <f t="shared" si="0"/>
        <v>|||||||||||||||||</v>
      </c>
      <c r="R26" s="579" t="str">
        <f>TEXT(iIndiRank!S15,iIndiRank!$E$2)</f>
        <v>56.9</v>
      </c>
      <c r="S26" s="201"/>
      <c r="T26" s="235"/>
      <c r="U26" s="435"/>
      <c r="V26" s="201">
        <f ca="1">iIndiRank!AT15</f>
        <v>0</v>
      </c>
      <c r="W26" s="574" t="str">
        <f ca="1">iIndiRank!AU15</f>
        <v/>
      </c>
      <c r="X26" s="234"/>
      <c r="Y26" s="575">
        <f ca="1">iIndiRank!AW15</f>
        <v>0</v>
      </c>
      <c r="Z26" s="574" t="str">
        <f ca="1">iIndiRank!AX15</f>
        <v/>
      </c>
      <c r="AA26" s="575"/>
      <c r="AB26" s="575">
        <f ca="1">iIndiRank!AZ15</f>
        <v>0</v>
      </c>
      <c r="AC26" s="574" t="str">
        <f ca="1">iIndiRank!BA15</f>
        <v/>
      </c>
      <c r="AD26" s="575"/>
      <c r="AE26" s="575">
        <f ca="1">iIndiRank!BC15</f>
        <v>0</v>
      </c>
      <c r="AF26" s="576" t="str">
        <f ca="1">iIndiRank!BD15</f>
        <v/>
      </c>
      <c r="AG26" s="201"/>
      <c r="AH26" s="201">
        <f ca="1">iIndiRank!BF15</f>
        <v>0</v>
      </c>
      <c r="AI26" s="434" t="str">
        <f ca="1">iIndiRank!BG15</f>
        <v/>
      </c>
      <c r="AJ26" s="201"/>
      <c r="AK26" s="703"/>
      <c r="AL26" s="317"/>
      <c r="AR26" s="427"/>
      <c r="AT26" s="427"/>
      <c r="AZ26" s="253"/>
      <c r="BA26" s="253"/>
      <c r="BB26" s="253"/>
      <c r="BC26" s="253"/>
      <c r="BD26" s="253"/>
      <c r="BE26" s="253"/>
      <c r="BF26" s="253"/>
      <c r="BG26" s="253"/>
      <c r="BH26" s="253"/>
      <c r="BI26" s="253"/>
      <c r="BJ26" s="253"/>
      <c r="BK26" s="253"/>
      <c r="BL26" s="253"/>
      <c r="BM26" s="253"/>
      <c r="BN26" s="253"/>
      <c r="BO26" s="253"/>
    </row>
    <row r="27" spans="1:67" ht="19.899999999999999" customHeight="1">
      <c r="A27" s="165"/>
      <c r="B27" s="428"/>
      <c r="C27" s="1105"/>
      <c r="D27" s="1105"/>
      <c r="E27" s="1105"/>
      <c r="F27" s="1105"/>
      <c r="G27" s="432"/>
      <c r="H27" s="165"/>
      <c r="I27" s="165"/>
      <c r="J27" s="193">
        <f>iIndiRank!L16</f>
        <v>1</v>
      </c>
      <c r="K27" s="193">
        <f>IF(J27=0,4,IF($J$15=1,8,IF(P27&lt;=uxb_works!$B$122,0,IF(P27&lt;=uxb_works!$B$121,1,IF(P27&lt;=uxb_works!$B$120,2,3)))))</f>
        <v>1</v>
      </c>
      <c r="L27" s="433"/>
      <c r="M27" s="577">
        <f>IF($K$15=2,"",iIndiRank!P16)</f>
        <v>11</v>
      </c>
      <c r="N27" s="578" t="str">
        <f>iIndiRank!Q16</f>
        <v>Kuala Lumpur</v>
      </c>
      <c r="O27" s="577">
        <f>iIndiRank!R16</f>
        <v>42.3</v>
      </c>
      <c r="P27" s="636">
        <f>IF($J$15=0,iIndiRank!T16,"")</f>
        <v>42.3</v>
      </c>
      <c r="Q27" s="637" t="str">
        <f t="shared" si="0"/>
        <v>||||||||||||||</v>
      </c>
      <c r="R27" s="579" t="str">
        <f>TEXT(iIndiRank!S16,iIndiRank!$E$2)</f>
        <v>52.2</v>
      </c>
      <c r="S27" s="201"/>
      <c r="T27" s="235"/>
      <c r="U27" s="435"/>
      <c r="V27" s="201">
        <f ca="1">iIndiRank!AT16</f>
        <v>0</v>
      </c>
      <c r="W27" s="574" t="str">
        <f ca="1">iIndiRank!AU16</f>
        <v/>
      </c>
      <c r="X27" s="234"/>
      <c r="Y27" s="575">
        <f ca="1">iIndiRank!AW16</f>
        <v>0</v>
      </c>
      <c r="Z27" s="574" t="str">
        <f ca="1">iIndiRank!AX16</f>
        <v/>
      </c>
      <c r="AA27" s="575"/>
      <c r="AB27" s="575">
        <f ca="1">iIndiRank!AZ16</f>
        <v>0</v>
      </c>
      <c r="AC27" s="574" t="str">
        <f ca="1">iIndiRank!BA16</f>
        <v/>
      </c>
      <c r="AD27" s="575"/>
      <c r="AE27" s="575">
        <f ca="1">iIndiRank!BC16</f>
        <v>0</v>
      </c>
      <c r="AF27" s="576" t="str">
        <f ca="1">iIndiRank!BD16</f>
        <v/>
      </c>
      <c r="AG27" s="201"/>
      <c r="AH27" s="201">
        <f ca="1">iIndiRank!BF16</f>
        <v>0</v>
      </c>
      <c r="AI27" s="434" t="str">
        <f ca="1">iIndiRank!BG16</f>
        <v/>
      </c>
      <c r="AJ27" s="201"/>
      <c r="AK27" s="703"/>
      <c r="AL27" s="317"/>
      <c r="AR27" s="427"/>
      <c r="AT27" s="427"/>
      <c r="AZ27" s="253"/>
      <c r="BA27" s="253"/>
      <c r="BB27" s="253"/>
      <c r="BC27" s="253"/>
      <c r="BD27" s="253"/>
      <c r="BE27" s="253"/>
      <c r="BF27" s="253"/>
      <c r="BG27" s="253"/>
      <c r="BH27" s="253"/>
      <c r="BI27" s="253"/>
      <c r="BJ27" s="253"/>
      <c r="BK27" s="253"/>
      <c r="BL27" s="253"/>
      <c r="BM27" s="253"/>
      <c r="BN27" s="253"/>
      <c r="BO27" s="253"/>
    </row>
    <row r="28" spans="1:67" ht="19.899999999999999" customHeight="1">
      <c r="A28" s="165"/>
      <c r="B28" s="428"/>
      <c r="C28" s="1105"/>
      <c r="D28" s="1105"/>
      <c r="E28" s="1105"/>
      <c r="F28" s="1105"/>
      <c r="G28" s="432"/>
      <c r="H28" s="165"/>
      <c r="I28" s="165"/>
      <c r="J28" s="193">
        <f>iIndiRank!L17</f>
        <v>1</v>
      </c>
      <c r="K28" s="193">
        <f>IF(J28=0,4,IF($J$15=1,8,IF(P28&lt;=uxb_works!$B$122,0,IF(P28&lt;=uxb_works!$B$121,1,IF(P28&lt;=uxb_works!$B$120,2,3)))))</f>
        <v>1</v>
      </c>
      <c r="L28" s="433"/>
      <c r="M28" s="577">
        <f>IF($K$15=2,"",iIndiRank!P17)</f>
        <v>12</v>
      </c>
      <c r="N28" s="578" t="str">
        <f>iIndiRank!Q17</f>
        <v>Madrid</v>
      </c>
      <c r="O28" s="577">
        <f>iIndiRank!R17</f>
        <v>41.3</v>
      </c>
      <c r="P28" s="636">
        <f>IF($J$15=0,iIndiRank!T17,"")</f>
        <v>41.3</v>
      </c>
      <c r="Q28" s="637" t="str">
        <f t="shared" si="0"/>
        <v>|||||||||||||</v>
      </c>
      <c r="R28" s="579" t="str">
        <f>TEXT(iIndiRank!S17,iIndiRank!$E$2)</f>
        <v>51.7</v>
      </c>
      <c r="S28" s="201"/>
      <c r="T28" s="235"/>
      <c r="U28" s="435"/>
      <c r="V28" s="201">
        <f ca="1">iIndiRank!AT17</f>
        <v>0</v>
      </c>
      <c r="W28" s="574" t="str">
        <f ca="1">iIndiRank!AU17</f>
        <v/>
      </c>
      <c r="X28" s="234"/>
      <c r="Y28" s="575">
        <f ca="1">iIndiRank!AW17</f>
        <v>0</v>
      </c>
      <c r="Z28" s="574" t="str">
        <f ca="1">iIndiRank!AX17</f>
        <v/>
      </c>
      <c r="AA28" s="575"/>
      <c r="AB28" s="575">
        <f ca="1">iIndiRank!AZ17</f>
        <v>0</v>
      </c>
      <c r="AC28" s="574" t="str">
        <f ca="1">iIndiRank!BA17</f>
        <v/>
      </c>
      <c r="AD28" s="575"/>
      <c r="AE28" s="575">
        <f ca="1">iIndiRank!BC17</f>
        <v>0</v>
      </c>
      <c r="AF28" s="576" t="str">
        <f ca="1">iIndiRank!BD17</f>
        <v/>
      </c>
      <c r="AG28" s="201"/>
      <c r="AH28" s="201">
        <f ca="1">iIndiRank!BF17</f>
        <v>0</v>
      </c>
      <c r="AI28" s="434" t="str">
        <f ca="1">iIndiRank!BG17</f>
        <v/>
      </c>
      <c r="AJ28" s="201"/>
      <c r="AK28" s="703"/>
      <c r="AL28" s="317"/>
      <c r="AR28" s="427"/>
      <c r="AT28" s="427"/>
      <c r="AZ28" s="253"/>
      <c r="BA28" s="253"/>
      <c r="BB28" s="253"/>
      <c r="BC28" s="253"/>
      <c r="BD28" s="253"/>
      <c r="BE28" s="253"/>
      <c r="BF28" s="253"/>
      <c r="BG28" s="253"/>
      <c r="BH28" s="253"/>
      <c r="BI28" s="253"/>
      <c r="BJ28" s="253"/>
      <c r="BK28" s="253"/>
      <c r="BL28" s="253"/>
      <c r="BM28" s="253"/>
      <c r="BN28" s="253"/>
      <c r="BO28" s="253"/>
    </row>
    <row r="29" spans="1:67" ht="19.899999999999999" customHeight="1">
      <c r="A29" s="165"/>
      <c r="B29" s="428"/>
      <c r="C29" s="1105"/>
      <c r="D29" s="1105"/>
      <c r="E29" s="1105"/>
      <c r="F29" s="1105"/>
      <c r="G29" s="432"/>
      <c r="H29" s="165"/>
      <c r="I29" s="165"/>
      <c r="J29" s="193">
        <f>iIndiRank!L18</f>
        <v>1</v>
      </c>
      <c r="K29" s="193">
        <f>IF(J29=0,4,IF($J$15=1,8,IF(P29&lt;=uxb_works!$B$122,0,IF(P29&lt;=uxb_works!$B$121,1,IF(P29&lt;=uxb_works!$B$120,2,3)))))</f>
        <v>1</v>
      </c>
      <c r="L29" s="433"/>
      <c r="M29" s="577">
        <f>IF($K$15=2,"",iIndiRank!P18)</f>
        <v>13</v>
      </c>
      <c r="N29" s="578" t="str">
        <f>iIndiRank!Q18</f>
        <v>Rome</v>
      </c>
      <c r="O29" s="577">
        <f>iIndiRank!R18</f>
        <v>40.5</v>
      </c>
      <c r="P29" s="636">
        <f>IF($J$15=0,iIndiRank!T18,"")</f>
        <v>40.5</v>
      </c>
      <c r="Q29" s="637" t="str">
        <f t="shared" si="0"/>
        <v>|||||||||||||</v>
      </c>
      <c r="R29" s="579" t="str">
        <f>TEXT(iIndiRank!S18,iIndiRank!$E$2)</f>
        <v>51.3</v>
      </c>
      <c r="S29" s="201"/>
      <c r="T29" s="235"/>
      <c r="U29" s="435"/>
      <c r="V29" s="201">
        <f ca="1">iIndiRank!AT18</f>
        <v>0</v>
      </c>
      <c r="W29" s="574" t="str">
        <f ca="1">iIndiRank!AU18</f>
        <v/>
      </c>
      <c r="X29" s="234"/>
      <c r="Y29" s="575">
        <f ca="1">iIndiRank!AW18</f>
        <v>0</v>
      </c>
      <c r="Z29" s="574" t="str">
        <f ca="1">iIndiRank!AX18</f>
        <v/>
      </c>
      <c r="AA29" s="575"/>
      <c r="AB29" s="575">
        <f ca="1">iIndiRank!AZ18</f>
        <v>0</v>
      </c>
      <c r="AC29" s="574" t="str">
        <f ca="1">iIndiRank!BA18</f>
        <v/>
      </c>
      <c r="AD29" s="575"/>
      <c r="AE29" s="575">
        <f ca="1">iIndiRank!BC18</f>
        <v>0</v>
      </c>
      <c r="AF29" s="576" t="str">
        <f ca="1">iIndiRank!BD18</f>
        <v/>
      </c>
      <c r="AG29" s="201"/>
      <c r="AH29" s="201">
        <f ca="1">iIndiRank!BF18</f>
        <v>0</v>
      </c>
      <c r="AI29" s="434" t="str">
        <f ca="1">iIndiRank!BG18</f>
        <v/>
      </c>
      <c r="AJ29" s="201"/>
      <c r="AK29" s="703"/>
      <c r="AL29" s="317"/>
      <c r="AR29" s="427"/>
      <c r="AT29" s="427"/>
      <c r="AZ29" s="253"/>
      <c r="BA29" s="253"/>
      <c r="BB29" s="253"/>
      <c r="BC29" s="253"/>
      <c r="BD29" s="253"/>
      <c r="BE29" s="253"/>
      <c r="BF29" s="253"/>
      <c r="BG29" s="253"/>
      <c r="BH29" s="253"/>
      <c r="BI29" s="253"/>
      <c r="BJ29" s="253"/>
      <c r="BK29" s="253"/>
      <c r="BL29" s="253"/>
      <c r="BM29" s="253"/>
      <c r="BN29" s="253"/>
      <c r="BO29" s="253"/>
    </row>
    <row r="30" spans="1:67" ht="19.899999999999999" customHeight="1">
      <c r="A30" s="165"/>
      <c r="B30" s="428"/>
      <c r="C30" s="1105"/>
      <c r="D30" s="1105"/>
      <c r="E30" s="1105"/>
      <c r="F30" s="1105"/>
      <c r="G30" s="432"/>
      <c r="H30" s="165"/>
      <c r="I30" s="165"/>
      <c r="J30" s="193">
        <f>iIndiRank!L19</f>
        <v>1</v>
      </c>
      <c r="K30" s="193">
        <f>IF(J30=0,4,IF($J$15=1,8,IF(P30&lt;=uxb_works!$B$122,0,IF(P30&lt;=uxb_works!$B$121,1,IF(P30&lt;=uxb_works!$B$120,2,3)))))</f>
        <v>1</v>
      </c>
      <c r="L30" s="433"/>
      <c r="M30" s="577">
        <f>IF($K$15=2,"",iIndiRank!P19)</f>
        <v>14</v>
      </c>
      <c r="N30" s="578" t="str">
        <f>iIndiRank!Q19</f>
        <v>Barcelona</v>
      </c>
      <c r="O30" s="577">
        <f>iIndiRank!R19</f>
        <v>36.299999999999997</v>
      </c>
      <c r="P30" s="636">
        <f>IF($J$15=0,iIndiRank!T19,"")</f>
        <v>36.299999999999997</v>
      </c>
      <c r="Q30" s="637" t="str">
        <f t="shared" si="0"/>
        <v>||||||||||||</v>
      </c>
      <c r="R30" s="579" t="str">
        <f>TEXT(iIndiRank!S19,iIndiRank!$E$2)</f>
        <v>49.1</v>
      </c>
      <c r="S30" s="201"/>
      <c r="T30" s="235"/>
      <c r="U30" s="435"/>
      <c r="V30" s="201">
        <f ca="1">iIndiRank!AT19</f>
        <v>0</v>
      </c>
      <c r="W30" s="574" t="str">
        <f ca="1">iIndiRank!AU19</f>
        <v/>
      </c>
      <c r="X30" s="234"/>
      <c r="Y30" s="575">
        <f ca="1">iIndiRank!AW19</f>
        <v>0</v>
      </c>
      <c r="Z30" s="574" t="str">
        <f ca="1">iIndiRank!AX19</f>
        <v/>
      </c>
      <c r="AA30" s="575"/>
      <c r="AB30" s="575">
        <f ca="1">iIndiRank!AZ19</f>
        <v>0</v>
      </c>
      <c r="AC30" s="574" t="str">
        <f ca="1">iIndiRank!BA19</f>
        <v/>
      </c>
      <c r="AD30" s="575"/>
      <c r="AE30" s="575">
        <f ca="1">iIndiRank!BC19</f>
        <v>0</v>
      </c>
      <c r="AF30" s="576" t="str">
        <f ca="1">iIndiRank!BD19</f>
        <v/>
      </c>
      <c r="AG30" s="201"/>
      <c r="AH30" s="201">
        <f ca="1">iIndiRank!BF19</f>
        <v>0</v>
      </c>
      <c r="AI30" s="434" t="str">
        <f ca="1">iIndiRank!BG19</f>
        <v/>
      </c>
      <c r="AJ30" s="201"/>
      <c r="AK30" s="703"/>
      <c r="AL30" s="317"/>
      <c r="AR30" s="427"/>
      <c r="AT30" s="427"/>
      <c r="AZ30" s="253"/>
      <c r="BA30" s="253"/>
      <c r="BB30" s="253"/>
      <c r="BC30" s="253"/>
      <c r="BD30" s="253"/>
      <c r="BE30" s="253"/>
      <c r="BF30" s="253"/>
      <c r="BG30" s="253"/>
      <c r="BH30" s="253"/>
      <c r="BI30" s="253"/>
      <c r="BJ30" s="253"/>
      <c r="BK30" s="253"/>
      <c r="BL30" s="253"/>
      <c r="BM30" s="253"/>
      <c r="BN30" s="253"/>
      <c r="BO30" s="253"/>
    </row>
    <row r="31" spans="1:67" ht="19.899999999999999" customHeight="1">
      <c r="A31" s="165"/>
      <c r="B31" s="428"/>
      <c r="C31" s="1105"/>
      <c r="D31" s="1105"/>
      <c r="E31" s="1105"/>
      <c r="F31" s="1105"/>
      <c r="G31" s="432"/>
      <c r="H31" s="165"/>
      <c r="I31" s="165"/>
      <c r="J31" s="193">
        <f>iIndiRank!L20</f>
        <v>1</v>
      </c>
      <c r="K31" s="193">
        <f>IF(J31=0,4,IF($J$15=1,8,IF(P31&lt;=uxb_works!$B$122,0,IF(P31&lt;=uxb_works!$B$121,1,IF(P31&lt;=uxb_works!$B$120,2,3)))))</f>
        <v>1</v>
      </c>
      <c r="L31" s="433"/>
      <c r="M31" s="577">
        <f>IF($K$15=2,"",iIndiRank!P20)</f>
        <v>15</v>
      </c>
      <c r="N31" s="578" t="str">
        <f>iIndiRank!Q20</f>
        <v>Seoul</v>
      </c>
      <c r="O31" s="577">
        <f>iIndiRank!R20</f>
        <v>34</v>
      </c>
      <c r="P31" s="636">
        <f>IF($J$15=0,iIndiRank!T20,"")</f>
        <v>34</v>
      </c>
      <c r="Q31" s="637" t="str">
        <f t="shared" si="0"/>
        <v>|||||||||||</v>
      </c>
      <c r="R31" s="579" t="str">
        <f>TEXT(iIndiRank!S20,iIndiRank!$E$2)</f>
        <v>47.9</v>
      </c>
      <c r="S31" s="201"/>
      <c r="T31" s="235"/>
      <c r="U31" s="435"/>
      <c r="V31" s="201">
        <f ca="1">iIndiRank!AT20</f>
        <v>0</v>
      </c>
      <c r="W31" s="574" t="str">
        <f ca="1">iIndiRank!AU20</f>
        <v/>
      </c>
      <c r="X31" s="234"/>
      <c r="Y31" s="575">
        <f ca="1">iIndiRank!AW20</f>
        <v>0</v>
      </c>
      <c r="Z31" s="574" t="str">
        <f ca="1">iIndiRank!AX20</f>
        <v/>
      </c>
      <c r="AA31" s="575"/>
      <c r="AB31" s="575">
        <f ca="1">iIndiRank!AZ20</f>
        <v>0</v>
      </c>
      <c r="AC31" s="574" t="str">
        <f ca="1">iIndiRank!BA20</f>
        <v/>
      </c>
      <c r="AD31" s="575"/>
      <c r="AE31" s="575">
        <f ca="1">iIndiRank!BC20</f>
        <v>0</v>
      </c>
      <c r="AF31" s="576" t="str">
        <f ca="1">iIndiRank!BD20</f>
        <v/>
      </c>
      <c r="AG31" s="201"/>
      <c r="AH31" s="201">
        <f ca="1">iIndiRank!BF20</f>
        <v>0</v>
      </c>
      <c r="AI31" s="434" t="str">
        <f ca="1">iIndiRank!BG20</f>
        <v/>
      </c>
      <c r="AJ31" s="201"/>
      <c r="AK31" s="703"/>
      <c r="AL31" s="317"/>
      <c r="AR31" s="427"/>
      <c r="AT31" s="427"/>
      <c r="AZ31" s="253"/>
      <c r="BA31" s="253"/>
      <c r="BB31" s="253"/>
      <c r="BC31" s="253"/>
      <c r="BD31" s="253"/>
      <c r="BE31" s="253"/>
      <c r="BF31" s="253"/>
      <c r="BG31" s="253"/>
      <c r="BH31" s="253"/>
      <c r="BI31" s="253"/>
      <c r="BJ31" s="253"/>
      <c r="BK31" s="253"/>
      <c r="BL31" s="253"/>
      <c r="BM31" s="253"/>
      <c r="BN31" s="253"/>
      <c r="BO31" s="253"/>
    </row>
    <row r="32" spans="1:67" ht="19.899999999999999" customHeight="1">
      <c r="A32" s="165"/>
      <c r="B32" s="428"/>
      <c r="C32" s="1105"/>
      <c r="D32" s="1105"/>
      <c r="E32" s="1105"/>
      <c r="F32" s="1105"/>
      <c r="G32" s="432"/>
      <c r="H32" s="165"/>
      <c r="I32" s="165"/>
      <c r="J32" s="193">
        <f>iIndiRank!L21</f>
        <v>1</v>
      </c>
      <c r="K32" s="193">
        <f>IF(J32=0,4,IF($J$15=1,8,IF(P32&lt;=uxb_works!$B$122,0,IF(P32&lt;=uxb_works!$B$121,1,IF(P32&lt;=uxb_works!$B$120,2,3)))))</f>
        <v>1</v>
      </c>
      <c r="L32" s="433"/>
      <c r="M32" s="577">
        <f>IF($K$15=2,"",iIndiRank!P21)</f>
        <v>16</v>
      </c>
      <c r="N32" s="578" t="str">
        <f>iIndiRank!Q21</f>
        <v>Copenhagen</v>
      </c>
      <c r="O32" s="577">
        <f>iIndiRank!R21</f>
        <v>33.1</v>
      </c>
      <c r="P32" s="636">
        <f>IF($J$15=0,iIndiRank!T21,"")</f>
        <v>33.1</v>
      </c>
      <c r="Q32" s="637" t="str">
        <f t="shared" si="0"/>
        <v>|||||||||||</v>
      </c>
      <c r="R32" s="579" t="str">
        <f>TEXT(iIndiRank!S21,iIndiRank!$E$2)</f>
        <v>47.4</v>
      </c>
      <c r="S32" s="201"/>
      <c r="T32" s="235"/>
      <c r="U32" s="435"/>
      <c r="V32" s="201">
        <f ca="1">iIndiRank!AT21</f>
        <v>0</v>
      </c>
      <c r="W32" s="574" t="str">
        <f ca="1">iIndiRank!AU21</f>
        <v/>
      </c>
      <c r="X32" s="234"/>
      <c r="Y32" s="575">
        <f ca="1">iIndiRank!AW21</f>
        <v>0</v>
      </c>
      <c r="Z32" s="574" t="str">
        <f ca="1">iIndiRank!AX21</f>
        <v/>
      </c>
      <c r="AA32" s="575"/>
      <c r="AB32" s="575">
        <f ca="1">iIndiRank!AZ21</f>
        <v>0</v>
      </c>
      <c r="AC32" s="574" t="str">
        <f ca="1">iIndiRank!BA21</f>
        <v/>
      </c>
      <c r="AD32" s="575"/>
      <c r="AE32" s="575">
        <f ca="1">iIndiRank!BC21</f>
        <v>0</v>
      </c>
      <c r="AF32" s="576" t="str">
        <f ca="1">iIndiRank!BD21</f>
        <v/>
      </c>
      <c r="AG32" s="201"/>
      <c r="AH32" s="201">
        <f ca="1">iIndiRank!BF21</f>
        <v>0</v>
      </c>
      <c r="AI32" s="434" t="str">
        <f ca="1">iIndiRank!BG21</f>
        <v/>
      </c>
      <c r="AJ32" s="201"/>
      <c r="AK32" s="703"/>
      <c r="AL32" s="317"/>
      <c r="AR32" s="427"/>
      <c r="AT32" s="427"/>
      <c r="AZ32" s="253"/>
      <c r="BA32" s="253"/>
      <c r="BB32" s="253"/>
      <c r="BC32" s="253"/>
      <c r="BD32" s="253"/>
      <c r="BE32" s="253"/>
      <c r="BF32" s="253"/>
      <c r="BG32" s="253"/>
      <c r="BH32" s="253"/>
      <c r="BI32" s="253"/>
      <c r="BJ32" s="253"/>
      <c r="BK32" s="253"/>
      <c r="BL32" s="253"/>
      <c r="BM32" s="253"/>
      <c r="BN32" s="253"/>
      <c r="BO32" s="253"/>
    </row>
    <row r="33" spans="1:67" ht="19.899999999999999" customHeight="1">
      <c r="A33" s="165"/>
      <c r="B33" s="428"/>
      <c r="C33" s="1105"/>
      <c r="D33" s="1105"/>
      <c r="E33" s="1105"/>
      <c r="F33" s="1105"/>
      <c r="G33" s="432"/>
      <c r="H33" s="165"/>
      <c r="I33" s="165"/>
      <c r="J33" s="193">
        <f>iIndiRank!L22</f>
        <v>1</v>
      </c>
      <c r="K33" s="193">
        <f>IF(J33=0,4,IF($J$15=1,8,IF(P33&lt;=uxb_works!$B$122,0,IF(P33&lt;=uxb_works!$B$121,1,IF(P33&lt;=uxb_works!$B$120,2,3)))))</f>
        <v>1</v>
      </c>
      <c r="L33" s="433"/>
      <c r="M33" s="577">
        <f>IF($K$15=2,"",iIndiRank!P22)</f>
        <v>17</v>
      </c>
      <c r="N33" s="578" t="str">
        <f>iIndiRank!Q22</f>
        <v>Washington DC</v>
      </c>
      <c r="O33" s="577">
        <f>iIndiRank!R22</f>
        <v>29.4</v>
      </c>
      <c r="P33" s="636">
        <f>IF($J$15=0,iIndiRank!T22,"")</f>
        <v>29.4</v>
      </c>
      <c r="Q33" s="637" t="str">
        <f t="shared" si="0"/>
        <v>|||||||||</v>
      </c>
      <c r="R33" s="579" t="str">
        <f>TEXT(iIndiRank!S22,iIndiRank!$E$2)</f>
        <v>45.5</v>
      </c>
      <c r="S33" s="201"/>
      <c r="T33" s="235"/>
      <c r="U33" s="435"/>
      <c r="V33" s="201">
        <f ca="1">iIndiRank!AT22</f>
        <v>0</v>
      </c>
      <c r="W33" s="574" t="str">
        <f ca="1">iIndiRank!AU22</f>
        <v/>
      </c>
      <c r="X33" s="234"/>
      <c r="Y33" s="575">
        <f ca="1">iIndiRank!AW22</f>
        <v>0</v>
      </c>
      <c r="Z33" s="574" t="str">
        <f ca="1">iIndiRank!AX22</f>
        <v/>
      </c>
      <c r="AA33" s="575"/>
      <c r="AB33" s="575">
        <f ca="1">iIndiRank!AZ22</f>
        <v>0</v>
      </c>
      <c r="AC33" s="574" t="str">
        <f ca="1">iIndiRank!BA22</f>
        <v/>
      </c>
      <c r="AD33" s="575"/>
      <c r="AE33" s="575">
        <f ca="1">iIndiRank!BC22</f>
        <v>0</v>
      </c>
      <c r="AF33" s="576" t="str">
        <f ca="1">iIndiRank!BD22</f>
        <v/>
      </c>
      <c r="AG33" s="201"/>
      <c r="AH33" s="201">
        <f ca="1">iIndiRank!BF22</f>
        <v>0</v>
      </c>
      <c r="AI33" s="434" t="str">
        <f ca="1">iIndiRank!BG22</f>
        <v/>
      </c>
      <c r="AJ33" s="201"/>
      <c r="AK33" s="703"/>
      <c r="AL33" s="317"/>
      <c r="AR33" s="427"/>
      <c r="AT33" s="427"/>
      <c r="AZ33" s="253"/>
      <c r="BA33" s="253"/>
      <c r="BB33" s="253"/>
      <c r="BC33" s="253"/>
      <c r="BD33" s="253"/>
      <c r="BE33" s="253"/>
      <c r="BF33" s="253"/>
      <c r="BG33" s="253"/>
      <c r="BH33" s="253"/>
      <c r="BI33" s="253"/>
      <c r="BJ33" s="253"/>
      <c r="BK33" s="253"/>
      <c r="BL33" s="253"/>
      <c r="BM33" s="253"/>
      <c r="BN33" s="253"/>
      <c r="BO33" s="253"/>
    </row>
    <row r="34" spans="1:67" ht="19.899999999999999" customHeight="1">
      <c r="A34" s="165"/>
      <c r="B34" s="428"/>
      <c r="C34" s="1105"/>
      <c r="D34" s="1105"/>
      <c r="E34" s="1105"/>
      <c r="F34" s="1105"/>
      <c r="G34" s="432"/>
      <c r="H34" s="165"/>
      <c r="I34" s="165"/>
      <c r="J34" s="193">
        <f>iIndiRank!L23</f>
        <v>1</v>
      </c>
      <c r="K34" s="193">
        <f>IF(J34=0,4,IF($J$15=1,8,IF(P34&lt;=uxb_works!$B$122,0,IF(P34&lt;=uxb_works!$B$121,1,IF(P34&lt;=uxb_works!$B$120,2,3)))))</f>
        <v>1</v>
      </c>
      <c r="L34" s="433"/>
      <c r="M34" s="577">
        <f>IF($K$15=2,"",iIndiRank!P23)</f>
        <v>18</v>
      </c>
      <c r="N34" s="578" t="str">
        <f>iIndiRank!Q23</f>
        <v>New York</v>
      </c>
      <c r="O34" s="577">
        <f>iIndiRank!R23</f>
        <v>28.9</v>
      </c>
      <c r="P34" s="636">
        <f>IF($J$15=0,iIndiRank!T23,"")</f>
        <v>28.9</v>
      </c>
      <c r="Q34" s="637" t="str">
        <f t="shared" si="0"/>
        <v>|||||||||</v>
      </c>
      <c r="R34" s="579" t="str">
        <f>TEXT(iIndiRank!S23,iIndiRank!$E$2)</f>
        <v>45.2</v>
      </c>
      <c r="S34" s="201"/>
      <c r="T34" s="235"/>
      <c r="U34" s="435"/>
      <c r="V34" s="201">
        <f ca="1">iIndiRank!AT23</f>
        <v>0</v>
      </c>
      <c r="W34" s="574" t="str">
        <f ca="1">iIndiRank!AU23</f>
        <v/>
      </c>
      <c r="X34" s="234"/>
      <c r="Y34" s="575">
        <f ca="1">iIndiRank!AW23</f>
        <v>0</v>
      </c>
      <c r="Z34" s="574" t="str">
        <f ca="1">iIndiRank!AX23</f>
        <v/>
      </c>
      <c r="AA34" s="575"/>
      <c r="AB34" s="575">
        <f ca="1">iIndiRank!AZ23</f>
        <v>0</v>
      </c>
      <c r="AC34" s="574" t="str">
        <f ca="1">iIndiRank!BA23</f>
        <v/>
      </c>
      <c r="AD34" s="575"/>
      <c r="AE34" s="575">
        <f ca="1">iIndiRank!BC23</f>
        <v>0</v>
      </c>
      <c r="AF34" s="576" t="str">
        <f ca="1">iIndiRank!BD23</f>
        <v/>
      </c>
      <c r="AG34" s="201"/>
      <c r="AH34" s="201">
        <f ca="1">iIndiRank!BF23</f>
        <v>0</v>
      </c>
      <c r="AI34" s="434" t="str">
        <f ca="1">iIndiRank!BG23</f>
        <v/>
      </c>
      <c r="AJ34" s="201"/>
      <c r="AK34" s="703"/>
      <c r="AL34" s="317"/>
      <c r="AR34" s="427"/>
      <c r="AT34" s="427"/>
      <c r="AZ34" s="253"/>
      <c r="BA34" s="253"/>
      <c r="BB34" s="253"/>
      <c r="BC34" s="253"/>
      <c r="BD34" s="253"/>
      <c r="BE34" s="253"/>
      <c r="BF34" s="253"/>
      <c r="BG34" s="253"/>
      <c r="BH34" s="253"/>
      <c r="BI34" s="253"/>
      <c r="BJ34" s="253"/>
      <c r="BK34" s="253"/>
      <c r="BL34" s="253"/>
      <c r="BM34" s="253"/>
      <c r="BN34" s="253"/>
      <c r="BO34" s="253"/>
    </row>
    <row r="35" spans="1:67" ht="19.899999999999999" customHeight="1">
      <c r="A35" s="165"/>
      <c r="B35" s="428"/>
      <c r="C35" s="1105"/>
      <c r="D35" s="1105"/>
      <c r="E35" s="1105"/>
      <c r="F35" s="1105"/>
      <c r="G35" s="432"/>
      <c r="H35" s="165"/>
      <c r="I35" s="165"/>
      <c r="J35" s="193">
        <f>iIndiRank!L24</f>
        <v>1</v>
      </c>
      <c r="K35" s="193">
        <f>IF(J35=0,4,IF($J$15=1,8,IF(P35&lt;=uxb_works!$B$122,0,IF(P35&lt;=uxb_works!$B$121,1,IF(P35&lt;=uxb_works!$B$120,2,3)))))</f>
        <v>1</v>
      </c>
      <c r="L35" s="433"/>
      <c r="M35" s="577">
        <f>IF($K$15=2,"",iIndiRank!P24)</f>
        <v>19</v>
      </c>
      <c r="N35" s="578" t="str">
        <f>iIndiRank!Q24</f>
        <v>Singapore</v>
      </c>
      <c r="O35" s="577">
        <f>iIndiRank!R24</f>
        <v>27.9</v>
      </c>
      <c r="P35" s="636">
        <f>IF($J$15=0,iIndiRank!T24,"")</f>
        <v>27.9</v>
      </c>
      <c r="Q35" s="637" t="str">
        <f t="shared" si="0"/>
        <v>|||||||||</v>
      </c>
      <c r="R35" s="579" t="str">
        <f>TEXT(iIndiRank!S24,iIndiRank!$E$2)</f>
        <v>44.7</v>
      </c>
      <c r="S35" s="201"/>
      <c r="T35" s="235"/>
      <c r="U35" s="435"/>
      <c r="V35" s="201">
        <f ca="1">iIndiRank!AT24</f>
        <v>0</v>
      </c>
      <c r="W35" s="574" t="str">
        <f ca="1">iIndiRank!AU24</f>
        <v/>
      </c>
      <c r="X35" s="234"/>
      <c r="Y35" s="575">
        <f ca="1">iIndiRank!AW24</f>
        <v>0</v>
      </c>
      <c r="Z35" s="574" t="str">
        <f ca="1">iIndiRank!AX24</f>
        <v/>
      </c>
      <c r="AA35" s="575"/>
      <c r="AB35" s="575">
        <f ca="1">iIndiRank!AZ24</f>
        <v>0</v>
      </c>
      <c r="AC35" s="574" t="str">
        <f ca="1">iIndiRank!BA24</f>
        <v/>
      </c>
      <c r="AD35" s="575"/>
      <c r="AE35" s="575">
        <f ca="1">iIndiRank!BC24</f>
        <v>0</v>
      </c>
      <c r="AF35" s="576" t="str">
        <f ca="1">iIndiRank!BD24</f>
        <v/>
      </c>
      <c r="AG35" s="201"/>
      <c r="AH35" s="201">
        <f ca="1">iIndiRank!BF24</f>
        <v>0</v>
      </c>
      <c r="AI35" s="434" t="str">
        <f ca="1">iIndiRank!BG24</f>
        <v/>
      </c>
      <c r="AJ35" s="201"/>
      <c r="AK35" s="703"/>
      <c r="AL35" s="317"/>
      <c r="AR35" s="427"/>
      <c r="AT35" s="427"/>
      <c r="AZ35" s="253"/>
      <c r="BA35" s="253"/>
      <c r="BB35" s="253"/>
      <c r="BC35" s="253"/>
      <c r="BD35" s="253"/>
      <c r="BE35" s="253"/>
      <c r="BF35" s="253"/>
      <c r="BG35" s="253"/>
      <c r="BH35" s="253"/>
      <c r="BI35" s="253"/>
      <c r="BJ35" s="253"/>
      <c r="BK35" s="253"/>
      <c r="BL35" s="253"/>
      <c r="BM35" s="253"/>
      <c r="BN35" s="253"/>
      <c r="BO35" s="253"/>
    </row>
    <row r="36" spans="1:67" ht="19.899999999999999" customHeight="1">
      <c r="A36" s="165"/>
      <c r="B36" s="428"/>
      <c r="C36" s="1105"/>
      <c r="D36" s="1105"/>
      <c r="E36" s="1105"/>
      <c r="F36" s="1105"/>
      <c r="G36" s="432"/>
      <c r="H36" s="165"/>
      <c r="I36" s="165"/>
      <c r="J36" s="193">
        <f>iIndiRank!L25</f>
        <v>1</v>
      </c>
      <c r="K36" s="193">
        <f>IF(J36=0,4,IF($J$15=1,8,IF(P36&lt;=uxb_works!$B$122,0,IF(P36&lt;=uxb_works!$B$121,1,IF(P36&lt;=uxb_works!$B$120,2,3)))))</f>
        <v>0</v>
      </c>
      <c r="L36" s="433"/>
      <c r="M36" s="577">
        <f>IF($K$15=2,"",iIndiRank!P25)</f>
        <v>20</v>
      </c>
      <c r="N36" s="578" t="str">
        <f>iIndiRank!Q25</f>
        <v>Auckland</v>
      </c>
      <c r="O36" s="577">
        <f>iIndiRank!R25</f>
        <v>23.3</v>
      </c>
      <c r="P36" s="636">
        <f>IF($J$15=0,iIndiRank!T25,"")</f>
        <v>23.3</v>
      </c>
      <c r="Q36" s="637" t="str">
        <f t="shared" si="0"/>
        <v>|||||||</v>
      </c>
      <c r="R36" s="579" t="str">
        <f>TEXT(iIndiRank!S25,iIndiRank!$E$2)</f>
        <v>42.3</v>
      </c>
      <c r="S36" s="201"/>
      <c r="T36" s="235"/>
      <c r="U36" s="435"/>
      <c r="V36" s="201">
        <f ca="1">iIndiRank!AT25</f>
        <v>0</v>
      </c>
      <c r="W36" s="574" t="str">
        <f ca="1">iIndiRank!AU25</f>
        <v/>
      </c>
      <c r="X36" s="234"/>
      <c r="Y36" s="575">
        <f ca="1">iIndiRank!AW25</f>
        <v>0</v>
      </c>
      <c r="Z36" s="574" t="str">
        <f ca="1">iIndiRank!AX25</f>
        <v/>
      </c>
      <c r="AA36" s="575"/>
      <c r="AB36" s="575">
        <f ca="1">iIndiRank!AZ25</f>
        <v>0</v>
      </c>
      <c r="AC36" s="574" t="str">
        <f ca="1">iIndiRank!BA25</f>
        <v/>
      </c>
      <c r="AD36" s="575"/>
      <c r="AE36" s="575">
        <f ca="1">iIndiRank!BC25</f>
        <v>0</v>
      </c>
      <c r="AF36" s="576" t="str">
        <f ca="1">iIndiRank!BD25</f>
        <v/>
      </c>
      <c r="AG36" s="201"/>
      <c r="AH36" s="201">
        <f ca="1">iIndiRank!BF25</f>
        <v>0</v>
      </c>
      <c r="AI36" s="434" t="str">
        <f ca="1">iIndiRank!BG25</f>
        <v/>
      </c>
      <c r="AJ36" s="201"/>
      <c r="AK36" s="703"/>
      <c r="AL36" s="317"/>
      <c r="AR36" s="427"/>
      <c r="AT36" s="427"/>
      <c r="AZ36" s="253"/>
      <c r="BA36" s="253"/>
      <c r="BB36" s="253"/>
      <c r="BC36" s="253"/>
      <c r="BD36" s="253"/>
      <c r="BE36" s="253"/>
      <c r="BF36" s="253"/>
      <c r="BG36" s="253"/>
      <c r="BH36" s="253"/>
      <c r="BI36" s="253"/>
      <c r="BJ36" s="253"/>
      <c r="BK36" s="253"/>
      <c r="BL36" s="253"/>
      <c r="BM36" s="253"/>
      <c r="BN36" s="253"/>
      <c r="BO36" s="253"/>
    </row>
    <row r="37" spans="1:67" ht="19.899999999999999" customHeight="1">
      <c r="A37" s="165"/>
      <c r="B37" s="428"/>
      <c r="C37" s="1105"/>
      <c r="D37" s="1105"/>
      <c r="E37" s="1105"/>
      <c r="F37" s="1105"/>
      <c r="G37" s="432"/>
      <c r="H37" s="165"/>
      <c r="I37" s="165"/>
      <c r="J37" s="193">
        <f>iIndiRank!L26</f>
        <v>1</v>
      </c>
      <c r="K37" s="193">
        <f>IF(J37=0,4,IF($J$15=1,8,IF(P37&lt;=uxb_works!$B$122,0,IF(P37&lt;=uxb_works!$B$121,1,IF(P37&lt;=uxb_works!$B$120,2,3)))))</f>
        <v>0</v>
      </c>
      <c r="L37" s="433"/>
      <c r="M37" s="577">
        <f>IF($K$15=2,"",iIndiRank!P26)</f>
        <v>21</v>
      </c>
      <c r="N37" s="578" t="str">
        <f>iIndiRank!Q26</f>
        <v>Toronto</v>
      </c>
      <c r="O37" s="577">
        <f>iIndiRank!R26</f>
        <v>21.2</v>
      </c>
      <c r="P37" s="636">
        <f>IF($J$15=0,iIndiRank!T26,"")</f>
        <v>21.2</v>
      </c>
      <c r="Q37" s="637" t="str">
        <f t="shared" si="0"/>
        <v>|||||||</v>
      </c>
      <c r="R37" s="579" t="str">
        <f>TEXT(iIndiRank!S26,iIndiRank!$E$2)</f>
        <v>41.2</v>
      </c>
      <c r="S37" s="201"/>
      <c r="T37" s="235"/>
      <c r="U37" s="435"/>
      <c r="V37" s="201">
        <f ca="1">iIndiRank!AT26</f>
        <v>0</v>
      </c>
      <c r="W37" s="574" t="str">
        <f ca="1">iIndiRank!AU26</f>
        <v/>
      </c>
      <c r="X37" s="234"/>
      <c r="Y37" s="575">
        <f ca="1">iIndiRank!AW26</f>
        <v>0</v>
      </c>
      <c r="Z37" s="574" t="str">
        <f ca="1">iIndiRank!AX26</f>
        <v/>
      </c>
      <c r="AA37" s="575"/>
      <c r="AB37" s="575">
        <f ca="1">iIndiRank!AZ26</f>
        <v>0</v>
      </c>
      <c r="AC37" s="574" t="str">
        <f ca="1">iIndiRank!BA26</f>
        <v/>
      </c>
      <c r="AD37" s="575"/>
      <c r="AE37" s="575">
        <f ca="1">iIndiRank!BC26</f>
        <v>0</v>
      </c>
      <c r="AF37" s="576" t="str">
        <f ca="1">iIndiRank!BD26</f>
        <v/>
      </c>
      <c r="AG37" s="201"/>
      <c r="AH37" s="201">
        <f ca="1">iIndiRank!BF26</f>
        <v>0</v>
      </c>
      <c r="AI37" s="434" t="str">
        <f ca="1">iIndiRank!BG26</f>
        <v/>
      </c>
      <c r="AJ37" s="201"/>
      <c r="AK37" s="703"/>
      <c r="AL37" s="317"/>
      <c r="AR37" s="427"/>
      <c r="AT37" s="427"/>
      <c r="AZ37" s="253"/>
      <c r="BA37" s="253"/>
      <c r="BB37" s="253"/>
      <c r="BC37" s="253"/>
      <c r="BD37" s="253"/>
      <c r="BE37" s="253"/>
      <c r="BF37" s="253"/>
      <c r="BG37" s="253"/>
      <c r="BH37" s="253"/>
      <c r="BI37" s="253"/>
      <c r="BJ37" s="253"/>
      <c r="BK37" s="253"/>
      <c r="BL37" s="253"/>
      <c r="BM37" s="253"/>
      <c r="BN37" s="253"/>
      <c r="BO37" s="253"/>
    </row>
    <row r="38" spans="1:67" ht="19.899999999999999" customHeight="1">
      <c r="A38" s="165"/>
      <c r="B38" s="428"/>
      <c r="C38" s="1105"/>
      <c r="D38" s="1105"/>
      <c r="E38" s="1105"/>
      <c r="F38" s="1105"/>
      <c r="G38" s="432"/>
      <c r="H38" s="165"/>
      <c r="I38" s="165"/>
      <c r="J38" s="193">
        <f>iIndiRank!L27</f>
        <v>1</v>
      </c>
      <c r="K38" s="193">
        <f>IF(J38=0,4,IF($J$15=1,8,IF(P38&lt;=uxb_works!$B$122,0,IF(P38&lt;=uxb_works!$B$121,1,IF(P38&lt;=uxb_works!$B$120,2,3)))))</f>
        <v>0</v>
      </c>
      <c r="L38" s="433"/>
      <c r="M38" s="577">
        <f>IF($K$15=2,"",iIndiRank!P27)</f>
        <v>22</v>
      </c>
      <c r="N38" s="578" t="str">
        <f>iIndiRank!Q27</f>
        <v>Hong Kong</v>
      </c>
      <c r="O38" s="577">
        <f>iIndiRank!R27</f>
        <v>20.5</v>
      </c>
      <c r="P38" s="636">
        <f>IF($J$15=0,iIndiRank!T27,"")</f>
        <v>20.5</v>
      </c>
      <c r="Q38" s="637" t="str">
        <f t="shared" si="0"/>
        <v>||||||</v>
      </c>
      <c r="R38" s="579" t="str">
        <f>TEXT(iIndiRank!S27,iIndiRank!$E$2)</f>
        <v>40.8</v>
      </c>
      <c r="S38" s="201"/>
      <c r="T38" s="235"/>
      <c r="U38" s="435"/>
      <c r="V38" s="201">
        <f ca="1">iIndiRank!AT27</f>
        <v>0</v>
      </c>
      <c r="W38" s="574" t="str">
        <f ca="1">iIndiRank!AU27</f>
        <v/>
      </c>
      <c r="X38" s="234"/>
      <c r="Y38" s="575">
        <f ca="1">iIndiRank!AW27</f>
        <v>0</v>
      </c>
      <c r="Z38" s="574" t="str">
        <f ca="1">iIndiRank!AX27</f>
        <v/>
      </c>
      <c r="AA38" s="575"/>
      <c r="AB38" s="575">
        <f ca="1">iIndiRank!AZ27</f>
        <v>0</v>
      </c>
      <c r="AC38" s="574" t="str">
        <f ca="1">iIndiRank!BA27</f>
        <v/>
      </c>
      <c r="AD38" s="575"/>
      <c r="AE38" s="575">
        <f ca="1">iIndiRank!BC27</f>
        <v>0</v>
      </c>
      <c r="AF38" s="576" t="str">
        <f ca="1">iIndiRank!BD27</f>
        <v/>
      </c>
      <c r="AG38" s="201"/>
      <c r="AH38" s="201">
        <f ca="1">iIndiRank!BF27</f>
        <v>0</v>
      </c>
      <c r="AI38" s="434" t="str">
        <f ca="1">iIndiRank!BG27</f>
        <v/>
      </c>
      <c r="AJ38" s="201"/>
      <c r="AK38" s="703"/>
      <c r="AL38" s="317"/>
      <c r="AR38" s="427"/>
      <c r="AT38" s="427"/>
      <c r="AZ38" s="253"/>
      <c r="BA38" s="253"/>
      <c r="BB38" s="253"/>
      <c r="BC38" s="253"/>
      <c r="BD38" s="253"/>
      <c r="BE38" s="253"/>
      <c r="BF38" s="253"/>
      <c r="BG38" s="253"/>
      <c r="BH38" s="253"/>
      <c r="BI38" s="253"/>
      <c r="BJ38" s="253"/>
      <c r="BK38" s="253"/>
      <c r="BL38" s="253"/>
      <c r="BM38" s="253"/>
      <c r="BN38" s="253"/>
      <c r="BO38" s="253"/>
    </row>
    <row r="39" spans="1:67" ht="19.899999999999999" customHeight="1">
      <c r="A39" s="165"/>
      <c r="B39" s="428"/>
      <c r="C39" s="1105"/>
      <c r="D39" s="1105"/>
      <c r="E39" s="1105"/>
      <c r="F39" s="1105"/>
      <c r="G39" s="432"/>
      <c r="H39" s="165"/>
      <c r="I39" s="165"/>
      <c r="J39" s="193">
        <f>iIndiRank!L28</f>
        <v>1</v>
      </c>
      <c r="K39" s="193">
        <f>IF(J39=0,4,IF($J$15=1,8,IF(P39&lt;=uxb_works!$B$122,0,IF(P39&lt;=uxb_works!$B$121,1,IF(P39&lt;=uxb_works!$B$120,2,3)))))</f>
        <v>0</v>
      </c>
      <c r="L39" s="433"/>
      <c r="M39" s="577">
        <f>IF($K$15=2,"",iIndiRank!P28)</f>
        <v>23</v>
      </c>
      <c r="N39" s="578" t="str">
        <f>iIndiRank!Q28</f>
        <v>Frankfurt</v>
      </c>
      <c r="O39" s="577">
        <f>iIndiRank!R28</f>
        <v>18</v>
      </c>
      <c r="P39" s="636">
        <f>IF($J$15=0,iIndiRank!T28,"")</f>
        <v>18</v>
      </c>
      <c r="Q39" s="637" t="str">
        <f t="shared" si="0"/>
        <v>||||||</v>
      </c>
      <c r="R39" s="579" t="str">
        <f>TEXT(iIndiRank!S28,iIndiRank!$E$2)</f>
        <v>39.5</v>
      </c>
      <c r="S39" s="201"/>
      <c r="T39" s="235"/>
      <c r="U39" s="435"/>
      <c r="V39" s="201">
        <f ca="1">iIndiRank!AT28</f>
        <v>0</v>
      </c>
      <c r="W39" s="574" t="str">
        <f ca="1">iIndiRank!AU28</f>
        <v/>
      </c>
      <c r="X39" s="234"/>
      <c r="Y39" s="575">
        <f ca="1">iIndiRank!AW28</f>
        <v>0</v>
      </c>
      <c r="Z39" s="574" t="str">
        <f ca="1">iIndiRank!AX28</f>
        <v/>
      </c>
      <c r="AA39" s="575"/>
      <c r="AB39" s="575">
        <f ca="1">iIndiRank!AZ28</f>
        <v>0</v>
      </c>
      <c r="AC39" s="574" t="str">
        <f ca="1">iIndiRank!BA28</f>
        <v/>
      </c>
      <c r="AD39" s="575"/>
      <c r="AE39" s="575">
        <f ca="1">iIndiRank!BC28</f>
        <v>0</v>
      </c>
      <c r="AF39" s="576" t="str">
        <f ca="1">iIndiRank!BD28</f>
        <v/>
      </c>
      <c r="AG39" s="201"/>
      <c r="AH39" s="201">
        <f ca="1">iIndiRank!BF28</f>
        <v>0</v>
      </c>
      <c r="AI39" s="434" t="str">
        <f ca="1">iIndiRank!BG28</f>
        <v/>
      </c>
      <c r="AJ39" s="201"/>
      <c r="AK39" s="703"/>
      <c r="AL39" s="317"/>
      <c r="AR39" s="427"/>
      <c r="AT39" s="427"/>
      <c r="AZ39" s="253"/>
      <c r="BA39" s="253"/>
      <c r="BB39" s="253"/>
      <c r="BC39" s="253"/>
      <c r="BD39" s="253"/>
      <c r="BE39" s="253"/>
      <c r="BF39" s="253"/>
      <c r="BG39" s="253"/>
      <c r="BH39" s="253"/>
      <c r="BI39" s="253"/>
      <c r="BJ39" s="253"/>
      <c r="BK39" s="253"/>
      <c r="BL39" s="253"/>
      <c r="BM39" s="253"/>
      <c r="BN39" s="253"/>
      <c r="BO39" s="253"/>
    </row>
    <row r="40" spans="1:67" ht="19.899999999999999" customHeight="1">
      <c r="A40" s="165"/>
      <c r="B40" s="428"/>
      <c r="C40" s="1105"/>
      <c r="D40" s="1105"/>
      <c r="E40" s="1105"/>
      <c r="F40" s="1105"/>
      <c r="G40" s="432"/>
      <c r="H40" s="165"/>
      <c r="I40" s="165"/>
      <c r="J40" s="193">
        <f>iIndiRank!L29</f>
        <v>1</v>
      </c>
      <c r="K40" s="193">
        <f>IF(J40=0,4,IF($J$15=1,8,IF(P40&lt;=uxb_works!$B$122,0,IF(P40&lt;=uxb_works!$B$121,1,IF(P40&lt;=uxb_works!$B$120,2,3)))))</f>
        <v>0</v>
      </c>
      <c r="L40" s="433"/>
      <c r="M40" s="577">
        <f>IF($K$15=2,"",iIndiRank!P29)</f>
        <v>24</v>
      </c>
      <c r="N40" s="578" t="str">
        <f>iIndiRank!Q29</f>
        <v>Paris</v>
      </c>
      <c r="O40" s="577">
        <f>iIndiRank!R29</f>
        <v>15.9</v>
      </c>
      <c r="P40" s="636">
        <f>IF($J$15=0,iIndiRank!T29,"")</f>
        <v>15.9</v>
      </c>
      <c r="Q40" s="637" t="str">
        <f t="shared" si="0"/>
        <v>|||||</v>
      </c>
      <c r="R40" s="579" t="str">
        <f>TEXT(iIndiRank!S29,iIndiRank!$E$2)</f>
        <v>38.4</v>
      </c>
      <c r="S40" s="201"/>
      <c r="T40" s="235"/>
      <c r="U40" s="435"/>
      <c r="V40" s="201">
        <f ca="1">iIndiRank!AT29</f>
        <v>0</v>
      </c>
      <c r="W40" s="574" t="str">
        <f ca="1">iIndiRank!AU29</f>
        <v/>
      </c>
      <c r="X40" s="234"/>
      <c r="Y40" s="575">
        <f ca="1">iIndiRank!AW29</f>
        <v>0</v>
      </c>
      <c r="Z40" s="574" t="str">
        <f ca="1">iIndiRank!AX29</f>
        <v/>
      </c>
      <c r="AA40" s="575"/>
      <c r="AB40" s="575">
        <f ca="1">iIndiRank!AZ29</f>
        <v>0</v>
      </c>
      <c r="AC40" s="574" t="str">
        <f ca="1">iIndiRank!BA29</f>
        <v/>
      </c>
      <c r="AD40" s="575"/>
      <c r="AE40" s="575">
        <f ca="1">iIndiRank!BC29</f>
        <v>0</v>
      </c>
      <c r="AF40" s="576" t="str">
        <f ca="1">iIndiRank!BD29</f>
        <v/>
      </c>
      <c r="AG40" s="201"/>
      <c r="AH40" s="201">
        <f ca="1">iIndiRank!BF29</f>
        <v>0</v>
      </c>
      <c r="AI40" s="434" t="str">
        <f ca="1">iIndiRank!BG29</f>
        <v/>
      </c>
      <c r="AJ40" s="201"/>
      <c r="AK40" s="703"/>
      <c r="AL40" s="317"/>
      <c r="AR40" s="427"/>
      <c r="AT40" s="427"/>
      <c r="AZ40" s="253"/>
      <c r="BA40" s="253"/>
      <c r="BB40" s="253"/>
      <c r="BC40" s="253"/>
      <c r="BD40" s="253"/>
      <c r="BE40" s="253"/>
      <c r="BF40" s="253"/>
      <c r="BG40" s="253"/>
      <c r="BH40" s="253"/>
      <c r="BI40" s="253"/>
      <c r="BJ40" s="253"/>
      <c r="BK40" s="253"/>
      <c r="BL40" s="253"/>
      <c r="BM40" s="253"/>
      <c r="BN40" s="253"/>
      <c r="BO40" s="253"/>
    </row>
    <row r="41" spans="1:67" ht="19.899999999999999" customHeight="1">
      <c r="A41" s="165"/>
      <c r="B41" s="428"/>
      <c r="C41" s="1105"/>
      <c r="D41" s="1105"/>
      <c r="E41" s="1105"/>
      <c r="F41" s="1105"/>
      <c r="G41" s="432"/>
      <c r="H41" s="165"/>
      <c r="I41" s="165"/>
      <c r="J41" s="193">
        <f>iIndiRank!L30</f>
        <v>1</v>
      </c>
      <c r="K41" s="193">
        <f>IF(J41=0,4,IF($J$15=1,8,IF(P41&lt;=uxb_works!$B$122,0,IF(P41&lt;=uxb_works!$B$121,1,IF(P41&lt;=uxb_works!$B$120,2,3)))))</f>
        <v>0</v>
      </c>
      <c r="L41" s="433"/>
      <c r="M41" s="577">
        <f>IF($K$15=2,"",iIndiRank!P30)</f>
        <v>25</v>
      </c>
      <c r="N41" s="578" t="str">
        <f>iIndiRank!Q30</f>
        <v>Zurich</v>
      </c>
      <c r="O41" s="577">
        <f>iIndiRank!R30</f>
        <v>14.7</v>
      </c>
      <c r="P41" s="636">
        <f>IF($J$15=0,iIndiRank!T30,"")</f>
        <v>14.7</v>
      </c>
      <c r="Q41" s="637" t="str">
        <f t="shared" si="0"/>
        <v>||||</v>
      </c>
      <c r="R41" s="579" t="str">
        <f>TEXT(iIndiRank!S30,iIndiRank!$E$2)</f>
        <v>37.8</v>
      </c>
      <c r="S41" s="201"/>
      <c r="T41" s="235"/>
      <c r="U41" s="435"/>
      <c r="V41" s="201">
        <f ca="1">iIndiRank!AT30</f>
        <v>0</v>
      </c>
      <c r="W41" s="574" t="str">
        <f ca="1">iIndiRank!AU30</f>
        <v/>
      </c>
      <c r="X41" s="234"/>
      <c r="Y41" s="575">
        <f ca="1">iIndiRank!AW30</f>
        <v>0</v>
      </c>
      <c r="Z41" s="574" t="str">
        <f ca="1">iIndiRank!AX30</f>
        <v/>
      </c>
      <c r="AA41" s="575"/>
      <c r="AB41" s="575">
        <f ca="1">iIndiRank!AZ30</f>
        <v>0</v>
      </c>
      <c r="AC41" s="574" t="str">
        <f ca="1">iIndiRank!BA30</f>
        <v/>
      </c>
      <c r="AD41" s="575"/>
      <c r="AE41" s="575">
        <f ca="1">iIndiRank!BC30</f>
        <v>0</v>
      </c>
      <c r="AF41" s="576" t="str">
        <f ca="1">iIndiRank!BD30</f>
        <v/>
      </c>
      <c r="AG41" s="201"/>
      <c r="AH41" s="201">
        <f ca="1">iIndiRank!BF30</f>
        <v>0</v>
      </c>
      <c r="AI41" s="434" t="str">
        <f ca="1">iIndiRank!BG30</f>
        <v/>
      </c>
      <c r="AJ41" s="201"/>
      <c r="AK41" s="703"/>
      <c r="AL41" s="317"/>
      <c r="AR41" s="427"/>
      <c r="AT41" s="427"/>
      <c r="AZ41" s="253"/>
      <c r="BA41" s="253"/>
      <c r="BB41" s="253"/>
      <c r="BC41" s="253"/>
      <c r="BD41" s="253"/>
      <c r="BE41" s="253"/>
      <c r="BF41" s="253"/>
      <c r="BG41" s="253"/>
      <c r="BH41" s="253"/>
      <c r="BI41" s="253"/>
      <c r="BJ41" s="253"/>
      <c r="BK41" s="253"/>
      <c r="BL41" s="253"/>
      <c r="BM41" s="253"/>
      <c r="BN41" s="253"/>
      <c r="BO41" s="253"/>
    </row>
    <row r="42" spans="1:67" ht="19.899999999999999" customHeight="1">
      <c r="A42" s="165"/>
      <c r="B42" s="428"/>
      <c r="C42" s="1105"/>
      <c r="D42" s="1105"/>
      <c r="E42" s="1105"/>
      <c r="F42" s="1105"/>
      <c r="G42" s="432"/>
      <c r="H42" s="165"/>
      <c r="I42" s="165"/>
      <c r="J42" s="193">
        <f>iIndiRank!L31</f>
        <v>1</v>
      </c>
      <c r="K42" s="193">
        <f>IF(J42=0,4,IF($J$15=1,8,IF(P42&lt;=uxb_works!$B$122,0,IF(P42&lt;=uxb_works!$B$121,1,IF(P42&lt;=uxb_works!$B$120,2,3)))))</f>
        <v>0</v>
      </c>
      <c r="L42" s="433"/>
      <c r="M42" s="577">
        <f>IF($K$15=2,"",iIndiRank!P31)</f>
        <v>26</v>
      </c>
      <c r="N42" s="578" t="str">
        <f>iIndiRank!Q31</f>
        <v>Berlin</v>
      </c>
      <c r="O42" s="577">
        <f>iIndiRank!R31</f>
        <v>13.2</v>
      </c>
      <c r="P42" s="636">
        <f>IF($J$15=0,iIndiRank!T31,"")</f>
        <v>13.2</v>
      </c>
      <c r="Q42" s="637" t="str">
        <f t="shared" si="0"/>
        <v>||||</v>
      </c>
      <c r="R42" s="579" t="str">
        <f>TEXT(iIndiRank!S31,iIndiRank!$E$2)</f>
        <v>37.0</v>
      </c>
      <c r="S42" s="201"/>
      <c r="T42" s="235"/>
      <c r="U42" s="435"/>
      <c r="V42" s="201">
        <f ca="1">iIndiRank!AT31</f>
        <v>0</v>
      </c>
      <c r="W42" s="574" t="str">
        <f ca="1">iIndiRank!AU31</f>
        <v/>
      </c>
      <c r="X42" s="234"/>
      <c r="Y42" s="575">
        <f ca="1">iIndiRank!AW31</f>
        <v>0</v>
      </c>
      <c r="Z42" s="574" t="str">
        <f ca="1">iIndiRank!AX31</f>
        <v/>
      </c>
      <c r="AA42" s="575"/>
      <c r="AB42" s="575">
        <f ca="1">iIndiRank!AZ31</f>
        <v>0</v>
      </c>
      <c r="AC42" s="574" t="str">
        <f ca="1">iIndiRank!BA31</f>
        <v/>
      </c>
      <c r="AD42" s="575"/>
      <c r="AE42" s="575">
        <f ca="1">iIndiRank!BC31</f>
        <v>0</v>
      </c>
      <c r="AF42" s="576" t="str">
        <f ca="1">iIndiRank!BD31</f>
        <v/>
      </c>
      <c r="AG42" s="201"/>
      <c r="AH42" s="201">
        <f ca="1">iIndiRank!BF31</f>
        <v>0</v>
      </c>
      <c r="AI42" s="434" t="str">
        <f ca="1">iIndiRank!BG31</f>
        <v/>
      </c>
      <c r="AJ42" s="201"/>
      <c r="AK42" s="703"/>
      <c r="AL42" s="317"/>
      <c r="AR42" s="427"/>
      <c r="AT42" s="427"/>
      <c r="AZ42" s="253"/>
      <c r="BA42" s="253"/>
      <c r="BB42" s="253"/>
      <c r="BC42" s="253"/>
      <c r="BD42" s="253"/>
      <c r="BE42" s="253"/>
      <c r="BF42" s="253"/>
      <c r="BG42" s="253"/>
      <c r="BH42" s="253"/>
      <c r="BI42" s="253"/>
      <c r="BJ42" s="253"/>
      <c r="BK42" s="253"/>
      <c r="BL42" s="253"/>
      <c r="BM42" s="253"/>
      <c r="BN42" s="253"/>
      <c r="BO42" s="253"/>
    </row>
    <row r="43" spans="1:67" ht="19.899999999999999" customHeight="1">
      <c r="A43" s="165"/>
      <c r="B43" s="428"/>
      <c r="C43" s="1105"/>
      <c r="D43" s="1105"/>
      <c r="E43" s="1105"/>
      <c r="F43" s="1105"/>
      <c r="G43" s="432"/>
      <c r="H43" s="165"/>
      <c r="I43" s="165"/>
      <c r="J43" s="193">
        <f>iIndiRank!L32</f>
        <v>1</v>
      </c>
      <c r="K43" s="193">
        <f>IF(J43=0,4,IF($J$15=1,8,IF(P43&lt;=uxb_works!$B$122,0,IF(P43&lt;=uxb_works!$B$121,1,IF(P43&lt;=uxb_works!$B$120,2,3)))))</f>
        <v>0</v>
      </c>
      <c r="L43" s="433"/>
      <c r="M43" s="577">
        <f>IF($K$15=2,"",iIndiRank!P32)</f>
        <v>27</v>
      </c>
      <c r="N43" s="578" t="str">
        <f>iIndiRank!Q32</f>
        <v>Amsterdam</v>
      </c>
      <c r="O43" s="577">
        <f>iIndiRank!R32</f>
        <v>12.8</v>
      </c>
      <c r="P43" s="636">
        <f>IF($J$15=0,iIndiRank!T32,"")</f>
        <v>12.8</v>
      </c>
      <c r="Q43" s="637" t="str">
        <f t="shared" si="0"/>
        <v>||||</v>
      </c>
      <c r="R43" s="579" t="str">
        <f>TEXT(iIndiRank!S32,iIndiRank!$E$2)</f>
        <v>36.8</v>
      </c>
      <c r="S43" s="201"/>
      <c r="T43" s="235"/>
      <c r="U43" s="435"/>
      <c r="V43" s="201">
        <f ca="1">iIndiRank!AT32</f>
        <v>0</v>
      </c>
      <c r="W43" s="574" t="str">
        <f ca="1">iIndiRank!AU32</f>
        <v/>
      </c>
      <c r="X43" s="234"/>
      <c r="Y43" s="575">
        <f ca="1">iIndiRank!AW32</f>
        <v>0</v>
      </c>
      <c r="Z43" s="574" t="str">
        <f ca="1">iIndiRank!AX32</f>
        <v/>
      </c>
      <c r="AA43" s="575"/>
      <c r="AB43" s="575">
        <f ca="1">iIndiRank!AZ32</f>
        <v>0</v>
      </c>
      <c r="AC43" s="574" t="str">
        <f ca="1">iIndiRank!BA32</f>
        <v/>
      </c>
      <c r="AD43" s="575"/>
      <c r="AE43" s="575">
        <f ca="1">iIndiRank!BC32</f>
        <v>0</v>
      </c>
      <c r="AF43" s="576" t="str">
        <f ca="1">iIndiRank!BD32</f>
        <v/>
      </c>
      <c r="AG43" s="201"/>
      <c r="AH43" s="201">
        <f ca="1">iIndiRank!BF32</f>
        <v>0</v>
      </c>
      <c r="AI43" s="434" t="str">
        <f ca="1">iIndiRank!BG32</f>
        <v/>
      </c>
      <c r="AJ43" s="201"/>
      <c r="AK43" s="703"/>
      <c r="AL43" s="317"/>
      <c r="AR43" s="427"/>
      <c r="AT43" s="427"/>
      <c r="AZ43" s="253"/>
      <c r="BA43" s="253"/>
      <c r="BB43" s="253"/>
      <c r="BC43" s="253"/>
      <c r="BD43" s="253"/>
      <c r="BE43" s="253"/>
      <c r="BF43" s="253"/>
      <c r="BG43" s="253"/>
      <c r="BH43" s="253"/>
      <c r="BI43" s="253"/>
      <c r="BJ43" s="253"/>
      <c r="BK43" s="253"/>
      <c r="BL43" s="253"/>
      <c r="BM43" s="253"/>
      <c r="BN43" s="253"/>
      <c r="BO43" s="253"/>
    </row>
    <row r="44" spans="1:67" ht="19.899999999999999" customHeight="1">
      <c r="A44" s="165"/>
      <c r="B44" s="428"/>
      <c r="C44" s="1105"/>
      <c r="D44" s="1105"/>
      <c r="E44" s="1105"/>
      <c r="F44" s="1105"/>
      <c r="G44" s="432"/>
      <c r="H44" s="165"/>
      <c r="I44" s="165"/>
      <c r="J44" s="193">
        <f>iIndiRank!L33</f>
        <v>1</v>
      </c>
      <c r="K44" s="193">
        <f>IF(J44=0,4,IF($J$15=1,8,IF(P44&lt;=uxb_works!$B$122,0,IF(P44&lt;=uxb_works!$B$121,1,IF(P44&lt;=uxb_works!$B$120,2,3)))))</f>
        <v>0</v>
      </c>
      <c r="L44" s="433"/>
      <c r="M44" s="577">
        <f>IF($K$15=2,"",iIndiRank!P33)</f>
        <v>28</v>
      </c>
      <c r="N44" s="578" t="str">
        <f>iIndiRank!Q33</f>
        <v>London</v>
      </c>
      <c r="O44" s="577">
        <f>iIndiRank!R33</f>
        <v>8.8000000000000007</v>
      </c>
      <c r="P44" s="636">
        <f>IF($J$15=0,iIndiRank!T33,"")</f>
        <v>8.8000000000000007</v>
      </c>
      <c r="Q44" s="637" t="str">
        <f t="shared" si="0"/>
        <v>||</v>
      </c>
      <c r="R44" s="579" t="str">
        <f>TEXT(iIndiRank!S33,iIndiRank!$E$2)</f>
        <v>34.7</v>
      </c>
      <c r="S44" s="201"/>
      <c r="T44" s="235"/>
      <c r="U44" s="435"/>
      <c r="V44" s="201">
        <f ca="1">iIndiRank!AT33</f>
        <v>0</v>
      </c>
      <c r="W44" s="574" t="str">
        <f ca="1">iIndiRank!AU33</f>
        <v/>
      </c>
      <c r="X44" s="234"/>
      <c r="Y44" s="575">
        <f ca="1">iIndiRank!AW33</f>
        <v>0</v>
      </c>
      <c r="Z44" s="574" t="str">
        <f ca="1">iIndiRank!AX33</f>
        <v/>
      </c>
      <c r="AA44" s="575"/>
      <c r="AB44" s="575">
        <f ca="1">iIndiRank!AZ33</f>
        <v>0</v>
      </c>
      <c r="AC44" s="574" t="str">
        <f ca="1">iIndiRank!BA33</f>
        <v/>
      </c>
      <c r="AD44" s="575"/>
      <c r="AE44" s="575">
        <f ca="1">iIndiRank!BC33</f>
        <v>0</v>
      </c>
      <c r="AF44" s="576" t="str">
        <f ca="1">iIndiRank!BD33</f>
        <v/>
      </c>
      <c r="AG44" s="201"/>
      <c r="AH44" s="201">
        <f ca="1">iIndiRank!BF33</f>
        <v>0</v>
      </c>
      <c r="AI44" s="434" t="str">
        <f ca="1">iIndiRank!BG33</f>
        <v/>
      </c>
      <c r="AJ44" s="201"/>
      <c r="AK44" s="703"/>
      <c r="AL44" s="317"/>
      <c r="AR44" s="427"/>
      <c r="AT44" s="427"/>
      <c r="AZ44" s="253"/>
      <c r="BA44" s="253"/>
      <c r="BB44" s="253"/>
      <c r="BC44" s="253"/>
      <c r="BD44" s="253"/>
      <c r="BE44" s="253"/>
      <c r="BF44" s="253"/>
      <c r="BG44" s="253"/>
      <c r="BH44" s="253"/>
      <c r="BI44" s="253"/>
      <c r="BJ44" s="253"/>
      <c r="BK44" s="253"/>
      <c r="BL44" s="253"/>
      <c r="BM44" s="253"/>
      <c r="BN44" s="253"/>
      <c r="BO44" s="253"/>
    </row>
    <row r="45" spans="1:67" ht="19.899999999999999" customHeight="1">
      <c r="A45" s="165"/>
      <c r="B45" s="428"/>
      <c r="C45" s="1105"/>
      <c r="D45" s="1105"/>
      <c r="E45" s="1105"/>
      <c r="F45" s="1105"/>
      <c r="G45" s="432"/>
      <c r="H45" s="165"/>
      <c r="I45" s="165"/>
      <c r="J45" s="193">
        <f>iIndiRank!L34</f>
        <v>1</v>
      </c>
      <c r="K45" s="193">
        <f>IF(J45=0,4,IF($J$15=1,8,IF(P45&lt;=uxb_works!$B$122,0,IF(P45&lt;=uxb_works!$B$121,1,IF(P45&lt;=uxb_works!$B$120,2,3)))))</f>
        <v>0</v>
      </c>
      <c r="L45" s="433"/>
      <c r="M45" s="577">
        <f>IF($K$15=2,"",iIndiRank!P34)</f>
        <v>29</v>
      </c>
      <c r="N45" s="578" t="str">
        <f>iIndiRank!Q34</f>
        <v>Tokyo</v>
      </c>
      <c r="O45" s="577">
        <f>iIndiRank!R34</f>
        <v>8</v>
      </c>
      <c r="P45" s="636">
        <f>IF($J$15=0,iIndiRank!T34,"")</f>
        <v>8</v>
      </c>
      <c r="Q45" s="637" t="str">
        <f t="shared" si="0"/>
        <v>||</v>
      </c>
      <c r="R45" s="579" t="str">
        <f>TEXT(iIndiRank!S34,iIndiRank!$E$2)</f>
        <v>34.3</v>
      </c>
      <c r="S45" s="201"/>
      <c r="T45" s="235"/>
      <c r="U45" s="435"/>
      <c r="V45" s="201">
        <f ca="1">iIndiRank!AT34</f>
        <v>0</v>
      </c>
      <c r="W45" s="574" t="str">
        <f ca="1">iIndiRank!AU34</f>
        <v/>
      </c>
      <c r="X45" s="234"/>
      <c r="Y45" s="575">
        <f ca="1">iIndiRank!AW34</f>
        <v>0</v>
      </c>
      <c r="Z45" s="574" t="str">
        <f ca="1">iIndiRank!AX34</f>
        <v/>
      </c>
      <c r="AA45" s="575"/>
      <c r="AB45" s="575">
        <f ca="1">iIndiRank!AZ34</f>
        <v>0</v>
      </c>
      <c r="AC45" s="574" t="str">
        <f ca="1">iIndiRank!BA34</f>
        <v/>
      </c>
      <c r="AD45" s="575"/>
      <c r="AE45" s="575">
        <f ca="1">iIndiRank!BC34</f>
        <v>0</v>
      </c>
      <c r="AF45" s="576" t="str">
        <f ca="1">iIndiRank!BD34</f>
        <v/>
      </c>
      <c r="AG45" s="201"/>
      <c r="AH45" s="201">
        <f ca="1">iIndiRank!BF34</f>
        <v>0</v>
      </c>
      <c r="AI45" s="434" t="str">
        <f ca="1">iIndiRank!BG34</f>
        <v/>
      </c>
      <c r="AJ45" s="201"/>
      <c r="AK45" s="703"/>
      <c r="AL45" s="317"/>
      <c r="AR45" s="427"/>
      <c r="AT45" s="427"/>
      <c r="AZ45" s="253"/>
      <c r="BA45" s="253"/>
      <c r="BB45" s="253"/>
      <c r="BC45" s="253"/>
      <c r="BD45" s="253"/>
      <c r="BE45" s="253"/>
      <c r="BF45" s="253"/>
      <c r="BG45" s="253"/>
      <c r="BH45" s="253"/>
      <c r="BI45" s="253"/>
      <c r="BJ45" s="253"/>
      <c r="BK45" s="253"/>
      <c r="BL45" s="253"/>
      <c r="BM45" s="253"/>
      <c r="BN45" s="253"/>
      <c r="BO45" s="253"/>
    </row>
    <row r="46" spans="1:67" ht="19.899999999999999" customHeight="1">
      <c r="A46" s="165"/>
      <c r="B46" s="428"/>
      <c r="C46" s="1105"/>
      <c r="D46" s="1105"/>
      <c r="E46" s="1105"/>
      <c r="F46" s="1105"/>
      <c r="G46" s="432"/>
      <c r="H46" s="165"/>
      <c r="I46" s="165"/>
      <c r="J46" s="193">
        <f>iIndiRank!L35</f>
        <v>1</v>
      </c>
      <c r="K46" s="193">
        <f>IF(J46=0,4,IF($J$15=1,8,IF(P46&lt;=uxb_works!$B$122,0,IF(P46&lt;=uxb_works!$B$121,1,IF(P46&lt;=uxb_works!$B$120,2,3)))))</f>
        <v>0</v>
      </c>
      <c r="L46" s="433"/>
      <c r="M46" s="577">
        <f>IF($K$15=2,"",iIndiRank!P35)</f>
        <v>30</v>
      </c>
      <c r="N46" s="578" t="str">
        <f>iIndiRank!Q35</f>
        <v>Sydney</v>
      </c>
      <c r="O46" s="577">
        <f>iIndiRank!R35</f>
        <v>0</v>
      </c>
      <c r="P46" s="636">
        <f>IF($J$15=0,iIndiRank!T35,"")</f>
        <v>0</v>
      </c>
      <c r="Q46" s="637" t="str">
        <f t="shared" si="0"/>
        <v/>
      </c>
      <c r="R46" s="579" t="str">
        <f>TEXT(iIndiRank!S35,iIndiRank!$E$2)</f>
        <v>30.1</v>
      </c>
      <c r="S46" s="201"/>
      <c r="T46" s="235"/>
      <c r="U46" s="435"/>
      <c r="V46" s="201">
        <f ca="1">iIndiRank!AT35</f>
        <v>0</v>
      </c>
      <c r="W46" s="574" t="str">
        <f ca="1">iIndiRank!AU35</f>
        <v/>
      </c>
      <c r="X46" s="234"/>
      <c r="Y46" s="575">
        <f ca="1">iIndiRank!AW35</f>
        <v>0</v>
      </c>
      <c r="Z46" s="574" t="str">
        <f ca="1">iIndiRank!AX35</f>
        <v/>
      </c>
      <c r="AA46" s="575"/>
      <c r="AB46" s="575">
        <f ca="1">iIndiRank!AZ35</f>
        <v>0</v>
      </c>
      <c r="AC46" s="574" t="str">
        <f ca="1">iIndiRank!BA35</f>
        <v/>
      </c>
      <c r="AD46" s="575"/>
      <c r="AE46" s="575">
        <f ca="1">iIndiRank!BC35</f>
        <v>0</v>
      </c>
      <c r="AF46" s="576" t="str">
        <f ca="1">iIndiRank!BD35</f>
        <v/>
      </c>
      <c r="AG46" s="201"/>
      <c r="AH46" s="201">
        <f ca="1">iIndiRank!BF35</f>
        <v>0</v>
      </c>
      <c r="AI46" s="434" t="str">
        <f ca="1">iIndiRank!BG35</f>
        <v/>
      </c>
      <c r="AJ46" s="201"/>
      <c r="AK46" s="703"/>
      <c r="AL46" s="317"/>
      <c r="AR46" s="427"/>
      <c r="AT46" s="427"/>
      <c r="AZ46" s="253"/>
      <c r="BA46" s="253"/>
      <c r="BB46" s="253"/>
      <c r="BC46" s="253"/>
      <c r="BD46" s="253"/>
      <c r="BE46" s="253"/>
      <c r="BF46" s="253"/>
      <c r="BG46" s="253"/>
      <c r="BH46" s="253"/>
      <c r="BI46" s="253"/>
      <c r="BJ46" s="253"/>
      <c r="BK46" s="253"/>
      <c r="BL46" s="253"/>
      <c r="BM46" s="253"/>
      <c r="BN46" s="253"/>
      <c r="BO46" s="253"/>
    </row>
    <row r="47" spans="1:67" s="367" customFormat="1" ht="27" customHeight="1">
      <c r="C47" s="640"/>
      <c r="D47" s="640"/>
      <c r="E47" s="640"/>
      <c r="F47" s="640"/>
      <c r="W47" s="78"/>
      <c r="Z47" s="78"/>
      <c r="AC47" s="78"/>
      <c r="AF47" s="78"/>
      <c r="AN47" s="21"/>
    </row>
    <row r="48" spans="1:67" s="367" customFormat="1" ht="5.25" customHeight="1">
      <c r="B48" s="438"/>
      <c r="C48" s="438"/>
      <c r="D48" s="438"/>
      <c r="E48" s="438"/>
      <c r="F48" s="438"/>
      <c r="G48" s="437"/>
      <c r="H48" s="437"/>
      <c r="I48" s="437"/>
      <c r="J48" s="437"/>
      <c r="K48" s="437"/>
      <c r="L48" s="437"/>
      <c r="M48" s="437"/>
      <c r="N48" s="437"/>
      <c r="O48" s="437"/>
      <c r="P48" s="437"/>
      <c r="Q48" s="437"/>
      <c r="R48" s="437"/>
      <c r="S48" s="437"/>
      <c r="T48" s="437"/>
      <c r="U48" s="437"/>
      <c r="V48" s="437"/>
      <c r="W48" s="438"/>
      <c r="X48" s="437"/>
      <c r="Y48" s="437"/>
      <c r="Z48" s="438"/>
      <c r="AA48" s="437"/>
      <c r="AB48" s="437"/>
      <c r="AC48" s="438"/>
      <c r="AD48" s="437"/>
      <c r="AE48" s="437"/>
      <c r="AF48" s="438"/>
      <c r="AN48" s="436"/>
    </row>
    <row r="49" spans="1:67" s="367" customFormat="1" ht="14.5">
      <c r="C49" s="518"/>
      <c r="D49" s="518"/>
      <c r="E49" s="518"/>
      <c r="F49" s="518"/>
      <c r="W49" s="78"/>
      <c r="Z49" s="78"/>
      <c r="AC49" s="78"/>
      <c r="AF49" s="78"/>
      <c r="AN49" s="436"/>
    </row>
    <row r="50" spans="1:67" s="183" customFormat="1" ht="14.5">
      <c r="A50" s="157"/>
      <c r="B50" s="177"/>
      <c r="C50" s="518"/>
      <c r="D50" s="518"/>
      <c r="E50" s="518"/>
      <c r="F50" s="518"/>
      <c r="G50" s="439"/>
      <c r="H50" s="157"/>
      <c r="I50" s="157"/>
      <c r="J50" s="182"/>
      <c r="K50" s="182"/>
      <c r="L50" s="182"/>
      <c r="M50" s="182"/>
      <c r="N50" s="182"/>
      <c r="O50" s="182"/>
      <c r="P50" s="182"/>
      <c r="Q50" s="182"/>
      <c r="R50" s="182"/>
      <c r="S50" s="182"/>
      <c r="T50" s="182"/>
      <c r="U50" s="157"/>
      <c r="V50" s="182"/>
      <c r="W50" s="417"/>
      <c r="X50" s="182"/>
      <c r="Y50" s="182"/>
      <c r="Z50" s="418"/>
      <c r="AA50" s="182"/>
      <c r="AB50" s="182"/>
      <c r="AC50" s="418"/>
      <c r="AD50" s="182"/>
      <c r="AE50" s="182"/>
      <c r="AF50" s="417"/>
      <c r="AG50" s="182"/>
      <c r="AH50" s="182"/>
      <c r="AI50" s="182"/>
      <c r="AJ50" s="182"/>
      <c r="AK50" s="182"/>
      <c r="AL50" s="247"/>
      <c r="AM50" s="182"/>
      <c r="AN50" s="419"/>
      <c r="AR50" s="184"/>
      <c r="AT50" s="184"/>
      <c r="AU50" s="182"/>
      <c r="AV50" s="182"/>
      <c r="AW50" s="247"/>
      <c r="AZ50" s="155"/>
      <c r="BA50" s="155"/>
      <c r="BB50" s="155"/>
      <c r="BC50" s="155"/>
      <c r="BD50" s="155"/>
      <c r="BE50" s="155"/>
      <c r="BF50" s="155"/>
      <c r="BG50" s="155"/>
      <c r="BH50" s="155"/>
      <c r="BI50" s="155"/>
      <c r="BJ50" s="155"/>
      <c r="BK50" s="155"/>
      <c r="BL50" s="155"/>
      <c r="BM50" s="155"/>
      <c r="BN50" s="155"/>
      <c r="BO50" s="155"/>
    </row>
    <row r="51" spans="1:67" s="183" customFormat="1" ht="14.5">
      <c r="A51" s="157"/>
      <c r="B51" s="177"/>
      <c r="C51" s="518"/>
      <c r="D51" s="518"/>
      <c r="E51" s="518"/>
      <c r="F51" s="518"/>
      <c r="G51" s="439"/>
      <c r="H51" s="157"/>
      <c r="I51" s="157"/>
      <c r="J51" s="182"/>
      <c r="K51" s="182"/>
      <c r="L51" s="182"/>
      <c r="M51" s="182"/>
      <c r="N51" s="182"/>
      <c r="O51" s="182"/>
      <c r="P51" s="182"/>
      <c r="Q51" s="182"/>
      <c r="R51" s="182"/>
      <c r="S51" s="182"/>
      <c r="T51" s="182"/>
      <c r="U51" s="157"/>
      <c r="V51" s="182"/>
      <c r="W51" s="417"/>
      <c r="X51" s="182"/>
      <c r="Y51" s="182"/>
      <c r="Z51" s="418"/>
      <c r="AA51" s="182"/>
      <c r="AB51" s="182"/>
      <c r="AC51" s="418"/>
      <c r="AD51" s="182"/>
      <c r="AE51" s="182"/>
      <c r="AF51" s="417"/>
      <c r="AG51" s="182"/>
      <c r="AH51" s="182"/>
      <c r="AI51" s="182"/>
      <c r="AJ51" s="182"/>
      <c r="AK51" s="182"/>
      <c r="AL51" s="247"/>
      <c r="AM51" s="182"/>
      <c r="AN51" s="419"/>
      <c r="AR51" s="184"/>
      <c r="AT51" s="184"/>
      <c r="AU51" s="182"/>
      <c r="AV51" s="182"/>
      <c r="AW51" s="247"/>
      <c r="AZ51" s="155"/>
      <c r="BA51" s="155"/>
      <c r="BB51" s="155"/>
      <c r="BC51" s="155"/>
      <c r="BD51" s="155"/>
      <c r="BE51" s="155"/>
      <c r="BF51" s="155"/>
      <c r="BG51" s="155"/>
      <c r="BH51" s="155"/>
      <c r="BI51" s="155"/>
      <c r="BJ51" s="155"/>
      <c r="BK51" s="155"/>
      <c r="BL51" s="155"/>
      <c r="BM51" s="155"/>
      <c r="BN51" s="155"/>
      <c r="BO51" s="155"/>
    </row>
    <row r="52" spans="1:67" s="183" customFormat="1" ht="14.5">
      <c r="A52" s="157"/>
      <c r="B52" s="177"/>
      <c r="C52" s="518"/>
      <c r="D52" s="518"/>
      <c r="E52" s="518"/>
      <c r="F52" s="518"/>
      <c r="G52" s="439"/>
      <c r="H52" s="157"/>
      <c r="I52" s="157"/>
      <c r="J52" s="182"/>
      <c r="K52" s="182"/>
      <c r="L52" s="182"/>
      <c r="M52" s="182"/>
      <c r="N52" s="182"/>
      <c r="O52" s="182"/>
      <c r="P52" s="182"/>
      <c r="Q52" s="182"/>
      <c r="R52" s="182"/>
      <c r="S52" s="182"/>
      <c r="T52" s="182"/>
      <c r="U52" s="157"/>
      <c r="V52" s="182"/>
      <c r="W52" s="417"/>
      <c r="X52" s="182"/>
      <c r="Y52" s="182"/>
      <c r="Z52" s="418"/>
      <c r="AA52" s="182"/>
      <c r="AB52" s="182"/>
      <c r="AC52" s="418"/>
      <c r="AD52" s="182"/>
      <c r="AE52" s="182"/>
      <c r="AF52" s="417"/>
      <c r="AG52" s="182"/>
      <c r="AH52" s="182"/>
      <c r="AI52" s="182"/>
      <c r="AJ52" s="182"/>
      <c r="AK52" s="182"/>
      <c r="AL52" s="247"/>
      <c r="AM52" s="182"/>
      <c r="AN52" s="419"/>
      <c r="AR52" s="184"/>
      <c r="AT52" s="184"/>
      <c r="AU52" s="182"/>
      <c r="AV52" s="182"/>
      <c r="AW52" s="247"/>
      <c r="AZ52" s="155"/>
      <c r="BA52" s="155"/>
      <c r="BB52" s="155"/>
      <c r="BC52" s="155"/>
      <c r="BD52" s="155"/>
      <c r="BE52" s="155"/>
      <c r="BF52" s="155"/>
      <c r="BG52" s="155"/>
      <c r="BH52" s="155"/>
      <c r="BI52" s="155"/>
      <c r="BJ52" s="155"/>
      <c r="BK52" s="155"/>
      <c r="BL52" s="155"/>
      <c r="BM52" s="155"/>
      <c r="BN52" s="155"/>
      <c r="BO52" s="155"/>
    </row>
    <row r="53" spans="1:67" s="183" customFormat="1" ht="14.5">
      <c r="A53" s="157"/>
      <c r="B53" s="177"/>
      <c r="C53" s="432"/>
      <c r="D53" s="432"/>
      <c r="E53" s="432"/>
      <c r="F53" s="432"/>
      <c r="G53" s="439"/>
      <c r="H53" s="157"/>
      <c r="I53" s="157"/>
      <c r="J53" s="182"/>
      <c r="K53" s="182"/>
      <c r="L53" s="182"/>
      <c r="M53" s="182"/>
      <c r="N53" s="182"/>
      <c r="O53" s="182"/>
      <c r="P53" s="182"/>
      <c r="Q53" s="182"/>
      <c r="R53" s="182"/>
      <c r="S53" s="182"/>
      <c r="T53" s="182"/>
      <c r="U53" s="157"/>
      <c r="V53" s="182"/>
      <c r="W53" s="417"/>
      <c r="X53" s="182"/>
      <c r="Y53" s="182"/>
      <c r="Z53" s="418"/>
      <c r="AA53" s="182"/>
      <c r="AB53" s="182"/>
      <c r="AC53" s="418"/>
      <c r="AD53" s="182"/>
      <c r="AE53" s="182"/>
      <c r="AF53" s="417"/>
      <c r="AG53" s="182"/>
      <c r="AH53" s="182"/>
      <c r="AI53" s="182"/>
      <c r="AJ53" s="182"/>
      <c r="AK53" s="182"/>
      <c r="AL53" s="247"/>
      <c r="AM53" s="182"/>
      <c r="AN53" s="419"/>
      <c r="AR53" s="184"/>
      <c r="AT53" s="184"/>
      <c r="AU53" s="182"/>
      <c r="AV53" s="182"/>
      <c r="AW53" s="247"/>
      <c r="AZ53" s="155"/>
      <c r="BA53" s="155"/>
      <c r="BB53" s="155"/>
      <c r="BC53" s="155"/>
      <c r="BD53" s="155"/>
      <c r="BE53" s="155"/>
      <c r="BF53" s="155"/>
      <c r="BG53" s="155"/>
      <c r="BH53" s="155"/>
      <c r="BI53" s="155"/>
      <c r="BJ53" s="155"/>
      <c r="BK53" s="155"/>
      <c r="BL53" s="155"/>
      <c r="BM53" s="155"/>
      <c r="BN53" s="155"/>
      <c r="BO53" s="155"/>
    </row>
    <row r="54" spans="1:67" s="183" customFormat="1" ht="14.5">
      <c r="A54" s="157"/>
      <c r="B54" s="177"/>
      <c r="C54" s="432"/>
      <c r="D54" s="432"/>
      <c r="E54" s="432"/>
      <c r="F54" s="432"/>
      <c r="G54" s="439"/>
      <c r="H54" s="157"/>
      <c r="I54" s="157"/>
      <c r="J54" s="182"/>
      <c r="K54" s="182"/>
      <c r="L54" s="182"/>
      <c r="M54" s="182"/>
      <c r="N54" s="182"/>
      <c r="O54" s="182"/>
      <c r="P54" s="182"/>
      <c r="Q54" s="182"/>
      <c r="R54" s="182"/>
      <c r="S54" s="182"/>
      <c r="T54" s="182"/>
      <c r="U54" s="157"/>
      <c r="V54" s="182"/>
      <c r="W54" s="417"/>
      <c r="X54" s="182"/>
      <c r="Y54" s="182"/>
      <c r="Z54" s="418"/>
      <c r="AA54" s="182"/>
      <c r="AB54" s="182"/>
      <c r="AC54" s="418"/>
      <c r="AD54" s="182"/>
      <c r="AE54" s="182"/>
      <c r="AF54" s="417"/>
      <c r="AG54" s="182"/>
      <c r="AH54" s="182"/>
      <c r="AI54" s="182"/>
      <c r="AJ54" s="182"/>
      <c r="AK54" s="182"/>
      <c r="AL54" s="247"/>
      <c r="AM54" s="182"/>
      <c r="AN54" s="419"/>
      <c r="AR54" s="184"/>
      <c r="AT54" s="184"/>
      <c r="AU54" s="182"/>
      <c r="AV54" s="182"/>
      <c r="AW54" s="247"/>
      <c r="AZ54" s="155"/>
      <c r="BA54" s="155"/>
      <c r="BB54" s="155"/>
      <c r="BC54" s="155"/>
      <c r="BD54" s="155"/>
      <c r="BE54" s="155"/>
      <c r="BF54" s="155"/>
      <c r="BG54" s="155"/>
      <c r="BH54" s="155"/>
      <c r="BI54" s="155"/>
      <c r="BJ54" s="155"/>
      <c r="BK54" s="155"/>
      <c r="BL54" s="155"/>
      <c r="BM54" s="155"/>
      <c r="BN54" s="155"/>
      <c r="BO54" s="155"/>
    </row>
    <row r="55" spans="1:67" s="183" customFormat="1" ht="25.15" customHeight="1">
      <c r="A55" s="157"/>
      <c r="B55" s="177"/>
      <c r="C55" s="432"/>
      <c r="D55" s="432"/>
      <c r="E55" s="432"/>
      <c r="F55" s="432"/>
      <c r="G55" s="439"/>
      <c r="H55" s="157"/>
      <c r="I55" s="157"/>
      <c r="J55" s="182"/>
      <c r="K55" s="182"/>
      <c r="L55" s="182"/>
      <c r="M55" s="182"/>
      <c r="N55" s="182"/>
      <c r="O55" s="182"/>
      <c r="P55" s="182"/>
      <c r="Q55" s="182"/>
      <c r="R55" s="182"/>
      <c r="S55" s="182"/>
      <c r="T55" s="182"/>
      <c r="U55" s="157"/>
      <c r="V55" s="182"/>
      <c r="W55" s="417"/>
      <c r="X55" s="182"/>
      <c r="Y55" s="182"/>
      <c r="Z55" s="418"/>
      <c r="AA55" s="182"/>
      <c r="AB55" s="182"/>
      <c r="AC55" s="418"/>
      <c r="AD55" s="182"/>
      <c r="AE55" s="182"/>
      <c r="AF55" s="417"/>
      <c r="AG55" s="182"/>
      <c r="AH55" s="182"/>
      <c r="AI55" s="182"/>
      <c r="AJ55" s="182"/>
      <c r="AK55" s="182"/>
      <c r="AL55" s="247"/>
      <c r="AM55" s="182"/>
      <c r="AN55" s="419"/>
      <c r="AR55" s="184"/>
      <c r="AT55" s="184"/>
      <c r="AU55" s="182"/>
      <c r="AV55" s="182"/>
      <c r="AW55" s="247"/>
      <c r="AZ55" s="155"/>
      <c r="BA55" s="155"/>
      <c r="BB55" s="155"/>
      <c r="BC55" s="155"/>
      <c r="BD55" s="155"/>
      <c r="BE55" s="155"/>
      <c r="BF55" s="155"/>
      <c r="BG55" s="155"/>
      <c r="BH55" s="155"/>
      <c r="BI55" s="155"/>
      <c r="BJ55" s="155"/>
      <c r="BK55" s="155"/>
      <c r="BL55" s="155"/>
      <c r="BM55" s="155"/>
      <c r="BN55" s="155"/>
      <c r="BO55" s="155"/>
    </row>
    <row r="56" spans="1:67" s="183" customFormat="1" ht="15" customHeight="1">
      <c r="A56" s="157"/>
      <c r="B56" s="177"/>
      <c r="C56" s="432"/>
      <c r="D56" s="432"/>
      <c r="E56" s="432"/>
      <c r="F56" s="432"/>
      <c r="G56" s="439"/>
      <c r="H56" s="157"/>
      <c r="I56" s="157"/>
      <c r="J56" s="182"/>
      <c r="K56" s="182"/>
      <c r="L56" s="182"/>
      <c r="M56" s="182"/>
      <c r="N56" s="182"/>
      <c r="O56" s="182"/>
      <c r="P56" s="182"/>
      <c r="Q56" s="182"/>
      <c r="R56" s="182"/>
      <c r="S56" s="182"/>
      <c r="T56" s="182"/>
      <c r="U56" s="157"/>
      <c r="V56" s="182"/>
      <c r="W56" s="417"/>
      <c r="X56" s="182"/>
      <c r="Y56" s="182"/>
      <c r="Z56" s="418"/>
      <c r="AA56" s="182"/>
      <c r="AB56" s="182"/>
      <c r="AC56" s="418"/>
      <c r="AD56" s="182"/>
      <c r="AE56" s="182"/>
      <c r="AF56" s="417"/>
      <c r="AG56" s="182"/>
      <c r="AH56" s="182"/>
      <c r="AI56" s="182"/>
      <c r="AJ56" s="182"/>
      <c r="AK56" s="182"/>
      <c r="AL56" s="247"/>
      <c r="AM56" s="182"/>
      <c r="AN56" s="419"/>
      <c r="AR56" s="184"/>
      <c r="AT56" s="184"/>
      <c r="AU56" s="182"/>
      <c r="AV56" s="182"/>
      <c r="AW56" s="247"/>
      <c r="AZ56" s="155"/>
      <c r="BA56" s="155"/>
      <c r="BB56" s="155"/>
      <c r="BC56" s="155"/>
      <c r="BD56" s="155"/>
      <c r="BE56" s="155"/>
      <c r="BF56" s="155"/>
      <c r="BG56" s="155"/>
      <c r="BH56" s="155"/>
      <c r="BI56" s="155"/>
      <c r="BJ56" s="155"/>
      <c r="BK56" s="155"/>
      <c r="BL56" s="155"/>
      <c r="BM56" s="155"/>
      <c r="BN56" s="155"/>
      <c r="BO56" s="155"/>
    </row>
    <row r="57" spans="1:67" s="183" customFormat="1" ht="15" customHeight="1">
      <c r="A57" s="157"/>
      <c r="B57" s="177"/>
      <c r="C57" s="432"/>
      <c r="D57" s="432"/>
      <c r="E57" s="432"/>
      <c r="F57" s="432"/>
      <c r="G57" s="439"/>
      <c r="H57" s="157"/>
      <c r="I57" s="157"/>
      <c r="J57" s="182"/>
      <c r="K57" s="182"/>
      <c r="L57" s="182"/>
      <c r="M57" s="182"/>
      <c r="N57" s="182"/>
      <c r="O57" s="182"/>
      <c r="P57" s="182"/>
      <c r="Q57" s="182"/>
      <c r="R57" s="182"/>
      <c r="S57" s="182"/>
      <c r="T57" s="182"/>
      <c r="U57" s="157"/>
      <c r="V57" s="182"/>
      <c r="W57" s="417"/>
      <c r="X57" s="182"/>
      <c r="Y57" s="182"/>
      <c r="Z57" s="418"/>
      <c r="AA57" s="182"/>
      <c r="AB57" s="182"/>
      <c r="AC57" s="418"/>
      <c r="AD57" s="182"/>
      <c r="AE57" s="182"/>
      <c r="AF57" s="417"/>
      <c r="AG57" s="182"/>
      <c r="AH57" s="182"/>
      <c r="AI57" s="182"/>
      <c r="AJ57" s="182"/>
      <c r="AK57" s="182"/>
      <c r="AL57" s="247"/>
      <c r="AM57" s="182"/>
      <c r="AN57" s="419"/>
      <c r="AR57" s="184"/>
      <c r="AT57" s="184"/>
      <c r="AU57" s="182"/>
      <c r="AV57" s="182"/>
      <c r="AW57" s="247"/>
      <c r="AZ57" s="155"/>
      <c r="BA57" s="155"/>
      <c r="BB57" s="155"/>
      <c r="BC57" s="155"/>
      <c r="BD57" s="155"/>
      <c r="BE57" s="155"/>
      <c r="BF57" s="155"/>
      <c r="BG57" s="155"/>
      <c r="BH57" s="155"/>
      <c r="BI57" s="155"/>
      <c r="BJ57" s="155"/>
      <c r="BK57" s="155"/>
      <c r="BL57" s="155"/>
      <c r="BM57" s="155"/>
      <c r="BN57" s="155"/>
      <c r="BO57" s="155"/>
    </row>
    <row r="58" spans="1:67" s="183" customFormat="1" ht="15" customHeight="1">
      <c r="A58" s="157"/>
      <c r="B58" s="177"/>
      <c r="C58" s="432"/>
      <c r="D58" s="432"/>
      <c r="E58" s="432"/>
      <c r="F58" s="432"/>
      <c r="G58" s="439"/>
      <c r="H58" s="157"/>
      <c r="I58" s="157"/>
      <c r="J58" s="182"/>
      <c r="K58" s="182"/>
      <c r="L58" s="182"/>
      <c r="M58" s="182"/>
      <c r="N58" s="182"/>
      <c r="O58" s="182"/>
      <c r="P58" s="182"/>
      <c r="Q58" s="182"/>
      <c r="R58" s="182"/>
      <c r="S58" s="182"/>
      <c r="T58" s="182"/>
      <c r="U58" s="157"/>
      <c r="V58" s="182"/>
      <c r="W58" s="417"/>
      <c r="X58" s="182"/>
      <c r="Y58" s="182"/>
      <c r="Z58" s="418"/>
      <c r="AA58" s="182"/>
      <c r="AB58" s="182"/>
      <c r="AC58" s="418"/>
      <c r="AD58" s="182"/>
      <c r="AE58" s="182"/>
      <c r="AF58" s="417"/>
      <c r="AG58" s="182"/>
      <c r="AH58" s="182"/>
      <c r="AI58" s="182"/>
      <c r="AJ58" s="182"/>
      <c r="AK58" s="182"/>
      <c r="AL58" s="247"/>
      <c r="AM58" s="182"/>
      <c r="AN58" s="419"/>
      <c r="AR58" s="184"/>
      <c r="AT58" s="184"/>
      <c r="AU58" s="182"/>
      <c r="AV58" s="182"/>
      <c r="AW58" s="247"/>
      <c r="AZ58" s="155"/>
      <c r="BA58" s="155"/>
      <c r="BB58" s="155"/>
      <c r="BC58" s="155"/>
      <c r="BD58" s="155"/>
      <c r="BE58" s="155"/>
      <c r="BF58" s="155"/>
      <c r="BG58" s="155"/>
      <c r="BH58" s="155"/>
      <c r="BI58" s="155"/>
      <c r="BJ58" s="155"/>
      <c r="BK58" s="155"/>
      <c r="BL58" s="155"/>
      <c r="BM58" s="155"/>
      <c r="BN58" s="155"/>
      <c r="BO58" s="155"/>
    </row>
    <row r="59" spans="1:67" s="183" customFormat="1" ht="15" customHeight="1">
      <c r="A59" s="157"/>
      <c r="B59" s="177"/>
      <c r="C59" s="432"/>
      <c r="D59" s="432"/>
      <c r="E59" s="432"/>
      <c r="F59" s="432"/>
      <c r="G59" s="439"/>
      <c r="H59" s="157"/>
      <c r="I59" s="157"/>
      <c r="J59" s="182"/>
      <c r="K59" s="182"/>
      <c r="L59" s="182"/>
      <c r="M59" s="182"/>
      <c r="N59" s="182"/>
      <c r="O59" s="182"/>
      <c r="P59" s="182"/>
      <c r="Q59" s="182"/>
      <c r="R59" s="182"/>
      <c r="S59" s="182"/>
      <c r="T59" s="182"/>
      <c r="U59" s="157"/>
      <c r="V59" s="182"/>
      <c r="W59" s="417"/>
      <c r="X59" s="182"/>
      <c r="Y59" s="182"/>
      <c r="Z59" s="418"/>
      <c r="AA59" s="182"/>
      <c r="AB59" s="182"/>
      <c r="AC59" s="418"/>
      <c r="AD59" s="182"/>
      <c r="AE59" s="182"/>
      <c r="AF59" s="417"/>
      <c r="AG59" s="182"/>
      <c r="AH59" s="182"/>
      <c r="AI59" s="182"/>
      <c r="AJ59" s="182"/>
      <c r="AK59" s="182"/>
      <c r="AL59" s="247"/>
      <c r="AM59" s="182"/>
      <c r="AN59" s="419"/>
      <c r="AR59" s="184"/>
      <c r="AT59" s="184"/>
      <c r="AU59" s="182"/>
      <c r="AV59" s="182"/>
      <c r="AW59" s="247"/>
      <c r="AZ59" s="155"/>
      <c r="BA59" s="155"/>
      <c r="BB59" s="155"/>
      <c r="BC59" s="155"/>
      <c r="BD59" s="155"/>
      <c r="BE59" s="155"/>
      <c r="BF59" s="155"/>
      <c r="BG59" s="155"/>
      <c r="BH59" s="155"/>
      <c r="BI59" s="155"/>
      <c r="BJ59" s="155"/>
      <c r="BK59" s="155"/>
      <c r="BL59" s="155"/>
      <c r="BM59" s="155"/>
      <c r="BN59" s="155"/>
      <c r="BO59" s="155"/>
    </row>
    <row r="60" spans="1:67" s="183" customFormat="1" ht="15" customHeight="1">
      <c r="A60" s="157"/>
      <c r="B60" s="177"/>
      <c r="C60" s="439"/>
      <c r="D60" s="439"/>
      <c r="E60" s="439"/>
      <c r="F60" s="439"/>
      <c r="G60" s="439"/>
      <c r="H60" s="157"/>
      <c r="I60" s="157"/>
      <c r="J60" s="182"/>
      <c r="K60" s="182"/>
      <c r="L60" s="182"/>
      <c r="M60" s="182"/>
      <c r="N60" s="182"/>
      <c r="O60" s="182"/>
      <c r="P60" s="182"/>
      <c r="Q60" s="182"/>
      <c r="R60" s="182"/>
      <c r="S60" s="182"/>
      <c r="T60" s="182"/>
      <c r="U60" s="157"/>
      <c r="V60" s="182"/>
      <c r="W60" s="417"/>
      <c r="X60" s="182"/>
      <c r="Y60" s="182"/>
      <c r="Z60" s="418"/>
      <c r="AA60" s="182"/>
      <c r="AB60" s="182"/>
      <c r="AC60" s="418"/>
      <c r="AD60" s="182"/>
      <c r="AE60" s="182"/>
      <c r="AF60" s="417"/>
      <c r="AG60" s="182"/>
      <c r="AH60" s="182"/>
      <c r="AI60" s="182"/>
      <c r="AJ60" s="182"/>
      <c r="AK60" s="182"/>
      <c r="AL60" s="247"/>
      <c r="AM60" s="182"/>
      <c r="AN60" s="419"/>
      <c r="AR60" s="184"/>
      <c r="AT60" s="184"/>
      <c r="AU60" s="182"/>
      <c r="AV60" s="182"/>
      <c r="AW60" s="247"/>
      <c r="AZ60" s="155"/>
      <c r="BA60" s="155"/>
      <c r="BB60" s="155"/>
      <c r="BC60" s="155"/>
      <c r="BD60" s="155"/>
      <c r="BE60" s="155"/>
      <c r="BF60" s="155"/>
      <c r="BG60" s="155"/>
      <c r="BH60" s="155"/>
      <c r="BI60" s="155"/>
      <c r="BJ60" s="155"/>
      <c r="BK60" s="155"/>
      <c r="BL60" s="155"/>
      <c r="BM60" s="155"/>
      <c r="BN60" s="155"/>
      <c r="BO60" s="155"/>
    </row>
    <row r="61" spans="1:67" s="183" customFormat="1" ht="15" customHeight="1">
      <c r="A61" s="157"/>
      <c r="B61" s="177"/>
      <c r="C61" s="439"/>
      <c r="D61" s="439"/>
      <c r="E61" s="439"/>
      <c r="F61" s="439"/>
      <c r="G61" s="439"/>
      <c r="H61" s="157"/>
      <c r="I61" s="157"/>
      <c r="J61" s="182"/>
      <c r="K61" s="182"/>
      <c r="L61" s="182"/>
      <c r="M61" s="182"/>
      <c r="N61" s="182"/>
      <c r="O61" s="182"/>
      <c r="P61" s="182"/>
      <c r="Q61" s="182"/>
      <c r="R61" s="182"/>
      <c r="S61" s="182"/>
      <c r="T61" s="182"/>
      <c r="U61" s="157"/>
      <c r="V61" s="182"/>
      <c r="W61" s="417"/>
      <c r="X61" s="182"/>
      <c r="Y61" s="182"/>
      <c r="Z61" s="418"/>
      <c r="AA61" s="182"/>
      <c r="AB61" s="182"/>
      <c r="AC61" s="418"/>
      <c r="AD61" s="182"/>
      <c r="AE61" s="182"/>
      <c r="AF61" s="417"/>
      <c r="AG61" s="182"/>
      <c r="AH61" s="182"/>
      <c r="AI61" s="182"/>
      <c r="AJ61" s="182"/>
      <c r="AK61" s="182"/>
      <c r="AL61" s="247"/>
      <c r="AM61" s="182"/>
      <c r="AN61" s="419"/>
      <c r="AR61" s="184"/>
      <c r="AT61" s="184"/>
      <c r="AU61" s="182"/>
      <c r="AV61" s="182"/>
      <c r="AW61" s="247"/>
      <c r="AZ61" s="155"/>
      <c r="BA61" s="155"/>
      <c r="BB61" s="155"/>
      <c r="BC61" s="155"/>
      <c r="BD61" s="155"/>
      <c r="BE61" s="155"/>
      <c r="BF61" s="155"/>
      <c r="BG61" s="155"/>
      <c r="BH61" s="155"/>
      <c r="BI61" s="155"/>
      <c r="BJ61" s="155"/>
      <c r="BK61" s="155"/>
      <c r="BL61" s="155"/>
      <c r="BM61" s="155"/>
      <c r="BN61" s="155"/>
      <c r="BO61" s="155"/>
    </row>
    <row r="62" spans="1:67" s="183" customFormat="1" ht="16.149999999999999" customHeight="1">
      <c r="A62" s="157"/>
      <c r="B62" s="177"/>
      <c r="C62" s="439"/>
      <c r="D62" s="439"/>
      <c r="E62" s="439"/>
      <c r="F62" s="439"/>
      <c r="G62" s="439"/>
      <c r="H62" s="157"/>
      <c r="I62" s="157"/>
      <c r="J62" s="182"/>
      <c r="K62" s="182"/>
      <c r="L62" s="182"/>
      <c r="M62" s="182"/>
      <c r="N62" s="182"/>
      <c r="O62" s="182"/>
      <c r="P62" s="182"/>
      <c r="Q62" s="182"/>
      <c r="R62" s="182"/>
      <c r="S62" s="182"/>
      <c r="T62" s="182"/>
      <c r="U62" s="157"/>
      <c r="V62" s="182"/>
      <c r="W62" s="417"/>
      <c r="X62" s="182"/>
      <c r="Y62" s="182"/>
      <c r="Z62" s="418"/>
      <c r="AA62" s="182"/>
      <c r="AB62" s="182"/>
      <c r="AC62" s="418"/>
      <c r="AD62" s="182"/>
      <c r="AE62" s="182"/>
      <c r="AF62" s="417"/>
      <c r="AG62" s="182"/>
      <c r="AH62" s="182"/>
      <c r="AI62" s="182"/>
      <c r="AJ62" s="182"/>
      <c r="AK62" s="182"/>
      <c r="AL62" s="247"/>
      <c r="AM62" s="182"/>
      <c r="AN62" s="419"/>
      <c r="AR62" s="184"/>
      <c r="AT62" s="184"/>
      <c r="AU62" s="182"/>
      <c r="AV62" s="182"/>
      <c r="AW62" s="247"/>
      <c r="AZ62" s="155"/>
      <c r="BA62" s="155"/>
      <c r="BB62" s="155"/>
      <c r="BC62" s="155"/>
      <c r="BD62" s="155"/>
      <c r="BE62" s="155"/>
      <c r="BF62" s="155"/>
      <c r="BG62" s="155"/>
      <c r="BH62" s="155"/>
      <c r="BI62" s="155"/>
      <c r="BJ62" s="155"/>
      <c r="BK62" s="155"/>
      <c r="BL62" s="155"/>
      <c r="BM62" s="155"/>
      <c r="BN62" s="155"/>
      <c r="BO62" s="155"/>
    </row>
    <row r="63" spans="1:67" s="183" customFormat="1" ht="16.149999999999999" customHeight="1">
      <c r="A63" s="157"/>
      <c r="B63" s="177"/>
      <c r="C63" s="439"/>
      <c r="D63" s="439"/>
      <c r="E63" s="439"/>
      <c r="F63" s="439"/>
      <c r="G63" s="439"/>
      <c r="H63" s="157"/>
      <c r="I63" s="157"/>
      <c r="J63" s="182"/>
      <c r="K63" s="182"/>
      <c r="L63" s="182"/>
      <c r="M63" s="182"/>
      <c r="N63" s="182"/>
      <c r="O63" s="182"/>
      <c r="P63" s="182"/>
      <c r="Q63" s="182"/>
      <c r="R63" s="182"/>
      <c r="S63" s="182"/>
      <c r="T63" s="182"/>
      <c r="U63" s="157"/>
      <c r="V63" s="182"/>
      <c r="W63" s="417"/>
      <c r="X63" s="182"/>
      <c r="Y63" s="182"/>
      <c r="Z63" s="418"/>
      <c r="AA63" s="182"/>
      <c r="AB63" s="182"/>
      <c r="AC63" s="418"/>
      <c r="AD63" s="182"/>
      <c r="AE63" s="182"/>
      <c r="AF63" s="417"/>
      <c r="AG63" s="182"/>
      <c r="AH63" s="182"/>
      <c r="AI63" s="182"/>
      <c r="AJ63" s="182"/>
      <c r="AK63" s="182"/>
      <c r="AL63" s="247"/>
      <c r="AM63" s="182"/>
      <c r="AN63" s="419"/>
      <c r="AR63" s="184"/>
      <c r="AT63" s="184"/>
      <c r="AU63" s="182"/>
      <c r="AV63" s="182"/>
      <c r="AW63" s="247"/>
      <c r="AZ63" s="155"/>
      <c r="BA63" s="155"/>
      <c r="BB63" s="155"/>
      <c r="BC63" s="155"/>
      <c r="BD63" s="155"/>
      <c r="BE63" s="155"/>
      <c r="BF63" s="155"/>
      <c r="BG63" s="155"/>
      <c r="BH63" s="155"/>
      <c r="BI63" s="155"/>
      <c r="BJ63" s="155"/>
      <c r="BK63" s="155"/>
      <c r="BL63" s="155"/>
      <c r="BM63" s="155"/>
      <c r="BN63" s="155"/>
      <c r="BO63" s="155"/>
    </row>
    <row r="64" spans="1:67" s="183" customFormat="1" ht="16.149999999999999" customHeight="1">
      <c r="A64" s="157"/>
      <c r="B64" s="177"/>
      <c r="C64" s="439"/>
      <c r="D64" s="439"/>
      <c r="E64" s="439"/>
      <c r="F64" s="439"/>
      <c r="G64" s="439"/>
      <c r="H64" s="157"/>
      <c r="I64" s="157"/>
      <c r="J64" s="182"/>
      <c r="K64" s="182"/>
      <c r="L64" s="182"/>
      <c r="M64" s="182"/>
      <c r="N64" s="182"/>
      <c r="O64" s="182"/>
      <c r="P64" s="182"/>
      <c r="Q64" s="182"/>
      <c r="R64" s="182"/>
      <c r="S64" s="182"/>
      <c r="T64" s="182"/>
      <c r="U64" s="157"/>
      <c r="V64" s="182"/>
      <c r="W64" s="417"/>
      <c r="X64" s="182"/>
      <c r="Y64" s="182"/>
      <c r="Z64" s="418"/>
      <c r="AA64" s="182"/>
      <c r="AB64" s="182"/>
      <c r="AC64" s="418"/>
      <c r="AD64" s="182"/>
      <c r="AE64" s="182"/>
      <c r="AF64" s="417"/>
      <c r="AG64" s="182"/>
      <c r="AH64" s="182"/>
      <c r="AI64" s="182"/>
      <c r="AJ64" s="182"/>
      <c r="AK64" s="182"/>
      <c r="AL64" s="247"/>
      <c r="AM64" s="182"/>
      <c r="AN64" s="419"/>
      <c r="AR64" s="184"/>
      <c r="AT64" s="184"/>
      <c r="AU64" s="182"/>
      <c r="AV64" s="182"/>
      <c r="AW64" s="247"/>
      <c r="AZ64" s="155"/>
      <c r="BA64" s="155"/>
      <c r="BB64" s="155"/>
      <c r="BC64" s="155"/>
      <c r="BD64" s="155"/>
      <c r="BE64" s="155"/>
      <c r="BF64" s="155"/>
      <c r="BG64" s="155"/>
      <c r="BH64" s="155"/>
      <c r="BI64" s="155"/>
      <c r="BJ64" s="155"/>
      <c r="BK64" s="155"/>
      <c r="BL64" s="155"/>
      <c r="BM64" s="155"/>
      <c r="BN64" s="155"/>
      <c r="BO64" s="155"/>
    </row>
    <row r="65" spans="1:67" s="183" customFormat="1" ht="16.149999999999999" customHeight="1">
      <c r="A65" s="157"/>
      <c r="B65" s="177"/>
      <c r="C65" s="439"/>
      <c r="D65" s="439"/>
      <c r="E65" s="439"/>
      <c r="F65" s="439"/>
      <c r="G65" s="439"/>
      <c r="H65" s="157"/>
      <c r="I65" s="157"/>
      <c r="J65" s="182"/>
      <c r="K65" s="182"/>
      <c r="L65" s="182"/>
      <c r="M65" s="182"/>
      <c r="N65" s="182"/>
      <c r="O65" s="182"/>
      <c r="P65" s="182"/>
      <c r="Q65" s="182"/>
      <c r="R65" s="182"/>
      <c r="S65" s="182"/>
      <c r="T65" s="182"/>
      <c r="U65" s="157"/>
      <c r="V65" s="182"/>
      <c r="W65" s="417"/>
      <c r="X65" s="182"/>
      <c r="Y65" s="182"/>
      <c r="Z65" s="418"/>
      <c r="AA65" s="182"/>
      <c r="AB65" s="182"/>
      <c r="AC65" s="418"/>
      <c r="AD65" s="182"/>
      <c r="AE65" s="182"/>
      <c r="AF65" s="417"/>
      <c r="AG65" s="182"/>
      <c r="AH65" s="182"/>
      <c r="AI65" s="182"/>
      <c r="AJ65" s="182"/>
      <c r="AK65" s="182"/>
      <c r="AL65" s="247"/>
      <c r="AM65" s="182"/>
      <c r="AN65" s="419"/>
      <c r="AR65" s="184"/>
      <c r="AT65" s="184"/>
      <c r="AU65" s="182"/>
      <c r="AV65" s="182"/>
      <c r="AW65" s="247"/>
      <c r="AZ65" s="155"/>
      <c r="BA65" s="155"/>
      <c r="BB65" s="155"/>
      <c r="BC65" s="155"/>
      <c r="BD65" s="155"/>
      <c r="BE65" s="155"/>
      <c r="BF65" s="155"/>
      <c r="BG65" s="155"/>
      <c r="BH65" s="155"/>
      <c r="BI65" s="155"/>
      <c r="BJ65" s="155"/>
      <c r="BK65" s="155"/>
      <c r="BL65" s="155"/>
      <c r="BM65" s="155"/>
      <c r="BN65" s="155"/>
      <c r="BO65" s="155"/>
    </row>
    <row r="66" spans="1:67" s="183" customFormat="1" ht="16.149999999999999" customHeight="1">
      <c r="A66" s="157"/>
      <c r="B66" s="177"/>
      <c r="C66" s="439"/>
      <c r="D66" s="439"/>
      <c r="E66" s="439"/>
      <c r="F66" s="439"/>
      <c r="G66" s="439"/>
      <c r="H66" s="157"/>
      <c r="I66" s="157"/>
      <c r="J66" s="182"/>
      <c r="K66" s="182"/>
      <c r="L66" s="182"/>
      <c r="M66" s="182"/>
      <c r="N66" s="182"/>
      <c r="O66" s="182"/>
      <c r="P66" s="182"/>
      <c r="Q66" s="182"/>
      <c r="R66" s="182"/>
      <c r="S66" s="182"/>
      <c r="T66" s="182"/>
      <c r="U66" s="157"/>
      <c r="V66" s="182"/>
      <c r="W66" s="417"/>
      <c r="X66" s="182"/>
      <c r="Y66" s="182"/>
      <c r="Z66" s="418"/>
      <c r="AA66" s="182"/>
      <c r="AB66" s="182"/>
      <c r="AC66" s="418"/>
      <c r="AD66" s="182"/>
      <c r="AE66" s="182"/>
      <c r="AF66" s="417"/>
      <c r="AG66" s="182"/>
      <c r="AH66" s="182"/>
      <c r="AI66" s="182"/>
      <c r="AJ66" s="182"/>
      <c r="AK66" s="182"/>
      <c r="AL66" s="247"/>
      <c r="AM66" s="182"/>
      <c r="AN66" s="419"/>
      <c r="AR66" s="184"/>
      <c r="AT66" s="184"/>
      <c r="AU66" s="182"/>
      <c r="AV66" s="182"/>
      <c r="AW66" s="247"/>
      <c r="AZ66" s="155"/>
      <c r="BA66" s="155"/>
      <c r="BB66" s="155"/>
      <c r="BC66" s="155"/>
      <c r="BD66" s="155"/>
      <c r="BE66" s="155"/>
      <c r="BF66" s="155"/>
      <c r="BG66" s="155"/>
      <c r="BH66" s="155"/>
      <c r="BI66" s="155"/>
      <c r="BJ66" s="155"/>
      <c r="BK66" s="155"/>
      <c r="BL66" s="155"/>
      <c r="BM66" s="155"/>
      <c r="BN66" s="155"/>
      <c r="BO66" s="155"/>
    </row>
    <row r="67" spans="1:67" s="183" customFormat="1" ht="16.149999999999999" customHeight="1">
      <c r="A67" s="157"/>
      <c r="B67" s="177"/>
      <c r="C67" s="439"/>
      <c r="D67" s="439"/>
      <c r="E67" s="439"/>
      <c r="F67" s="439"/>
      <c r="G67" s="439"/>
      <c r="H67" s="157"/>
      <c r="I67" s="157"/>
      <c r="J67" s="182"/>
      <c r="K67" s="182"/>
      <c r="L67" s="182"/>
      <c r="M67" s="182"/>
      <c r="N67" s="182"/>
      <c r="O67" s="182"/>
      <c r="P67" s="182"/>
      <c r="Q67" s="182"/>
      <c r="R67" s="182"/>
      <c r="S67" s="182"/>
      <c r="T67" s="182"/>
      <c r="U67" s="157"/>
      <c r="V67" s="182"/>
      <c r="W67" s="417"/>
      <c r="X67" s="182"/>
      <c r="Y67" s="182"/>
      <c r="Z67" s="418"/>
      <c r="AA67" s="182"/>
      <c r="AB67" s="182"/>
      <c r="AC67" s="418"/>
      <c r="AD67" s="182"/>
      <c r="AE67" s="182"/>
      <c r="AF67" s="417"/>
      <c r="AG67" s="182"/>
      <c r="AH67" s="182"/>
      <c r="AI67" s="182"/>
      <c r="AJ67" s="182"/>
      <c r="AK67" s="182"/>
      <c r="AL67" s="247"/>
      <c r="AM67" s="182"/>
      <c r="AN67" s="419"/>
      <c r="AR67" s="184"/>
      <c r="AT67" s="184"/>
      <c r="AU67" s="182"/>
      <c r="AV67" s="182"/>
      <c r="AW67" s="247"/>
      <c r="AZ67" s="155"/>
      <c r="BA67" s="155"/>
      <c r="BB67" s="155"/>
      <c r="BC67" s="155"/>
      <c r="BD67" s="155"/>
      <c r="BE67" s="155"/>
      <c r="BF67" s="155"/>
      <c r="BG67" s="155"/>
      <c r="BH67" s="155"/>
      <c r="BI67" s="155"/>
      <c r="BJ67" s="155"/>
      <c r="BK67" s="155"/>
      <c r="BL67" s="155"/>
      <c r="BM67" s="155"/>
      <c r="BN67" s="155"/>
      <c r="BO67" s="155"/>
    </row>
    <row r="68" spans="1:67" s="183" customFormat="1" ht="16.149999999999999" customHeight="1">
      <c r="A68" s="157"/>
      <c r="B68" s="177"/>
      <c r="C68" s="439"/>
      <c r="D68" s="439"/>
      <c r="E68" s="439"/>
      <c r="F68" s="439"/>
      <c r="G68" s="439"/>
      <c r="H68" s="157"/>
      <c r="I68" s="157"/>
      <c r="J68" s="182"/>
      <c r="K68" s="182"/>
      <c r="L68" s="182"/>
      <c r="M68" s="182"/>
      <c r="N68" s="182"/>
      <c r="O68" s="182"/>
      <c r="P68" s="182"/>
      <c r="Q68" s="182"/>
      <c r="R68" s="182"/>
      <c r="S68" s="182"/>
      <c r="T68" s="182"/>
      <c r="U68" s="157"/>
      <c r="V68" s="182"/>
      <c r="W68" s="417"/>
      <c r="X68" s="182"/>
      <c r="Y68" s="182"/>
      <c r="Z68" s="418"/>
      <c r="AA68" s="182"/>
      <c r="AB68" s="182"/>
      <c r="AC68" s="418"/>
      <c r="AD68" s="182"/>
      <c r="AE68" s="182"/>
      <c r="AF68" s="417"/>
      <c r="AG68" s="182"/>
      <c r="AH68" s="182"/>
      <c r="AI68" s="182"/>
      <c r="AJ68" s="182"/>
      <c r="AK68" s="182"/>
      <c r="AL68" s="247"/>
      <c r="AM68" s="182"/>
      <c r="AN68" s="419"/>
      <c r="AR68" s="184"/>
      <c r="AT68" s="184"/>
      <c r="AU68" s="182"/>
      <c r="AV68" s="182"/>
      <c r="AW68" s="247"/>
      <c r="AZ68" s="155"/>
      <c r="BA68" s="155"/>
      <c r="BB68" s="155"/>
      <c r="BC68" s="155"/>
      <c r="BD68" s="155"/>
      <c r="BE68" s="155"/>
      <c r="BF68" s="155"/>
      <c r="BG68" s="155"/>
      <c r="BH68" s="155"/>
      <c r="BI68" s="155"/>
      <c r="BJ68" s="155"/>
      <c r="BK68" s="155"/>
      <c r="BL68" s="155"/>
      <c r="BM68" s="155"/>
      <c r="BN68" s="155"/>
      <c r="BO68" s="155"/>
    </row>
    <row r="69" spans="1:67" s="183" customFormat="1" ht="16.149999999999999" customHeight="1">
      <c r="A69" s="157"/>
      <c r="B69" s="177"/>
      <c r="C69" s="440"/>
      <c r="D69" s="440"/>
      <c r="E69" s="440"/>
      <c r="F69" s="440"/>
      <c r="G69" s="440"/>
      <c r="H69" s="157"/>
      <c r="I69" s="157"/>
      <c r="J69" s="182"/>
      <c r="K69" s="182"/>
      <c r="L69" s="182"/>
      <c r="M69" s="182"/>
      <c r="N69" s="182"/>
      <c r="O69" s="182"/>
      <c r="P69" s="182"/>
      <c r="Q69" s="182"/>
      <c r="R69" s="182"/>
      <c r="S69" s="182"/>
      <c r="T69" s="182"/>
      <c r="U69" s="157"/>
      <c r="V69" s="182"/>
      <c r="W69" s="417"/>
      <c r="X69" s="182"/>
      <c r="Y69" s="182"/>
      <c r="Z69" s="418"/>
      <c r="AA69" s="182"/>
      <c r="AB69" s="182"/>
      <c r="AC69" s="418"/>
      <c r="AD69" s="182"/>
      <c r="AE69" s="182"/>
      <c r="AF69" s="417"/>
      <c r="AG69" s="182"/>
      <c r="AH69" s="182"/>
      <c r="AI69" s="182"/>
      <c r="AJ69" s="182"/>
      <c r="AK69" s="182"/>
      <c r="AL69" s="247"/>
      <c r="AM69" s="182"/>
      <c r="AN69" s="419"/>
      <c r="AR69" s="184"/>
      <c r="AT69" s="184"/>
      <c r="AU69" s="182"/>
      <c r="AV69" s="182"/>
      <c r="AW69" s="247"/>
      <c r="AZ69" s="155"/>
      <c r="BA69" s="155"/>
      <c r="BB69" s="155"/>
      <c r="BC69" s="155"/>
      <c r="BD69" s="155"/>
      <c r="BE69" s="155"/>
      <c r="BF69" s="155"/>
      <c r="BG69" s="155"/>
      <c r="BH69" s="155"/>
      <c r="BI69" s="155"/>
      <c r="BJ69" s="155"/>
      <c r="BK69" s="155"/>
      <c r="BL69" s="155"/>
      <c r="BM69" s="155"/>
      <c r="BN69" s="155"/>
      <c r="BO69" s="155"/>
    </row>
    <row r="70" spans="1:67" s="183" customFormat="1" ht="16.149999999999999" customHeight="1">
      <c r="A70" s="157"/>
      <c r="B70" s="177"/>
      <c r="C70" s="440"/>
      <c r="D70" s="440"/>
      <c r="E70" s="440"/>
      <c r="F70" s="440"/>
      <c r="G70" s="440"/>
      <c r="H70" s="157"/>
      <c r="I70" s="157"/>
      <c r="J70" s="182"/>
      <c r="K70" s="182"/>
      <c r="L70" s="182"/>
      <c r="M70" s="182"/>
      <c r="N70" s="182"/>
      <c r="O70" s="182"/>
      <c r="P70" s="182"/>
      <c r="Q70" s="182"/>
      <c r="R70" s="182"/>
      <c r="S70" s="182"/>
      <c r="T70" s="182"/>
      <c r="U70" s="157"/>
      <c r="V70" s="182"/>
      <c r="W70" s="417"/>
      <c r="X70" s="182"/>
      <c r="Y70" s="182"/>
      <c r="Z70" s="418"/>
      <c r="AA70" s="182"/>
      <c r="AB70" s="182"/>
      <c r="AC70" s="418"/>
      <c r="AD70" s="182"/>
      <c r="AE70" s="182"/>
      <c r="AF70" s="417"/>
      <c r="AG70" s="182"/>
      <c r="AH70" s="182"/>
      <c r="AI70" s="182"/>
      <c r="AJ70" s="182"/>
      <c r="AK70" s="182"/>
      <c r="AL70" s="247"/>
      <c r="AM70" s="182"/>
      <c r="AN70" s="419"/>
      <c r="AR70" s="184"/>
      <c r="AT70" s="184"/>
      <c r="AU70" s="182"/>
      <c r="AV70" s="182"/>
      <c r="AW70" s="247"/>
      <c r="AZ70" s="155"/>
      <c r="BA70" s="155"/>
      <c r="BB70" s="155"/>
      <c r="BC70" s="155"/>
      <c r="BD70" s="155"/>
      <c r="BE70" s="155"/>
      <c r="BF70" s="155"/>
      <c r="BG70" s="155"/>
      <c r="BH70" s="155"/>
      <c r="BI70" s="155"/>
      <c r="BJ70" s="155"/>
      <c r="BK70" s="155"/>
      <c r="BL70" s="155"/>
      <c r="BM70" s="155"/>
      <c r="BN70" s="155"/>
      <c r="BO70" s="155"/>
    </row>
    <row r="71" spans="1:67" s="183" customFormat="1" ht="16.149999999999999" customHeight="1">
      <c r="A71" s="157"/>
      <c r="B71" s="177"/>
      <c r="C71" s="440"/>
      <c r="D71" s="440"/>
      <c r="E71" s="440"/>
      <c r="F71" s="440"/>
      <c r="G71" s="440"/>
      <c r="H71" s="157"/>
      <c r="I71" s="157"/>
      <c r="J71" s="182"/>
      <c r="K71" s="182"/>
      <c r="L71" s="182"/>
      <c r="M71" s="182"/>
      <c r="N71" s="182"/>
      <c r="O71" s="182"/>
      <c r="P71" s="182"/>
      <c r="Q71" s="182"/>
      <c r="R71" s="182"/>
      <c r="S71" s="182"/>
      <c r="T71" s="182"/>
      <c r="U71" s="157"/>
      <c r="V71" s="182"/>
      <c r="W71" s="417"/>
      <c r="X71" s="182"/>
      <c r="Y71" s="182"/>
      <c r="Z71" s="418"/>
      <c r="AA71" s="182"/>
      <c r="AB71" s="182"/>
      <c r="AC71" s="418"/>
      <c r="AD71" s="182"/>
      <c r="AE71" s="182"/>
      <c r="AF71" s="417"/>
      <c r="AG71" s="182"/>
      <c r="AH71" s="182"/>
      <c r="AI71" s="182"/>
      <c r="AJ71" s="182"/>
      <c r="AK71" s="182"/>
      <c r="AL71" s="247"/>
      <c r="AM71" s="182"/>
      <c r="AN71" s="419"/>
      <c r="AR71" s="184"/>
      <c r="AT71" s="184"/>
      <c r="AU71" s="182"/>
      <c r="AV71" s="182"/>
      <c r="AW71" s="247"/>
      <c r="AZ71" s="155"/>
      <c r="BA71" s="155"/>
      <c r="BB71" s="155"/>
      <c r="BC71" s="155"/>
      <c r="BD71" s="155"/>
      <c r="BE71" s="155"/>
      <c r="BF71" s="155"/>
      <c r="BG71" s="155"/>
      <c r="BH71" s="155"/>
      <c r="BI71" s="155"/>
      <c r="BJ71" s="155"/>
      <c r="BK71" s="155"/>
      <c r="BL71" s="155"/>
      <c r="BM71" s="155"/>
      <c r="BN71" s="155"/>
      <c r="BO71" s="155"/>
    </row>
    <row r="72" spans="1:67" s="183" customFormat="1" ht="16.149999999999999" customHeight="1">
      <c r="A72" s="157"/>
      <c r="B72" s="177"/>
      <c r="C72" s="440"/>
      <c r="D72" s="440"/>
      <c r="E72" s="440"/>
      <c r="F72" s="440"/>
      <c r="G72" s="440"/>
      <c r="H72" s="157"/>
      <c r="I72" s="157"/>
      <c r="J72" s="182"/>
      <c r="K72" s="182"/>
      <c r="L72" s="182"/>
      <c r="M72" s="182"/>
      <c r="N72" s="182"/>
      <c r="O72" s="182"/>
      <c r="P72" s="182"/>
      <c r="Q72" s="182"/>
      <c r="R72" s="182"/>
      <c r="S72" s="182"/>
      <c r="T72" s="182"/>
      <c r="U72" s="157"/>
      <c r="V72" s="182"/>
      <c r="W72" s="417"/>
      <c r="X72" s="182"/>
      <c r="Y72" s="182"/>
      <c r="Z72" s="418"/>
      <c r="AA72" s="182"/>
      <c r="AB72" s="182"/>
      <c r="AC72" s="418"/>
      <c r="AD72" s="182"/>
      <c r="AE72" s="182"/>
      <c r="AF72" s="417"/>
      <c r="AG72" s="182"/>
      <c r="AH72" s="182"/>
      <c r="AI72" s="182"/>
      <c r="AJ72" s="182"/>
      <c r="AK72" s="182"/>
      <c r="AL72" s="247"/>
      <c r="AM72" s="182"/>
      <c r="AN72" s="419"/>
      <c r="AR72" s="184"/>
      <c r="AT72" s="184"/>
      <c r="AU72" s="182"/>
      <c r="AV72" s="182"/>
      <c r="AW72" s="247"/>
      <c r="AZ72" s="155"/>
      <c r="BA72" s="155"/>
      <c r="BB72" s="155"/>
      <c r="BC72" s="155"/>
      <c r="BD72" s="155"/>
      <c r="BE72" s="155"/>
      <c r="BF72" s="155"/>
      <c r="BG72" s="155"/>
      <c r="BH72" s="155"/>
      <c r="BI72" s="155"/>
      <c r="BJ72" s="155"/>
      <c r="BK72" s="155"/>
      <c r="BL72" s="155"/>
      <c r="BM72" s="155"/>
      <c r="BN72" s="155"/>
      <c r="BO72" s="155"/>
    </row>
    <row r="73" spans="1:67" s="183" customFormat="1" ht="16.149999999999999" customHeight="1">
      <c r="A73" s="157"/>
      <c r="B73" s="177"/>
      <c r="C73" s="440"/>
      <c r="D73" s="440"/>
      <c r="E73" s="440"/>
      <c r="F73" s="440"/>
      <c r="G73" s="440"/>
      <c r="H73" s="157"/>
      <c r="I73" s="157"/>
      <c r="J73" s="182"/>
      <c r="K73" s="182"/>
      <c r="L73" s="182"/>
      <c r="M73" s="182"/>
      <c r="N73" s="182"/>
      <c r="O73" s="182"/>
      <c r="P73" s="182"/>
      <c r="Q73" s="182"/>
      <c r="R73" s="182"/>
      <c r="S73" s="182"/>
      <c r="T73" s="182"/>
      <c r="U73" s="157"/>
      <c r="V73" s="182"/>
      <c r="W73" s="417"/>
      <c r="X73" s="182"/>
      <c r="Y73" s="182"/>
      <c r="Z73" s="418"/>
      <c r="AA73" s="182"/>
      <c r="AB73" s="182"/>
      <c r="AC73" s="418"/>
      <c r="AD73" s="182"/>
      <c r="AE73" s="182"/>
      <c r="AF73" s="417"/>
      <c r="AG73" s="182"/>
      <c r="AH73" s="182"/>
      <c r="AI73" s="182"/>
      <c r="AJ73" s="182"/>
      <c r="AK73" s="182"/>
      <c r="AL73" s="247"/>
      <c r="AM73" s="182"/>
      <c r="AN73" s="419"/>
      <c r="AR73" s="184"/>
      <c r="AT73" s="184"/>
      <c r="AU73" s="182"/>
      <c r="AV73" s="182"/>
      <c r="AW73" s="247"/>
      <c r="AZ73" s="155"/>
      <c r="BA73" s="155"/>
      <c r="BB73" s="155"/>
      <c r="BC73" s="155"/>
      <c r="BD73" s="155"/>
      <c r="BE73" s="155"/>
      <c r="BF73" s="155"/>
      <c r="BG73" s="155"/>
      <c r="BH73" s="155"/>
      <c r="BI73" s="155"/>
      <c r="BJ73" s="155"/>
      <c r="BK73" s="155"/>
      <c r="BL73" s="155"/>
      <c r="BM73" s="155"/>
      <c r="BN73" s="155"/>
      <c r="BO73" s="155"/>
    </row>
    <row r="74" spans="1:67" s="183" customFormat="1" ht="16.149999999999999" customHeight="1">
      <c r="A74" s="157"/>
      <c r="B74" s="177"/>
      <c r="C74" s="440"/>
      <c r="D74" s="440"/>
      <c r="E74" s="440"/>
      <c r="F74" s="440"/>
      <c r="G74" s="440"/>
      <c r="H74" s="157"/>
      <c r="I74" s="157"/>
      <c r="J74" s="182"/>
      <c r="K74" s="182"/>
      <c r="L74" s="182"/>
      <c r="M74" s="182"/>
      <c r="N74" s="182"/>
      <c r="O74" s="182"/>
      <c r="P74" s="182"/>
      <c r="Q74" s="182"/>
      <c r="R74" s="182"/>
      <c r="S74" s="182"/>
      <c r="T74" s="182"/>
      <c r="U74" s="157"/>
      <c r="V74" s="182"/>
      <c r="W74" s="417"/>
      <c r="X74" s="182"/>
      <c r="Y74" s="182"/>
      <c r="Z74" s="418"/>
      <c r="AA74" s="182"/>
      <c r="AB74" s="182"/>
      <c r="AC74" s="418"/>
      <c r="AD74" s="182"/>
      <c r="AE74" s="182"/>
      <c r="AF74" s="417"/>
      <c r="AG74" s="182"/>
      <c r="AH74" s="182"/>
      <c r="AI74" s="182"/>
      <c r="AJ74" s="182"/>
      <c r="AK74" s="182"/>
      <c r="AL74" s="247"/>
      <c r="AM74" s="182"/>
      <c r="AN74" s="419"/>
      <c r="AR74" s="184"/>
      <c r="AT74" s="184"/>
      <c r="AU74" s="182"/>
      <c r="AV74" s="182"/>
      <c r="AW74" s="247"/>
      <c r="AZ74" s="155"/>
      <c r="BA74" s="155"/>
      <c r="BB74" s="155"/>
      <c r="BC74" s="155"/>
      <c r="BD74" s="155"/>
      <c r="BE74" s="155"/>
      <c r="BF74" s="155"/>
      <c r="BG74" s="155"/>
      <c r="BH74" s="155"/>
      <c r="BI74" s="155"/>
      <c r="BJ74" s="155"/>
      <c r="BK74" s="155"/>
      <c r="BL74" s="155"/>
      <c r="BM74" s="155"/>
      <c r="BN74" s="155"/>
      <c r="BO74" s="155"/>
    </row>
    <row r="75" spans="1:67" s="183" customFormat="1" ht="16.149999999999999" customHeight="1">
      <c r="A75" s="157"/>
      <c r="B75" s="177"/>
      <c r="C75" s="440"/>
      <c r="D75" s="440"/>
      <c r="E75" s="440"/>
      <c r="F75" s="440"/>
      <c r="G75" s="440"/>
      <c r="H75" s="157"/>
      <c r="I75" s="157"/>
      <c r="J75" s="182"/>
      <c r="K75" s="182"/>
      <c r="L75" s="182"/>
      <c r="M75" s="182"/>
      <c r="N75" s="182"/>
      <c r="O75" s="182"/>
      <c r="P75" s="182"/>
      <c r="Q75" s="182"/>
      <c r="R75" s="182"/>
      <c r="S75" s="182"/>
      <c r="T75" s="182"/>
      <c r="U75" s="157"/>
      <c r="V75" s="182"/>
      <c r="W75" s="417"/>
      <c r="X75" s="182"/>
      <c r="Y75" s="182"/>
      <c r="Z75" s="418"/>
      <c r="AA75" s="182"/>
      <c r="AB75" s="182"/>
      <c r="AC75" s="418"/>
      <c r="AD75" s="182"/>
      <c r="AE75" s="182"/>
      <c r="AF75" s="417"/>
      <c r="AG75" s="182"/>
      <c r="AH75" s="182"/>
      <c r="AI75" s="182"/>
      <c r="AJ75" s="182"/>
      <c r="AK75" s="182"/>
      <c r="AL75" s="247"/>
      <c r="AM75" s="182"/>
      <c r="AN75" s="419"/>
      <c r="AR75" s="184"/>
      <c r="AT75" s="184"/>
      <c r="AU75" s="182"/>
      <c r="AV75" s="182"/>
      <c r="AW75" s="247"/>
      <c r="AZ75" s="155"/>
      <c r="BA75" s="155"/>
      <c r="BB75" s="155"/>
      <c r="BC75" s="155"/>
      <c r="BD75" s="155"/>
      <c r="BE75" s="155"/>
      <c r="BF75" s="155"/>
      <c r="BG75" s="155"/>
      <c r="BH75" s="155"/>
      <c r="BI75" s="155"/>
      <c r="BJ75" s="155"/>
      <c r="BK75" s="155"/>
      <c r="BL75" s="155"/>
      <c r="BM75" s="155"/>
      <c r="BN75" s="155"/>
      <c r="BO75" s="155"/>
    </row>
    <row r="76" spans="1:67" s="183" customFormat="1" ht="16.149999999999999" customHeight="1">
      <c r="A76" s="157"/>
      <c r="B76" s="177"/>
      <c r="C76" s="440"/>
      <c r="D76" s="440"/>
      <c r="E76" s="440"/>
      <c r="F76" s="440"/>
      <c r="G76" s="440"/>
      <c r="H76" s="157"/>
      <c r="I76" s="157"/>
      <c r="J76" s="182"/>
      <c r="K76" s="182"/>
      <c r="L76" s="182"/>
      <c r="M76" s="182"/>
      <c r="N76" s="182"/>
      <c r="O76" s="182"/>
      <c r="P76" s="182"/>
      <c r="Q76" s="182"/>
      <c r="R76" s="182"/>
      <c r="S76" s="182"/>
      <c r="T76" s="182"/>
      <c r="U76" s="157"/>
      <c r="V76" s="182"/>
      <c r="W76" s="417"/>
      <c r="X76" s="182"/>
      <c r="Y76" s="182"/>
      <c r="Z76" s="418"/>
      <c r="AA76" s="182"/>
      <c r="AB76" s="182"/>
      <c r="AC76" s="418"/>
      <c r="AD76" s="182"/>
      <c r="AE76" s="182"/>
      <c r="AF76" s="417"/>
      <c r="AG76" s="182"/>
      <c r="AH76" s="182"/>
      <c r="AI76" s="182"/>
      <c r="AJ76" s="182"/>
      <c r="AK76" s="182"/>
      <c r="AL76" s="247"/>
      <c r="AM76" s="182"/>
      <c r="AN76" s="419"/>
      <c r="AR76" s="184"/>
      <c r="AT76" s="184"/>
      <c r="AU76" s="182"/>
      <c r="AV76" s="182"/>
      <c r="AW76" s="247"/>
      <c r="AZ76" s="155"/>
      <c r="BA76" s="155"/>
      <c r="BB76" s="155"/>
      <c r="BC76" s="155"/>
      <c r="BD76" s="155"/>
      <c r="BE76" s="155"/>
      <c r="BF76" s="155"/>
      <c r="BG76" s="155"/>
      <c r="BH76" s="155"/>
      <c r="BI76" s="155"/>
      <c r="BJ76" s="155"/>
      <c r="BK76" s="155"/>
      <c r="BL76" s="155"/>
      <c r="BM76" s="155"/>
      <c r="BN76" s="155"/>
      <c r="BO76" s="155"/>
    </row>
    <row r="77" spans="1:67" s="183" customFormat="1" ht="16.149999999999999" customHeight="1">
      <c r="A77" s="157"/>
      <c r="B77" s="177"/>
      <c r="C77" s="440"/>
      <c r="D77" s="440"/>
      <c r="E77" s="440"/>
      <c r="F77" s="440"/>
      <c r="G77" s="440"/>
      <c r="H77" s="157"/>
      <c r="I77" s="157"/>
      <c r="J77" s="182"/>
      <c r="K77" s="182"/>
      <c r="L77" s="182"/>
      <c r="M77" s="182"/>
      <c r="N77" s="182"/>
      <c r="O77" s="182"/>
      <c r="P77" s="182"/>
      <c r="Q77" s="182"/>
      <c r="R77" s="182"/>
      <c r="S77" s="182"/>
      <c r="T77" s="182"/>
      <c r="U77" s="157"/>
      <c r="V77" s="182"/>
      <c r="W77" s="417"/>
      <c r="X77" s="182"/>
      <c r="Y77" s="182"/>
      <c r="Z77" s="418"/>
      <c r="AA77" s="182"/>
      <c r="AB77" s="182"/>
      <c r="AC77" s="418"/>
      <c r="AD77" s="182"/>
      <c r="AE77" s="182"/>
      <c r="AF77" s="417"/>
      <c r="AG77" s="182"/>
      <c r="AH77" s="182"/>
      <c r="AI77" s="182"/>
      <c r="AJ77" s="182"/>
      <c r="AK77" s="182"/>
      <c r="AL77" s="247"/>
      <c r="AM77" s="182"/>
      <c r="AN77" s="419"/>
      <c r="AR77" s="184"/>
      <c r="AT77" s="184"/>
      <c r="AU77" s="182"/>
      <c r="AV77" s="182"/>
      <c r="AW77" s="247"/>
      <c r="AZ77" s="155"/>
      <c r="BA77" s="155"/>
      <c r="BB77" s="155"/>
      <c r="BC77" s="155"/>
      <c r="BD77" s="155"/>
      <c r="BE77" s="155"/>
      <c r="BF77" s="155"/>
      <c r="BG77" s="155"/>
      <c r="BH77" s="155"/>
      <c r="BI77" s="155"/>
      <c r="BJ77" s="155"/>
      <c r="BK77" s="155"/>
      <c r="BL77" s="155"/>
      <c r="BM77" s="155"/>
      <c r="BN77" s="155"/>
      <c r="BO77" s="155"/>
    </row>
    <row r="78" spans="1:67" s="183" customFormat="1" ht="16.149999999999999" customHeight="1">
      <c r="A78" s="157"/>
      <c r="B78" s="177"/>
      <c r="C78" s="440"/>
      <c r="D78" s="440"/>
      <c r="E78" s="440"/>
      <c r="F78" s="440"/>
      <c r="G78" s="440"/>
      <c r="H78" s="157"/>
      <c r="I78" s="157"/>
      <c r="J78" s="182"/>
      <c r="K78" s="182"/>
      <c r="L78" s="182"/>
      <c r="M78" s="182"/>
      <c r="N78" s="182"/>
      <c r="O78" s="182"/>
      <c r="P78" s="182"/>
      <c r="Q78" s="182"/>
      <c r="R78" s="182"/>
      <c r="S78" s="182"/>
      <c r="T78" s="182"/>
      <c r="U78" s="157"/>
      <c r="V78" s="182"/>
      <c r="W78" s="417"/>
      <c r="X78" s="182"/>
      <c r="Y78" s="182"/>
      <c r="Z78" s="418"/>
      <c r="AA78" s="182"/>
      <c r="AB78" s="182"/>
      <c r="AC78" s="418"/>
      <c r="AD78" s="182"/>
      <c r="AE78" s="182"/>
      <c r="AF78" s="417"/>
      <c r="AG78" s="182"/>
      <c r="AH78" s="182"/>
      <c r="AI78" s="182"/>
      <c r="AJ78" s="182"/>
      <c r="AK78" s="182"/>
      <c r="AL78" s="247"/>
      <c r="AM78" s="182"/>
      <c r="AN78" s="419"/>
      <c r="AR78" s="184"/>
      <c r="AT78" s="184"/>
      <c r="AU78" s="182"/>
      <c r="AV78" s="182"/>
      <c r="AW78" s="247"/>
      <c r="AZ78" s="155"/>
      <c r="BA78" s="155"/>
      <c r="BB78" s="155"/>
      <c r="BC78" s="155"/>
      <c r="BD78" s="155"/>
      <c r="BE78" s="155"/>
      <c r="BF78" s="155"/>
      <c r="BG78" s="155"/>
      <c r="BH78" s="155"/>
      <c r="BI78" s="155"/>
      <c r="BJ78" s="155"/>
      <c r="BK78" s="155"/>
      <c r="BL78" s="155"/>
      <c r="BM78" s="155"/>
      <c r="BN78" s="155"/>
      <c r="BO78" s="155"/>
    </row>
    <row r="79" spans="1:67" s="183" customFormat="1" ht="16.149999999999999" customHeight="1">
      <c r="A79" s="157"/>
      <c r="B79" s="177"/>
      <c r="C79" s="440"/>
      <c r="D79" s="440"/>
      <c r="E79" s="440"/>
      <c r="F79" s="440"/>
      <c r="G79" s="440"/>
      <c r="H79" s="157"/>
      <c r="I79" s="157"/>
      <c r="J79" s="182"/>
      <c r="K79" s="182"/>
      <c r="L79" s="182"/>
      <c r="M79" s="182"/>
      <c r="N79" s="182"/>
      <c r="O79" s="182"/>
      <c r="P79" s="182"/>
      <c r="Q79" s="182"/>
      <c r="R79" s="182"/>
      <c r="S79" s="182"/>
      <c r="T79" s="182"/>
      <c r="U79" s="157"/>
      <c r="V79" s="182"/>
      <c r="W79" s="417"/>
      <c r="X79" s="182"/>
      <c r="Y79" s="182"/>
      <c r="Z79" s="418"/>
      <c r="AA79" s="182"/>
      <c r="AB79" s="182"/>
      <c r="AC79" s="418"/>
      <c r="AD79" s="182"/>
      <c r="AE79" s="182"/>
      <c r="AF79" s="417"/>
      <c r="AG79" s="182"/>
      <c r="AH79" s="182"/>
      <c r="AI79" s="182"/>
      <c r="AJ79" s="182"/>
      <c r="AK79" s="182"/>
      <c r="AL79" s="247"/>
      <c r="AM79" s="182"/>
      <c r="AN79" s="419"/>
      <c r="AR79" s="184"/>
      <c r="AT79" s="184"/>
      <c r="AU79" s="182"/>
      <c r="AV79" s="182"/>
      <c r="AW79" s="247"/>
      <c r="AZ79" s="155"/>
      <c r="BA79" s="155"/>
      <c r="BB79" s="155"/>
      <c r="BC79" s="155"/>
      <c r="BD79" s="155"/>
      <c r="BE79" s="155"/>
      <c r="BF79" s="155"/>
      <c r="BG79" s="155"/>
      <c r="BH79" s="155"/>
      <c r="BI79" s="155"/>
      <c r="BJ79" s="155"/>
      <c r="BK79" s="155"/>
      <c r="BL79" s="155"/>
      <c r="BM79" s="155"/>
      <c r="BN79" s="155"/>
      <c r="BO79" s="155"/>
    </row>
    <row r="80" spans="1:67" s="183" customFormat="1" ht="16.149999999999999" customHeight="1">
      <c r="A80" s="157"/>
      <c r="B80" s="177"/>
      <c r="C80" s="440"/>
      <c r="D80" s="440"/>
      <c r="E80" s="440"/>
      <c r="F80" s="440"/>
      <c r="G80" s="440"/>
      <c r="H80" s="157"/>
      <c r="I80" s="157"/>
      <c r="J80" s="182"/>
      <c r="K80" s="182"/>
      <c r="L80" s="182"/>
      <c r="M80" s="182"/>
      <c r="N80" s="182"/>
      <c r="O80" s="182"/>
      <c r="P80" s="182"/>
      <c r="Q80" s="182"/>
      <c r="R80" s="182"/>
      <c r="S80" s="182"/>
      <c r="T80" s="182"/>
      <c r="U80" s="157"/>
      <c r="V80" s="182"/>
      <c r="W80" s="417"/>
      <c r="X80" s="182"/>
      <c r="Y80" s="182"/>
      <c r="Z80" s="418"/>
      <c r="AA80" s="182"/>
      <c r="AB80" s="182"/>
      <c r="AC80" s="418"/>
      <c r="AD80" s="182"/>
      <c r="AE80" s="182"/>
      <c r="AF80" s="417"/>
      <c r="AG80" s="182"/>
      <c r="AH80" s="182"/>
      <c r="AI80" s="182"/>
      <c r="AJ80" s="182"/>
      <c r="AK80" s="182"/>
      <c r="AL80" s="247"/>
      <c r="AM80" s="182"/>
      <c r="AN80" s="419"/>
      <c r="AR80" s="184"/>
      <c r="AT80" s="184"/>
      <c r="AU80" s="182"/>
      <c r="AV80" s="182"/>
      <c r="AW80" s="247"/>
      <c r="AZ80" s="155"/>
      <c r="BA80" s="155"/>
      <c r="BB80" s="155"/>
      <c r="BC80" s="155"/>
      <c r="BD80" s="155"/>
      <c r="BE80" s="155"/>
      <c r="BF80" s="155"/>
      <c r="BG80" s="155"/>
      <c r="BH80" s="155"/>
      <c r="BI80" s="155"/>
      <c r="BJ80" s="155"/>
      <c r="BK80" s="155"/>
      <c r="BL80" s="155"/>
      <c r="BM80" s="155"/>
      <c r="BN80" s="155"/>
      <c r="BO80" s="155"/>
    </row>
    <row r="81" spans="1:67" s="183" customFormat="1" ht="16.149999999999999" customHeight="1">
      <c r="A81" s="157"/>
      <c r="B81" s="177"/>
      <c r="C81" s="440"/>
      <c r="D81" s="440"/>
      <c r="E81" s="440"/>
      <c r="F81" s="440"/>
      <c r="G81" s="440"/>
      <c r="H81" s="157"/>
      <c r="I81" s="157"/>
      <c r="J81" s="182"/>
      <c r="K81" s="182"/>
      <c r="L81" s="182"/>
      <c r="M81" s="182"/>
      <c r="N81" s="182"/>
      <c r="O81" s="182"/>
      <c r="P81" s="182"/>
      <c r="Q81" s="182"/>
      <c r="R81" s="182"/>
      <c r="S81" s="182"/>
      <c r="T81" s="182"/>
      <c r="U81" s="157"/>
      <c r="V81" s="182"/>
      <c r="W81" s="417"/>
      <c r="X81" s="182"/>
      <c r="Y81" s="182"/>
      <c r="Z81" s="418"/>
      <c r="AA81" s="182"/>
      <c r="AB81" s="182"/>
      <c r="AC81" s="418"/>
      <c r="AD81" s="182"/>
      <c r="AE81" s="182"/>
      <c r="AF81" s="417"/>
      <c r="AG81" s="182"/>
      <c r="AH81" s="182"/>
      <c r="AI81" s="182"/>
      <c r="AJ81" s="182"/>
      <c r="AK81" s="182"/>
      <c r="AL81" s="247"/>
      <c r="AM81" s="182"/>
      <c r="AN81" s="419"/>
      <c r="AR81" s="184"/>
      <c r="AT81" s="184"/>
      <c r="AU81" s="182"/>
      <c r="AV81" s="182"/>
      <c r="AW81" s="247"/>
      <c r="AZ81" s="155"/>
      <c r="BA81" s="155"/>
      <c r="BB81" s="155"/>
      <c r="BC81" s="155"/>
      <c r="BD81" s="155"/>
      <c r="BE81" s="155"/>
      <c r="BF81" s="155"/>
      <c r="BG81" s="155"/>
      <c r="BH81" s="155"/>
      <c r="BI81" s="155"/>
      <c r="BJ81" s="155"/>
      <c r="BK81" s="155"/>
      <c r="BL81" s="155"/>
      <c r="BM81" s="155"/>
      <c r="BN81" s="155"/>
      <c r="BO81" s="155"/>
    </row>
    <row r="82" spans="1:67" s="183" customFormat="1" ht="16.149999999999999" customHeight="1">
      <c r="A82" s="157"/>
      <c r="B82" s="177"/>
      <c r="C82" s="440"/>
      <c r="D82" s="440"/>
      <c r="E82" s="440"/>
      <c r="F82" s="440"/>
      <c r="G82" s="440"/>
      <c r="H82" s="157"/>
      <c r="I82" s="157"/>
      <c r="J82" s="182"/>
      <c r="K82" s="182"/>
      <c r="L82" s="182"/>
      <c r="M82" s="182"/>
      <c r="N82" s="182"/>
      <c r="O82" s="182"/>
      <c r="P82" s="182"/>
      <c r="Q82" s="182"/>
      <c r="R82" s="182"/>
      <c r="S82" s="182"/>
      <c r="T82" s="182"/>
      <c r="U82" s="157"/>
      <c r="V82" s="182"/>
      <c r="W82" s="417"/>
      <c r="X82" s="182"/>
      <c r="Y82" s="182"/>
      <c r="Z82" s="418"/>
      <c r="AA82" s="182"/>
      <c r="AB82" s="182"/>
      <c r="AC82" s="418"/>
      <c r="AD82" s="182"/>
      <c r="AE82" s="182"/>
      <c r="AF82" s="417"/>
      <c r="AG82" s="182"/>
      <c r="AH82" s="182"/>
      <c r="AI82" s="182"/>
      <c r="AJ82" s="182"/>
      <c r="AK82" s="182"/>
      <c r="AL82" s="247"/>
      <c r="AM82" s="182"/>
      <c r="AN82" s="419"/>
      <c r="AR82" s="184"/>
      <c r="AT82" s="184"/>
      <c r="AU82" s="182"/>
      <c r="AV82" s="182"/>
      <c r="AW82" s="247"/>
      <c r="AZ82" s="155"/>
      <c r="BA82" s="155"/>
      <c r="BB82" s="155"/>
      <c r="BC82" s="155"/>
      <c r="BD82" s="155"/>
      <c r="BE82" s="155"/>
      <c r="BF82" s="155"/>
      <c r="BG82" s="155"/>
      <c r="BH82" s="155"/>
      <c r="BI82" s="155"/>
      <c r="BJ82" s="155"/>
      <c r="BK82" s="155"/>
      <c r="BL82" s="155"/>
      <c r="BM82" s="155"/>
      <c r="BN82" s="155"/>
      <c r="BO82" s="155"/>
    </row>
    <row r="83" spans="1:67" s="183" customFormat="1" ht="16.149999999999999" customHeight="1">
      <c r="A83" s="157"/>
      <c r="B83" s="177"/>
      <c r="C83" s="440"/>
      <c r="D83" s="440"/>
      <c r="E83" s="440"/>
      <c r="F83" s="440"/>
      <c r="G83" s="440"/>
      <c r="H83" s="157"/>
      <c r="I83" s="157"/>
      <c r="J83" s="182"/>
      <c r="K83" s="182"/>
      <c r="L83" s="182"/>
      <c r="M83" s="182"/>
      <c r="N83" s="182"/>
      <c r="O83" s="182"/>
      <c r="P83" s="182"/>
      <c r="Q83" s="182"/>
      <c r="R83" s="182"/>
      <c r="S83" s="182"/>
      <c r="T83" s="182"/>
      <c r="U83" s="157"/>
      <c r="V83" s="182"/>
      <c r="W83" s="417"/>
      <c r="X83" s="182"/>
      <c r="Y83" s="182"/>
      <c r="Z83" s="418"/>
      <c r="AA83" s="182"/>
      <c r="AB83" s="182"/>
      <c r="AC83" s="418"/>
      <c r="AD83" s="182"/>
      <c r="AE83" s="182"/>
      <c r="AF83" s="417"/>
      <c r="AG83" s="182"/>
      <c r="AH83" s="182"/>
      <c r="AI83" s="182"/>
      <c r="AJ83" s="182"/>
      <c r="AK83" s="182"/>
      <c r="AL83" s="247"/>
      <c r="AM83" s="182"/>
      <c r="AN83" s="419"/>
      <c r="AR83" s="184"/>
      <c r="AT83" s="184"/>
      <c r="AU83" s="182"/>
      <c r="AV83" s="182"/>
      <c r="AW83" s="247"/>
      <c r="AZ83" s="155"/>
      <c r="BA83" s="155"/>
      <c r="BB83" s="155"/>
      <c r="BC83" s="155"/>
      <c r="BD83" s="155"/>
      <c r="BE83" s="155"/>
      <c r="BF83" s="155"/>
      <c r="BG83" s="155"/>
      <c r="BH83" s="155"/>
      <c r="BI83" s="155"/>
      <c r="BJ83" s="155"/>
      <c r="BK83" s="155"/>
      <c r="BL83" s="155"/>
      <c r="BM83" s="155"/>
      <c r="BN83" s="155"/>
      <c r="BO83" s="155"/>
    </row>
    <row r="84" spans="1:67" s="183" customFormat="1" ht="16.149999999999999" customHeight="1">
      <c r="A84" s="157"/>
      <c r="B84" s="177"/>
      <c r="C84" s="440"/>
      <c r="D84" s="440"/>
      <c r="E84" s="440"/>
      <c r="F84" s="440"/>
      <c r="G84" s="440"/>
      <c r="H84" s="157"/>
      <c r="I84" s="157"/>
      <c r="J84" s="182"/>
      <c r="K84" s="182"/>
      <c r="L84" s="182"/>
      <c r="M84" s="182"/>
      <c r="N84" s="182"/>
      <c r="O84" s="182"/>
      <c r="P84" s="182"/>
      <c r="Q84" s="182"/>
      <c r="R84" s="182"/>
      <c r="S84" s="182"/>
      <c r="T84" s="182"/>
      <c r="U84" s="157"/>
      <c r="V84" s="182"/>
      <c r="W84" s="417"/>
      <c r="X84" s="182"/>
      <c r="Y84" s="182"/>
      <c r="Z84" s="418"/>
      <c r="AA84" s="182"/>
      <c r="AB84" s="182"/>
      <c r="AC84" s="418"/>
      <c r="AD84" s="182"/>
      <c r="AE84" s="182"/>
      <c r="AF84" s="417"/>
      <c r="AG84" s="182"/>
      <c r="AH84" s="182"/>
      <c r="AI84" s="182"/>
      <c r="AJ84" s="182"/>
      <c r="AK84" s="182"/>
      <c r="AL84" s="247"/>
      <c r="AM84" s="182"/>
      <c r="AN84" s="419"/>
      <c r="AR84" s="184"/>
      <c r="AT84" s="184"/>
      <c r="AU84" s="182"/>
      <c r="AV84" s="182"/>
      <c r="AW84" s="247"/>
      <c r="AZ84" s="155"/>
      <c r="BA84" s="155"/>
      <c r="BB84" s="155"/>
      <c r="BC84" s="155"/>
      <c r="BD84" s="155"/>
      <c r="BE84" s="155"/>
      <c r="BF84" s="155"/>
      <c r="BG84" s="155"/>
      <c r="BH84" s="155"/>
      <c r="BI84" s="155"/>
      <c r="BJ84" s="155"/>
      <c r="BK84" s="155"/>
      <c r="BL84" s="155"/>
      <c r="BM84" s="155"/>
      <c r="BN84" s="155"/>
      <c r="BO84" s="155"/>
    </row>
    <row r="85" spans="1:67" s="183" customFormat="1" ht="16.149999999999999" customHeight="1">
      <c r="A85" s="157"/>
      <c r="B85" s="177"/>
      <c r="C85" s="440"/>
      <c r="D85" s="440"/>
      <c r="E85" s="440"/>
      <c r="F85" s="440"/>
      <c r="G85" s="440"/>
      <c r="H85" s="157"/>
      <c r="I85" s="157"/>
      <c r="J85" s="182"/>
      <c r="K85" s="182"/>
      <c r="L85" s="182"/>
      <c r="M85" s="182"/>
      <c r="N85" s="182"/>
      <c r="O85" s="182"/>
      <c r="P85" s="182"/>
      <c r="Q85" s="182"/>
      <c r="R85" s="182"/>
      <c r="S85" s="182"/>
      <c r="T85" s="182"/>
      <c r="U85" s="157"/>
      <c r="V85" s="182"/>
      <c r="W85" s="417"/>
      <c r="X85" s="182"/>
      <c r="Y85" s="182"/>
      <c r="Z85" s="418"/>
      <c r="AA85" s="182"/>
      <c r="AB85" s="182"/>
      <c r="AC85" s="418"/>
      <c r="AD85" s="182"/>
      <c r="AE85" s="182"/>
      <c r="AF85" s="417"/>
      <c r="AG85" s="182"/>
      <c r="AH85" s="182"/>
      <c r="AI85" s="182"/>
      <c r="AJ85" s="182"/>
      <c r="AK85" s="182"/>
      <c r="AL85" s="247"/>
      <c r="AM85" s="182"/>
      <c r="AN85" s="419"/>
      <c r="AR85" s="184"/>
      <c r="AT85" s="184"/>
      <c r="AU85" s="182"/>
      <c r="AV85" s="182"/>
      <c r="AW85" s="247"/>
      <c r="AZ85" s="155"/>
      <c r="BA85" s="155"/>
      <c r="BB85" s="155"/>
      <c r="BC85" s="155"/>
      <c r="BD85" s="155"/>
      <c r="BE85" s="155"/>
      <c r="BF85" s="155"/>
      <c r="BG85" s="155"/>
      <c r="BH85" s="155"/>
      <c r="BI85" s="155"/>
      <c r="BJ85" s="155"/>
      <c r="BK85" s="155"/>
      <c r="BL85" s="155"/>
      <c r="BM85" s="155"/>
      <c r="BN85" s="155"/>
      <c r="BO85" s="155"/>
    </row>
    <row r="86" spans="1:67" s="183" customFormat="1" ht="16.149999999999999" customHeight="1">
      <c r="A86" s="157"/>
      <c r="B86" s="177"/>
      <c r="C86" s="440"/>
      <c r="D86" s="440"/>
      <c r="E86" s="440"/>
      <c r="F86" s="440"/>
      <c r="G86" s="440"/>
      <c r="H86" s="157"/>
      <c r="I86" s="157"/>
      <c r="J86" s="182"/>
      <c r="K86" s="182"/>
      <c r="L86" s="182"/>
      <c r="M86" s="182"/>
      <c r="N86" s="182"/>
      <c r="O86" s="182"/>
      <c r="P86" s="182"/>
      <c r="Q86" s="182"/>
      <c r="R86" s="182"/>
      <c r="S86" s="182"/>
      <c r="T86" s="182"/>
      <c r="U86" s="157"/>
      <c r="V86" s="182"/>
      <c r="W86" s="417"/>
      <c r="X86" s="182"/>
      <c r="Y86" s="182"/>
      <c r="Z86" s="418"/>
      <c r="AA86" s="182"/>
      <c r="AB86" s="182"/>
      <c r="AC86" s="418"/>
      <c r="AD86" s="182"/>
      <c r="AE86" s="182"/>
      <c r="AF86" s="417"/>
      <c r="AG86" s="182"/>
      <c r="AH86" s="182"/>
      <c r="AI86" s="182"/>
      <c r="AJ86" s="182"/>
      <c r="AK86" s="182"/>
      <c r="AL86" s="247"/>
      <c r="AM86" s="182"/>
      <c r="AN86" s="419"/>
      <c r="AR86" s="184"/>
      <c r="AT86" s="184"/>
      <c r="AU86" s="182"/>
      <c r="AV86" s="182"/>
      <c r="AW86" s="247"/>
      <c r="AZ86" s="155"/>
      <c r="BA86" s="155"/>
      <c r="BB86" s="155"/>
      <c r="BC86" s="155"/>
      <c r="BD86" s="155"/>
      <c r="BE86" s="155"/>
      <c r="BF86" s="155"/>
      <c r="BG86" s="155"/>
      <c r="BH86" s="155"/>
      <c r="BI86" s="155"/>
      <c r="BJ86" s="155"/>
      <c r="BK86" s="155"/>
      <c r="BL86" s="155"/>
      <c r="BM86" s="155"/>
      <c r="BN86" s="155"/>
      <c r="BO86" s="155"/>
    </row>
    <row r="87" spans="1:67" s="183" customFormat="1" ht="16.149999999999999" customHeight="1">
      <c r="A87" s="157"/>
      <c r="B87" s="177"/>
      <c r="C87" s="440"/>
      <c r="D87" s="440"/>
      <c r="E87" s="440"/>
      <c r="F87" s="440"/>
      <c r="G87" s="440"/>
      <c r="H87" s="157"/>
      <c r="I87" s="157"/>
      <c r="J87" s="182"/>
      <c r="K87" s="182"/>
      <c r="L87" s="182"/>
      <c r="M87" s="182"/>
      <c r="N87" s="182"/>
      <c r="O87" s="182"/>
      <c r="P87" s="182"/>
      <c r="Q87" s="182"/>
      <c r="R87" s="182"/>
      <c r="S87" s="182"/>
      <c r="T87" s="182"/>
      <c r="U87" s="157"/>
      <c r="V87" s="182"/>
      <c r="W87" s="417"/>
      <c r="X87" s="182"/>
      <c r="Y87" s="182"/>
      <c r="Z87" s="418"/>
      <c r="AA87" s="182"/>
      <c r="AB87" s="182"/>
      <c r="AC87" s="418"/>
      <c r="AD87" s="182"/>
      <c r="AE87" s="182"/>
      <c r="AF87" s="417"/>
      <c r="AG87" s="182"/>
      <c r="AH87" s="182"/>
      <c r="AI87" s="182"/>
      <c r="AJ87" s="182"/>
      <c r="AK87" s="182"/>
      <c r="AL87" s="247"/>
      <c r="AM87" s="182"/>
      <c r="AN87" s="419"/>
      <c r="AR87" s="184"/>
      <c r="AT87" s="184"/>
      <c r="AU87" s="182"/>
      <c r="AV87" s="182"/>
      <c r="AW87" s="247"/>
      <c r="AZ87" s="155"/>
      <c r="BA87" s="155"/>
      <c r="BB87" s="155"/>
      <c r="BC87" s="155"/>
      <c r="BD87" s="155"/>
      <c r="BE87" s="155"/>
      <c r="BF87" s="155"/>
      <c r="BG87" s="155"/>
      <c r="BH87" s="155"/>
      <c r="BI87" s="155"/>
      <c r="BJ87" s="155"/>
      <c r="BK87" s="155"/>
      <c r="BL87" s="155"/>
      <c r="BM87" s="155"/>
      <c r="BN87" s="155"/>
      <c r="BO87" s="155"/>
    </row>
    <row r="88" spans="1:67" s="183" customFormat="1" ht="16.149999999999999" customHeight="1">
      <c r="A88" s="157"/>
      <c r="B88" s="177"/>
      <c r="C88" s="440"/>
      <c r="D88" s="440"/>
      <c r="E88" s="440"/>
      <c r="F88" s="440"/>
      <c r="G88" s="440"/>
      <c r="H88" s="157"/>
      <c r="I88" s="157"/>
      <c r="J88" s="182"/>
      <c r="K88" s="182"/>
      <c r="L88" s="182"/>
      <c r="M88" s="182"/>
      <c r="N88" s="182"/>
      <c r="O88" s="182"/>
      <c r="P88" s="182"/>
      <c r="Q88" s="182"/>
      <c r="R88" s="182"/>
      <c r="S88" s="182"/>
      <c r="T88" s="182"/>
      <c r="U88" s="157"/>
      <c r="V88" s="182"/>
      <c r="W88" s="417"/>
      <c r="X88" s="182"/>
      <c r="Y88" s="182"/>
      <c r="Z88" s="418"/>
      <c r="AA88" s="182"/>
      <c r="AB88" s="182"/>
      <c r="AC88" s="418"/>
      <c r="AD88" s="182"/>
      <c r="AE88" s="182"/>
      <c r="AF88" s="417"/>
      <c r="AG88" s="182"/>
      <c r="AH88" s="182"/>
      <c r="AI88" s="182"/>
      <c r="AJ88" s="182"/>
      <c r="AK88" s="182"/>
      <c r="AL88" s="247"/>
      <c r="AM88" s="182"/>
      <c r="AN88" s="419"/>
      <c r="AR88" s="184"/>
      <c r="AT88" s="184"/>
      <c r="AU88" s="182"/>
      <c r="AV88" s="182"/>
      <c r="AW88" s="247"/>
      <c r="AZ88" s="155"/>
      <c r="BA88" s="155"/>
      <c r="BB88" s="155"/>
      <c r="BC88" s="155"/>
      <c r="BD88" s="155"/>
      <c r="BE88" s="155"/>
      <c r="BF88" s="155"/>
      <c r="BG88" s="155"/>
      <c r="BH88" s="155"/>
      <c r="BI88" s="155"/>
      <c r="BJ88" s="155"/>
      <c r="BK88" s="155"/>
      <c r="BL88" s="155"/>
      <c r="BM88" s="155"/>
      <c r="BN88" s="155"/>
      <c r="BO88" s="155"/>
    </row>
    <row r="89" spans="1:67" s="183" customFormat="1" ht="16.149999999999999" customHeight="1">
      <c r="A89" s="157"/>
      <c r="B89" s="177"/>
      <c r="C89" s="440"/>
      <c r="D89" s="440"/>
      <c r="E89" s="440"/>
      <c r="F89" s="440"/>
      <c r="G89" s="440"/>
      <c r="H89" s="157"/>
      <c r="I89" s="157"/>
      <c r="J89" s="182"/>
      <c r="K89" s="182"/>
      <c r="L89" s="182"/>
      <c r="M89" s="182"/>
      <c r="N89" s="182"/>
      <c r="O89" s="182"/>
      <c r="P89" s="182"/>
      <c r="Q89" s="182"/>
      <c r="R89" s="182"/>
      <c r="S89" s="182"/>
      <c r="T89" s="182"/>
      <c r="U89" s="157"/>
      <c r="V89" s="182"/>
      <c r="W89" s="417"/>
      <c r="X89" s="182"/>
      <c r="Y89" s="182"/>
      <c r="Z89" s="418"/>
      <c r="AA89" s="182"/>
      <c r="AB89" s="182"/>
      <c r="AC89" s="418"/>
      <c r="AD89" s="182"/>
      <c r="AE89" s="182"/>
      <c r="AF89" s="417"/>
      <c r="AG89" s="182"/>
      <c r="AH89" s="182"/>
      <c r="AI89" s="182"/>
      <c r="AJ89" s="182"/>
      <c r="AK89" s="182"/>
      <c r="AL89" s="247"/>
      <c r="AM89" s="182"/>
      <c r="AN89" s="419"/>
      <c r="AR89" s="184"/>
      <c r="AT89" s="184"/>
      <c r="AU89" s="182"/>
      <c r="AV89" s="182"/>
      <c r="AW89" s="247"/>
      <c r="AZ89" s="155"/>
      <c r="BA89" s="155"/>
      <c r="BB89" s="155"/>
      <c r="BC89" s="155"/>
      <c r="BD89" s="155"/>
      <c r="BE89" s="155"/>
      <c r="BF89" s="155"/>
      <c r="BG89" s="155"/>
      <c r="BH89" s="155"/>
      <c r="BI89" s="155"/>
      <c r="BJ89" s="155"/>
      <c r="BK89" s="155"/>
      <c r="BL89" s="155"/>
      <c r="BM89" s="155"/>
      <c r="BN89" s="155"/>
      <c r="BO89" s="155"/>
    </row>
    <row r="90" spans="1:67" s="183" customFormat="1" ht="16.149999999999999" customHeight="1">
      <c r="A90" s="157"/>
      <c r="B90" s="177"/>
      <c r="C90" s="440"/>
      <c r="D90" s="440"/>
      <c r="E90" s="440"/>
      <c r="F90" s="440"/>
      <c r="G90" s="440"/>
      <c r="H90" s="157"/>
      <c r="I90" s="157"/>
      <c r="J90" s="182"/>
      <c r="K90" s="182"/>
      <c r="L90" s="182"/>
      <c r="M90" s="182"/>
      <c r="N90" s="182"/>
      <c r="O90" s="182"/>
      <c r="P90" s="182"/>
      <c r="Q90" s="182"/>
      <c r="R90" s="182"/>
      <c r="S90" s="182"/>
      <c r="T90" s="182"/>
      <c r="U90" s="157"/>
      <c r="V90" s="182"/>
      <c r="W90" s="417"/>
      <c r="X90" s="182"/>
      <c r="Y90" s="182"/>
      <c r="Z90" s="418"/>
      <c r="AA90" s="182"/>
      <c r="AB90" s="182"/>
      <c r="AC90" s="418"/>
      <c r="AD90" s="182"/>
      <c r="AE90" s="182"/>
      <c r="AF90" s="417"/>
      <c r="AG90" s="182"/>
      <c r="AH90" s="182"/>
      <c r="AI90" s="182"/>
      <c r="AJ90" s="182"/>
      <c r="AK90" s="182"/>
      <c r="AL90" s="247"/>
      <c r="AM90" s="182"/>
      <c r="AN90" s="419"/>
      <c r="AR90" s="184"/>
      <c r="AT90" s="184"/>
      <c r="AU90" s="182"/>
      <c r="AV90" s="182"/>
      <c r="AW90" s="247"/>
      <c r="AZ90" s="155"/>
      <c r="BA90" s="155"/>
      <c r="BB90" s="155"/>
      <c r="BC90" s="155"/>
      <c r="BD90" s="155"/>
      <c r="BE90" s="155"/>
      <c r="BF90" s="155"/>
      <c r="BG90" s="155"/>
      <c r="BH90" s="155"/>
      <c r="BI90" s="155"/>
      <c r="BJ90" s="155"/>
      <c r="BK90" s="155"/>
      <c r="BL90" s="155"/>
      <c r="BM90" s="155"/>
      <c r="BN90" s="155"/>
      <c r="BO90" s="155"/>
    </row>
    <row r="91" spans="1:67" s="183" customFormat="1" ht="16.149999999999999" customHeight="1">
      <c r="A91" s="157"/>
      <c r="B91" s="177"/>
      <c r="C91" s="440"/>
      <c r="D91" s="440"/>
      <c r="E91" s="440"/>
      <c r="F91" s="440"/>
      <c r="G91" s="440"/>
      <c r="H91" s="157"/>
      <c r="I91" s="157"/>
      <c r="J91" s="182"/>
      <c r="K91" s="182"/>
      <c r="L91" s="182"/>
      <c r="M91" s="182"/>
      <c r="N91" s="182"/>
      <c r="O91" s="182"/>
      <c r="P91" s="182"/>
      <c r="Q91" s="182"/>
      <c r="R91" s="182"/>
      <c r="S91" s="182"/>
      <c r="T91" s="182"/>
      <c r="U91" s="157"/>
      <c r="V91" s="182"/>
      <c r="W91" s="417"/>
      <c r="X91" s="182"/>
      <c r="Y91" s="182"/>
      <c r="Z91" s="418"/>
      <c r="AA91" s="182"/>
      <c r="AB91" s="182"/>
      <c r="AC91" s="418"/>
      <c r="AD91" s="182"/>
      <c r="AE91" s="182"/>
      <c r="AF91" s="417"/>
      <c r="AG91" s="182"/>
      <c r="AH91" s="182"/>
      <c r="AI91" s="182"/>
      <c r="AJ91" s="182"/>
      <c r="AK91" s="182"/>
      <c r="AL91" s="247"/>
      <c r="AM91" s="182"/>
      <c r="AN91" s="419"/>
      <c r="AR91" s="184"/>
      <c r="AT91" s="184"/>
      <c r="AU91" s="182"/>
      <c r="AV91" s="182"/>
      <c r="AW91" s="247"/>
      <c r="AZ91" s="155"/>
      <c r="BA91" s="155"/>
      <c r="BB91" s="155"/>
      <c r="BC91" s="155"/>
      <c r="BD91" s="155"/>
      <c r="BE91" s="155"/>
      <c r="BF91" s="155"/>
      <c r="BG91" s="155"/>
      <c r="BH91" s="155"/>
      <c r="BI91" s="155"/>
      <c r="BJ91" s="155"/>
      <c r="BK91" s="155"/>
      <c r="BL91" s="155"/>
      <c r="BM91" s="155"/>
      <c r="BN91" s="155"/>
      <c r="BO91" s="155"/>
    </row>
    <row r="92" spans="1:67" s="183" customFormat="1" ht="16.149999999999999" customHeight="1">
      <c r="A92" s="157"/>
      <c r="B92" s="177"/>
      <c r="C92" s="440"/>
      <c r="D92" s="440"/>
      <c r="E92" s="440"/>
      <c r="F92" s="440"/>
      <c r="G92" s="440"/>
      <c r="H92" s="157"/>
      <c r="I92" s="157"/>
      <c r="J92" s="182"/>
      <c r="K92" s="182"/>
      <c r="L92" s="182"/>
      <c r="M92" s="182"/>
      <c r="N92" s="182"/>
      <c r="O92" s="182"/>
      <c r="P92" s="182"/>
      <c r="Q92" s="182"/>
      <c r="R92" s="182"/>
      <c r="S92" s="182"/>
      <c r="T92" s="182"/>
      <c r="U92" s="157"/>
      <c r="V92" s="182"/>
      <c r="W92" s="417"/>
      <c r="X92" s="182"/>
      <c r="Y92" s="182"/>
      <c r="Z92" s="418"/>
      <c r="AA92" s="182"/>
      <c r="AB92" s="182"/>
      <c r="AC92" s="418"/>
      <c r="AD92" s="182"/>
      <c r="AE92" s="182"/>
      <c r="AF92" s="417"/>
      <c r="AG92" s="182"/>
      <c r="AH92" s="182"/>
      <c r="AI92" s="182"/>
      <c r="AJ92" s="182"/>
      <c r="AK92" s="182"/>
      <c r="AL92" s="247"/>
      <c r="AM92" s="182"/>
      <c r="AN92" s="419"/>
      <c r="AR92" s="184"/>
      <c r="AT92" s="184"/>
      <c r="AU92" s="182"/>
      <c r="AV92" s="182"/>
      <c r="AW92" s="247"/>
      <c r="AZ92" s="155"/>
      <c r="BA92" s="155"/>
      <c r="BB92" s="155"/>
      <c r="BC92" s="155"/>
      <c r="BD92" s="155"/>
      <c r="BE92" s="155"/>
      <c r="BF92" s="155"/>
      <c r="BG92" s="155"/>
      <c r="BH92" s="155"/>
      <c r="BI92" s="155"/>
      <c r="BJ92" s="155"/>
      <c r="BK92" s="155"/>
      <c r="BL92" s="155"/>
      <c r="BM92" s="155"/>
      <c r="BN92" s="155"/>
      <c r="BO92" s="155"/>
    </row>
    <row r="93" spans="1:67" s="183" customFormat="1" ht="16.149999999999999" customHeight="1">
      <c r="A93" s="157"/>
      <c r="B93" s="177"/>
      <c r="C93" s="440"/>
      <c r="D93" s="440"/>
      <c r="E93" s="440"/>
      <c r="F93" s="440"/>
      <c r="G93" s="440"/>
      <c r="H93" s="157"/>
      <c r="I93" s="157"/>
      <c r="J93" s="182"/>
      <c r="K93" s="182"/>
      <c r="L93" s="182"/>
      <c r="M93" s="182"/>
      <c r="N93" s="182"/>
      <c r="O93" s="182"/>
      <c r="P93" s="182"/>
      <c r="Q93" s="182"/>
      <c r="R93" s="182"/>
      <c r="S93" s="182"/>
      <c r="T93" s="182"/>
      <c r="U93" s="157"/>
      <c r="V93" s="182"/>
      <c r="W93" s="417"/>
      <c r="X93" s="182"/>
      <c r="Y93" s="182"/>
      <c r="Z93" s="418"/>
      <c r="AA93" s="182"/>
      <c r="AB93" s="182"/>
      <c r="AC93" s="418"/>
      <c r="AD93" s="182"/>
      <c r="AE93" s="182"/>
      <c r="AF93" s="417"/>
      <c r="AG93" s="182"/>
      <c r="AH93" s="182"/>
      <c r="AI93" s="182"/>
      <c r="AJ93" s="182"/>
      <c r="AK93" s="182"/>
      <c r="AL93" s="247"/>
      <c r="AM93" s="182"/>
      <c r="AN93" s="419"/>
      <c r="AR93" s="184"/>
      <c r="AT93" s="184"/>
      <c r="AU93" s="182"/>
      <c r="AV93" s="182"/>
      <c r="AW93" s="247"/>
      <c r="AZ93" s="155"/>
      <c r="BA93" s="155"/>
      <c r="BB93" s="155"/>
      <c r="BC93" s="155"/>
      <c r="BD93" s="155"/>
      <c r="BE93" s="155"/>
      <c r="BF93" s="155"/>
      <c r="BG93" s="155"/>
      <c r="BH93" s="155"/>
      <c r="BI93" s="155"/>
      <c r="BJ93" s="155"/>
      <c r="BK93" s="155"/>
      <c r="BL93" s="155"/>
      <c r="BM93" s="155"/>
      <c r="BN93" s="155"/>
      <c r="BO93" s="155"/>
    </row>
    <row r="94" spans="1:67" s="183" customFormat="1" ht="16.149999999999999" customHeight="1">
      <c r="A94" s="157"/>
      <c r="B94" s="177"/>
      <c r="C94" s="440"/>
      <c r="D94" s="440"/>
      <c r="E94" s="440"/>
      <c r="F94" s="440"/>
      <c r="G94" s="440"/>
      <c r="H94" s="157"/>
      <c r="I94" s="157"/>
      <c r="J94" s="182"/>
      <c r="K94" s="182"/>
      <c r="L94" s="182"/>
      <c r="M94" s="182"/>
      <c r="N94" s="182"/>
      <c r="O94" s="182"/>
      <c r="P94" s="182"/>
      <c r="Q94" s="182"/>
      <c r="R94" s="182"/>
      <c r="S94" s="182"/>
      <c r="T94" s="182"/>
      <c r="U94" s="157"/>
      <c r="V94" s="182"/>
      <c r="W94" s="417"/>
      <c r="X94" s="182"/>
      <c r="Y94" s="182"/>
      <c r="Z94" s="418"/>
      <c r="AA94" s="182"/>
      <c r="AB94" s="182"/>
      <c r="AC94" s="418"/>
      <c r="AD94" s="182"/>
      <c r="AE94" s="182"/>
      <c r="AF94" s="417"/>
      <c r="AG94" s="182"/>
      <c r="AH94" s="182"/>
      <c r="AI94" s="182"/>
      <c r="AJ94" s="182"/>
      <c r="AK94" s="182"/>
      <c r="AL94" s="247"/>
      <c r="AM94" s="182"/>
      <c r="AN94" s="419"/>
      <c r="AR94" s="184"/>
      <c r="AT94" s="184"/>
      <c r="AU94" s="182"/>
      <c r="AV94" s="182"/>
      <c r="AW94" s="247"/>
      <c r="AZ94" s="155"/>
      <c r="BA94" s="155"/>
      <c r="BB94" s="155"/>
      <c r="BC94" s="155"/>
      <c r="BD94" s="155"/>
      <c r="BE94" s="155"/>
      <c r="BF94" s="155"/>
      <c r="BG94" s="155"/>
      <c r="BH94" s="155"/>
      <c r="BI94" s="155"/>
      <c r="BJ94" s="155"/>
      <c r="BK94" s="155"/>
      <c r="BL94" s="155"/>
      <c r="BM94" s="155"/>
      <c r="BN94" s="155"/>
      <c r="BO94" s="155"/>
    </row>
    <row r="95" spans="1:67" s="183" customFormat="1" ht="16.149999999999999" customHeight="1">
      <c r="A95" s="157"/>
      <c r="B95" s="177"/>
      <c r="C95" s="440"/>
      <c r="D95" s="440"/>
      <c r="E95" s="440"/>
      <c r="F95" s="440"/>
      <c r="G95" s="440"/>
      <c r="H95" s="157"/>
      <c r="I95" s="157"/>
      <c r="J95" s="182"/>
      <c r="K95" s="182"/>
      <c r="L95" s="182"/>
      <c r="M95" s="182"/>
      <c r="N95" s="182"/>
      <c r="O95" s="182"/>
      <c r="P95" s="182"/>
      <c r="Q95" s="182"/>
      <c r="R95" s="182"/>
      <c r="S95" s="182"/>
      <c r="T95" s="182"/>
      <c r="U95" s="157"/>
      <c r="V95" s="182"/>
      <c r="W95" s="417"/>
      <c r="X95" s="182"/>
      <c r="Y95" s="182"/>
      <c r="Z95" s="418"/>
      <c r="AA95" s="182"/>
      <c r="AB95" s="182"/>
      <c r="AC95" s="418"/>
      <c r="AD95" s="182"/>
      <c r="AE95" s="182"/>
      <c r="AF95" s="417"/>
      <c r="AG95" s="182"/>
      <c r="AH95" s="182"/>
      <c r="AI95" s="182"/>
      <c r="AJ95" s="182"/>
      <c r="AK95" s="182"/>
      <c r="AL95" s="247"/>
      <c r="AM95" s="182"/>
      <c r="AN95" s="419"/>
      <c r="AR95" s="184"/>
      <c r="AT95" s="184"/>
      <c r="AU95" s="182"/>
      <c r="AV95" s="182"/>
      <c r="AW95" s="247"/>
      <c r="AZ95" s="155"/>
      <c r="BA95" s="155"/>
      <c r="BB95" s="155"/>
      <c r="BC95" s="155"/>
      <c r="BD95" s="155"/>
      <c r="BE95" s="155"/>
      <c r="BF95" s="155"/>
      <c r="BG95" s="155"/>
      <c r="BH95" s="155"/>
      <c r="BI95" s="155"/>
      <c r="BJ95" s="155"/>
      <c r="BK95" s="155"/>
      <c r="BL95" s="155"/>
      <c r="BM95" s="155"/>
      <c r="BN95" s="155"/>
      <c r="BO95" s="155"/>
    </row>
    <row r="96" spans="1:67" s="183" customFormat="1" ht="16.149999999999999" customHeight="1">
      <c r="A96" s="157"/>
      <c r="B96" s="177"/>
      <c r="C96" s="440"/>
      <c r="D96" s="440"/>
      <c r="E96" s="440"/>
      <c r="F96" s="440"/>
      <c r="G96" s="440"/>
      <c r="H96" s="157"/>
      <c r="I96" s="157"/>
      <c r="J96" s="182"/>
      <c r="K96" s="182"/>
      <c r="L96" s="182"/>
      <c r="M96" s="182"/>
      <c r="N96" s="182"/>
      <c r="O96" s="182"/>
      <c r="P96" s="182"/>
      <c r="Q96" s="182"/>
      <c r="R96" s="182"/>
      <c r="S96" s="182"/>
      <c r="T96" s="182"/>
      <c r="U96" s="157"/>
      <c r="V96" s="182"/>
      <c r="W96" s="417"/>
      <c r="X96" s="182"/>
      <c r="Y96" s="182"/>
      <c r="Z96" s="418"/>
      <c r="AA96" s="182"/>
      <c r="AB96" s="182"/>
      <c r="AC96" s="418"/>
      <c r="AD96" s="182"/>
      <c r="AE96" s="182"/>
      <c r="AF96" s="417"/>
      <c r="AG96" s="182"/>
      <c r="AH96" s="182"/>
      <c r="AI96" s="182"/>
      <c r="AJ96" s="182"/>
      <c r="AK96" s="182"/>
      <c r="AL96" s="247"/>
      <c r="AM96" s="182"/>
      <c r="AN96" s="419"/>
      <c r="AR96" s="184"/>
      <c r="AT96" s="184"/>
      <c r="AU96" s="182"/>
      <c r="AV96" s="182"/>
      <c r="AW96" s="247"/>
      <c r="AZ96" s="155"/>
      <c r="BA96" s="155"/>
      <c r="BB96" s="155"/>
      <c r="BC96" s="155"/>
      <c r="BD96" s="155"/>
      <c r="BE96" s="155"/>
      <c r="BF96" s="155"/>
      <c r="BG96" s="155"/>
      <c r="BH96" s="155"/>
      <c r="BI96" s="155"/>
      <c r="BJ96" s="155"/>
      <c r="BK96" s="155"/>
      <c r="BL96" s="155"/>
      <c r="BM96" s="155"/>
      <c r="BN96" s="155"/>
      <c r="BO96" s="155"/>
    </row>
    <row r="97" spans="1:67" s="183" customFormat="1" ht="16.149999999999999" customHeight="1">
      <c r="A97" s="157"/>
      <c r="B97" s="177"/>
      <c r="C97" s="440"/>
      <c r="D97" s="440"/>
      <c r="E97" s="440"/>
      <c r="F97" s="440"/>
      <c r="G97" s="440"/>
      <c r="H97" s="157"/>
      <c r="I97" s="157"/>
      <c r="J97" s="182"/>
      <c r="K97" s="182"/>
      <c r="L97" s="182"/>
      <c r="M97" s="182"/>
      <c r="N97" s="182"/>
      <c r="O97" s="182"/>
      <c r="P97" s="182"/>
      <c r="Q97" s="182"/>
      <c r="R97" s="182"/>
      <c r="S97" s="182"/>
      <c r="T97" s="182"/>
      <c r="U97" s="157"/>
      <c r="V97" s="182"/>
      <c r="W97" s="417"/>
      <c r="X97" s="182"/>
      <c r="Y97" s="182"/>
      <c r="Z97" s="418"/>
      <c r="AA97" s="182"/>
      <c r="AB97" s="182"/>
      <c r="AC97" s="418"/>
      <c r="AD97" s="182"/>
      <c r="AE97" s="182"/>
      <c r="AF97" s="417"/>
      <c r="AG97" s="182"/>
      <c r="AH97" s="182"/>
      <c r="AI97" s="182"/>
      <c r="AJ97" s="182"/>
      <c r="AK97" s="182"/>
      <c r="AL97" s="247"/>
      <c r="AM97" s="182"/>
      <c r="AN97" s="419"/>
      <c r="AR97" s="184"/>
      <c r="AT97" s="184"/>
      <c r="AU97" s="182"/>
      <c r="AV97" s="182"/>
      <c r="AW97" s="247"/>
      <c r="AZ97" s="155"/>
      <c r="BA97" s="155"/>
      <c r="BB97" s="155"/>
      <c r="BC97" s="155"/>
      <c r="BD97" s="155"/>
      <c r="BE97" s="155"/>
      <c r="BF97" s="155"/>
      <c r="BG97" s="155"/>
      <c r="BH97" s="155"/>
      <c r="BI97" s="155"/>
      <c r="BJ97" s="155"/>
      <c r="BK97" s="155"/>
      <c r="BL97" s="155"/>
      <c r="BM97" s="155"/>
      <c r="BN97" s="155"/>
      <c r="BO97" s="155"/>
    </row>
    <row r="98" spans="1:67" s="183" customFormat="1" ht="16.149999999999999" customHeight="1">
      <c r="A98" s="157"/>
      <c r="B98" s="177"/>
      <c r="C98" s="440"/>
      <c r="D98" s="440"/>
      <c r="E98" s="440"/>
      <c r="F98" s="440"/>
      <c r="G98" s="440"/>
      <c r="H98" s="157"/>
      <c r="I98" s="157"/>
      <c r="J98" s="182"/>
      <c r="K98" s="182"/>
      <c r="L98" s="182"/>
      <c r="M98" s="182"/>
      <c r="N98" s="182"/>
      <c r="O98" s="182"/>
      <c r="P98" s="182"/>
      <c r="Q98" s="182"/>
      <c r="R98" s="182"/>
      <c r="S98" s="182"/>
      <c r="T98" s="182"/>
      <c r="U98" s="157"/>
      <c r="V98" s="182"/>
      <c r="W98" s="417"/>
      <c r="X98" s="182"/>
      <c r="Y98" s="182"/>
      <c r="Z98" s="418"/>
      <c r="AA98" s="182"/>
      <c r="AB98" s="182"/>
      <c r="AC98" s="418"/>
      <c r="AD98" s="182"/>
      <c r="AE98" s="182"/>
      <c r="AF98" s="417"/>
      <c r="AG98" s="182"/>
      <c r="AH98" s="182"/>
      <c r="AI98" s="182"/>
      <c r="AJ98" s="182"/>
      <c r="AK98" s="182"/>
      <c r="AL98" s="247"/>
      <c r="AM98" s="182"/>
      <c r="AN98" s="419"/>
      <c r="AR98" s="184"/>
      <c r="AT98" s="184"/>
      <c r="AU98" s="182"/>
      <c r="AV98" s="182"/>
      <c r="AW98" s="247"/>
      <c r="AZ98" s="155"/>
      <c r="BA98" s="155"/>
      <c r="BB98" s="155"/>
      <c r="BC98" s="155"/>
      <c r="BD98" s="155"/>
      <c r="BE98" s="155"/>
      <c r="BF98" s="155"/>
      <c r="BG98" s="155"/>
      <c r="BH98" s="155"/>
      <c r="BI98" s="155"/>
      <c r="BJ98" s="155"/>
      <c r="BK98" s="155"/>
      <c r="BL98" s="155"/>
      <c r="BM98" s="155"/>
      <c r="BN98" s="155"/>
      <c r="BO98" s="155"/>
    </row>
    <row r="99" spans="1:67" s="157" customFormat="1" ht="15" customHeight="1">
      <c r="B99" s="177"/>
      <c r="C99" s="440"/>
      <c r="D99" s="440"/>
      <c r="E99" s="440"/>
      <c r="F99" s="440"/>
      <c r="G99" s="440"/>
      <c r="J99" s="182"/>
      <c r="K99" s="182"/>
      <c r="L99" s="182"/>
      <c r="M99" s="182"/>
      <c r="N99" s="182"/>
      <c r="O99" s="182"/>
      <c r="P99" s="182"/>
      <c r="Q99" s="182"/>
      <c r="R99" s="182"/>
      <c r="S99" s="182"/>
      <c r="T99" s="182"/>
      <c r="V99" s="182"/>
      <c r="W99" s="417"/>
      <c r="X99" s="182"/>
      <c r="Y99" s="182"/>
      <c r="Z99" s="418"/>
      <c r="AA99" s="182"/>
      <c r="AB99" s="182"/>
      <c r="AC99" s="418"/>
      <c r="AD99" s="182"/>
      <c r="AE99" s="182"/>
      <c r="AF99" s="417"/>
      <c r="AG99" s="182"/>
      <c r="AH99" s="182"/>
      <c r="AI99" s="182"/>
      <c r="AJ99" s="182"/>
      <c r="AK99" s="182"/>
      <c r="AL99" s="247"/>
      <c r="AN99" s="161"/>
      <c r="AO99" s="155"/>
      <c r="AW99" s="177"/>
      <c r="AX99" s="155"/>
      <c r="AY99" s="155"/>
      <c r="AZ99" s="155"/>
      <c r="BA99" s="155"/>
      <c r="BB99" s="155"/>
      <c r="BC99" s="155"/>
      <c r="BD99" s="155"/>
      <c r="BE99" s="155"/>
      <c r="BF99" s="155"/>
      <c r="BG99" s="155"/>
      <c r="BO99" s="155"/>
    </row>
    <row r="100" spans="1:67" s="157" customFormat="1" ht="15" customHeight="1">
      <c r="B100" s="177"/>
      <c r="C100" s="440"/>
      <c r="D100" s="440"/>
      <c r="E100" s="440"/>
      <c r="F100" s="440"/>
      <c r="G100" s="440"/>
      <c r="J100" s="182"/>
      <c r="K100" s="182"/>
      <c r="L100" s="182"/>
      <c r="M100" s="182"/>
      <c r="N100" s="182"/>
      <c r="O100" s="182"/>
      <c r="P100" s="182"/>
      <c r="Q100" s="182"/>
      <c r="R100" s="182"/>
      <c r="S100" s="182"/>
      <c r="T100" s="182"/>
      <c r="V100" s="182"/>
      <c r="W100" s="417"/>
      <c r="X100" s="182"/>
      <c r="Y100" s="182"/>
      <c r="Z100" s="418"/>
      <c r="AA100" s="182"/>
      <c r="AB100" s="182"/>
      <c r="AC100" s="418"/>
      <c r="AD100" s="182"/>
      <c r="AE100" s="182"/>
      <c r="AF100" s="417"/>
      <c r="AG100" s="182"/>
      <c r="AH100" s="182"/>
      <c r="AI100" s="182"/>
      <c r="AJ100" s="182"/>
      <c r="AK100" s="182"/>
      <c r="AL100" s="247"/>
      <c r="AN100" s="161"/>
      <c r="AO100" s="155"/>
      <c r="AW100" s="177"/>
      <c r="AX100" s="155"/>
      <c r="AY100" s="155"/>
      <c r="AZ100" s="155"/>
      <c r="BA100" s="155"/>
      <c r="BB100" s="155"/>
      <c r="BC100" s="155"/>
      <c r="BD100" s="155"/>
      <c r="BE100" s="155"/>
      <c r="BF100" s="155"/>
      <c r="BG100" s="155"/>
      <c r="BO100" s="155"/>
    </row>
    <row r="101" spans="1:67" s="157" customFormat="1" ht="15" customHeight="1">
      <c r="B101" s="177"/>
      <c r="C101" s="440"/>
      <c r="D101" s="440"/>
      <c r="E101" s="440"/>
      <c r="F101" s="440"/>
      <c r="G101" s="440"/>
      <c r="J101" s="182"/>
      <c r="K101" s="182"/>
      <c r="L101" s="182"/>
      <c r="M101" s="182"/>
      <c r="N101" s="182"/>
      <c r="O101" s="182"/>
      <c r="P101" s="182"/>
      <c r="Q101" s="182"/>
      <c r="R101" s="182"/>
      <c r="S101" s="182"/>
      <c r="T101" s="182"/>
      <c r="V101" s="182"/>
      <c r="W101" s="417"/>
      <c r="X101" s="182"/>
      <c r="Y101" s="182"/>
      <c r="Z101" s="418"/>
      <c r="AA101" s="182"/>
      <c r="AB101" s="182"/>
      <c r="AC101" s="418"/>
      <c r="AD101" s="182"/>
      <c r="AE101" s="182"/>
      <c r="AF101" s="417"/>
      <c r="AG101" s="182"/>
      <c r="AH101" s="182"/>
      <c r="AI101" s="182"/>
      <c r="AJ101" s="182"/>
      <c r="AK101" s="182"/>
      <c r="AL101" s="247"/>
      <c r="AN101" s="161"/>
      <c r="AO101" s="155"/>
      <c r="AW101" s="177"/>
      <c r="AX101" s="155"/>
      <c r="AY101" s="155"/>
      <c r="AZ101" s="155"/>
      <c r="BA101" s="155"/>
      <c r="BB101" s="155"/>
      <c r="BC101" s="155"/>
      <c r="BD101" s="155"/>
      <c r="BE101" s="155"/>
      <c r="BF101" s="155"/>
      <c r="BG101" s="155"/>
      <c r="BO101" s="155"/>
    </row>
    <row r="102" spans="1:67" s="157" customFormat="1" ht="15" customHeight="1">
      <c r="B102" s="177"/>
      <c r="C102" s="440"/>
      <c r="D102" s="440"/>
      <c r="E102" s="440"/>
      <c r="F102" s="440"/>
      <c r="G102" s="440"/>
      <c r="J102" s="182"/>
      <c r="K102" s="182"/>
      <c r="L102" s="182"/>
      <c r="M102" s="182"/>
      <c r="N102" s="182"/>
      <c r="O102" s="182"/>
      <c r="P102" s="182"/>
      <c r="Q102" s="182"/>
      <c r="R102" s="182"/>
      <c r="S102" s="182"/>
      <c r="T102" s="182"/>
      <c r="V102" s="182"/>
      <c r="W102" s="417"/>
      <c r="X102" s="182"/>
      <c r="Y102" s="182"/>
      <c r="Z102" s="418"/>
      <c r="AA102" s="182"/>
      <c r="AB102" s="182"/>
      <c r="AC102" s="418"/>
      <c r="AD102" s="182"/>
      <c r="AE102" s="182"/>
      <c r="AF102" s="417"/>
      <c r="AG102" s="182"/>
      <c r="AH102" s="182"/>
      <c r="AI102" s="182"/>
      <c r="AJ102" s="182"/>
      <c r="AK102" s="182"/>
      <c r="AL102" s="247"/>
      <c r="AN102" s="161"/>
      <c r="AO102" s="155"/>
      <c r="AW102" s="177"/>
      <c r="AX102" s="155"/>
      <c r="AY102" s="155"/>
      <c r="AZ102" s="155"/>
      <c r="BA102" s="155"/>
      <c r="BB102" s="155"/>
      <c r="BC102" s="155"/>
      <c r="BD102" s="155"/>
      <c r="BE102" s="155"/>
      <c r="BF102" s="155"/>
      <c r="BG102" s="155"/>
      <c r="BO102" s="155"/>
    </row>
    <row r="103" spans="1:67" s="157" customFormat="1" ht="15" customHeight="1">
      <c r="B103" s="177"/>
      <c r="C103" s="440"/>
      <c r="D103" s="440"/>
      <c r="E103" s="440"/>
      <c r="F103" s="440"/>
      <c r="G103" s="440"/>
      <c r="J103" s="182"/>
      <c r="K103" s="182"/>
      <c r="L103" s="182"/>
      <c r="M103" s="182"/>
      <c r="N103" s="182"/>
      <c r="O103" s="182"/>
      <c r="P103" s="182"/>
      <c r="Q103" s="182"/>
      <c r="R103" s="182"/>
      <c r="S103" s="182"/>
      <c r="T103" s="182"/>
      <c r="V103" s="182"/>
      <c r="W103" s="417"/>
      <c r="X103" s="182"/>
      <c r="Y103" s="182"/>
      <c r="Z103" s="418"/>
      <c r="AA103" s="182"/>
      <c r="AB103" s="182"/>
      <c r="AC103" s="418"/>
      <c r="AD103" s="182"/>
      <c r="AE103" s="182"/>
      <c r="AF103" s="417"/>
      <c r="AG103" s="182"/>
      <c r="AH103" s="182"/>
      <c r="AI103" s="182"/>
      <c r="AJ103" s="182"/>
      <c r="AK103" s="182"/>
      <c r="AL103" s="247"/>
      <c r="AN103" s="161"/>
      <c r="AO103" s="155"/>
      <c r="AW103" s="177"/>
      <c r="AX103" s="155"/>
      <c r="AY103" s="155"/>
      <c r="AZ103" s="155"/>
      <c r="BA103" s="155"/>
      <c r="BB103" s="155"/>
      <c r="BC103" s="155"/>
      <c r="BD103" s="155"/>
      <c r="BE103" s="155"/>
      <c r="BF103" s="155"/>
      <c r="BG103" s="155"/>
      <c r="BO103" s="155"/>
    </row>
    <row r="104" spans="1:67" s="157" customFormat="1" ht="14.5">
      <c r="J104" s="182"/>
      <c r="K104" s="182"/>
      <c r="L104" s="182"/>
      <c r="M104" s="182"/>
      <c r="N104" s="182"/>
      <c r="O104" s="182"/>
      <c r="P104" s="182"/>
      <c r="Q104" s="182"/>
      <c r="R104" s="182"/>
      <c r="S104" s="182"/>
      <c r="T104" s="182"/>
      <c r="V104" s="182"/>
      <c r="W104" s="417"/>
      <c r="X104" s="182"/>
      <c r="Y104" s="182"/>
      <c r="Z104" s="418"/>
      <c r="AA104" s="182"/>
      <c r="AB104" s="182"/>
      <c r="AC104" s="418"/>
      <c r="AD104" s="182"/>
      <c r="AE104" s="182"/>
      <c r="AF104" s="417"/>
      <c r="AG104" s="182"/>
      <c r="AH104" s="182"/>
      <c r="AI104" s="182"/>
      <c r="AJ104" s="182"/>
      <c r="AK104" s="182"/>
      <c r="AL104" s="247"/>
      <c r="AN104" s="161"/>
      <c r="AO104" s="155"/>
      <c r="BA104" s="155"/>
      <c r="BB104" s="155"/>
      <c r="BC104" s="155"/>
      <c r="BD104" s="155"/>
    </row>
    <row r="105" spans="1:67" s="157" customFormat="1" ht="14.5">
      <c r="J105" s="182"/>
      <c r="K105" s="182"/>
      <c r="L105" s="182"/>
      <c r="M105" s="182"/>
      <c r="N105" s="182"/>
      <c r="O105" s="182"/>
      <c r="P105" s="182"/>
      <c r="Q105" s="182"/>
      <c r="R105" s="182"/>
      <c r="S105" s="182"/>
      <c r="T105" s="182"/>
      <c r="V105" s="182"/>
      <c r="W105" s="417"/>
      <c r="X105" s="182"/>
      <c r="Y105" s="182"/>
      <c r="Z105" s="418"/>
      <c r="AA105" s="182"/>
      <c r="AB105" s="182"/>
      <c r="AC105" s="418"/>
      <c r="AD105" s="182"/>
      <c r="AE105" s="182"/>
      <c r="AF105" s="417"/>
      <c r="AG105" s="182"/>
      <c r="AH105" s="182"/>
      <c r="AI105" s="182"/>
      <c r="AJ105" s="182"/>
      <c r="AK105" s="182"/>
      <c r="AL105" s="247"/>
      <c r="AN105" s="161"/>
      <c r="AO105" s="155"/>
      <c r="BA105" s="155"/>
      <c r="BB105" s="155"/>
      <c r="BC105" s="155"/>
      <c r="BD105" s="155"/>
    </row>
    <row r="106" spans="1:67" s="157" customFormat="1" ht="14.5">
      <c r="B106" s="177"/>
      <c r="D106" s="192"/>
      <c r="E106" s="192"/>
      <c r="F106" s="192"/>
      <c r="G106" s="192"/>
      <c r="J106" s="182"/>
      <c r="K106" s="182"/>
      <c r="L106" s="182"/>
      <c r="M106" s="182"/>
      <c r="N106" s="182"/>
      <c r="O106" s="182"/>
      <c r="P106" s="182"/>
      <c r="Q106" s="182"/>
      <c r="R106" s="182"/>
      <c r="S106" s="182"/>
      <c r="T106" s="182"/>
      <c r="V106" s="182"/>
      <c r="W106" s="417"/>
      <c r="X106" s="182"/>
      <c r="Y106" s="182"/>
      <c r="Z106" s="418"/>
      <c r="AA106" s="182"/>
      <c r="AB106" s="182"/>
      <c r="AC106" s="418"/>
      <c r="AD106" s="182"/>
      <c r="AE106" s="182"/>
      <c r="AF106" s="417"/>
      <c r="AG106" s="182"/>
      <c r="AH106" s="182"/>
      <c r="AI106" s="182"/>
      <c r="AJ106" s="182"/>
      <c r="AK106" s="182"/>
      <c r="AL106" s="247"/>
      <c r="AN106" s="161"/>
      <c r="AO106" s="155"/>
      <c r="AW106" s="177"/>
      <c r="AX106" s="155"/>
      <c r="AY106" s="155"/>
      <c r="AZ106" s="155"/>
      <c r="BA106" s="155"/>
      <c r="BB106" s="155"/>
      <c r="BC106" s="155"/>
      <c r="BD106" s="155"/>
      <c r="BE106" s="155"/>
      <c r="BF106" s="155"/>
      <c r="BG106" s="155"/>
      <c r="BO106" s="155"/>
    </row>
    <row r="107" spans="1:67" s="157" customFormat="1" ht="14.5">
      <c r="B107" s="177"/>
      <c r="D107" s="192"/>
      <c r="E107" s="192"/>
      <c r="F107" s="192"/>
      <c r="G107" s="192"/>
      <c r="J107" s="182"/>
      <c r="K107" s="182"/>
      <c r="L107" s="182"/>
      <c r="M107" s="182"/>
      <c r="N107" s="182"/>
      <c r="O107" s="182"/>
      <c r="P107" s="182"/>
      <c r="Q107" s="182"/>
      <c r="R107" s="182"/>
      <c r="S107" s="182"/>
      <c r="T107" s="182"/>
      <c r="V107" s="182"/>
      <c r="W107" s="417"/>
      <c r="X107" s="182"/>
      <c r="Y107" s="182"/>
      <c r="Z107" s="418"/>
      <c r="AA107" s="182"/>
      <c r="AB107" s="182"/>
      <c r="AC107" s="418"/>
      <c r="AD107" s="182"/>
      <c r="AE107" s="182"/>
      <c r="AF107" s="417"/>
      <c r="AG107" s="182"/>
      <c r="AH107" s="182"/>
      <c r="AI107" s="182"/>
      <c r="AJ107" s="182"/>
      <c r="AK107" s="182"/>
      <c r="AL107" s="247"/>
      <c r="AN107" s="161"/>
      <c r="AO107" s="155"/>
      <c r="AW107" s="177"/>
      <c r="AX107" s="155"/>
      <c r="AY107" s="155"/>
      <c r="AZ107" s="155"/>
      <c r="BA107" s="155"/>
      <c r="BB107" s="155"/>
      <c r="BC107" s="155"/>
      <c r="BD107" s="155"/>
      <c r="BE107" s="155"/>
      <c r="BF107" s="155"/>
      <c r="BG107" s="155"/>
      <c r="BO107" s="155"/>
    </row>
    <row r="108" spans="1:67" s="157" customFormat="1" ht="14.5">
      <c r="B108" s="177"/>
      <c r="D108" s="192"/>
      <c r="E108" s="192"/>
      <c r="F108" s="192"/>
      <c r="G108" s="192"/>
      <c r="J108" s="182"/>
      <c r="K108" s="182"/>
      <c r="L108" s="182"/>
      <c r="M108" s="182"/>
      <c r="N108" s="182"/>
      <c r="O108" s="182"/>
      <c r="P108" s="182"/>
      <c r="Q108" s="182"/>
      <c r="R108" s="182"/>
      <c r="S108" s="182"/>
      <c r="T108" s="182"/>
      <c r="V108" s="182"/>
      <c r="W108" s="417"/>
      <c r="X108" s="182"/>
      <c r="Y108" s="182"/>
      <c r="Z108" s="418"/>
      <c r="AA108" s="182"/>
      <c r="AB108" s="182"/>
      <c r="AC108" s="418"/>
      <c r="AD108" s="182"/>
      <c r="AE108" s="182"/>
      <c r="AF108" s="417"/>
      <c r="AG108" s="182"/>
      <c r="AH108" s="182"/>
      <c r="AI108" s="182"/>
      <c r="AJ108" s="182"/>
      <c r="AK108" s="182"/>
      <c r="AL108" s="247"/>
      <c r="AN108" s="161"/>
      <c r="AO108" s="155"/>
      <c r="AW108" s="177"/>
      <c r="AX108" s="155"/>
      <c r="AY108" s="155"/>
      <c r="AZ108" s="155"/>
      <c r="BA108" s="155"/>
      <c r="BB108" s="155"/>
      <c r="BC108" s="155"/>
      <c r="BD108" s="155"/>
      <c r="BE108" s="155"/>
      <c r="BF108" s="155"/>
      <c r="BG108" s="155"/>
      <c r="BO108" s="155"/>
    </row>
    <row r="109" spans="1:67" s="157" customFormat="1" ht="14.5">
      <c r="B109" s="177"/>
      <c r="D109" s="192"/>
      <c r="E109" s="192"/>
      <c r="F109" s="192"/>
      <c r="G109" s="192"/>
      <c r="J109" s="182"/>
      <c r="K109" s="182"/>
      <c r="L109" s="182"/>
      <c r="M109" s="182"/>
      <c r="N109" s="182"/>
      <c r="O109" s="182"/>
      <c r="P109" s="182"/>
      <c r="Q109" s="182"/>
      <c r="R109" s="182"/>
      <c r="S109" s="182"/>
      <c r="T109" s="182"/>
      <c r="V109" s="182"/>
      <c r="W109" s="417"/>
      <c r="X109" s="182"/>
      <c r="Y109" s="182"/>
      <c r="Z109" s="418"/>
      <c r="AA109" s="182"/>
      <c r="AB109" s="182"/>
      <c r="AC109" s="418"/>
      <c r="AD109" s="182"/>
      <c r="AE109" s="182"/>
      <c r="AF109" s="417"/>
      <c r="AG109" s="182"/>
      <c r="AH109" s="182"/>
      <c r="AI109" s="182"/>
      <c r="AJ109" s="182"/>
      <c r="AK109" s="182"/>
      <c r="AL109" s="247"/>
      <c r="AN109" s="161"/>
      <c r="AO109" s="155"/>
      <c r="AW109" s="177"/>
      <c r="AX109" s="155"/>
      <c r="AY109" s="155"/>
      <c r="AZ109" s="155"/>
      <c r="BA109" s="155"/>
      <c r="BB109" s="155"/>
      <c r="BC109" s="155"/>
      <c r="BD109" s="155"/>
      <c r="BE109" s="155"/>
      <c r="BF109" s="155"/>
      <c r="BG109" s="155"/>
      <c r="BO109" s="155"/>
    </row>
    <row r="110" spans="1:67" s="157" customFormat="1" ht="14.5">
      <c r="B110" s="177"/>
      <c r="D110" s="192"/>
      <c r="E110" s="192"/>
      <c r="F110" s="192"/>
      <c r="G110" s="192"/>
      <c r="J110" s="182"/>
      <c r="K110" s="182"/>
      <c r="L110" s="182"/>
      <c r="M110" s="182"/>
      <c r="N110" s="182"/>
      <c r="O110" s="182"/>
      <c r="P110" s="182"/>
      <c r="Q110" s="182"/>
      <c r="R110" s="182"/>
      <c r="S110" s="182"/>
      <c r="T110" s="182"/>
      <c r="V110" s="182"/>
      <c r="W110" s="417"/>
      <c r="X110" s="182"/>
      <c r="Y110" s="182"/>
      <c r="Z110" s="418"/>
      <c r="AA110" s="182"/>
      <c r="AB110" s="182"/>
      <c r="AC110" s="418"/>
      <c r="AD110" s="182"/>
      <c r="AE110" s="182"/>
      <c r="AF110" s="417"/>
      <c r="AG110" s="182"/>
      <c r="AH110" s="182"/>
      <c r="AI110" s="182"/>
      <c r="AJ110" s="182"/>
      <c r="AK110" s="182"/>
      <c r="AL110" s="247"/>
      <c r="AN110" s="161"/>
      <c r="AO110" s="155"/>
      <c r="AW110" s="177"/>
      <c r="AX110" s="155"/>
      <c r="AY110" s="155"/>
      <c r="AZ110" s="155"/>
      <c r="BA110" s="155"/>
      <c r="BB110" s="155"/>
      <c r="BC110" s="155"/>
      <c r="BD110" s="155"/>
      <c r="BE110" s="155"/>
      <c r="BF110" s="155"/>
      <c r="BG110" s="155"/>
      <c r="BO110" s="155"/>
    </row>
    <row r="111" spans="1:67" s="157" customFormat="1" ht="14.5">
      <c r="B111" s="177"/>
      <c r="D111" s="192"/>
      <c r="E111" s="192"/>
      <c r="F111" s="192"/>
      <c r="J111" s="182"/>
      <c r="K111" s="182"/>
      <c r="L111" s="182"/>
      <c r="M111" s="182"/>
      <c r="N111" s="182"/>
      <c r="O111" s="182"/>
      <c r="P111" s="182"/>
      <c r="Q111" s="182"/>
      <c r="R111" s="182"/>
      <c r="S111" s="182"/>
      <c r="T111" s="182"/>
      <c r="V111" s="182"/>
      <c r="W111" s="417"/>
      <c r="X111" s="182"/>
      <c r="Y111" s="182"/>
      <c r="Z111" s="418"/>
      <c r="AA111" s="182"/>
      <c r="AB111" s="182"/>
      <c r="AC111" s="418"/>
      <c r="AD111" s="182"/>
      <c r="AE111" s="182"/>
      <c r="AF111" s="417"/>
      <c r="AG111" s="182"/>
      <c r="AH111" s="182"/>
      <c r="AI111" s="182"/>
      <c r="AJ111" s="182"/>
      <c r="AK111" s="182"/>
      <c r="AL111" s="247"/>
      <c r="AN111" s="161"/>
      <c r="AO111" s="155"/>
      <c r="AW111" s="177"/>
      <c r="AX111" s="155"/>
      <c r="AY111" s="155"/>
      <c r="AZ111" s="155"/>
      <c r="BA111" s="155"/>
      <c r="BB111" s="155"/>
      <c r="BC111" s="155"/>
      <c r="BD111" s="155"/>
      <c r="BE111" s="155"/>
      <c r="BF111" s="155"/>
      <c r="BG111" s="155"/>
      <c r="BO111" s="155"/>
    </row>
    <row r="112" spans="1:67" s="157" customFormat="1" ht="14.5">
      <c r="B112" s="177"/>
      <c r="D112" s="192"/>
      <c r="E112" s="192"/>
      <c r="F112" s="192"/>
      <c r="J112" s="182"/>
      <c r="K112" s="182"/>
      <c r="L112" s="182"/>
      <c r="M112" s="182"/>
      <c r="N112" s="182"/>
      <c r="O112" s="182"/>
      <c r="P112" s="182"/>
      <c r="Q112" s="182"/>
      <c r="R112" s="182"/>
      <c r="S112" s="182"/>
      <c r="T112" s="182"/>
      <c r="V112" s="182"/>
      <c r="W112" s="417"/>
      <c r="X112" s="182"/>
      <c r="Y112" s="182"/>
      <c r="Z112" s="418"/>
      <c r="AA112" s="182"/>
      <c r="AB112" s="182"/>
      <c r="AC112" s="418"/>
      <c r="AD112" s="182"/>
      <c r="AE112" s="182"/>
      <c r="AF112" s="417"/>
      <c r="AG112" s="182"/>
      <c r="AH112" s="182"/>
      <c r="AI112" s="182"/>
      <c r="AJ112" s="182"/>
      <c r="AK112" s="182"/>
      <c r="AL112" s="247"/>
      <c r="AN112" s="161"/>
      <c r="AO112" s="155"/>
      <c r="AW112" s="177"/>
      <c r="AX112" s="155"/>
      <c r="AY112" s="155"/>
      <c r="AZ112" s="155"/>
      <c r="BA112" s="155"/>
      <c r="BB112" s="155"/>
      <c r="BC112" s="155"/>
      <c r="BD112" s="155"/>
      <c r="BE112" s="155"/>
      <c r="BF112" s="155"/>
      <c r="BG112" s="155"/>
      <c r="BO112" s="155"/>
    </row>
    <row r="113" spans="1:69" s="157" customFormat="1" ht="14.5">
      <c r="B113" s="177"/>
      <c r="D113" s="192"/>
      <c r="E113" s="192"/>
      <c r="F113" s="192"/>
      <c r="J113" s="182"/>
      <c r="K113" s="182"/>
      <c r="L113" s="182"/>
      <c r="M113" s="182"/>
      <c r="N113" s="182"/>
      <c r="O113" s="182"/>
      <c r="P113" s="182"/>
      <c r="Q113" s="182"/>
      <c r="R113" s="182"/>
      <c r="S113" s="182"/>
      <c r="T113" s="182"/>
      <c r="V113" s="182"/>
      <c r="W113" s="417"/>
      <c r="X113" s="182"/>
      <c r="Y113" s="182"/>
      <c r="Z113" s="418"/>
      <c r="AA113" s="182"/>
      <c r="AB113" s="182"/>
      <c r="AC113" s="418"/>
      <c r="AD113" s="182"/>
      <c r="AE113" s="182"/>
      <c r="AF113" s="417"/>
      <c r="AG113" s="182"/>
      <c r="AH113" s="182"/>
      <c r="AI113" s="182"/>
      <c r="AJ113" s="182"/>
      <c r="AK113" s="182"/>
      <c r="AL113" s="247"/>
      <c r="AN113" s="161"/>
      <c r="AO113" s="155"/>
      <c r="AW113" s="177"/>
      <c r="AX113" s="155"/>
      <c r="AY113" s="155"/>
      <c r="AZ113" s="155"/>
      <c r="BA113" s="155"/>
      <c r="BB113" s="155"/>
      <c r="BC113" s="155"/>
      <c r="BD113" s="155"/>
      <c r="BE113" s="155"/>
      <c r="BF113" s="155"/>
      <c r="BG113" s="155"/>
      <c r="BO113" s="155"/>
    </row>
    <row r="114" spans="1:69" s="157" customFormat="1" ht="14.5">
      <c r="B114" s="177"/>
      <c r="D114" s="192"/>
      <c r="E114" s="192"/>
      <c r="F114" s="192"/>
      <c r="J114" s="182"/>
      <c r="K114" s="182"/>
      <c r="L114" s="182"/>
      <c r="M114" s="182"/>
      <c r="N114" s="182"/>
      <c r="O114" s="182"/>
      <c r="P114" s="182"/>
      <c r="Q114" s="182"/>
      <c r="R114" s="182"/>
      <c r="S114" s="182"/>
      <c r="T114" s="182"/>
      <c r="V114" s="182"/>
      <c r="W114" s="417"/>
      <c r="X114" s="182"/>
      <c r="Y114" s="182"/>
      <c r="Z114" s="418"/>
      <c r="AA114" s="182"/>
      <c r="AB114" s="182"/>
      <c r="AC114" s="418"/>
      <c r="AD114" s="182"/>
      <c r="AE114" s="182"/>
      <c r="AF114" s="417"/>
      <c r="AG114" s="182"/>
      <c r="AH114" s="182"/>
      <c r="AI114" s="182"/>
      <c r="AJ114" s="182"/>
      <c r="AK114" s="182"/>
      <c r="AL114" s="247"/>
      <c r="AN114" s="161"/>
      <c r="AO114" s="155"/>
      <c r="AW114" s="177"/>
      <c r="AX114" s="155"/>
      <c r="AY114" s="155"/>
      <c r="AZ114" s="155"/>
      <c r="BA114" s="155"/>
      <c r="BB114" s="155"/>
      <c r="BC114" s="155"/>
      <c r="BD114" s="155"/>
      <c r="BE114" s="155"/>
      <c r="BF114" s="155"/>
      <c r="BG114" s="155"/>
      <c r="BO114" s="155"/>
    </row>
    <row r="115" spans="1:69" s="157" customFormat="1" ht="14.5">
      <c r="B115" s="177"/>
      <c r="D115" s="192"/>
      <c r="F115" s="192"/>
      <c r="J115" s="182"/>
      <c r="K115" s="182"/>
      <c r="L115" s="182"/>
      <c r="M115" s="182"/>
      <c r="N115" s="182"/>
      <c r="O115" s="182"/>
      <c r="P115" s="182"/>
      <c r="Q115" s="182"/>
      <c r="R115" s="182"/>
      <c r="S115" s="182"/>
      <c r="T115" s="182"/>
      <c r="V115" s="182"/>
      <c r="W115" s="417"/>
      <c r="X115" s="182"/>
      <c r="Y115" s="182"/>
      <c r="Z115" s="418"/>
      <c r="AA115" s="182"/>
      <c r="AB115" s="182"/>
      <c r="AC115" s="418"/>
      <c r="AD115" s="182"/>
      <c r="AE115" s="182"/>
      <c r="AF115" s="417"/>
      <c r="AG115" s="182"/>
      <c r="AH115" s="182"/>
      <c r="AI115" s="182"/>
      <c r="AJ115" s="182"/>
      <c r="AK115" s="182"/>
      <c r="AL115" s="247"/>
      <c r="AN115" s="161"/>
      <c r="AO115" s="155"/>
      <c r="AW115" s="177"/>
      <c r="AX115" s="155"/>
      <c r="AY115" s="155"/>
      <c r="AZ115" s="155"/>
      <c r="BA115" s="155"/>
      <c r="BB115" s="155"/>
      <c r="BC115" s="155"/>
      <c r="BD115" s="155"/>
      <c r="BE115" s="155"/>
      <c r="BF115" s="155"/>
      <c r="BG115" s="155"/>
      <c r="BO115" s="155"/>
    </row>
    <row r="116" spans="1:69" s="157" customFormat="1" ht="14.5">
      <c r="B116" s="177"/>
      <c r="D116" s="192"/>
      <c r="F116" s="192"/>
      <c r="J116" s="182"/>
      <c r="K116" s="182"/>
      <c r="L116" s="182"/>
      <c r="M116" s="182"/>
      <c r="N116" s="182"/>
      <c r="O116" s="182"/>
      <c r="P116" s="182"/>
      <c r="Q116" s="182"/>
      <c r="R116" s="182"/>
      <c r="S116" s="182"/>
      <c r="T116" s="182"/>
      <c r="V116" s="182"/>
      <c r="W116" s="417"/>
      <c r="X116" s="182"/>
      <c r="Y116" s="182"/>
      <c r="Z116" s="418"/>
      <c r="AA116" s="182"/>
      <c r="AB116" s="182"/>
      <c r="AC116" s="418"/>
      <c r="AD116" s="182"/>
      <c r="AE116" s="182"/>
      <c r="AF116" s="417"/>
      <c r="AG116" s="182"/>
      <c r="AH116" s="182"/>
      <c r="AI116" s="182"/>
      <c r="AJ116" s="182"/>
      <c r="AK116" s="182"/>
      <c r="AL116" s="247"/>
      <c r="AN116" s="161"/>
      <c r="AO116" s="155"/>
      <c r="AW116" s="177"/>
      <c r="AX116" s="155"/>
      <c r="AY116" s="155"/>
      <c r="AZ116" s="155"/>
      <c r="BA116" s="155"/>
      <c r="BB116" s="155"/>
      <c r="BC116" s="155"/>
      <c r="BD116" s="155"/>
      <c r="BE116" s="155"/>
      <c r="BF116" s="155"/>
      <c r="BG116" s="155"/>
      <c r="BO116" s="155"/>
    </row>
    <row r="117" spans="1:69" s="183" customFormat="1" ht="14.5">
      <c r="A117" s="157"/>
      <c r="B117" s="177"/>
      <c r="C117" s="157"/>
      <c r="D117" s="192"/>
      <c r="E117" s="157"/>
      <c r="F117" s="192"/>
      <c r="G117" s="157"/>
      <c r="H117" s="157"/>
      <c r="I117" s="157"/>
      <c r="J117" s="182"/>
      <c r="K117" s="182"/>
      <c r="L117" s="182"/>
      <c r="M117" s="182"/>
      <c r="N117" s="182"/>
      <c r="O117" s="182"/>
      <c r="P117" s="182"/>
      <c r="Q117" s="182"/>
      <c r="R117" s="182"/>
      <c r="S117" s="182"/>
      <c r="T117" s="182"/>
      <c r="U117" s="157"/>
      <c r="V117" s="182"/>
      <c r="W117" s="417"/>
      <c r="X117" s="182"/>
      <c r="Y117" s="182"/>
      <c r="Z117" s="418"/>
      <c r="AA117" s="182"/>
      <c r="AB117" s="182"/>
      <c r="AC117" s="418"/>
      <c r="AD117" s="182"/>
      <c r="AE117" s="182"/>
      <c r="AF117" s="417"/>
      <c r="AG117" s="182"/>
      <c r="AH117" s="182"/>
      <c r="AI117" s="182"/>
      <c r="AJ117" s="182"/>
      <c r="AK117" s="182"/>
      <c r="AL117" s="247"/>
      <c r="AM117" s="182"/>
      <c r="AN117" s="419"/>
      <c r="AR117" s="184"/>
      <c r="AT117" s="184"/>
      <c r="AU117" s="182"/>
      <c r="AV117" s="182"/>
      <c r="AW117" s="247"/>
    </row>
    <row r="118" spans="1:69" s="183" customFormat="1" ht="14.5">
      <c r="A118" s="157"/>
      <c r="B118" s="177"/>
      <c r="C118" s="157"/>
      <c r="D118" s="192"/>
      <c r="E118" s="157"/>
      <c r="F118" s="192"/>
      <c r="G118" s="157"/>
      <c r="H118" s="157"/>
      <c r="I118" s="157"/>
      <c r="J118" s="182"/>
      <c r="K118" s="182"/>
      <c r="L118" s="182"/>
      <c r="M118" s="182"/>
      <c r="N118" s="182"/>
      <c r="O118" s="182"/>
      <c r="P118" s="182"/>
      <c r="Q118" s="182"/>
      <c r="R118" s="182"/>
      <c r="S118" s="182"/>
      <c r="T118" s="182"/>
      <c r="U118" s="157"/>
      <c r="V118" s="182"/>
      <c r="W118" s="417"/>
      <c r="X118" s="182"/>
      <c r="Y118" s="182"/>
      <c r="Z118" s="418"/>
      <c r="AA118" s="182"/>
      <c r="AB118" s="182"/>
      <c r="AC118" s="418"/>
      <c r="AD118" s="182"/>
      <c r="AE118" s="182"/>
      <c r="AF118" s="417"/>
      <c r="AG118" s="182"/>
      <c r="AH118" s="182"/>
      <c r="AI118" s="182"/>
      <c r="AJ118" s="182"/>
      <c r="AK118" s="182"/>
      <c r="AL118" s="247"/>
      <c r="AM118" s="182"/>
      <c r="AN118" s="419"/>
      <c r="AR118" s="184"/>
      <c r="AT118" s="184"/>
      <c r="AU118" s="182"/>
      <c r="AV118" s="182"/>
      <c r="AW118" s="247"/>
    </row>
    <row r="119" spans="1:69" s="183" customFormat="1" ht="14.5">
      <c r="A119" s="157"/>
      <c r="B119" s="177"/>
      <c r="C119" s="157"/>
      <c r="D119" s="192"/>
      <c r="E119" s="157"/>
      <c r="F119" s="192"/>
      <c r="G119" s="157"/>
      <c r="H119" s="157"/>
      <c r="I119" s="157"/>
      <c r="J119" s="182"/>
      <c r="K119" s="182"/>
      <c r="L119" s="182"/>
      <c r="M119" s="182"/>
      <c r="N119" s="182"/>
      <c r="O119" s="182"/>
      <c r="P119" s="182"/>
      <c r="Q119" s="182"/>
      <c r="R119" s="182"/>
      <c r="S119" s="182"/>
      <c r="T119" s="182"/>
      <c r="U119" s="157"/>
      <c r="V119" s="182"/>
      <c r="W119" s="417"/>
      <c r="X119" s="182"/>
      <c r="Y119" s="182"/>
      <c r="Z119" s="418"/>
      <c r="AA119" s="182"/>
      <c r="AB119" s="182"/>
      <c r="AC119" s="418"/>
      <c r="AD119" s="182"/>
      <c r="AE119" s="182"/>
      <c r="AF119" s="417"/>
      <c r="AG119" s="182"/>
      <c r="AH119" s="182"/>
      <c r="AI119" s="182"/>
      <c r="AJ119" s="182"/>
      <c r="AK119" s="182"/>
      <c r="AL119" s="247"/>
      <c r="AM119" s="182"/>
      <c r="AN119" s="419"/>
      <c r="AR119" s="184"/>
      <c r="AT119" s="184"/>
      <c r="AU119" s="182"/>
      <c r="AV119" s="182"/>
      <c r="AW119" s="247"/>
    </row>
    <row r="120" spans="1:69" s="183" customFormat="1" ht="14.5">
      <c r="A120" s="157"/>
      <c r="B120" s="177"/>
      <c r="C120" s="157"/>
      <c r="D120" s="192"/>
      <c r="E120" s="157"/>
      <c r="F120" s="192"/>
      <c r="G120" s="157"/>
      <c r="H120" s="157"/>
      <c r="I120" s="157"/>
      <c r="J120" s="182"/>
      <c r="K120" s="182"/>
      <c r="L120" s="182"/>
      <c r="M120" s="182"/>
      <c r="N120" s="182"/>
      <c r="O120" s="182"/>
      <c r="P120" s="182"/>
      <c r="Q120" s="182"/>
      <c r="R120" s="182"/>
      <c r="S120" s="182"/>
      <c r="T120" s="182"/>
      <c r="U120" s="157"/>
      <c r="V120" s="182"/>
      <c r="W120" s="417"/>
      <c r="X120" s="182"/>
      <c r="Y120" s="182"/>
      <c r="Z120" s="418"/>
      <c r="AA120" s="182"/>
      <c r="AB120" s="182"/>
      <c r="AC120" s="418"/>
      <c r="AD120" s="182"/>
      <c r="AE120" s="182"/>
      <c r="AF120" s="417"/>
      <c r="AG120" s="182"/>
      <c r="AH120" s="182"/>
      <c r="AI120" s="182"/>
      <c r="AJ120" s="182"/>
      <c r="AK120" s="182"/>
      <c r="AL120" s="247"/>
      <c r="AM120" s="182"/>
      <c r="AN120" s="419"/>
      <c r="AR120" s="184"/>
      <c r="AT120" s="184"/>
      <c r="AU120" s="182"/>
      <c r="AV120" s="182"/>
      <c r="AW120" s="247"/>
    </row>
    <row r="121" spans="1:69" s="183" customFormat="1" ht="14.5">
      <c r="A121" s="157"/>
      <c r="B121" s="177"/>
      <c r="C121" s="157"/>
      <c r="D121" s="192"/>
      <c r="E121" s="157"/>
      <c r="F121" s="192"/>
      <c r="G121" s="157"/>
      <c r="H121" s="157"/>
      <c r="I121" s="157"/>
      <c r="J121" s="182"/>
      <c r="K121" s="182"/>
      <c r="L121" s="182"/>
      <c r="M121" s="182"/>
      <c r="N121" s="182"/>
      <c r="O121" s="182"/>
      <c r="P121" s="182"/>
      <c r="Q121" s="182"/>
      <c r="R121" s="182"/>
      <c r="S121" s="182"/>
      <c r="T121" s="182"/>
      <c r="U121" s="157"/>
      <c r="V121" s="182"/>
      <c r="W121" s="417"/>
      <c r="X121" s="182"/>
      <c r="Y121" s="182"/>
      <c r="Z121" s="418"/>
      <c r="AA121" s="182"/>
      <c r="AB121" s="182"/>
      <c r="AC121" s="418"/>
      <c r="AD121" s="182"/>
      <c r="AE121" s="182"/>
      <c r="AF121" s="417"/>
      <c r="AG121" s="182"/>
      <c r="AH121" s="182"/>
      <c r="AI121" s="182"/>
      <c r="AJ121" s="182"/>
      <c r="AK121" s="182"/>
      <c r="AL121" s="247"/>
      <c r="AM121" s="182"/>
      <c r="AN121" s="419"/>
      <c r="AR121" s="184"/>
      <c r="AT121" s="184"/>
      <c r="AU121" s="182"/>
      <c r="AV121" s="182"/>
      <c r="AW121" s="247"/>
    </row>
    <row r="122" spans="1:69" s="183" customFormat="1" ht="14.5">
      <c r="A122" s="157"/>
      <c r="B122" s="177"/>
      <c r="C122" s="157"/>
      <c r="D122" s="192"/>
      <c r="E122" s="157"/>
      <c r="F122" s="192"/>
      <c r="G122" s="157"/>
      <c r="H122" s="157"/>
      <c r="I122" s="157"/>
      <c r="J122" s="182"/>
      <c r="K122" s="182"/>
      <c r="L122" s="182"/>
      <c r="M122" s="182"/>
      <c r="N122" s="182"/>
      <c r="O122" s="182"/>
      <c r="P122" s="182"/>
      <c r="Q122" s="182"/>
      <c r="R122" s="182"/>
      <c r="S122" s="182"/>
      <c r="T122" s="182"/>
      <c r="U122" s="157"/>
      <c r="V122" s="182"/>
      <c r="W122" s="417"/>
      <c r="X122" s="182"/>
      <c r="Y122" s="182"/>
      <c r="Z122" s="418"/>
      <c r="AA122" s="182"/>
      <c r="AB122" s="182"/>
      <c r="AC122" s="418"/>
      <c r="AD122" s="182"/>
      <c r="AE122" s="182"/>
      <c r="AF122" s="417"/>
      <c r="AG122" s="182"/>
      <c r="AH122" s="182"/>
      <c r="AI122" s="182"/>
      <c r="AJ122" s="182"/>
      <c r="AK122" s="182"/>
      <c r="AL122" s="247"/>
      <c r="AM122" s="182"/>
      <c r="AN122" s="419"/>
      <c r="AR122" s="184"/>
      <c r="AT122" s="184"/>
      <c r="AU122" s="182"/>
      <c r="AV122" s="182"/>
      <c r="AW122" s="247"/>
    </row>
    <row r="123" spans="1:69" s="183" customFormat="1" ht="14.5">
      <c r="A123" s="157"/>
      <c r="B123" s="177"/>
      <c r="C123" s="157"/>
      <c r="D123" s="192"/>
      <c r="E123" s="157"/>
      <c r="F123" s="192"/>
      <c r="G123" s="157"/>
      <c r="H123" s="157"/>
      <c r="I123" s="157"/>
      <c r="J123" s="182"/>
      <c r="K123" s="182"/>
      <c r="L123" s="182"/>
      <c r="M123" s="182"/>
      <c r="N123" s="182"/>
      <c r="O123" s="182"/>
      <c r="P123" s="182"/>
      <c r="Q123" s="182"/>
      <c r="R123" s="182"/>
      <c r="S123" s="182"/>
      <c r="T123" s="182"/>
      <c r="U123" s="157"/>
      <c r="V123" s="182"/>
      <c r="W123" s="417"/>
      <c r="X123" s="182"/>
      <c r="Y123" s="182"/>
      <c r="Z123" s="418"/>
      <c r="AA123" s="182"/>
      <c r="AB123" s="182"/>
      <c r="AC123" s="418"/>
      <c r="AD123" s="182"/>
      <c r="AE123" s="182"/>
      <c r="AF123" s="417"/>
      <c r="AG123" s="182"/>
      <c r="AH123" s="182"/>
      <c r="AI123" s="182"/>
      <c r="AJ123" s="182"/>
      <c r="AK123" s="182"/>
      <c r="AL123" s="247"/>
      <c r="AM123" s="182"/>
      <c r="AN123" s="419"/>
      <c r="AR123" s="184"/>
      <c r="AT123" s="184"/>
      <c r="AU123" s="182"/>
      <c r="AV123" s="182"/>
      <c r="AW123" s="247"/>
    </row>
    <row r="124" spans="1:69" s="183" customFormat="1" ht="14.5">
      <c r="A124" s="157"/>
      <c r="B124" s="177"/>
      <c r="C124" s="157"/>
      <c r="D124" s="192"/>
      <c r="E124" s="157"/>
      <c r="F124" s="192"/>
      <c r="G124" s="157"/>
      <c r="H124" s="157"/>
      <c r="I124" s="157"/>
      <c r="J124" s="182"/>
      <c r="K124" s="182"/>
      <c r="L124" s="182"/>
      <c r="M124" s="182"/>
      <c r="N124" s="182"/>
      <c r="O124" s="182"/>
      <c r="P124" s="182"/>
      <c r="Q124" s="182"/>
      <c r="R124" s="182"/>
      <c r="S124" s="182"/>
      <c r="T124" s="182"/>
      <c r="U124" s="157"/>
      <c r="V124" s="182"/>
      <c r="W124" s="417"/>
      <c r="X124" s="182"/>
      <c r="Y124" s="182"/>
      <c r="Z124" s="418"/>
      <c r="AA124" s="182"/>
      <c r="AB124" s="182"/>
      <c r="AC124" s="418"/>
      <c r="AD124" s="182"/>
      <c r="AE124" s="182"/>
      <c r="AF124" s="417"/>
      <c r="AG124" s="182"/>
      <c r="AH124" s="182"/>
      <c r="AI124" s="182"/>
      <c r="AJ124" s="182"/>
      <c r="AK124" s="182"/>
      <c r="AL124" s="247"/>
      <c r="AM124" s="182"/>
      <c r="AN124" s="419"/>
      <c r="AR124" s="184"/>
      <c r="AT124" s="184"/>
      <c r="AU124" s="182"/>
      <c r="AV124" s="182"/>
      <c r="AW124" s="247"/>
    </row>
    <row r="125" spans="1:69" s="183" customFormat="1" ht="14.5">
      <c r="A125" s="157"/>
      <c r="B125" s="177"/>
      <c r="C125" s="157"/>
      <c r="D125" s="192"/>
      <c r="E125" s="157"/>
      <c r="F125" s="192"/>
      <c r="G125" s="157"/>
      <c r="H125" s="157"/>
      <c r="I125" s="157"/>
      <c r="J125" s="182"/>
      <c r="K125" s="182"/>
      <c r="L125" s="182"/>
      <c r="M125" s="182"/>
      <c r="N125" s="182"/>
      <c r="O125" s="182"/>
      <c r="P125" s="182"/>
      <c r="Q125" s="182"/>
      <c r="R125" s="182"/>
      <c r="S125" s="182"/>
      <c r="T125" s="182"/>
      <c r="U125" s="157"/>
      <c r="V125" s="182"/>
      <c r="W125" s="417"/>
      <c r="X125" s="182"/>
      <c r="Y125" s="182"/>
      <c r="Z125" s="418"/>
      <c r="AA125" s="182"/>
      <c r="AB125" s="182"/>
      <c r="AC125" s="418"/>
      <c r="AD125" s="182"/>
      <c r="AE125" s="182"/>
      <c r="AF125" s="417"/>
      <c r="AG125" s="182"/>
      <c r="AH125" s="182"/>
      <c r="AI125" s="182"/>
      <c r="AJ125" s="182"/>
      <c r="AK125" s="182"/>
      <c r="AL125" s="247"/>
      <c r="AM125" s="182"/>
      <c r="AN125" s="419"/>
      <c r="AR125" s="184"/>
      <c r="AT125" s="184"/>
      <c r="AU125" s="182"/>
      <c r="AV125" s="182"/>
      <c r="AW125" s="247"/>
    </row>
    <row r="126" spans="1:69" s="157" customFormat="1" ht="14.5">
      <c r="B126" s="177"/>
      <c r="D126" s="192"/>
      <c r="F126" s="192"/>
      <c r="J126" s="182"/>
      <c r="K126" s="182"/>
      <c r="L126" s="182"/>
      <c r="M126" s="182"/>
      <c r="N126" s="182"/>
      <c r="O126" s="182"/>
      <c r="P126" s="182"/>
      <c r="Q126" s="182"/>
      <c r="R126" s="182"/>
      <c r="S126" s="182"/>
      <c r="T126" s="182"/>
      <c r="V126" s="182"/>
      <c r="W126" s="417"/>
      <c r="X126" s="182"/>
      <c r="Y126" s="182"/>
      <c r="Z126" s="418"/>
      <c r="AA126" s="182"/>
      <c r="AB126" s="182"/>
      <c r="AC126" s="418"/>
      <c r="AD126" s="182"/>
      <c r="AE126" s="182"/>
      <c r="AF126" s="417"/>
      <c r="AG126" s="182"/>
      <c r="AH126" s="182"/>
      <c r="AI126" s="182"/>
      <c r="AJ126" s="182"/>
      <c r="AK126" s="182"/>
      <c r="AL126" s="247"/>
      <c r="AM126" s="182"/>
      <c r="AN126" s="419"/>
      <c r="AO126" s="183"/>
      <c r="AP126" s="183"/>
      <c r="AQ126" s="183"/>
      <c r="AR126" s="184"/>
      <c r="AS126" s="183"/>
      <c r="AT126" s="184"/>
      <c r="AU126" s="182"/>
      <c r="AV126" s="182"/>
      <c r="AW126" s="247"/>
      <c r="AX126" s="183"/>
      <c r="AY126" s="183"/>
      <c r="AZ126" s="183"/>
      <c r="BA126" s="183"/>
      <c r="BB126" s="183"/>
      <c r="BC126" s="183"/>
      <c r="BD126" s="183"/>
      <c r="BE126" s="183"/>
      <c r="BF126" s="183"/>
      <c r="BG126" s="183"/>
      <c r="BH126" s="183"/>
      <c r="BI126" s="183"/>
      <c r="BJ126" s="183"/>
      <c r="BK126" s="183"/>
      <c r="BL126" s="183"/>
      <c r="BM126" s="183"/>
      <c r="BN126" s="183"/>
      <c r="BO126" s="183"/>
      <c r="BP126" s="183"/>
      <c r="BQ126" s="183"/>
    </row>
    <row r="127" spans="1:69" s="157" customFormat="1" ht="14.5">
      <c r="B127" s="177"/>
      <c r="D127" s="192"/>
      <c r="F127" s="192"/>
      <c r="J127" s="182"/>
      <c r="K127" s="182"/>
      <c r="L127" s="182"/>
      <c r="M127" s="182"/>
      <c r="N127" s="182"/>
      <c r="O127" s="182"/>
      <c r="P127" s="182"/>
      <c r="Q127" s="182"/>
      <c r="R127" s="182"/>
      <c r="S127" s="182"/>
      <c r="T127" s="182"/>
      <c r="V127" s="182"/>
      <c r="W127" s="417"/>
      <c r="X127" s="182"/>
      <c r="Y127" s="182"/>
      <c r="Z127" s="418"/>
      <c r="AA127" s="182"/>
      <c r="AB127" s="182"/>
      <c r="AC127" s="418"/>
      <c r="AD127" s="182"/>
      <c r="AE127" s="182"/>
      <c r="AF127" s="417"/>
      <c r="AG127" s="182"/>
      <c r="AH127" s="182"/>
      <c r="AI127" s="182"/>
      <c r="AJ127" s="182"/>
      <c r="AK127" s="182"/>
      <c r="AL127" s="247"/>
      <c r="AM127" s="182"/>
      <c r="AN127" s="419"/>
      <c r="AO127" s="183"/>
      <c r="AP127" s="183"/>
      <c r="AQ127" s="183"/>
      <c r="AR127" s="184"/>
      <c r="AS127" s="183"/>
      <c r="AT127" s="184"/>
      <c r="AU127" s="182"/>
      <c r="AV127" s="182"/>
      <c r="AW127" s="247"/>
      <c r="AX127" s="183"/>
      <c r="AY127" s="183"/>
      <c r="AZ127" s="183"/>
      <c r="BA127" s="183"/>
      <c r="BB127" s="183"/>
      <c r="BC127" s="183"/>
      <c r="BD127" s="183"/>
      <c r="BE127" s="183"/>
      <c r="BF127" s="183"/>
      <c r="BG127" s="183"/>
      <c r="BH127" s="183"/>
      <c r="BI127" s="183"/>
      <c r="BJ127" s="183"/>
      <c r="BK127" s="183"/>
      <c r="BL127" s="183"/>
      <c r="BM127" s="183"/>
      <c r="BN127" s="183"/>
      <c r="BO127" s="183"/>
      <c r="BP127" s="183"/>
      <c r="BQ127" s="183"/>
    </row>
    <row r="128" spans="1:69" s="157" customFormat="1" ht="14.5">
      <c r="B128" s="177"/>
      <c r="D128" s="192"/>
      <c r="F128" s="192"/>
      <c r="J128" s="182"/>
      <c r="K128" s="182"/>
      <c r="L128" s="182"/>
      <c r="M128" s="182"/>
      <c r="N128" s="182"/>
      <c r="O128" s="182"/>
      <c r="P128" s="182"/>
      <c r="Q128" s="182"/>
      <c r="R128" s="182"/>
      <c r="S128" s="182"/>
      <c r="T128" s="182"/>
      <c r="V128" s="182"/>
      <c r="W128" s="417"/>
      <c r="X128" s="182"/>
      <c r="Y128" s="182"/>
      <c r="Z128" s="418"/>
      <c r="AA128" s="182"/>
      <c r="AB128" s="182"/>
      <c r="AC128" s="418"/>
      <c r="AD128" s="182"/>
      <c r="AE128" s="182"/>
      <c r="AF128" s="417"/>
      <c r="AG128" s="182"/>
      <c r="AH128" s="182"/>
      <c r="AI128" s="182"/>
      <c r="AJ128" s="182"/>
      <c r="AK128" s="182"/>
      <c r="AL128" s="247"/>
      <c r="AM128" s="182"/>
      <c r="AN128" s="419"/>
      <c r="AO128" s="183"/>
      <c r="AP128" s="183"/>
      <c r="AQ128" s="183"/>
      <c r="AR128" s="184"/>
      <c r="AS128" s="183"/>
      <c r="AT128" s="184"/>
      <c r="AU128" s="182"/>
      <c r="AV128" s="182"/>
      <c r="AW128" s="247"/>
      <c r="AX128" s="183"/>
      <c r="AY128" s="183"/>
      <c r="AZ128" s="183"/>
      <c r="BA128" s="183"/>
      <c r="BB128" s="183"/>
      <c r="BC128" s="183"/>
      <c r="BD128" s="183"/>
      <c r="BE128" s="183"/>
      <c r="BF128" s="183"/>
      <c r="BG128" s="183"/>
      <c r="BH128" s="183"/>
      <c r="BI128" s="183"/>
      <c r="BJ128" s="183"/>
      <c r="BK128" s="183"/>
      <c r="BL128" s="183"/>
      <c r="BM128" s="183"/>
      <c r="BN128" s="183"/>
      <c r="BO128" s="183"/>
      <c r="BP128" s="183"/>
      <c r="BQ128" s="183"/>
    </row>
    <row r="129" spans="2:69" s="157" customFormat="1" ht="14.5">
      <c r="B129" s="177"/>
      <c r="D129" s="192"/>
      <c r="F129" s="192"/>
      <c r="J129" s="182"/>
      <c r="K129" s="182"/>
      <c r="L129" s="182"/>
      <c r="M129" s="182"/>
      <c r="N129" s="182"/>
      <c r="O129" s="182"/>
      <c r="P129" s="182"/>
      <c r="Q129" s="182"/>
      <c r="R129" s="182"/>
      <c r="S129" s="182"/>
      <c r="T129" s="182"/>
      <c r="V129" s="182"/>
      <c r="W129" s="417"/>
      <c r="X129" s="182"/>
      <c r="Y129" s="182"/>
      <c r="Z129" s="418"/>
      <c r="AA129" s="182"/>
      <c r="AB129" s="182"/>
      <c r="AC129" s="418"/>
      <c r="AD129" s="182"/>
      <c r="AE129" s="182"/>
      <c r="AF129" s="417"/>
      <c r="AG129" s="182"/>
      <c r="AH129" s="182"/>
      <c r="AI129" s="182"/>
      <c r="AJ129" s="182"/>
      <c r="AK129" s="182"/>
      <c r="AL129" s="247"/>
      <c r="AM129" s="182"/>
      <c r="AN129" s="419"/>
      <c r="AO129" s="183"/>
      <c r="AP129" s="183"/>
      <c r="AQ129" s="183"/>
      <c r="AR129" s="184"/>
      <c r="AS129" s="183"/>
      <c r="AT129" s="184"/>
      <c r="AU129" s="182"/>
      <c r="AV129" s="182"/>
      <c r="AW129" s="247"/>
      <c r="AX129" s="183"/>
      <c r="AY129" s="183"/>
      <c r="AZ129" s="183"/>
      <c r="BA129" s="183"/>
      <c r="BB129" s="183"/>
      <c r="BC129" s="183"/>
      <c r="BD129" s="183"/>
      <c r="BE129" s="183"/>
      <c r="BF129" s="183"/>
      <c r="BG129" s="183"/>
      <c r="BH129" s="183"/>
      <c r="BI129" s="183"/>
      <c r="BJ129" s="183"/>
      <c r="BK129" s="183"/>
      <c r="BL129" s="183"/>
      <c r="BM129" s="183"/>
      <c r="BN129" s="183"/>
      <c r="BO129" s="183"/>
      <c r="BP129" s="183"/>
      <c r="BQ129" s="183"/>
    </row>
    <row r="130" spans="2:69" s="157" customFormat="1" ht="14.5">
      <c r="B130" s="177"/>
      <c r="D130" s="192"/>
      <c r="F130" s="192"/>
      <c r="J130" s="182"/>
      <c r="K130" s="182"/>
      <c r="L130" s="182"/>
      <c r="M130" s="182"/>
      <c r="N130" s="182"/>
      <c r="O130" s="182"/>
      <c r="P130" s="182"/>
      <c r="Q130" s="182"/>
      <c r="R130" s="182"/>
      <c r="S130" s="182"/>
      <c r="T130" s="182"/>
      <c r="V130" s="182"/>
      <c r="W130" s="417"/>
      <c r="X130" s="182"/>
      <c r="Y130" s="182"/>
      <c r="Z130" s="418"/>
      <c r="AA130" s="182"/>
      <c r="AB130" s="182"/>
      <c r="AC130" s="418"/>
      <c r="AD130" s="182"/>
      <c r="AE130" s="182"/>
      <c r="AF130" s="417"/>
      <c r="AG130" s="182"/>
      <c r="AH130" s="182"/>
      <c r="AI130" s="182"/>
      <c r="AJ130" s="182"/>
      <c r="AK130" s="182"/>
      <c r="AL130" s="247"/>
      <c r="AM130" s="182"/>
      <c r="AN130" s="419"/>
      <c r="AO130" s="183"/>
      <c r="AP130" s="183"/>
      <c r="AQ130" s="183"/>
      <c r="AR130" s="184"/>
      <c r="AS130" s="183"/>
      <c r="AT130" s="184"/>
      <c r="AU130" s="182"/>
      <c r="AV130" s="182"/>
      <c r="AW130" s="247"/>
      <c r="AX130" s="183"/>
      <c r="AY130" s="183"/>
      <c r="AZ130" s="183"/>
      <c r="BA130" s="183"/>
      <c r="BB130" s="183"/>
      <c r="BC130" s="183"/>
      <c r="BD130" s="183"/>
      <c r="BE130" s="183"/>
      <c r="BF130" s="183"/>
      <c r="BG130" s="183"/>
      <c r="BH130" s="183"/>
      <c r="BI130" s="183"/>
      <c r="BJ130" s="183"/>
      <c r="BK130" s="183"/>
      <c r="BL130" s="183"/>
      <c r="BM130" s="183"/>
      <c r="BN130" s="183"/>
      <c r="BO130" s="183"/>
      <c r="BP130" s="183"/>
      <c r="BQ130" s="183"/>
    </row>
    <row r="131" spans="2:69" s="157" customFormat="1" ht="14.5">
      <c r="B131" s="177"/>
      <c r="D131" s="192"/>
      <c r="F131" s="192"/>
      <c r="J131" s="182"/>
      <c r="K131" s="182"/>
      <c r="L131" s="182"/>
      <c r="M131" s="182"/>
      <c r="N131" s="182"/>
      <c r="O131" s="182"/>
      <c r="P131" s="182"/>
      <c r="Q131" s="182"/>
      <c r="R131" s="182"/>
      <c r="S131" s="182"/>
      <c r="T131" s="182"/>
      <c r="V131" s="182"/>
      <c r="W131" s="417"/>
      <c r="X131" s="182"/>
      <c r="Y131" s="182"/>
      <c r="Z131" s="418"/>
      <c r="AA131" s="182"/>
      <c r="AB131" s="182"/>
      <c r="AC131" s="418"/>
      <c r="AD131" s="182"/>
      <c r="AE131" s="182"/>
      <c r="AF131" s="417"/>
      <c r="AG131" s="182"/>
      <c r="AH131" s="182"/>
      <c r="AI131" s="182"/>
      <c r="AJ131" s="182"/>
      <c r="AK131" s="182"/>
      <c r="AL131" s="247"/>
      <c r="AM131" s="182"/>
      <c r="AN131" s="419"/>
      <c r="AO131" s="183"/>
      <c r="AP131" s="183"/>
      <c r="AQ131" s="183"/>
      <c r="AR131" s="184"/>
      <c r="AS131" s="183"/>
      <c r="AT131" s="184"/>
      <c r="AU131" s="182"/>
      <c r="AV131" s="182"/>
      <c r="AW131" s="247"/>
      <c r="AX131" s="183"/>
      <c r="AY131" s="183"/>
      <c r="AZ131" s="183"/>
      <c r="BA131" s="183"/>
      <c r="BB131" s="183"/>
      <c r="BC131" s="183"/>
      <c r="BD131" s="183"/>
      <c r="BE131" s="183"/>
      <c r="BF131" s="183"/>
      <c r="BG131" s="183"/>
      <c r="BH131" s="183"/>
      <c r="BI131" s="183"/>
      <c r="BJ131" s="183"/>
      <c r="BK131" s="183"/>
      <c r="BL131" s="183"/>
      <c r="BM131" s="183"/>
      <c r="BN131" s="183"/>
      <c r="BO131" s="183"/>
      <c r="BP131" s="183"/>
      <c r="BQ131" s="183"/>
    </row>
    <row r="132" spans="2:69" s="157" customFormat="1" ht="14.5">
      <c r="B132" s="177"/>
      <c r="D132" s="192"/>
      <c r="F132" s="192"/>
      <c r="J132" s="182"/>
      <c r="K132" s="182"/>
      <c r="L132" s="182"/>
      <c r="M132" s="182"/>
      <c r="N132" s="182"/>
      <c r="O132" s="182"/>
      <c r="P132" s="182"/>
      <c r="Q132" s="182"/>
      <c r="R132" s="182"/>
      <c r="S132" s="182"/>
      <c r="T132" s="182"/>
      <c r="V132" s="182"/>
      <c r="W132" s="417"/>
      <c r="X132" s="182"/>
      <c r="Y132" s="182"/>
      <c r="Z132" s="418"/>
      <c r="AA132" s="182"/>
      <c r="AB132" s="182"/>
      <c r="AC132" s="418"/>
      <c r="AD132" s="182"/>
      <c r="AE132" s="182"/>
      <c r="AF132" s="417"/>
      <c r="AG132" s="182"/>
      <c r="AH132" s="182"/>
      <c r="AI132" s="182"/>
      <c r="AJ132" s="182"/>
      <c r="AK132" s="182"/>
      <c r="AL132" s="247"/>
      <c r="AM132" s="182"/>
      <c r="AN132" s="419"/>
      <c r="AO132" s="183"/>
      <c r="AP132" s="183"/>
      <c r="AQ132" s="183"/>
      <c r="AR132" s="184"/>
      <c r="AS132" s="183"/>
      <c r="AT132" s="184"/>
      <c r="AU132" s="182"/>
      <c r="AV132" s="182"/>
      <c r="AW132" s="247"/>
      <c r="AX132" s="183"/>
      <c r="AY132" s="183"/>
      <c r="AZ132" s="183"/>
      <c r="BA132" s="183"/>
      <c r="BB132" s="183"/>
      <c r="BC132" s="183"/>
      <c r="BD132" s="183"/>
      <c r="BE132" s="183"/>
      <c r="BF132" s="183"/>
      <c r="BG132" s="183"/>
      <c r="BH132" s="183"/>
      <c r="BI132" s="183"/>
      <c r="BJ132" s="183"/>
      <c r="BK132" s="183"/>
      <c r="BL132" s="183"/>
      <c r="BM132" s="183"/>
      <c r="BN132" s="183"/>
      <c r="BO132" s="183"/>
      <c r="BP132" s="183"/>
      <c r="BQ132" s="183"/>
    </row>
    <row r="133" spans="2:69" s="157" customFormat="1" ht="14.5">
      <c r="B133" s="177"/>
      <c r="D133" s="192"/>
      <c r="F133" s="192"/>
      <c r="J133" s="182"/>
      <c r="K133" s="182"/>
      <c r="L133" s="182"/>
      <c r="M133" s="182"/>
      <c r="N133" s="182"/>
      <c r="O133" s="182"/>
      <c r="P133" s="182"/>
      <c r="Q133" s="182"/>
      <c r="R133" s="182"/>
      <c r="S133" s="182"/>
      <c r="T133" s="182"/>
      <c r="V133" s="182"/>
      <c r="W133" s="417"/>
      <c r="X133" s="182"/>
      <c r="Y133" s="182"/>
      <c r="Z133" s="418"/>
      <c r="AA133" s="182"/>
      <c r="AB133" s="182"/>
      <c r="AC133" s="418"/>
      <c r="AD133" s="182"/>
      <c r="AE133" s="182"/>
      <c r="AF133" s="417"/>
      <c r="AG133" s="182"/>
      <c r="AH133" s="182"/>
      <c r="AI133" s="182"/>
      <c r="AJ133" s="182"/>
      <c r="AK133" s="182"/>
      <c r="AL133" s="247"/>
      <c r="AM133" s="182"/>
      <c r="AN133" s="419"/>
      <c r="AO133" s="183"/>
      <c r="AP133" s="183"/>
      <c r="AQ133" s="183"/>
      <c r="AR133" s="184"/>
      <c r="AS133" s="183"/>
      <c r="AT133" s="184"/>
      <c r="AU133" s="182"/>
      <c r="AV133" s="182"/>
      <c r="AW133" s="247"/>
      <c r="AX133" s="183"/>
      <c r="AY133" s="183"/>
      <c r="AZ133" s="183"/>
      <c r="BA133" s="183"/>
      <c r="BB133" s="183"/>
      <c r="BC133" s="183"/>
      <c r="BD133" s="183"/>
      <c r="BE133" s="183"/>
      <c r="BF133" s="183"/>
      <c r="BG133" s="183"/>
      <c r="BH133" s="183"/>
      <c r="BI133" s="183"/>
      <c r="BJ133" s="183"/>
      <c r="BK133" s="183"/>
      <c r="BL133" s="183"/>
      <c r="BM133" s="183"/>
      <c r="BN133" s="183"/>
      <c r="BO133" s="183"/>
      <c r="BP133" s="183"/>
      <c r="BQ133" s="183"/>
    </row>
    <row r="134" spans="2:69" s="157" customFormat="1" ht="14.5">
      <c r="B134" s="177"/>
      <c r="D134" s="192"/>
      <c r="F134" s="192"/>
      <c r="J134" s="182"/>
      <c r="K134" s="182"/>
      <c r="L134" s="182"/>
      <c r="M134" s="182"/>
      <c r="N134" s="182"/>
      <c r="O134" s="182"/>
      <c r="P134" s="182"/>
      <c r="Q134" s="182"/>
      <c r="R134" s="182"/>
      <c r="S134" s="182"/>
      <c r="T134" s="182"/>
      <c r="V134" s="182"/>
      <c r="W134" s="417"/>
      <c r="X134" s="182"/>
      <c r="Y134" s="182"/>
      <c r="Z134" s="418"/>
      <c r="AA134" s="182"/>
      <c r="AB134" s="182"/>
      <c r="AC134" s="418"/>
      <c r="AD134" s="182"/>
      <c r="AE134" s="182"/>
      <c r="AF134" s="417"/>
      <c r="AG134" s="182"/>
      <c r="AH134" s="182"/>
      <c r="AI134" s="182"/>
      <c r="AJ134" s="182"/>
      <c r="AK134" s="182"/>
      <c r="AL134" s="247"/>
      <c r="AM134" s="182"/>
      <c r="AN134" s="419"/>
      <c r="AO134" s="183"/>
      <c r="AP134" s="183"/>
      <c r="AQ134" s="183"/>
      <c r="AR134" s="184"/>
      <c r="AS134" s="183"/>
      <c r="AT134" s="184"/>
      <c r="AU134" s="182"/>
      <c r="AV134" s="182"/>
      <c r="AW134" s="247"/>
      <c r="AX134" s="183"/>
      <c r="AY134" s="183"/>
      <c r="AZ134" s="183"/>
      <c r="BA134" s="183"/>
      <c r="BB134" s="183"/>
      <c r="BC134" s="183"/>
      <c r="BD134" s="183"/>
      <c r="BE134" s="183"/>
      <c r="BF134" s="183"/>
      <c r="BG134" s="183"/>
      <c r="BH134" s="183"/>
      <c r="BI134" s="183"/>
      <c r="BJ134" s="183"/>
      <c r="BK134" s="183"/>
      <c r="BL134" s="183"/>
      <c r="BM134" s="183"/>
      <c r="BN134" s="183"/>
      <c r="BO134" s="183"/>
      <c r="BP134" s="183"/>
      <c r="BQ134" s="183"/>
    </row>
    <row r="135" spans="2:69" s="157" customFormat="1" ht="14.5">
      <c r="B135" s="177"/>
      <c r="D135" s="192"/>
      <c r="F135" s="192"/>
      <c r="J135" s="182"/>
      <c r="K135" s="182"/>
      <c r="L135" s="182"/>
      <c r="M135" s="182"/>
      <c r="N135" s="182"/>
      <c r="O135" s="182"/>
      <c r="P135" s="182"/>
      <c r="Q135" s="182"/>
      <c r="R135" s="182"/>
      <c r="S135" s="182"/>
      <c r="T135" s="182"/>
      <c r="V135" s="182"/>
      <c r="W135" s="417"/>
      <c r="X135" s="182"/>
      <c r="Y135" s="182"/>
      <c r="Z135" s="418"/>
      <c r="AA135" s="182"/>
      <c r="AB135" s="182"/>
      <c r="AC135" s="418"/>
      <c r="AD135" s="182"/>
      <c r="AE135" s="182"/>
      <c r="AF135" s="417"/>
      <c r="AG135" s="182"/>
      <c r="AH135" s="182"/>
      <c r="AI135" s="182"/>
      <c r="AJ135" s="182"/>
      <c r="AK135" s="182"/>
      <c r="AL135" s="247"/>
      <c r="AM135" s="182"/>
      <c r="AN135" s="419"/>
      <c r="AO135" s="183"/>
      <c r="AP135" s="183"/>
      <c r="AQ135" s="183"/>
      <c r="AR135" s="184"/>
      <c r="AS135" s="183"/>
      <c r="AT135" s="184"/>
      <c r="AU135" s="182"/>
      <c r="AV135" s="182"/>
      <c r="AW135" s="247"/>
      <c r="AX135" s="183"/>
      <c r="AY135" s="183"/>
      <c r="AZ135" s="183"/>
      <c r="BA135" s="183"/>
      <c r="BB135" s="183"/>
      <c r="BC135" s="183"/>
      <c r="BD135" s="183"/>
      <c r="BE135" s="183"/>
      <c r="BF135" s="183"/>
      <c r="BG135" s="183"/>
      <c r="BH135" s="183"/>
      <c r="BI135" s="183"/>
      <c r="BJ135" s="183"/>
      <c r="BK135" s="183"/>
      <c r="BL135" s="183"/>
      <c r="BM135" s="183"/>
      <c r="BN135" s="183"/>
      <c r="BO135" s="183"/>
      <c r="BP135" s="183"/>
      <c r="BQ135" s="183"/>
    </row>
    <row r="136" spans="2:69" s="157" customFormat="1" ht="14.5">
      <c r="B136" s="177"/>
      <c r="D136" s="192"/>
      <c r="F136" s="192"/>
      <c r="J136" s="182"/>
      <c r="K136" s="182"/>
      <c r="L136" s="182"/>
      <c r="M136" s="182"/>
      <c r="N136" s="182"/>
      <c r="O136" s="182"/>
      <c r="P136" s="182"/>
      <c r="Q136" s="182"/>
      <c r="R136" s="182"/>
      <c r="S136" s="182"/>
      <c r="T136" s="182"/>
      <c r="V136" s="182"/>
      <c r="W136" s="417"/>
      <c r="X136" s="182"/>
      <c r="Y136" s="182"/>
      <c r="Z136" s="418"/>
      <c r="AA136" s="182"/>
      <c r="AB136" s="182"/>
      <c r="AC136" s="418"/>
      <c r="AD136" s="182"/>
      <c r="AE136" s="182"/>
      <c r="AF136" s="417"/>
      <c r="AG136" s="182"/>
      <c r="AH136" s="182"/>
      <c r="AI136" s="182"/>
      <c r="AJ136" s="182"/>
      <c r="AK136" s="182"/>
      <c r="AL136" s="247"/>
      <c r="AM136" s="182"/>
      <c r="AN136" s="419"/>
      <c r="AO136" s="183"/>
      <c r="AP136" s="183"/>
      <c r="AQ136" s="183"/>
      <c r="AR136" s="184"/>
      <c r="AS136" s="183"/>
      <c r="AT136" s="184"/>
      <c r="AU136" s="182"/>
      <c r="AV136" s="182"/>
      <c r="AW136" s="247"/>
      <c r="AX136" s="183"/>
      <c r="AY136" s="183"/>
      <c r="AZ136" s="183"/>
      <c r="BA136" s="183"/>
      <c r="BB136" s="183"/>
      <c r="BC136" s="183"/>
      <c r="BD136" s="183"/>
      <c r="BE136" s="183"/>
      <c r="BF136" s="183"/>
      <c r="BG136" s="183"/>
      <c r="BH136" s="183"/>
      <c r="BI136" s="183"/>
      <c r="BJ136" s="183"/>
      <c r="BK136" s="183"/>
      <c r="BL136" s="183"/>
      <c r="BM136" s="183"/>
      <c r="BN136" s="183"/>
      <c r="BO136" s="183"/>
      <c r="BP136" s="183"/>
      <c r="BQ136" s="183"/>
    </row>
    <row r="137" spans="2:69" s="157" customFormat="1" ht="14.5">
      <c r="B137" s="177"/>
      <c r="D137" s="192"/>
      <c r="F137" s="192"/>
      <c r="J137" s="182"/>
      <c r="K137" s="182"/>
      <c r="L137" s="182"/>
      <c r="M137" s="182"/>
      <c r="N137" s="182"/>
      <c r="O137" s="182"/>
      <c r="P137" s="182"/>
      <c r="Q137" s="182"/>
      <c r="R137" s="182"/>
      <c r="S137" s="182"/>
      <c r="T137" s="182"/>
      <c r="V137" s="182"/>
      <c r="W137" s="417"/>
      <c r="X137" s="182"/>
      <c r="Y137" s="182"/>
      <c r="Z137" s="418"/>
      <c r="AA137" s="182"/>
      <c r="AB137" s="182"/>
      <c r="AC137" s="418"/>
      <c r="AD137" s="182"/>
      <c r="AE137" s="182"/>
      <c r="AF137" s="417"/>
      <c r="AG137" s="182"/>
      <c r="AH137" s="182"/>
      <c r="AI137" s="182"/>
      <c r="AJ137" s="182"/>
      <c r="AK137" s="182"/>
      <c r="AL137" s="247"/>
      <c r="AM137" s="182"/>
      <c r="AN137" s="419"/>
      <c r="AO137" s="183"/>
      <c r="AP137" s="183"/>
      <c r="AQ137" s="183"/>
      <c r="AR137" s="184"/>
      <c r="AS137" s="183"/>
      <c r="AT137" s="184"/>
      <c r="AU137" s="182"/>
      <c r="AV137" s="182"/>
      <c r="AW137" s="247"/>
      <c r="AX137" s="183"/>
      <c r="AY137" s="183"/>
      <c r="AZ137" s="183"/>
      <c r="BA137" s="183"/>
      <c r="BB137" s="183"/>
      <c r="BC137" s="183"/>
      <c r="BD137" s="183"/>
      <c r="BE137" s="183"/>
      <c r="BF137" s="183"/>
      <c r="BG137" s="183"/>
      <c r="BH137" s="183"/>
      <c r="BI137" s="183"/>
      <c r="BJ137" s="183"/>
      <c r="BK137" s="183"/>
      <c r="BL137" s="183"/>
      <c r="BM137" s="183"/>
      <c r="BN137" s="183"/>
      <c r="BO137" s="183"/>
      <c r="BP137" s="183"/>
      <c r="BQ137" s="183"/>
    </row>
    <row r="138" spans="2:69" s="157" customFormat="1" ht="14.5">
      <c r="B138" s="177"/>
      <c r="D138" s="192"/>
      <c r="F138" s="192"/>
      <c r="J138" s="182"/>
      <c r="K138" s="182"/>
      <c r="L138" s="182"/>
      <c r="M138" s="182"/>
      <c r="N138" s="182"/>
      <c r="O138" s="182"/>
      <c r="P138" s="182"/>
      <c r="Q138" s="182"/>
      <c r="R138" s="182"/>
      <c r="S138" s="182"/>
      <c r="T138" s="182"/>
      <c r="V138" s="182"/>
      <c r="W138" s="417"/>
      <c r="X138" s="182"/>
      <c r="Y138" s="182"/>
      <c r="Z138" s="418"/>
      <c r="AA138" s="182"/>
      <c r="AB138" s="182"/>
      <c r="AC138" s="418"/>
      <c r="AD138" s="182"/>
      <c r="AE138" s="182"/>
      <c r="AF138" s="417"/>
      <c r="AG138" s="182"/>
      <c r="AH138" s="182"/>
      <c r="AI138" s="182"/>
      <c r="AJ138" s="182"/>
      <c r="AK138" s="182"/>
      <c r="AL138" s="247"/>
      <c r="AM138" s="182"/>
      <c r="AN138" s="419"/>
      <c r="AO138" s="183"/>
      <c r="AP138" s="183"/>
      <c r="AQ138" s="183"/>
      <c r="AR138" s="184"/>
      <c r="AS138" s="183"/>
      <c r="AT138" s="184"/>
      <c r="AU138" s="182"/>
      <c r="AV138" s="182"/>
      <c r="AW138" s="247"/>
      <c r="AX138" s="183"/>
      <c r="AY138" s="183"/>
      <c r="AZ138" s="183"/>
      <c r="BA138" s="183"/>
      <c r="BB138" s="183"/>
      <c r="BC138" s="183"/>
      <c r="BD138" s="183"/>
      <c r="BE138" s="183"/>
      <c r="BF138" s="183"/>
      <c r="BG138" s="183"/>
      <c r="BH138" s="183"/>
      <c r="BI138" s="183"/>
      <c r="BJ138" s="183"/>
      <c r="BK138" s="183"/>
      <c r="BL138" s="183"/>
      <c r="BM138" s="183"/>
      <c r="BN138" s="183"/>
      <c r="BO138" s="183"/>
      <c r="BP138" s="183"/>
      <c r="BQ138" s="183"/>
    </row>
    <row r="139" spans="2:69" s="157" customFormat="1" ht="14.5">
      <c r="B139" s="177"/>
      <c r="D139" s="192"/>
      <c r="F139" s="192"/>
      <c r="J139" s="182"/>
      <c r="K139" s="182"/>
      <c r="L139" s="182"/>
      <c r="M139" s="182"/>
      <c r="N139" s="182"/>
      <c r="O139" s="182"/>
      <c r="P139" s="182"/>
      <c r="Q139" s="182"/>
      <c r="R139" s="182"/>
      <c r="S139" s="182"/>
      <c r="T139" s="182"/>
      <c r="V139" s="182"/>
      <c r="W139" s="417"/>
      <c r="X139" s="182"/>
      <c r="Y139" s="182"/>
      <c r="Z139" s="418"/>
      <c r="AA139" s="182"/>
      <c r="AB139" s="182"/>
      <c r="AC139" s="418"/>
      <c r="AD139" s="182"/>
      <c r="AE139" s="182"/>
      <c r="AF139" s="417"/>
      <c r="AG139" s="182"/>
      <c r="AH139" s="182"/>
      <c r="AI139" s="182"/>
      <c r="AJ139" s="182"/>
      <c r="AK139" s="182"/>
      <c r="AL139" s="247"/>
      <c r="AM139" s="182"/>
      <c r="AN139" s="419"/>
      <c r="AO139" s="183"/>
      <c r="AP139" s="183"/>
      <c r="AQ139" s="183"/>
      <c r="AR139" s="184"/>
      <c r="AS139" s="183"/>
      <c r="AT139" s="184"/>
      <c r="AU139" s="182"/>
      <c r="AV139" s="182"/>
      <c r="AW139" s="247"/>
      <c r="AX139" s="183"/>
      <c r="AY139" s="183"/>
      <c r="AZ139" s="183"/>
      <c r="BA139" s="183"/>
      <c r="BB139" s="183"/>
      <c r="BC139" s="183"/>
      <c r="BD139" s="183"/>
      <c r="BE139" s="183"/>
      <c r="BF139" s="183"/>
      <c r="BG139" s="183"/>
      <c r="BH139" s="183"/>
      <c r="BI139" s="183"/>
      <c r="BJ139" s="183"/>
      <c r="BK139" s="183"/>
      <c r="BL139" s="183"/>
      <c r="BM139" s="183"/>
      <c r="BN139" s="183"/>
      <c r="BO139" s="183"/>
      <c r="BP139" s="183"/>
      <c r="BQ139" s="183"/>
    </row>
    <row r="140" spans="2:69" s="157" customFormat="1" ht="14.5">
      <c r="B140" s="177"/>
      <c r="D140" s="192"/>
      <c r="F140" s="192"/>
      <c r="J140" s="182"/>
      <c r="K140" s="182"/>
      <c r="L140" s="182"/>
      <c r="M140" s="182"/>
      <c r="N140" s="182"/>
      <c r="O140" s="182"/>
      <c r="P140" s="182"/>
      <c r="Q140" s="182"/>
      <c r="R140" s="182"/>
      <c r="S140" s="182"/>
      <c r="T140" s="182"/>
      <c r="V140" s="182"/>
      <c r="W140" s="417"/>
      <c r="X140" s="182"/>
      <c r="Y140" s="182"/>
      <c r="Z140" s="418"/>
      <c r="AA140" s="182"/>
      <c r="AB140" s="182"/>
      <c r="AC140" s="418"/>
      <c r="AD140" s="182"/>
      <c r="AE140" s="182"/>
      <c r="AF140" s="417"/>
      <c r="AG140" s="182"/>
      <c r="AH140" s="182"/>
      <c r="AI140" s="182"/>
      <c r="AJ140" s="182"/>
      <c r="AK140" s="182"/>
      <c r="AL140" s="247"/>
      <c r="AM140" s="182"/>
      <c r="AN140" s="419"/>
      <c r="AO140" s="183"/>
      <c r="AP140" s="183"/>
      <c r="AQ140" s="183"/>
      <c r="AR140" s="184"/>
      <c r="AS140" s="183"/>
      <c r="AT140" s="184"/>
      <c r="AU140" s="182"/>
      <c r="AV140" s="182"/>
      <c r="AW140" s="247"/>
      <c r="AX140" s="183"/>
      <c r="AY140" s="183"/>
      <c r="AZ140" s="183"/>
      <c r="BA140" s="183"/>
      <c r="BB140" s="183"/>
      <c r="BC140" s="183"/>
      <c r="BD140" s="183"/>
      <c r="BE140" s="183"/>
      <c r="BF140" s="183"/>
      <c r="BG140" s="183"/>
      <c r="BH140" s="183"/>
      <c r="BI140" s="183"/>
      <c r="BJ140" s="183"/>
      <c r="BK140" s="183"/>
      <c r="BL140" s="183"/>
      <c r="BM140" s="183"/>
      <c r="BN140" s="183"/>
      <c r="BO140" s="183"/>
      <c r="BP140" s="183"/>
      <c r="BQ140" s="183"/>
    </row>
    <row r="141" spans="2:69" s="157" customFormat="1" ht="14.5">
      <c r="B141" s="177"/>
      <c r="D141" s="192"/>
      <c r="F141" s="192"/>
      <c r="J141" s="182"/>
      <c r="K141" s="182"/>
      <c r="L141" s="182"/>
      <c r="M141" s="182"/>
      <c r="N141" s="182"/>
      <c r="O141" s="182"/>
      <c r="P141" s="182"/>
      <c r="Q141" s="182"/>
      <c r="R141" s="182"/>
      <c r="S141" s="182"/>
      <c r="T141" s="182"/>
      <c r="V141" s="182"/>
      <c r="W141" s="417"/>
      <c r="X141" s="182"/>
      <c r="Y141" s="182"/>
      <c r="Z141" s="418"/>
      <c r="AA141" s="182"/>
      <c r="AB141" s="182"/>
      <c r="AC141" s="418"/>
      <c r="AD141" s="182"/>
      <c r="AE141" s="182"/>
      <c r="AF141" s="417"/>
      <c r="AG141" s="182"/>
      <c r="AH141" s="182"/>
      <c r="AI141" s="182"/>
      <c r="AJ141" s="182"/>
      <c r="AK141" s="182"/>
      <c r="AL141" s="247"/>
      <c r="AM141" s="182"/>
      <c r="AN141" s="419"/>
      <c r="AO141" s="183"/>
      <c r="AP141" s="183"/>
      <c r="AQ141" s="183"/>
      <c r="AR141" s="184"/>
      <c r="AS141" s="183"/>
      <c r="AT141" s="184"/>
      <c r="AU141" s="182"/>
      <c r="AV141" s="182"/>
      <c r="AW141" s="247"/>
      <c r="AX141" s="183"/>
      <c r="AY141" s="183"/>
      <c r="AZ141" s="183"/>
      <c r="BA141" s="183"/>
      <c r="BB141" s="183"/>
      <c r="BC141" s="183"/>
      <c r="BD141" s="183"/>
      <c r="BE141" s="183"/>
      <c r="BF141" s="183"/>
      <c r="BG141" s="183"/>
      <c r="BH141" s="183"/>
      <c r="BI141" s="183"/>
      <c r="BJ141" s="183"/>
      <c r="BK141" s="183"/>
      <c r="BL141" s="183"/>
      <c r="BM141" s="183"/>
      <c r="BN141" s="183"/>
      <c r="BO141" s="183"/>
      <c r="BP141" s="183"/>
      <c r="BQ141" s="183"/>
    </row>
    <row r="142" spans="2:69" s="157" customFormat="1" ht="14.5">
      <c r="B142" s="177"/>
      <c r="D142" s="192"/>
      <c r="F142" s="192"/>
      <c r="J142" s="182"/>
      <c r="K142" s="182"/>
      <c r="L142" s="182"/>
      <c r="M142" s="182"/>
      <c r="N142" s="182"/>
      <c r="O142" s="182"/>
      <c r="P142" s="182"/>
      <c r="Q142" s="182"/>
      <c r="R142" s="182"/>
      <c r="S142" s="182"/>
      <c r="T142" s="182"/>
      <c r="V142" s="182"/>
      <c r="W142" s="417"/>
      <c r="X142" s="182"/>
      <c r="Y142" s="182"/>
      <c r="Z142" s="418"/>
      <c r="AA142" s="182"/>
      <c r="AB142" s="182"/>
      <c r="AC142" s="418"/>
      <c r="AD142" s="182"/>
      <c r="AE142" s="182"/>
      <c r="AF142" s="417"/>
      <c r="AG142" s="182"/>
      <c r="AH142" s="182"/>
      <c r="AI142" s="182"/>
      <c r="AJ142" s="182"/>
      <c r="AK142" s="182"/>
      <c r="AL142" s="247"/>
      <c r="AM142" s="182"/>
      <c r="AN142" s="419"/>
      <c r="AO142" s="183"/>
      <c r="AP142" s="183"/>
      <c r="AQ142" s="183"/>
      <c r="AR142" s="184"/>
      <c r="AS142" s="183"/>
      <c r="AT142" s="184"/>
      <c r="AU142" s="182"/>
      <c r="AV142" s="182"/>
      <c r="AW142" s="247"/>
      <c r="AX142" s="183"/>
      <c r="AY142" s="183"/>
      <c r="AZ142" s="183"/>
      <c r="BA142" s="183"/>
      <c r="BB142" s="183"/>
      <c r="BC142" s="183"/>
      <c r="BD142" s="183"/>
      <c r="BE142" s="183"/>
      <c r="BF142" s="183"/>
      <c r="BG142" s="183"/>
      <c r="BH142" s="183"/>
      <c r="BI142" s="183"/>
      <c r="BJ142" s="183"/>
      <c r="BK142" s="183"/>
      <c r="BL142" s="183"/>
      <c r="BM142" s="183"/>
      <c r="BN142" s="183"/>
      <c r="BO142" s="183"/>
      <c r="BP142" s="183"/>
      <c r="BQ142" s="183"/>
    </row>
    <row r="143" spans="2:69" s="157" customFormat="1" ht="14.5">
      <c r="B143" s="177"/>
      <c r="D143" s="192"/>
      <c r="F143" s="192"/>
      <c r="J143" s="182"/>
      <c r="K143" s="182"/>
      <c r="L143" s="182"/>
      <c r="M143" s="182"/>
      <c r="N143" s="182"/>
      <c r="O143" s="182"/>
      <c r="P143" s="182"/>
      <c r="Q143" s="182"/>
      <c r="R143" s="182"/>
      <c r="S143" s="182"/>
      <c r="T143" s="182"/>
      <c r="V143" s="182"/>
      <c r="W143" s="417"/>
      <c r="X143" s="182"/>
      <c r="Y143" s="182"/>
      <c r="Z143" s="418"/>
      <c r="AA143" s="182"/>
      <c r="AB143" s="182"/>
      <c r="AC143" s="418"/>
      <c r="AD143" s="182"/>
      <c r="AE143" s="182"/>
      <c r="AF143" s="417"/>
      <c r="AG143" s="182"/>
      <c r="AH143" s="182"/>
      <c r="AI143" s="182"/>
      <c r="AJ143" s="182"/>
      <c r="AK143" s="182"/>
      <c r="AL143" s="247"/>
      <c r="AM143" s="182"/>
      <c r="AN143" s="419"/>
      <c r="AO143" s="183"/>
      <c r="AP143" s="183"/>
      <c r="AQ143" s="183"/>
      <c r="AR143" s="184"/>
      <c r="AS143" s="183"/>
      <c r="AT143" s="184"/>
      <c r="AU143" s="182"/>
      <c r="AV143" s="182"/>
      <c r="AW143" s="247"/>
      <c r="AX143" s="183"/>
      <c r="AY143" s="183"/>
      <c r="AZ143" s="183"/>
      <c r="BA143" s="183"/>
      <c r="BB143" s="183"/>
      <c r="BC143" s="183"/>
      <c r="BD143" s="183"/>
      <c r="BE143" s="183"/>
      <c r="BF143" s="183"/>
      <c r="BG143" s="183"/>
      <c r="BH143" s="183"/>
      <c r="BI143" s="183"/>
      <c r="BJ143" s="183"/>
      <c r="BK143" s="183"/>
      <c r="BL143" s="183"/>
      <c r="BM143" s="183"/>
      <c r="BN143" s="183"/>
      <c r="BO143" s="183"/>
      <c r="BP143" s="183"/>
      <c r="BQ143" s="183"/>
    </row>
    <row r="144" spans="2:69" s="157" customFormat="1" ht="14.5">
      <c r="B144" s="177"/>
      <c r="D144" s="192"/>
      <c r="F144" s="192"/>
      <c r="J144" s="182"/>
      <c r="K144" s="182"/>
      <c r="L144" s="182"/>
      <c r="M144" s="182"/>
      <c r="N144" s="182"/>
      <c r="O144" s="182"/>
      <c r="P144" s="182"/>
      <c r="Q144" s="182"/>
      <c r="R144" s="182"/>
      <c r="S144" s="182"/>
      <c r="T144" s="182"/>
      <c r="V144" s="182"/>
      <c r="W144" s="417"/>
      <c r="X144" s="182"/>
      <c r="Y144" s="182"/>
      <c r="Z144" s="418"/>
      <c r="AA144" s="182"/>
      <c r="AB144" s="182"/>
      <c r="AC144" s="418"/>
      <c r="AD144" s="182"/>
      <c r="AE144" s="182"/>
      <c r="AF144" s="417"/>
      <c r="AG144" s="182"/>
      <c r="AH144" s="182"/>
      <c r="AI144" s="182"/>
      <c r="AJ144" s="182"/>
      <c r="AK144" s="182"/>
      <c r="AL144" s="247"/>
      <c r="AM144" s="182"/>
      <c r="AN144" s="419"/>
      <c r="AO144" s="183"/>
      <c r="AP144" s="183"/>
      <c r="AQ144" s="183"/>
      <c r="AR144" s="184"/>
      <c r="AS144" s="183"/>
      <c r="AT144" s="184"/>
      <c r="AU144" s="182"/>
      <c r="AV144" s="182"/>
      <c r="AW144" s="247"/>
      <c r="AX144" s="183"/>
      <c r="AY144" s="183"/>
      <c r="AZ144" s="183"/>
      <c r="BA144" s="183"/>
      <c r="BB144" s="183"/>
      <c r="BC144" s="183"/>
      <c r="BD144" s="183"/>
      <c r="BE144" s="183"/>
      <c r="BF144" s="183"/>
      <c r="BG144" s="183"/>
      <c r="BH144" s="183"/>
      <c r="BI144" s="183"/>
      <c r="BJ144" s="183"/>
      <c r="BK144" s="183"/>
      <c r="BL144" s="183"/>
      <c r="BM144" s="183"/>
      <c r="BN144" s="183"/>
      <c r="BO144" s="183"/>
      <c r="BP144" s="183"/>
      <c r="BQ144" s="183"/>
    </row>
    <row r="145" spans="2:69" s="157" customFormat="1" ht="14.5">
      <c r="B145" s="177"/>
      <c r="D145" s="192"/>
      <c r="F145" s="192"/>
      <c r="J145" s="182"/>
      <c r="K145" s="182"/>
      <c r="L145" s="182"/>
      <c r="M145" s="182"/>
      <c r="N145" s="182"/>
      <c r="O145" s="182"/>
      <c r="P145" s="182"/>
      <c r="Q145" s="182"/>
      <c r="R145" s="182"/>
      <c r="S145" s="182"/>
      <c r="T145" s="182"/>
      <c r="V145" s="182"/>
      <c r="W145" s="417"/>
      <c r="X145" s="182"/>
      <c r="Y145" s="182"/>
      <c r="Z145" s="418"/>
      <c r="AA145" s="182"/>
      <c r="AB145" s="182"/>
      <c r="AC145" s="418"/>
      <c r="AD145" s="182"/>
      <c r="AE145" s="182"/>
      <c r="AF145" s="417"/>
      <c r="AG145" s="182"/>
      <c r="AH145" s="182"/>
      <c r="AI145" s="182"/>
      <c r="AJ145" s="182"/>
      <c r="AK145" s="182"/>
      <c r="AL145" s="247"/>
      <c r="AM145" s="182"/>
      <c r="AN145" s="419"/>
      <c r="AO145" s="183"/>
      <c r="AP145" s="183"/>
      <c r="AQ145" s="183"/>
      <c r="AR145" s="184"/>
      <c r="AS145" s="183"/>
      <c r="AT145" s="184"/>
      <c r="AU145" s="182"/>
      <c r="AV145" s="182"/>
      <c r="AW145" s="247"/>
      <c r="AX145" s="183"/>
      <c r="AY145" s="183"/>
      <c r="AZ145" s="183"/>
      <c r="BA145" s="183"/>
      <c r="BB145" s="183"/>
      <c r="BC145" s="183"/>
      <c r="BD145" s="183"/>
      <c r="BE145" s="183"/>
      <c r="BF145" s="183"/>
      <c r="BG145" s="183"/>
      <c r="BH145" s="183"/>
      <c r="BI145" s="183"/>
      <c r="BJ145" s="183"/>
      <c r="BK145" s="183"/>
      <c r="BL145" s="183"/>
      <c r="BM145" s="183"/>
      <c r="BN145" s="183"/>
      <c r="BO145" s="183"/>
      <c r="BP145" s="183"/>
      <c r="BQ145" s="183"/>
    </row>
    <row r="146" spans="2:69" s="157" customFormat="1" ht="14.5">
      <c r="B146" s="177"/>
      <c r="D146" s="192"/>
      <c r="F146" s="192"/>
      <c r="J146" s="182"/>
      <c r="K146" s="182"/>
      <c r="L146" s="182"/>
      <c r="M146" s="182"/>
      <c r="N146" s="182"/>
      <c r="O146" s="182"/>
      <c r="P146" s="182"/>
      <c r="Q146" s="182"/>
      <c r="R146" s="182"/>
      <c r="S146" s="182"/>
      <c r="T146" s="182"/>
      <c r="V146" s="182"/>
      <c r="W146" s="417"/>
      <c r="X146" s="182"/>
      <c r="Y146" s="182"/>
      <c r="Z146" s="418"/>
      <c r="AA146" s="182"/>
      <c r="AB146" s="182"/>
      <c r="AC146" s="418"/>
      <c r="AD146" s="182"/>
      <c r="AE146" s="182"/>
      <c r="AF146" s="417"/>
      <c r="AG146" s="182"/>
      <c r="AH146" s="182"/>
      <c r="AI146" s="182"/>
      <c r="AJ146" s="182"/>
      <c r="AK146" s="182"/>
      <c r="AL146" s="247"/>
      <c r="AM146" s="182"/>
      <c r="AN146" s="419"/>
      <c r="AO146" s="183"/>
      <c r="AP146" s="183"/>
      <c r="AQ146" s="183"/>
      <c r="AR146" s="184"/>
      <c r="AS146" s="183"/>
      <c r="AT146" s="184"/>
      <c r="AU146" s="182"/>
      <c r="AV146" s="182"/>
      <c r="AW146" s="247"/>
      <c r="AX146" s="183"/>
      <c r="AY146" s="183"/>
      <c r="AZ146" s="183"/>
      <c r="BA146" s="183"/>
      <c r="BB146" s="183"/>
      <c r="BC146" s="183"/>
      <c r="BD146" s="183"/>
      <c r="BE146" s="183"/>
      <c r="BF146" s="183"/>
      <c r="BG146" s="183"/>
      <c r="BH146" s="183"/>
      <c r="BI146" s="183"/>
      <c r="BJ146" s="183"/>
      <c r="BK146" s="183"/>
      <c r="BL146" s="183"/>
      <c r="BM146" s="183"/>
      <c r="BN146" s="183"/>
      <c r="BO146" s="183"/>
      <c r="BP146" s="183"/>
      <c r="BQ146" s="183"/>
    </row>
    <row r="147" spans="2:69" s="157" customFormat="1" ht="14.5">
      <c r="B147" s="177"/>
      <c r="D147" s="192"/>
      <c r="F147" s="192"/>
      <c r="J147" s="182"/>
      <c r="K147" s="182"/>
      <c r="L147" s="182"/>
      <c r="M147" s="182"/>
      <c r="N147" s="182"/>
      <c r="O147" s="182"/>
      <c r="P147" s="182"/>
      <c r="Q147" s="182"/>
      <c r="R147" s="182"/>
      <c r="S147" s="182"/>
      <c r="T147" s="182"/>
      <c r="V147" s="182"/>
      <c r="W147" s="417"/>
      <c r="X147" s="182"/>
      <c r="Y147" s="182"/>
      <c r="Z147" s="418"/>
      <c r="AA147" s="182"/>
      <c r="AB147" s="182"/>
      <c r="AC147" s="418"/>
      <c r="AD147" s="182"/>
      <c r="AE147" s="182"/>
      <c r="AF147" s="417"/>
      <c r="AG147" s="182"/>
      <c r="AH147" s="182"/>
      <c r="AI147" s="182"/>
      <c r="AJ147" s="182"/>
      <c r="AK147" s="182"/>
      <c r="AL147" s="247"/>
      <c r="AM147" s="182"/>
      <c r="AN147" s="419"/>
      <c r="AO147" s="183"/>
      <c r="AP147" s="183"/>
      <c r="AQ147" s="183"/>
      <c r="AR147" s="184"/>
      <c r="AS147" s="183"/>
      <c r="AT147" s="184"/>
      <c r="AU147" s="182"/>
      <c r="AV147" s="182"/>
      <c r="AW147" s="247"/>
      <c r="AX147" s="183"/>
      <c r="AY147" s="183"/>
      <c r="AZ147" s="183"/>
      <c r="BA147" s="183"/>
      <c r="BB147" s="183"/>
      <c r="BC147" s="183"/>
      <c r="BD147" s="183"/>
      <c r="BE147" s="183"/>
      <c r="BF147" s="183"/>
      <c r="BG147" s="183"/>
      <c r="BH147" s="183"/>
      <c r="BI147" s="183"/>
      <c r="BJ147" s="183"/>
      <c r="BK147" s="183"/>
      <c r="BL147" s="183"/>
      <c r="BM147" s="183"/>
      <c r="BN147" s="183"/>
      <c r="BO147" s="183"/>
      <c r="BP147" s="183"/>
      <c r="BQ147" s="183"/>
    </row>
    <row r="148" spans="2:69" s="157" customFormat="1" ht="14.5">
      <c r="B148" s="177"/>
      <c r="D148" s="192"/>
      <c r="F148" s="192"/>
      <c r="J148" s="182"/>
      <c r="K148" s="182"/>
      <c r="L148" s="182"/>
      <c r="M148" s="182"/>
      <c r="N148" s="182"/>
      <c r="O148" s="182"/>
      <c r="P148" s="182"/>
      <c r="Q148" s="182"/>
      <c r="R148" s="182"/>
      <c r="S148" s="182"/>
      <c r="T148" s="182"/>
      <c r="V148" s="182"/>
      <c r="W148" s="417"/>
      <c r="X148" s="182"/>
      <c r="Y148" s="182"/>
      <c r="Z148" s="418"/>
      <c r="AA148" s="182"/>
      <c r="AB148" s="182"/>
      <c r="AC148" s="418"/>
      <c r="AD148" s="182"/>
      <c r="AE148" s="182"/>
      <c r="AF148" s="417"/>
      <c r="AG148" s="182"/>
      <c r="AH148" s="182"/>
      <c r="AI148" s="182"/>
      <c r="AJ148" s="182"/>
      <c r="AK148" s="182"/>
      <c r="AL148" s="247"/>
      <c r="AM148" s="182"/>
      <c r="AN148" s="419"/>
      <c r="AO148" s="183"/>
      <c r="AP148" s="183"/>
      <c r="AQ148" s="183"/>
      <c r="AR148" s="184"/>
      <c r="AS148" s="183"/>
      <c r="AT148" s="184"/>
      <c r="AU148" s="182"/>
      <c r="AV148" s="182"/>
      <c r="AW148" s="247"/>
      <c r="AX148" s="183"/>
      <c r="AY148" s="183"/>
      <c r="AZ148" s="183"/>
      <c r="BA148" s="183"/>
      <c r="BB148" s="183"/>
      <c r="BC148" s="183"/>
      <c r="BD148" s="183"/>
      <c r="BE148" s="183"/>
      <c r="BF148" s="183"/>
      <c r="BG148" s="183"/>
      <c r="BH148" s="183"/>
      <c r="BI148" s="183"/>
      <c r="BJ148" s="183"/>
      <c r="BK148" s="183"/>
      <c r="BL148" s="183"/>
      <c r="BM148" s="183"/>
      <c r="BN148" s="183"/>
      <c r="BO148" s="183"/>
      <c r="BP148" s="183"/>
      <c r="BQ148" s="183"/>
    </row>
    <row r="149" spans="2:69" s="157" customFormat="1" ht="14.5">
      <c r="B149" s="177"/>
      <c r="D149" s="192"/>
      <c r="F149" s="192"/>
      <c r="J149" s="182"/>
      <c r="K149" s="182"/>
      <c r="L149" s="182"/>
      <c r="M149" s="182"/>
      <c r="N149" s="182"/>
      <c r="O149" s="182"/>
      <c r="P149" s="182"/>
      <c r="Q149" s="182"/>
      <c r="R149" s="182"/>
      <c r="S149" s="182"/>
      <c r="T149" s="182"/>
      <c r="V149" s="182"/>
      <c r="W149" s="417"/>
      <c r="X149" s="182"/>
      <c r="Y149" s="182"/>
      <c r="Z149" s="418"/>
      <c r="AA149" s="182"/>
      <c r="AB149" s="182"/>
      <c r="AC149" s="418"/>
      <c r="AD149" s="182"/>
      <c r="AE149" s="182"/>
      <c r="AF149" s="417"/>
      <c r="AG149" s="182"/>
      <c r="AH149" s="182"/>
      <c r="AI149" s="182"/>
      <c r="AJ149" s="182"/>
      <c r="AK149" s="182"/>
      <c r="AL149" s="247"/>
      <c r="AM149" s="182"/>
      <c r="AN149" s="419"/>
      <c r="AO149" s="183"/>
      <c r="AP149" s="183"/>
      <c r="AQ149" s="183"/>
      <c r="AR149" s="184"/>
      <c r="AS149" s="183"/>
      <c r="AT149" s="184"/>
      <c r="AU149" s="182"/>
      <c r="AV149" s="182"/>
      <c r="AW149" s="247"/>
      <c r="AX149" s="183"/>
      <c r="AY149" s="183"/>
      <c r="AZ149" s="183"/>
      <c r="BA149" s="183"/>
      <c r="BB149" s="183"/>
      <c r="BC149" s="183"/>
      <c r="BD149" s="183"/>
      <c r="BE149" s="183"/>
      <c r="BF149" s="183"/>
      <c r="BG149" s="183"/>
      <c r="BH149" s="183"/>
      <c r="BI149" s="183"/>
      <c r="BJ149" s="183"/>
      <c r="BK149" s="183"/>
      <c r="BL149" s="183"/>
      <c r="BM149" s="183"/>
      <c r="BN149" s="183"/>
      <c r="BO149" s="183"/>
      <c r="BP149" s="183"/>
      <c r="BQ149" s="183"/>
    </row>
    <row r="150" spans="2:69" s="157" customFormat="1" ht="14.5">
      <c r="B150" s="177"/>
      <c r="D150" s="192"/>
      <c r="F150" s="192"/>
      <c r="J150" s="182"/>
      <c r="K150" s="182"/>
      <c r="L150" s="182"/>
      <c r="M150" s="182"/>
      <c r="N150" s="182"/>
      <c r="O150" s="182"/>
      <c r="P150" s="182"/>
      <c r="Q150" s="182"/>
      <c r="R150" s="182"/>
      <c r="S150" s="182"/>
      <c r="T150" s="182"/>
      <c r="V150" s="182"/>
      <c r="W150" s="417"/>
      <c r="X150" s="182"/>
      <c r="Y150" s="182"/>
      <c r="Z150" s="418"/>
      <c r="AA150" s="182"/>
      <c r="AB150" s="182"/>
      <c r="AC150" s="418"/>
      <c r="AD150" s="182"/>
      <c r="AE150" s="182"/>
      <c r="AF150" s="417"/>
      <c r="AG150" s="182"/>
      <c r="AH150" s="182"/>
      <c r="AI150" s="182"/>
      <c r="AJ150" s="182"/>
      <c r="AK150" s="182"/>
      <c r="AL150" s="247"/>
      <c r="AM150" s="182"/>
      <c r="AN150" s="419"/>
      <c r="AO150" s="183"/>
      <c r="AP150" s="183"/>
      <c r="AQ150" s="183"/>
      <c r="AR150" s="184"/>
      <c r="AS150" s="183"/>
      <c r="AT150" s="184"/>
      <c r="AU150" s="182"/>
      <c r="AV150" s="182"/>
      <c r="AW150" s="247"/>
      <c r="AX150" s="183"/>
      <c r="AY150" s="183"/>
      <c r="AZ150" s="183"/>
      <c r="BA150" s="183"/>
      <c r="BB150" s="183"/>
      <c r="BC150" s="183"/>
      <c r="BD150" s="183"/>
      <c r="BE150" s="183"/>
      <c r="BF150" s="183"/>
      <c r="BG150" s="183"/>
      <c r="BH150" s="183"/>
      <c r="BI150" s="183"/>
      <c r="BJ150" s="183"/>
      <c r="BK150" s="183"/>
      <c r="BL150" s="183"/>
      <c r="BM150" s="183"/>
      <c r="BN150" s="183"/>
      <c r="BO150" s="183"/>
      <c r="BP150" s="183"/>
      <c r="BQ150" s="183"/>
    </row>
    <row r="151" spans="2:69" s="157" customFormat="1" ht="14.5">
      <c r="B151" s="177"/>
      <c r="D151" s="192"/>
      <c r="F151" s="192"/>
      <c r="J151" s="182"/>
      <c r="K151" s="182"/>
      <c r="L151" s="182"/>
      <c r="M151" s="182"/>
      <c r="N151" s="182"/>
      <c r="O151" s="182"/>
      <c r="P151" s="182"/>
      <c r="Q151" s="182"/>
      <c r="R151" s="182"/>
      <c r="S151" s="182"/>
      <c r="T151" s="182"/>
      <c r="V151" s="182"/>
      <c r="W151" s="417"/>
      <c r="X151" s="182"/>
      <c r="Y151" s="182"/>
      <c r="Z151" s="418"/>
      <c r="AA151" s="182"/>
      <c r="AB151" s="182"/>
      <c r="AC151" s="418"/>
      <c r="AD151" s="182"/>
      <c r="AE151" s="182"/>
      <c r="AF151" s="417"/>
      <c r="AG151" s="182"/>
      <c r="AH151" s="182"/>
      <c r="AI151" s="182"/>
      <c r="AJ151" s="182"/>
      <c r="AK151" s="182"/>
      <c r="AL151" s="247"/>
      <c r="AM151" s="182"/>
      <c r="AN151" s="419"/>
      <c r="AO151" s="183"/>
      <c r="AP151" s="183"/>
      <c r="AQ151" s="183"/>
      <c r="AR151" s="184"/>
      <c r="AS151" s="183"/>
      <c r="AT151" s="184"/>
      <c r="AU151" s="182"/>
      <c r="AV151" s="182"/>
      <c r="AW151" s="247"/>
      <c r="AX151" s="183"/>
      <c r="AY151" s="183"/>
      <c r="AZ151" s="183"/>
      <c r="BA151" s="183"/>
      <c r="BB151" s="183"/>
      <c r="BC151" s="183"/>
      <c r="BD151" s="183"/>
      <c r="BE151" s="183"/>
      <c r="BF151" s="183"/>
      <c r="BG151" s="183"/>
      <c r="BH151" s="183"/>
      <c r="BI151" s="183"/>
      <c r="BJ151" s="183"/>
      <c r="BK151" s="183"/>
      <c r="BL151" s="183"/>
      <c r="BM151" s="183"/>
      <c r="BN151" s="183"/>
      <c r="BO151" s="183"/>
      <c r="BP151" s="183"/>
      <c r="BQ151" s="183"/>
    </row>
    <row r="152" spans="2:69" s="157" customFormat="1" ht="14.5">
      <c r="B152" s="177"/>
      <c r="D152" s="192"/>
      <c r="F152" s="192"/>
      <c r="J152" s="182"/>
      <c r="K152" s="182"/>
      <c r="L152" s="182"/>
      <c r="M152" s="182"/>
      <c r="N152" s="182"/>
      <c r="O152" s="182"/>
      <c r="P152" s="182"/>
      <c r="Q152" s="182"/>
      <c r="R152" s="182"/>
      <c r="S152" s="182"/>
      <c r="T152" s="182"/>
      <c r="V152" s="182"/>
      <c r="W152" s="417"/>
      <c r="X152" s="182"/>
      <c r="Y152" s="182"/>
      <c r="Z152" s="418"/>
      <c r="AA152" s="182"/>
      <c r="AB152" s="182"/>
      <c r="AC152" s="418"/>
      <c r="AD152" s="182"/>
      <c r="AE152" s="182"/>
      <c r="AF152" s="417"/>
      <c r="AG152" s="182"/>
      <c r="AH152" s="182"/>
      <c r="AI152" s="182"/>
      <c r="AJ152" s="182"/>
      <c r="AK152" s="182"/>
      <c r="AL152" s="247"/>
      <c r="AM152" s="182"/>
      <c r="AN152" s="419"/>
      <c r="AO152" s="183"/>
      <c r="AP152" s="183"/>
      <c r="AQ152" s="183"/>
      <c r="AR152" s="184"/>
      <c r="AS152" s="183"/>
      <c r="AT152" s="184"/>
      <c r="AU152" s="182"/>
      <c r="AV152" s="182"/>
      <c r="AW152" s="247"/>
      <c r="AX152" s="183"/>
      <c r="AY152" s="183"/>
      <c r="AZ152" s="183"/>
      <c r="BA152" s="183"/>
      <c r="BB152" s="183"/>
      <c r="BC152" s="183"/>
      <c r="BD152" s="183"/>
      <c r="BE152" s="183"/>
      <c r="BF152" s="183"/>
      <c r="BG152" s="183"/>
      <c r="BH152" s="183"/>
      <c r="BI152" s="183"/>
      <c r="BJ152" s="183"/>
      <c r="BK152" s="183"/>
      <c r="BL152" s="183"/>
      <c r="BM152" s="183"/>
      <c r="BN152" s="183"/>
      <c r="BO152" s="183"/>
      <c r="BP152" s="183"/>
      <c r="BQ152" s="183"/>
    </row>
    <row r="153" spans="2:69" s="157" customFormat="1" ht="14.5">
      <c r="B153" s="177"/>
      <c r="D153" s="192"/>
      <c r="F153" s="192"/>
      <c r="J153" s="182"/>
      <c r="K153" s="182"/>
      <c r="L153" s="182"/>
      <c r="M153" s="182"/>
      <c r="N153" s="182"/>
      <c r="O153" s="182"/>
      <c r="P153" s="182"/>
      <c r="Q153" s="182"/>
      <c r="R153" s="182"/>
      <c r="S153" s="182"/>
      <c r="T153" s="182"/>
      <c r="V153" s="182"/>
      <c r="W153" s="417"/>
      <c r="X153" s="182"/>
      <c r="Y153" s="182"/>
      <c r="Z153" s="418"/>
      <c r="AA153" s="182"/>
      <c r="AB153" s="182"/>
      <c r="AC153" s="418"/>
      <c r="AD153" s="182"/>
      <c r="AE153" s="182"/>
      <c r="AF153" s="417"/>
      <c r="AG153" s="182"/>
      <c r="AH153" s="182"/>
      <c r="AI153" s="182"/>
      <c r="AJ153" s="182"/>
      <c r="AK153" s="182"/>
      <c r="AL153" s="247"/>
      <c r="AM153" s="182"/>
      <c r="AN153" s="419"/>
      <c r="AO153" s="183"/>
      <c r="AP153" s="183"/>
      <c r="AQ153" s="183"/>
      <c r="AR153" s="184"/>
      <c r="AS153" s="183"/>
      <c r="AT153" s="184"/>
      <c r="AU153" s="182"/>
      <c r="AV153" s="182"/>
      <c r="AW153" s="247"/>
      <c r="AX153" s="183"/>
      <c r="AY153" s="183"/>
      <c r="AZ153" s="183"/>
      <c r="BA153" s="183"/>
      <c r="BB153" s="183"/>
      <c r="BC153" s="183"/>
      <c r="BD153" s="183"/>
      <c r="BE153" s="183"/>
      <c r="BF153" s="183"/>
      <c r="BG153" s="183"/>
      <c r="BH153" s="183"/>
      <c r="BI153" s="183"/>
      <c r="BJ153" s="183"/>
      <c r="BK153" s="183"/>
      <c r="BL153" s="183"/>
      <c r="BM153" s="183"/>
      <c r="BN153" s="183"/>
      <c r="BO153" s="183"/>
      <c r="BP153" s="183"/>
      <c r="BQ153" s="183"/>
    </row>
    <row r="154" spans="2:69" s="157" customFormat="1" ht="14.5">
      <c r="B154" s="177"/>
      <c r="D154" s="192"/>
      <c r="F154" s="192"/>
      <c r="J154" s="182"/>
      <c r="K154" s="182"/>
      <c r="L154" s="182"/>
      <c r="M154" s="182"/>
      <c r="N154" s="182"/>
      <c r="O154" s="182"/>
      <c r="P154" s="182"/>
      <c r="Q154" s="182"/>
      <c r="R154" s="182"/>
      <c r="S154" s="182"/>
      <c r="T154" s="182"/>
      <c r="V154" s="182"/>
      <c r="W154" s="417"/>
      <c r="X154" s="182"/>
      <c r="Y154" s="182"/>
      <c r="Z154" s="418"/>
      <c r="AA154" s="182"/>
      <c r="AB154" s="182"/>
      <c r="AC154" s="418"/>
      <c r="AD154" s="182"/>
      <c r="AE154" s="182"/>
      <c r="AF154" s="417"/>
      <c r="AG154" s="182"/>
      <c r="AH154" s="182"/>
      <c r="AI154" s="182"/>
      <c r="AJ154" s="182"/>
      <c r="AK154" s="182"/>
      <c r="AL154" s="247"/>
      <c r="AM154" s="182"/>
      <c r="AN154" s="419"/>
      <c r="AO154" s="183"/>
      <c r="AP154" s="183"/>
      <c r="AQ154" s="183"/>
      <c r="AR154" s="184"/>
      <c r="AS154" s="183"/>
      <c r="AT154" s="184"/>
      <c r="AU154" s="182"/>
      <c r="AV154" s="182"/>
      <c r="AW154" s="247"/>
      <c r="AX154" s="183"/>
      <c r="AY154" s="183"/>
      <c r="AZ154" s="183"/>
      <c r="BA154" s="183"/>
      <c r="BB154" s="183"/>
      <c r="BC154" s="183"/>
      <c r="BD154" s="183"/>
      <c r="BE154" s="183"/>
      <c r="BF154" s="183"/>
      <c r="BG154" s="183"/>
      <c r="BH154" s="183"/>
      <c r="BI154" s="183"/>
      <c r="BJ154" s="183"/>
      <c r="BK154" s="183"/>
      <c r="BL154" s="183"/>
      <c r="BM154" s="183"/>
      <c r="BN154" s="183"/>
      <c r="BO154" s="183"/>
      <c r="BP154" s="183"/>
      <c r="BQ154" s="183"/>
    </row>
    <row r="155" spans="2:69" s="157" customFormat="1" ht="14.5">
      <c r="B155" s="177"/>
      <c r="D155" s="192"/>
      <c r="F155" s="192"/>
      <c r="J155" s="182"/>
      <c r="K155" s="182"/>
      <c r="L155" s="182"/>
      <c r="M155" s="182"/>
      <c r="N155" s="182"/>
      <c r="O155" s="182"/>
      <c r="P155" s="182"/>
      <c r="Q155" s="182"/>
      <c r="R155" s="182"/>
      <c r="S155" s="182"/>
      <c r="T155" s="182"/>
      <c r="V155" s="182"/>
      <c r="W155" s="417"/>
      <c r="X155" s="182"/>
      <c r="Y155" s="182"/>
      <c r="Z155" s="418"/>
      <c r="AA155" s="182"/>
      <c r="AB155" s="182"/>
      <c r="AC155" s="418"/>
      <c r="AD155" s="182"/>
      <c r="AE155" s="182"/>
      <c r="AF155" s="417"/>
      <c r="AG155" s="182"/>
      <c r="AH155" s="182"/>
      <c r="AI155" s="182"/>
      <c r="AJ155" s="182"/>
      <c r="AK155" s="182"/>
      <c r="AL155" s="247"/>
      <c r="AM155" s="182"/>
      <c r="AN155" s="419"/>
      <c r="AO155" s="183"/>
      <c r="AP155" s="183"/>
      <c r="AQ155" s="183"/>
      <c r="AR155" s="184"/>
      <c r="AS155" s="183"/>
      <c r="AT155" s="184"/>
      <c r="AU155" s="182"/>
      <c r="AV155" s="182"/>
      <c r="AW155" s="247"/>
      <c r="AX155" s="183"/>
      <c r="AY155" s="183"/>
      <c r="AZ155" s="183"/>
      <c r="BA155" s="183"/>
      <c r="BB155" s="183"/>
      <c r="BC155" s="183"/>
      <c r="BD155" s="183"/>
      <c r="BE155" s="183"/>
      <c r="BF155" s="183"/>
      <c r="BG155" s="183"/>
      <c r="BH155" s="183"/>
      <c r="BI155" s="183"/>
      <c r="BJ155" s="183"/>
      <c r="BK155" s="183"/>
      <c r="BL155" s="183"/>
      <c r="BM155" s="183"/>
      <c r="BN155" s="183"/>
      <c r="BO155" s="183"/>
      <c r="BP155" s="183"/>
      <c r="BQ155" s="183"/>
    </row>
    <row r="156" spans="2:69" s="157" customFormat="1" ht="14.5">
      <c r="B156" s="177"/>
      <c r="D156" s="192"/>
      <c r="F156" s="192"/>
      <c r="J156" s="182"/>
      <c r="K156" s="182"/>
      <c r="L156" s="182"/>
      <c r="M156" s="182"/>
      <c r="N156" s="182"/>
      <c r="O156" s="182"/>
      <c r="P156" s="182"/>
      <c r="Q156" s="182"/>
      <c r="R156" s="182"/>
      <c r="S156" s="182"/>
      <c r="T156" s="182"/>
      <c r="V156" s="182"/>
      <c r="W156" s="417"/>
      <c r="X156" s="182"/>
      <c r="Y156" s="182"/>
      <c r="Z156" s="418"/>
      <c r="AA156" s="182"/>
      <c r="AB156" s="182"/>
      <c r="AC156" s="418"/>
      <c r="AD156" s="182"/>
      <c r="AE156" s="182"/>
      <c r="AF156" s="417"/>
      <c r="AG156" s="182"/>
      <c r="AH156" s="182"/>
      <c r="AI156" s="182"/>
      <c r="AJ156" s="182"/>
      <c r="AK156" s="182"/>
      <c r="AL156" s="247"/>
      <c r="AM156" s="182"/>
      <c r="AN156" s="419"/>
      <c r="AO156" s="183"/>
      <c r="AP156" s="183"/>
      <c r="AQ156" s="183"/>
      <c r="AR156" s="184"/>
      <c r="AS156" s="183"/>
      <c r="AT156" s="184"/>
      <c r="AU156" s="182"/>
      <c r="AV156" s="182"/>
      <c r="AW156" s="247"/>
      <c r="AX156" s="183"/>
      <c r="AY156" s="183"/>
      <c r="AZ156" s="183"/>
      <c r="BA156" s="183"/>
      <c r="BB156" s="183"/>
      <c r="BC156" s="183"/>
      <c r="BD156" s="183"/>
      <c r="BE156" s="183"/>
      <c r="BF156" s="183"/>
      <c r="BG156" s="183"/>
      <c r="BH156" s="183"/>
      <c r="BI156" s="183"/>
      <c r="BJ156" s="183"/>
      <c r="BK156" s="183"/>
      <c r="BL156" s="183"/>
      <c r="BM156" s="183"/>
      <c r="BN156" s="183"/>
      <c r="BO156" s="183"/>
      <c r="BP156" s="183"/>
      <c r="BQ156" s="183"/>
    </row>
    <row r="157" spans="2:69" s="157" customFormat="1" ht="14.5">
      <c r="B157" s="177"/>
      <c r="D157" s="192"/>
      <c r="F157" s="192"/>
      <c r="J157" s="182"/>
      <c r="K157" s="182"/>
      <c r="L157" s="182"/>
      <c r="M157" s="182"/>
      <c r="N157" s="182"/>
      <c r="O157" s="182"/>
      <c r="P157" s="182"/>
      <c r="Q157" s="182"/>
      <c r="R157" s="182"/>
      <c r="S157" s="182"/>
      <c r="T157" s="182"/>
      <c r="V157" s="182"/>
      <c r="W157" s="417"/>
      <c r="X157" s="182"/>
      <c r="Y157" s="182"/>
      <c r="Z157" s="418"/>
      <c r="AA157" s="182"/>
      <c r="AB157" s="182"/>
      <c r="AC157" s="418"/>
      <c r="AD157" s="182"/>
      <c r="AE157" s="182"/>
      <c r="AF157" s="417"/>
      <c r="AG157" s="182"/>
      <c r="AH157" s="182"/>
      <c r="AI157" s="182"/>
      <c r="AJ157" s="182"/>
      <c r="AK157" s="182"/>
      <c r="AL157" s="247"/>
      <c r="AM157" s="182"/>
      <c r="AN157" s="419"/>
      <c r="AO157" s="183"/>
      <c r="AP157" s="183"/>
      <c r="AQ157" s="183"/>
      <c r="AR157" s="184"/>
      <c r="AS157" s="183"/>
      <c r="AT157" s="184"/>
      <c r="AU157" s="182"/>
      <c r="AV157" s="182"/>
      <c r="AW157" s="247"/>
      <c r="AX157" s="183"/>
      <c r="AY157" s="183"/>
      <c r="AZ157" s="183"/>
      <c r="BA157" s="183"/>
      <c r="BB157" s="183"/>
      <c r="BC157" s="183"/>
      <c r="BD157" s="183"/>
      <c r="BE157" s="183"/>
      <c r="BF157" s="183"/>
      <c r="BG157" s="183"/>
      <c r="BH157" s="183"/>
      <c r="BI157" s="183"/>
      <c r="BJ157" s="183"/>
      <c r="BK157" s="183"/>
      <c r="BL157" s="183"/>
      <c r="BM157" s="183"/>
      <c r="BN157" s="183"/>
      <c r="BO157" s="183"/>
      <c r="BP157" s="183"/>
      <c r="BQ157" s="183"/>
    </row>
    <row r="158" spans="2:69" s="157" customFormat="1" ht="14.5">
      <c r="B158" s="177"/>
      <c r="D158" s="192"/>
      <c r="F158" s="192"/>
      <c r="J158" s="182"/>
      <c r="K158" s="182"/>
      <c r="L158" s="182"/>
      <c r="M158" s="182"/>
      <c r="N158" s="182"/>
      <c r="O158" s="182"/>
      <c r="P158" s="182"/>
      <c r="Q158" s="182"/>
      <c r="R158" s="182"/>
      <c r="S158" s="182"/>
      <c r="T158" s="182"/>
      <c r="V158" s="182"/>
      <c r="W158" s="417"/>
      <c r="X158" s="182"/>
      <c r="Y158" s="182"/>
      <c r="Z158" s="418"/>
      <c r="AA158" s="182"/>
      <c r="AB158" s="182"/>
      <c r="AC158" s="418"/>
      <c r="AD158" s="182"/>
      <c r="AE158" s="182"/>
      <c r="AF158" s="417"/>
      <c r="AG158" s="182"/>
      <c r="AH158" s="182"/>
      <c r="AI158" s="182"/>
      <c r="AJ158" s="182"/>
      <c r="AK158" s="182"/>
      <c r="AL158" s="247"/>
      <c r="AM158" s="182"/>
      <c r="AN158" s="419"/>
      <c r="AO158" s="183"/>
      <c r="AP158" s="183"/>
      <c r="AQ158" s="183"/>
      <c r="AR158" s="184"/>
      <c r="AS158" s="183"/>
      <c r="AT158" s="184"/>
      <c r="AU158" s="182"/>
      <c r="AV158" s="182"/>
      <c r="AW158" s="247"/>
      <c r="AX158" s="183"/>
      <c r="AY158" s="183"/>
      <c r="AZ158" s="183"/>
      <c r="BA158" s="183"/>
      <c r="BB158" s="183"/>
      <c r="BC158" s="183"/>
      <c r="BD158" s="183"/>
      <c r="BE158" s="183"/>
      <c r="BF158" s="183"/>
      <c r="BG158" s="183"/>
      <c r="BH158" s="183"/>
      <c r="BI158" s="183"/>
      <c r="BJ158" s="183"/>
      <c r="BK158" s="183"/>
      <c r="BL158" s="183"/>
      <c r="BM158" s="183"/>
      <c r="BN158" s="183"/>
      <c r="BO158" s="183"/>
      <c r="BP158" s="183"/>
      <c r="BQ158" s="183"/>
    </row>
    <row r="159" spans="2:69" s="157" customFormat="1" ht="14.5">
      <c r="B159" s="177"/>
      <c r="D159" s="192"/>
      <c r="F159" s="192"/>
      <c r="J159" s="182"/>
      <c r="K159" s="182"/>
      <c r="L159" s="182"/>
      <c r="M159" s="182"/>
      <c r="N159" s="182"/>
      <c r="O159" s="182"/>
      <c r="P159" s="182"/>
      <c r="Q159" s="182"/>
      <c r="R159" s="182"/>
      <c r="S159" s="182"/>
      <c r="T159" s="182"/>
      <c r="V159" s="182"/>
      <c r="W159" s="417"/>
      <c r="X159" s="182"/>
      <c r="Y159" s="182"/>
      <c r="Z159" s="418"/>
      <c r="AA159" s="182"/>
      <c r="AB159" s="182"/>
      <c r="AC159" s="418"/>
      <c r="AD159" s="182"/>
      <c r="AE159" s="182"/>
      <c r="AF159" s="417"/>
      <c r="AG159" s="182"/>
      <c r="AH159" s="182"/>
      <c r="AI159" s="182"/>
      <c r="AJ159" s="182"/>
      <c r="AK159" s="182"/>
      <c r="AL159" s="247"/>
      <c r="AM159" s="182"/>
      <c r="AN159" s="419"/>
      <c r="AO159" s="183"/>
      <c r="AP159" s="183"/>
      <c r="AQ159" s="183"/>
      <c r="AR159" s="184"/>
      <c r="AS159" s="183"/>
      <c r="AT159" s="184"/>
      <c r="AU159" s="182"/>
      <c r="AV159" s="182"/>
      <c r="AW159" s="247"/>
      <c r="AX159" s="183"/>
      <c r="AY159" s="183"/>
      <c r="AZ159" s="183"/>
      <c r="BA159" s="183"/>
      <c r="BB159" s="183"/>
      <c r="BC159" s="183"/>
      <c r="BD159" s="183"/>
      <c r="BE159" s="183"/>
      <c r="BF159" s="183"/>
      <c r="BG159" s="183"/>
      <c r="BH159" s="183"/>
      <c r="BI159" s="183"/>
      <c r="BJ159" s="183"/>
      <c r="BK159" s="183"/>
      <c r="BL159" s="183"/>
      <c r="BM159" s="183"/>
      <c r="BN159" s="183"/>
      <c r="BO159" s="183"/>
      <c r="BP159" s="183"/>
      <c r="BQ159" s="183"/>
    </row>
    <row r="160" spans="2:69" s="157" customFormat="1" ht="14.5">
      <c r="B160" s="177"/>
      <c r="D160" s="192"/>
      <c r="F160" s="192"/>
      <c r="J160" s="182"/>
      <c r="K160" s="182"/>
      <c r="L160" s="182"/>
      <c r="M160" s="182"/>
      <c r="N160" s="182"/>
      <c r="O160" s="182"/>
      <c r="P160" s="182"/>
      <c r="Q160" s="182"/>
      <c r="R160" s="182"/>
      <c r="S160" s="182"/>
      <c r="T160" s="182"/>
      <c r="V160" s="182"/>
      <c r="W160" s="417"/>
      <c r="X160" s="182"/>
      <c r="Y160" s="182"/>
      <c r="Z160" s="418"/>
      <c r="AA160" s="182"/>
      <c r="AB160" s="182"/>
      <c r="AC160" s="418"/>
      <c r="AD160" s="182"/>
      <c r="AE160" s="182"/>
      <c r="AF160" s="417"/>
      <c r="AG160" s="182"/>
      <c r="AH160" s="182"/>
      <c r="AI160" s="182"/>
      <c r="AJ160" s="182"/>
      <c r="AK160" s="182"/>
      <c r="AL160" s="247"/>
      <c r="AM160" s="182"/>
      <c r="AN160" s="419"/>
      <c r="AO160" s="183"/>
      <c r="AP160" s="183"/>
      <c r="AQ160" s="183"/>
      <c r="AR160" s="184"/>
      <c r="AS160" s="183"/>
      <c r="AT160" s="184"/>
      <c r="AU160" s="182"/>
      <c r="AV160" s="182"/>
      <c r="AW160" s="247"/>
      <c r="AX160" s="183"/>
      <c r="AY160" s="183"/>
      <c r="AZ160" s="183"/>
      <c r="BA160" s="183"/>
      <c r="BB160" s="183"/>
      <c r="BC160" s="183"/>
      <c r="BD160" s="183"/>
      <c r="BE160" s="183"/>
      <c r="BF160" s="183"/>
      <c r="BG160" s="183"/>
      <c r="BH160" s="183"/>
      <c r="BI160" s="183"/>
      <c r="BJ160" s="183"/>
      <c r="BK160" s="183"/>
      <c r="BL160" s="183"/>
      <c r="BM160" s="183"/>
      <c r="BN160" s="183"/>
      <c r="BO160" s="183"/>
      <c r="BP160" s="183"/>
      <c r="BQ160" s="183"/>
    </row>
    <row r="161" spans="2:69" s="157" customFormat="1" ht="14.5">
      <c r="B161" s="177"/>
      <c r="D161" s="192"/>
      <c r="F161" s="192"/>
      <c r="J161" s="182"/>
      <c r="K161" s="182"/>
      <c r="L161" s="182"/>
      <c r="M161" s="182"/>
      <c r="N161" s="182"/>
      <c r="O161" s="182"/>
      <c r="P161" s="182"/>
      <c r="Q161" s="182"/>
      <c r="R161" s="182"/>
      <c r="S161" s="182"/>
      <c r="T161" s="182"/>
      <c r="V161" s="182"/>
      <c r="W161" s="417"/>
      <c r="X161" s="182"/>
      <c r="Y161" s="182"/>
      <c r="Z161" s="418"/>
      <c r="AA161" s="182"/>
      <c r="AB161" s="182"/>
      <c r="AC161" s="418"/>
      <c r="AD161" s="182"/>
      <c r="AE161" s="182"/>
      <c r="AF161" s="417"/>
      <c r="AG161" s="182"/>
      <c r="AH161" s="182"/>
      <c r="AI161" s="182"/>
      <c r="AJ161" s="182"/>
      <c r="AK161" s="182"/>
      <c r="AL161" s="247"/>
      <c r="AM161" s="182"/>
      <c r="AN161" s="419"/>
      <c r="AO161" s="183"/>
      <c r="AP161" s="183"/>
      <c r="AQ161" s="183"/>
      <c r="AR161" s="184"/>
      <c r="AS161" s="183"/>
      <c r="AT161" s="184"/>
      <c r="AU161" s="182"/>
      <c r="AV161" s="182"/>
      <c r="AW161" s="247"/>
      <c r="AX161" s="183"/>
      <c r="AY161" s="183"/>
      <c r="AZ161" s="183"/>
      <c r="BA161" s="183"/>
      <c r="BB161" s="183"/>
      <c r="BC161" s="183"/>
      <c r="BD161" s="183"/>
      <c r="BE161" s="183"/>
      <c r="BF161" s="183"/>
      <c r="BG161" s="183"/>
      <c r="BH161" s="183"/>
      <c r="BI161" s="183"/>
      <c r="BJ161" s="183"/>
      <c r="BK161" s="183"/>
      <c r="BL161" s="183"/>
      <c r="BM161" s="183"/>
      <c r="BN161" s="183"/>
      <c r="BO161" s="183"/>
      <c r="BP161" s="183"/>
      <c r="BQ161" s="183"/>
    </row>
    <row r="162" spans="2:69" s="157" customFormat="1" ht="14.5">
      <c r="B162" s="177"/>
      <c r="D162" s="192"/>
      <c r="F162" s="192"/>
      <c r="J162" s="182"/>
      <c r="K162" s="182"/>
      <c r="L162" s="182"/>
      <c r="M162" s="182"/>
      <c r="N162" s="182"/>
      <c r="O162" s="182"/>
      <c r="P162" s="182"/>
      <c r="Q162" s="182"/>
      <c r="R162" s="182"/>
      <c r="S162" s="182"/>
      <c r="T162" s="182"/>
      <c r="V162" s="182"/>
      <c r="W162" s="417"/>
      <c r="X162" s="182"/>
      <c r="Y162" s="182"/>
      <c r="Z162" s="418"/>
      <c r="AA162" s="182"/>
      <c r="AB162" s="182"/>
      <c r="AC162" s="418"/>
      <c r="AD162" s="182"/>
      <c r="AE162" s="182"/>
      <c r="AF162" s="417"/>
      <c r="AG162" s="182"/>
      <c r="AH162" s="182"/>
      <c r="AI162" s="182"/>
      <c r="AJ162" s="182"/>
      <c r="AK162" s="182"/>
      <c r="AL162" s="247"/>
      <c r="AM162" s="182"/>
      <c r="AN162" s="419"/>
      <c r="AO162" s="183"/>
      <c r="AP162" s="183"/>
      <c r="AQ162" s="183"/>
      <c r="AR162" s="184"/>
      <c r="AS162" s="183"/>
      <c r="AT162" s="184"/>
      <c r="AU162" s="182"/>
      <c r="AV162" s="182"/>
      <c r="AW162" s="247"/>
      <c r="AX162" s="183"/>
      <c r="AY162" s="183"/>
      <c r="AZ162" s="183"/>
      <c r="BA162" s="183"/>
      <c r="BB162" s="183"/>
      <c r="BC162" s="183"/>
      <c r="BD162" s="183"/>
      <c r="BE162" s="183"/>
      <c r="BF162" s="183"/>
      <c r="BG162" s="183"/>
      <c r="BH162" s="183"/>
      <c r="BI162" s="183"/>
      <c r="BJ162" s="183"/>
      <c r="BK162" s="183"/>
      <c r="BL162" s="183"/>
      <c r="BM162" s="183"/>
      <c r="BN162" s="183"/>
      <c r="BO162" s="183"/>
      <c r="BP162" s="183"/>
      <c r="BQ162" s="183"/>
    </row>
    <row r="163" spans="2:69" s="157" customFormat="1" ht="14.5">
      <c r="B163" s="177"/>
      <c r="D163" s="192"/>
      <c r="F163" s="192"/>
      <c r="J163" s="182"/>
      <c r="K163" s="182"/>
      <c r="L163" s="182"/>
      <c r="M163" s="182"/>
      <c r="N163" s="182"/>
      <c r="O163" s="182"/>
      <c r="P163" s="182"/>
      <c r="Q163" s="182"/>
      <c r="R163" s="182"/>
      <c r="S163" s="182"/>
      <c r="T163" s="182"/>
      <c r="V163" s="182"/>
      <c r="W163" s="417"/>
      <c r="X163" s="182"/>
      <c r="Y163" s="182"/>
      <c r="Z163" s="418"/>
      <c r="AA163" s="182"/>
      <c r="AB163" s="182"/>
      <c r="AC163" s="418"/>
      <c r="AD163" s="182"/>
      <c r="AE163" s="182"/>
      <c r="AF163" s="417"/>
      <c r="AG163" s="182"/>
      <c r="AH163" s="182"/>
      <c r="AI163" s="182"/>
      <c r="AJ163" s="182"/>
      <c r="AK163" s="182"/>
      <c r="AL163" s="247"/>
      <c r="AM163" s="182"/>
      <c r="AN163" s="419"/>
      <c r="AO163" s="183"/>
      <c r="AP163" s="183"/>
      <c r="AQ163" s="183"/>
      <c r="AR163" s="184"/>
      <c r="AS163" s="183"/>
      <c r="AT163" s="184"/>
      <c r="AU163" s="182"/>
      <c r="AV163" s="182"/>
      <c r="AW163" s="247"/>
      <c r="AX163" s="183"/>
      <c r="AY163" s="183"/>
      <c r="AZ163" s="183"/>
      <c r="BA163" s="183"/>
      <c r="BB163" s="183"/>
      <c r="BC163" s="183"/>
      <c r="BD163" s="183"/>
      <c r="BE163" s="183"/>
      <c r="BF163" s="183"/>
      <c r="BG163" s="183"/>
      <c r="BH163" s="183"/>
      <c r="BI163" s="183"/>
      <c r="BJ163" s="183"/>
      <c r="BK163" s="183"/>
      <c r="BL163" s="183"/>
      <c r="BM163" s="183"/>
      <c r="BN163" s="183"/>
      <c r="BO163" s="183"/>
      <c r="BP163" s="183"/>
      <c r="BQ163" s="183"/>
    </row>
    <row r="164" spans="2:69" s="157" customFormat="1" ht="14.5">
      <c r="B164" s="177"/>
      <c r="D164" s="192"/>
      <c r="F164" s="192"/>
      <c r="J164" s="182"/>
      <c r="K164" s="182"/>
      <c r="L164" s="182"/>
      <c r="M164" s="182"/>
      <c r="N164" s="182"/>
      <c r="O164" s="182"/>
      <c r="P164" s="182"/>
      <c r="Q164" s="182"/>
      <c r="R164" s="182"/>
      <c r="S164" s="182"/>
      <c r="T164" s="182"/>
      <c r="V164" s="182"/>
      <c r="W164" s="417"/>
      <c r="X164" s="182"/>
      <c r="Y164" s="182"/>
      <c r="Z164" s="418"/>
      <c r="AA164" s="182"/>
      <c r="AB164" s="182"/>
      <c r="AC164" s="418"/>
      <c r="AD164" s="182"/>
      <c r="AE164" s="182"/>
      <c r="AF164" s="417"/>
      <c r="AG164" s="182"/>
      <c r="AH164" s="182"/>
      <c r="AI164" s="182"/>
      <c r="AJ164" s="182"/>
      <c r="AK164" s="182"/>
      <c r="AL164" s="247"/>
      <c r="AM164" s="182"/>
      <c r="AN164" s="419"/>
      <c r="AO164" s="183"/>
      <c r="AP164" s="183"/>
      <c r="AQ164" s="183"/>
      <c r="AR164" s="184"/>
      <c r="AS164" s="183"/>
      <c r="AT164" s="184"/>
      <c r="AU164" s="182"/>
      <c r="AV164" s="182"/>
      <c r="AW164" s="247"/>
      <c r="AX164" s="183"/>
      <c r="AY164" s="183"/>
      <c r="AZ164" s="183"/>
      <c r="BA164" s="183"/>
      <c r="BB164" s="183"/>
      <c r="BC164" s="183"/>
      <c r="BD164" s="183"/>
      <c r="BE164" s="183"/>
      <c r="BF164" s="183"/>
      <c r="BG164" s="183"/>
      <c r="BH164" s="183"/>
      <c r="BI164" s="183"/>
      <c r="BJ164" s="183"/>
      <c r="BK164" s="183"/>
      <c r="BL164" s="183"/>
      <c r="BM164" s="183"/>
      <c r="BN164" s="183"/>
      <c r="BO164" s="183"/>
      <c r="BP164" s="183"/>
      <c r="BQ164" s="183"/>
    </row>
    <row r="165" spans="2:69" s="157" customFormat="1" ht="14.5">
      <c r="B165" s="177"/>
      <c r="D165" s="192"/>
      <c r="F165" s="192"/>
      <c r="J165" s="182"/>
      <c r="K165" s="182"/>
      <c r="L165" s="182"/>
      <c r="M165" s="182"/>
      <c r="N165" s="182"/>
      <c r="O165" s="182"/>
      <c r="P165" s="182"/>
      <c r="Q165" s="182"/>
      <c r="R165" s="182"/>
      <c r="S165" s="182"/>
      <c r="T165" s="182"/>
      <c r="V165" s="182"/>
      <c r="W165" s="417"/>
      <c r="X165" s="182"/>
      <c r="Y165" s="182"/>
      <c r="Z165" s="418"/>
      <c r="AA165" s="182"/>
      <c r="AB165" s="182"/>
      <c r="AC165" s="418"/>
      <c r="AD165" s="182"/>
      <c r="AE165" s="182"/>
      <c r="AF165" s="417"/>
      <c r="AG165" s="182"/>
      <c r="AH165" s="182"/>
      <c r="AI165" s="182"/>
      <c r="AJ165" s="182"/>
      <c r="AK165" s="182"/>
      <c r="AL165" s="247"/>
      <c r="AM165" s="182"/>
      <c r="AN165" s="419"/>
      <c r="AO165" s="183"/>
      <c r="AP165" s="183"/>
      <c r="AQ165" s="183"/>
      <c r="AR165" s="184"/>
      <c r="AS165" s="183"/>
      <c r="AT165" s="184"/>
      <c r="AU165" s="182"/>
      <c r="AV165" s="182"/>
      <c r="AW165" s="247"/>
      <c r="AX165" s="183"/>
      <c r="AY165" s="183"/>
      <c r="AZ165" s="183"/>
      <c r="BA165" s="183"/>
      <c r="BB165" s="183"/>
      <c r="BC165" s="183"/>
      <c r="BD165" s="183"/>
      <c r="BE165" s="183"/>
      <c r="BF165" s="183"/>
      <c r="BG165" s="183"/>
      <c r="BH165" s="183"/>
      <c r="BI165" s="183"/>
      <c r="BJ165" s="183"/>
      <c r="BK165" s="183"/>
      <c r="BL165" s="183"/>
      <c r="BM165" s="183"/>
      <c r="BN165" s="183"/>
      <c r="BO165" s="183"/>
      <c r="BP165" s="183"/>
      <c r="BQ165" s="183"/>
    </row>
    <row r="166" spans="2:69" s="157" customFormat="1" ht="14.5">
      <c r="B166" s="177"/>
      <c r="D166" s="192"/>
      <c r="F166" s="192"/>
      <c r="J166" s="182"/>
      <c r="K166" s="182"/>
      <c r="L166" s="182"/>
      <c r="M166" s="182"/>
      <c r="N166" s="182"/>
      <c r="O166" s="182"/>
      <c r="P166" s="182"/>
      <c r="Q166" s="182"/>
      <c r="R166" s="182"/>
      <c r="S166" s="182"/>
      <c r="T166" s="182"/>
      <c r="V166" s="182"/>
      <c r="W166" s="417"/>
      <c r="X166" s="182"/>
      <c r="Y166" s="182"/>
      <c r="Z166" s="418"/>
      <c r="AA166" s="182"/>
      <c r="AB166" s="182"/>
      <c r="AC166" s="418"/>
      <c r="AD166" s="182"/>
      <c r="AE166" s="182"/>
      <c r="AF166" s="417"/>
      <c r="AG166" s="182"/>
      <c r="AH166" s="182"/>
      <c r="AI166" s="182"/>
      <c r="AJ166" s="182"/>
      <c r="AK166" s="182"/>
      <c r="AL166" s="247"/>
      <c r="AM166" s="182"/>
      <c r="AN166" s="419"/>
      <c r="AO166" s="183"/>
      <c r="AP166" s="183"/>
      <c r="AQ166" s="183"/>
      <c r="AR166" s="184"/>
      <c r="AS166" s="183"/>
      <c r="AT166" s="184"/>
      <c r="AU166" s="182"/>
      <c r="AV166" s="182"/>
      <c r="AW166" s="247"/>
      <c r="AX166" s="183"/>
      <c r="AY166" s="183"/>
      <c r="AZ166" s="183"/>
      <c r="BA166" s="183"/>
      <c r="BB166" s="183"/>
      <c r="BC166" s="183"/>
      <c r="BD166" s="183"/>
      <c r="BE166" s="183"/>
      <c r="BF166" s="183"/>
      <c r="BG166" s="183"/>
      <c r="BH166" s="183"/>
      <c r="BI166" s="183"/>
      <c r="BJ166" s="183"/>
      <c r="BK166" s="183"/>
      <c r="BL166" s="183"/>
      <c r="BM166" s="183"/>
      <c r="BN166" s="183"/>
      <c r="BO166" s="183"/>
      <c r="BP166" s="183"/>
      <c r="BQ166" s="183"/>
    </row>
    <row r="167" spans="2:69" s="157" customFormat="1" ht="14.5">
      <c r="B167" s="177"/>
      <c r="D167" s="192"/>
      <c r="F167" s="192"/>
      <c r="J167" s="182"/>
      <c r="K167" s="182"/>
      <c r="L167" s="182"/>
      <c r="M167" s="182"/>
      <c r="N167" s="182"/>
      <c r="O167" s="182"/>
      <c r="P167" s="182"/>
      <c r="Q167" s="182"/>
      <c r="R167" s="182"/>
      <c r="S167" s="182"/>
      <c r="T167" s="182"/>
      <c r="V167" s="182"/>
      <c r="W167" s="417"/>
      <c r="X167" s="182"/>
      <c r="Y167" s="182"/>
      <c r="Z167" s="418"/>
      <c r="AA167" s="182"/>
      <c r="AB167" s="182"/>
      <c r="AC167" s="418"/>
      <c r="AD167" s="182"/>
      <c r="AE167" s="182"/>
      <c r="AF167" s="417"/>
      <c r="AG167" s="182"/>
      <c r="AH167" s="182"/>
      <c r="AI167" s="182"/>
      <c r="AJ167" s="182"/>
      <c r="AK167" s="182"/>
      <c r="AL167" s="247"/>
      <c r="AM167" s="182"/>
      <c r="AN167" s="419"/>
      <c r="AO167" s="183"/>
      <c r="AP167" s="183"/>
      <c r="AQ167" s="183"/>
      <c r="AR167" s="184"/>
      <c r="AS167" s="183"/>
      <c r="AT167" s="184"/>
      <c r="AU167" s="182"/>
      <c r="AV167" s="182"/>
      <c r="AW167" s="247"/>
      <c r="AX167" s="183"/>
      <c r="AY167" s="183"/>
      <c r="AZ167" s="183"/>
      <c r="BA167" s="183"/>
      <c r="BB167" s="183"/>
      <c r="BC167" s="183"/>
      <c r="BD167" s="183"/>
      <c r="BE167" s="183"/>
      <c r="BF167" s="183"/>
      <c r="BG167" s="183"/>
      <c r="BH167" s="183"/>
      <c r="BI167" s="183"/>
      <c r="BJ167" s="183"/>
      <c r="BK167" s="183"/>
      <c r="BL167" s="183"/>
      <c r="BM167" s="183"/>
      <c r="BN167" s="183"/>
      <c r="BO167" s="183"/>
      <c r="BP167" s="183"/>
      <c r="BQ167" s="183"/>
    </row>
    <row r="168" spans="2:69" s="157" customFormat="1" ht="14.5">
      <c r="B168" s="177"/>
      <c r="D168" s="192"/>
      <c r="F168" s="192"/>
      <c r="J168" s="182"/>
      <c r="K168" s="182"/>
      <c r="L168" s="182"/>
      <c r="M168" s="182"/>
      <c r="N168" s="182"/>
      <c r="O168" s="182"/>
      <c r="P168" s="182"/>
      <c r="Q168" s="182"/>
      <c r="R168" s="182"/>
      <c r="S168" s="182"/>
      <c r="T168" s="182"/>
      <c r="V168" s="182"/>
      <c r="W168" s="417"/>
      <c r="X168" s="182"/>
      <c r="Y168" s="182"/>
      <c r="Z168" s="418"/>
      <c r="AA168" s="182"/>
      <c r="AB168" s="182"/>
      <c r="AC168" s="418"/>
      <c r="AD168" s="182"/>
      <c r="AE168" s="182"/>
      <c r="AF168" s="417"/>
      <c r="AG168" s="182"/>
      <c r="AH168" s="182"/>
      <c r="AI168" s="182"/>
      <c r="AJ168" s="182"/>
      <c r="AK168" s="182"/>
      <c r="AL168" s="247"/>
      <c r="AM168" s="182"/>
      <c r="AN168" s="419"/>
      <c r="AO168" s="183"/>
      <c r="AP168" s="183"/>
      <c r="AQ168" s="183"/>
      <c r="AR168" s="184"/>
      <c r="AS168" s="183"/>
      <c r="AT168" s="184"/>
      <c r="AU168" s="182"/>
      <c r="AV168" s="182"/>
      <c r="AW168" s="247"/>
      <c r="AX168" s="183"/>
      <c r="AY168" s="183"/>
      <c r="AZ168" s="183"/>
      <c r="BA168" s="183"/>
      <c r="BB168" s="183"/>
      <c r="BC168" s="183"/>
      <c r="BD168" s="183"/>
      <c r="BE168" s="183"/>
      <c r="BF168" s="183"/>
      <c r="BG168" s="183"/>
      <c r="BH168" s="183"/>
      <c r="BI168" s="183"/>
      <c r="BJ168" s="183"/>
      <c r="BK168" s="183"/>
      <c r="BL168" s="183"/>
      <c r="BM168" s="183"/>
      <c r="BN168" s="183"/>
      <c r="BO168" s="183"/>
      <c r="BP168" s="183"/>
      <c r="BQ168" s="183"/>
    </row>
    <row r="169" spans="2:69" s="157" customFormat="1" ht="14.5">
      <c r="B169" s="177"/>
      <c r="D169" s="192"/>
      <c r="F169" s="192"/>
      <c r="J169" s="182"/>
      <c r="K169" s="182"/>
      <c r="L169" s="182"/>
      <c r="M169" s="182"/>
      <c r="N169" s="182"/>
      <c r="O169" s="182"/>
      <c r="P169" s="182"/>
      <c r="Q169" s="182"/>
      <c r="R169" s="182"/>
      <c r="S169" s="182"/>
      <c r="T169" s="182"/>
      <c r="V169" s="182"/>
      <c r="W169" s="417"/>
      <c r="X169" s="182"/>
      <c r="Y169" s="182"/>
      <c r="Z169" s="418"/>
      <c r="AA169" s="182"/>
      <c r="AB169" s="182"/>
      <c r="AC169" s="418"/>
      <c r="AD169" s="182"/>
      <c r="AE169" s="182"/>
      <c r="AF169" s="417"/>
      <c r="AG169" s="182"/>
      <c r="AH169" s="182"/>
      <c r="AI169" s="182"/>
      <c r="AJ169" s="182"/>
      <c r="AK169" s="182"/>
      <c r="AL169" s="247"/>
      <c r="AM169" s="182"/>
      <c r="AN169" s="419"/>
      <c r="AO169" s="183"/>
      <c r="AP169" s="183"/>
      <c r="AQ169" s="183"/>
      <c r="AR169" s="184"/>
      <c r="AS169" s="183"/>
      <c r="AT169" s="184"/>
      <c r="AU169" s="182"/>
      <c r="AV169" s="182"/>
      <c r="AW169" s="247"/>
      <c r="AX169" s="183"/>
      <c r="AY169" s="183"/>
      <c r="AZ169" s="183"/>
      <c r="BA169" s="183"/>
      <c r="BB169" s="183"/>
      <c r="BC169" s="183"/>
      <c r="BD169" s="183"/>
      <c r="BE169" s="183"/>
      <c r="BF169" s="183"/>
      <c r="BG169" s="183"/>
      <c r="BH169" s="183"/>
      <c r="BI169" s="183"/>
      <c r="BJ169" s="183"/>
      <c r="BK169" s="183"/>
      <c r="BL169" s="183"/>
      <c r="BM169" s="183"/>
      <c r="BN169" s="183"/>
      <c r="BO169" s="183"/>
      <c r="BP169" s="183"/>
      <c r="BQ169" s="183"/>
    </row>
    <row r="170" spans="2:69" s="157" customFormat="1" ht="14.5">
      <c r="B170" s="177"/>
      <c r="D170" s="192"/>
      <c r="F170" s="192"/>
      <c r="J170" s="182"/>
      <c r="K170" s="182"/>
      <c r="L170" s="182"/>
      <c r="M170" s="182"/>
      <c r="N170" s="182"/>
      <c r="O170" s="182"/>
      <c r="P170" s="182"/>
      <c r="Q170" s="182"/>
      <c r="R170" s="182"/>
      <c r="S170" s="182"/>
      <c r="T170" s="182"/>
      <c r="V170" s="182"/>
      <c r="W170" s="417"/>
      <c r="X170" s="182"/>
      <c r="Y170" s="182"/>
      <c r="Z170" s="418"/>
      <c r="AA170" s="182"/>
      <c r="AB170" s="182"/>
      <c r="AC170" s="418"/>
      <c r="AD170" s="182"/>
      <c r="AE170" s="182"/>
      <c r="AF170" s="417"/>
      <c r="AG170" s="182"/>
      <c r="AH170" s="182"/>
      <c r="AI170" s="182"/>
      <c r="AJ170" s="182"/>
      <c r="AK170" s="182"/>
      <c r="AL170" s="247"/>
      <c r="AM170" s="182"/>
      <c r="AN170" s="419"/>
      <c r="AO170" s="183"/>
      <c r="AP170" s="183"/>
      <c r="AQ170" s="183"/>
      <c r="AR170" s="184"/>
      <c r="AS170" s="183"/>
      <c r="AT170" s="184"/>
      <c r="AU170" s="182"/>
      <c r="AV170" s="182"/>
      <c r="AW170" s="247"/>
      <c r="AX170" s="183"/>
      <c r="AY170" s="183"/>
      <c r="AZ170" s="183"/>
      <c r="BA170" s="183"/>
      <c r="BB170" s="183"/>
      <c r="BC170" s="183"/>
      <c r="BD170" s="183"/>
      <c r="BE170" s="183"/>
      <c r="BF170" s="183"/>
      <c r="BG170" s="183"/>
      <c r="BH170" s="183"/>
      <c r="BI170" s="183"/>
      <c r="BJ170" s="183"/>
      <c r="BK170" s="183"/>
      <c r="BL170" s="183"/>
      <c r="BM170" s="183"/>
      <c r="BN170" s="183"/>
      <c r="BO170" s="183"/>
      <c r="BP170" s="183"/>
      <c r="BQ170" s="183"/>
    </row>
    <row r="171" spans="2:69" s="157" customFormat="1" ht="14.5">
      <c r="B171" s="177"/>
      <c r="D171" s="192"/>
      <c r="F171" s="192"/>
      <c r="J171" s="182"/>
      <c r="K171" s="182"/>
      <c r="L171" s="182"/>
      <c r="M171" s="182"/>
      <c r="N171" s="182"/>
      <c r="O171" s="182"/>
      <c r="P171" s="182"/>
      <c r="Q171" s="182"/>
      <c r="R171" s="182"/>
      <c r="S171" s="182"/>
      <c r="T171" s="182"/>
      <c r="V171" s="182"/>
      <c r="W171" s="417"/>
      <c r="X171" s="182"/>
      <c r="Y171" s="182"/>
      <c r="Z171" s="418"/>
      <c r="AA171" s="182"/>
      <c r="AB171" s="182"/>
      <c r="AC171" s="418"/>
      <c r="AD171" s="182"/>
      <c r="AE171" s="182"/>
      <c r="AF171" s="417"/>
      <c r="AG171" s="182"/>
      <c r="AH171" s="182"/>
      <c r="AI171" s="182"/>
      <c r="AJ171" s="182"/>
      <c r="AK171" s="182"/>
      <c r="AL171" s="247"/>
      <c r="AM171" s="182"/>
      <c r="AN171" s="419"/>
      <c r="AO171" s="183"/>
      <c r="AP171" s="183"/>
      <c r="AQ171" s="183"/>
      <c r="AR171" s="184"/>
      <c r="AS171" s="183"/>
      <c r="AT171" s="184"/>
      <c r="AU171" s="182"/>
      <c r="AV171" s="182"/>
      <c r="AW171" s="247"/>
      <c r="AX171" s="183"/>
      <c r="AY171" s="183"/>
      <c r="AZ171" s="183"/>
      <c r="BA171" s="183"/>
      <c r="BB171" s="183"/>
      <c r="BC171" s="183"/>
      <c r="BD171" s="183"/>
      <c r="BE171" s="183"/>
      <c r="BF171" s="183"/>
      <c r="BG171" s="183"/>
      <c r="BH171" s="183"/>
      <c r="BI171" s="183"/>
      <c r="BJ171" s="183"/>
      <c r="BK171" s="183"/>
      <c r="BL171" s="183"/>
      <c r="BM171" s="183"/>
      <c r="BN171" s="183"/>
      <c r="BO171" s="183"/>
      <c r="BP171" s="183"/>
      <c r="BQ171" s="183"/>
    </row>
    <row r="172" spans="2:69" ht="15" customHeight="1"/>
    <row r="173" spans="2:69" ht="15" customHeight="1"/>
    <row r="174" spans="2:69" ht="15" customHeight="1"/>
    <row r="175" spans="2:69" ht="15" customHeight="1"/>
    <row r="176" spans="2:69"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sheetData>
  <sheetProtection algorithmName="SHA-512" hashValue="6jbzsUFYu5Bc5BKWVdUvwptaVXkE5IIIjjY+Kxxe0DPxtz6bk5Gd1RgcTcW5yaOXfbIXtT6FUv2Q2UnPXTl2Hg==" saltValue="Tl3Pcak7X//scZksBLlauw==" spinCount="100000" sheet="1" objects="1" scenarios="1"/>
  <mergeCells count="12">
    <mergeCell ref="AI15:AI16"/>
    <mergeCell ref="L15:M16"/>
    <mergeCell ref="N15:N16"/>
    <mergeCell ref="P15:P16"/>
    <mergeCell ref="Q15:Q16"/>
    <mergeCell ref="R15:R16"/>
    <mergeCell ref="C11:G11"/>
    <mergeCell ref="W15:W16"/>
    <mergeCell ref="Z15:Z16"/>
    <mergeCell ref="AC15:AC16"/>
    <mergeCell ref="AF15:AF16"/>
    <mergeCell ref="C15:F46"/>
  </mergeCells>
  <conditionalFormatting sqref="M17:R46">
    <cfRule type="expression" dxfId="258" priority="23">
      <formula>$J17=0</formula>
    </cfRule>
  </conditionalFormatting>
  <conditionalFormatting sqref="M17:R46">
    <cfRule type="expression" dxfId="257" priority="29">
      <formula>$J17=3</formula>
    </cfRule>
  </conditionalFormatting>
  <conditionalFormatting sqref="M17:R46">
    <cfRule type="expression" dxfId="256" priority="28">
      <formula>$J17=2</formula>
    </cfRule>
  </conditionalFormatting>
  <conditionalFormatting sqref="L17:L46">
    <cfRule type="expression" dxfId="255" priority="1" stopIfTrue="1">
      <formula>K17=8</formula>
    </cfRule>
    <cfRule type="expression" dxfId="254" priority="24" stopIfTrue="1">
      <formula>K17=0</formula>
    </cfRule>
    <cfRule type="expression" dxfId="253" priority="25" stopIfTrue="1">
      <formula>K17=1</formula>
    </cfRule>
    <cfRule type="expression" dxfId="252" priority="26" stopIfTrue="1">
      <formula>K17=2</formula>
    </cfRule>
    <cfRule type="expression" dxfId="251" priority="27" stopIfTrue="1">
      <formula>K17=3</formula>
    </cfRule>
  </conditionalFormatting>
  <conditionalFormatting sqref="W17:W46 Z17:Z46 AC17:AC46 AF17:AF46 AI17:AI46">
    <cfRule type="expression" dxfId="250" priority="20">
      <formula>V17=0</formula>
    </cfRule>
  </conditionalFormatting>
  <conditionalFormatting sqref="W17:W46 Z17:Z46 AC17:AC46 AF17:AF46 AI17:AI46">
    <cfRule type="expression" dxfId="249" priority="22">
      <formula>V17=3</formula>
    </cfRule>
  </conditionalFormatting>
  <conditionalFormatting sqref="W17:W46 Z17:Z46 AC17:AC46 AF17:AF46 AI17:AI46">
    <cfRule type="expression" dxfId="248" priority="21">
      <formula>V17=2</formula>
    </cfRule>
  </conditionalFormatting>
  <conditionalFormatting sqref="W15:W16">
    <cfRule type="expression" dxfId="247" priority="30">
      <formula>W$14=5</formula>
    </cfRule>
    <cfRule type="expression" dxfId="246" priority="31">
      <formula>W$14=0</formula>
    </cfRule>
  </conditionalFormatting>
  <conditionalFormatting sqref="Z15:Z16">
    <cfRule type="expression" dxfId="245" priority="3">
      <formula>Z$14=4</formula>
    </cfRule>
    <cfRule type="expression" dxfId="244" priority="16">
      <formula>Z$14=3</formula>
    </cfRule>
    <cfRule type="expression" dxfId="243" priority="17">
      <formula>Z$14=2</formula>
    </cfRule>
    <cfRule type="expression" dxfId="242" priority="18">
      <formula>Z$14=1</formula>
    </cfRule>
    <cfRule type="expression" dxfId="241" priority="19">
      <formula>Z$14=0</formula>
    </cfRule>
  </conditionalFormatting>
  <conditionalFormatting sqref="AC15:AC16">
    <cfRule type="expression" dxfId="240" priority="12">
      <formula>AC$14=3</formula>
    </cfRule>
    <cfRule type="expression" dxfId="239" priority="13">
      <formula>AC$14=2</formula>
    </cfRule>
    <cfRule type="expression" dxfId="238" priority="14">
      <formula>AC$14=1</formula>
    </cfRule>
    <cfRule type="expression" dxfId="237" priority="15">
      <formula>AC$14=0</formula>
    </cfRule>
  </conditionalFormatting>
  <conditionalFormatting sqref="AF15:AF16">
    <cfRule type="expression" dxfId="236" priority="8">
      <formula>AF$14=3</formula>
    </cfRule>
    <cfRule type="expression" dxfId="235" priority="9">
      <formula>AF$14=2</formula>
    </cfRule>
    <cfRule type="expression" dxfId="234" priority="10">
      <formula>AF$14=1</formula>
    </cfRule>
    <cfRule type="expression" dxfId="233" priority="11">
      <formula>AF$14=0</formula>
    </cfRule>
  </conditionalFormatting>
  <conditionalFormatting sqref="AI15:AI16">
    <cfRule type="expression" dxfId="232" priority="4">
      <formula>AI$14=3</formula>
    </cfRule>
    <cfRule type="expression" dxfId="231" priority="5">
      <formula>AI$14=2</formula>
    </cfRule>
    <cfRule type="expression" dxfId="230" priority="6">
      <formula>AI$14=1</formula>
    </cfRule>
    <cfRule type="expression" dxfId="229" priority="7">
      <formula>AI$14=0</formula>
    </cfRule>
  </conditionalFormatting>
  <pageMargins left="0.55118110236220474" right="0.55118110236220474" top="0.59055118110236227" bottom="0.78740157480314965" header="0.51181102362204722" footer="0.51181102362204722"/>
  <pageSetup paperSize="9" scale="17" orientation="landscape" r:id="rId1"/>
  <headerFooter alignWithMargins="0">
    <oddHeader>&amp;RCity Water Optimization Index: 2020</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450703" r:id="rId4" name="cnt_indicator">
              <controlPr defaultSize="0" autoLine="0" autoPict="0" macro="[0]!UniversalChanger">
                <anchor>
                  <from>
                    <xdr:col>1</xdr:col>
                    <xdr:colOff>12700</xdr:colOff>
                    <xdr:row>1</xdr:row>
                    <xdr:rowOff>533400</xdr:rowOff>
                  </from>
                  <to>
                    <xdr:col>5</xdr:col>
                    <xdr:colOff>742950</xdr:colOff>
                    <xdr:row>1</xdr:row>
                    <xdr:rowOff>749300</xdr:rowOff>
                  </to>
                </anchor>
              </controlPr>
            </control>
          </mc:Choice>
        </mc:AlternateContent>
        <mc:AlternateContent xmlns:mc="http://schemas.openxmlformats.org/markup-compatibility/2006">
          <mc:Choice Requires="x14">
            <control shapeId="14450705" r:id="rId5" name="C_Highlight">
              <controlPr defaultSize="0" autoLine="0" autoPict="0" macro="[0]!UniversalChanger">
                <anchor>
                  <from>
                    <xdr:col>5</xdr:col>
                    <xdr:colOff>1098550</xdr:colOff>
                    <xdr:row>1</xdr:row>
                    <xdr:rowOff>533400</xdr:rowOff>
                  </from>
                  <to>
                    <xdr:col>5</xdr:col>
                    <xdr:colOff>2889250</xdr:colOff>
                    <xdr:row>1</xdr:row>
                    <xdr:rowOff>749300</xdr:rowOff>
                  </to>
                </anchor>
              </controlPr>
            </control>
          </mc:Choice>
        </mc:AlternateContent>
        <mc:AlternateContent xmlns:mc="http://schemas.openxmlformats.org/markup-compatibility/2006">
          <mc:Choice Requires="x14">
            <control shapeId="14450709" r:id="rId6" name="INCOME_FILTER">
              <controlPr defaultSize="0" print="0" autoLine="0" autoPict="0" macro="[0]!UniversalChanger">
                <anchor>
                  <from>
                    <xdr:col>3</xdr:col>
                    <xdr:colOff>2813050</xdr:colOff>
                    <xdr:row>3</xdr:row>
                    <xdr:rowOff>323850</xdr:rowOff>
                  </from>
                  <to>
                    <xdr:col>5</xdr:col>
                    <xdr:colOff>1149350</xdr:colOff>
                    <xdr:row>3</xdr:row>
                    <xdr:rowOff>546100</xdr:rowOff>
                  </to>
                </anchor>
              </controlPr>
            </control>
          </mc:Choice>
        </mc:AlternateContent>
        <mc:AlternateContent xmlns:mc="http://schemas.openxmlformats.org/markup-compatibility/2006">
          <mc:Choice Requires="x14">
            <control shapeId="14450710" r:id="rId7" name="R_FILTER">
              <controlPr defaultSize="0" print="0" autoLine="0" autoPict="0" macro="[0]!UniversalChanger">
                <anchor>
                  <from>
                    <xdr:col>3</xdr:col>
                    <xdr:colOff>641350</xdr:colOff>
                    <xdr:row>3</xdr:row>
                    <xdr:rowOff>317500</xdr:rowOff>
                  </from>
                  <to>
                    <xdr:col>3</xdr:col>
                    <xdr:colOff>2438400</xdr:colOff>
                    <xdr:row>3</xdr:row>
                    <xdr:rowOff>533400</xdr:rowOff>
                  </to>
                </anchor>
              </controlPr>
            </control>
          </mc:Choice>
        </mc:AlternateContent>
        <mc:AlternateContent xmlns:mc="http://schemas.openxmlformats.org/markup-compatibility/2006">
          <mc:Choice Requires="x14">
            <control shapeId="14450711" r:id="rId8" name="L_Weights">
              <controlPr defaultSize="0" print="0" autoLine="0" autoPict="0" macro="[0]!UniversalChanger">
                <anchor>
                  <from>
                    <xdr:col>16</xdr:col>
                    <xdr:colOff>38100</xdr:colOff>
                    <xdr:row>3</xdr:row>
                    <xdr:rowOff>317500</xdr:rowOff>
                  </from>
                  <to>
                    <xdr:col>35</xdr:col>
                    <xdr:colOff>190500</xdr:colOff>
                    <xdr:row>3</xdr:row>
                    <xdr:rowOff>533400</xdr:rowOff>
                  </to>
                </anchor>
              </controlPr>
            </control>
          </mc:Choice>
        </mc:AlternateContent>
        <mc:AlternateContent xmlns:mc="http://schemas.openxmlformats.org/markup-compatibility/2006">
          <mc:Choice Requires="x14">
            <control shapeId="14450712" r:id="rId9" name="POP_DD">
              <controlPr defaultSize="0" print="0" autoLine="0" autoPict="0" macro="[0]!UniversalChanger">
                <anchor>
                  <from>
                    <xdr:col>5</xdr:col>
                    <xdr:colOff>1517650</xdr:colOff>
                    <xdr:row>3</xdr:row>
                    <xdr:rowOff>317500</xdr:rowOff>
                  </from>
                  <to>
                    <xdr:col>6</xdr:col>
                    <xdr:colOff>114300</xdr:colOff>
                    <xdr:row>3</xdr:row>
                    <xdr:rowOff>533400</xdr:rowOff>
                  </to>
                </anchor>
              </controlPr>
            </control>
          </mc:Choice>
        </mc:AlternateContent>
        <mc:AlternateContent xmlns:mc="http://schemas.openxmlformats.org/markup-compatibility/2006">
          <mc:Choice Requires="x14">
            <control shapeId="14450713" r:id="rId10" name="R_HIGHLIGHT">
              <controlPr defaultSize="0" autoLine="0" autoPict="0">
                <anchor>
                  <from>
                    <xdr:col>5</xdr:col>
                    <xdr:colOff>3327400</xdr:colOff>
                    <xdr:row>1</xdr:row>
                    <xdr:rowOff>533400</xdr:rowOff>
                  </from>
                  <to>
                    <xdr:col>15</xdr:col>
                    <xdr:colOff>133350</xdr:colOff>
                    <xdr:row>1</xdr:row>
                    <xdr:rowOff>749300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pageSetUpPr fitToPage="1"/>
  </sheetPr>
  <dimension ref="A1:CK176"/>
  <sheetViews>
    <sheetView showGridLines="0" showRowColHeaders="0" zoomScaleNormal="100" workbookViewId="0">
      <pane ySplit="9" topLeftCell="A10" activePane="bottomLeft" state="frozen"/>
      <selection activeCell="X1" sqref="X1"/>
      <selection pane="bottomLeft"/>
    </sheetView>
  </sheetViews>
  <sheetFormatPr defaultColWidth="5.1796875" defaultRowHeight="0" customHeight="1" zeroHeight="1"/>
  <cols>
    <col min="1" max="1" width="2.7265625" style="157" customWidth="1"/>
    <col min="2" max="2" width="5.453125" style="194" hidden="1" customWidth="1"/>
    <col min="3" max="3" width="67.1796875" style="194" customWidth="1"/>
    <col min="4" max="4" width="1.1796875" style="157" customWidth="1"/>
    <col min="5" max="5" width="0.1796875" style="194" customWidth="1"/>
    <col min="6" max="6" width="9.7265625" style="194" hidden="1" customWidth="1"/>
    <col min="7" max="7" width="10.1796875" style="447" customWidth="1"/>
    <col min="8" max="8" width="6.1796875" style="194" customWidth="1"/>
    <col min="9" max="9" width="6.1796875" style="157" customWidth="1"/>
    <col min="10" max="15" width="6.1796875" customWidth="1"/>
    <col min="16" max="16" width="6.1796875" style="157" customWidth="1"/>
    <col min="17" max="22" width="6.1796875" style="194" customWidth="1"/>
    <col min="23" max="23" width="2.7265625" style="194" customWidth="1"/>
    <col min="24" max="24" width="1.26953125" style="194" customWidth="1"/>
    <col min="25" max="26" width="6.1796875" style="194" customWidth="1"/>
    <col min="27" max="31" width="6.1796875" style="174" hidden="1" customWidth="1"/>
    <col min="32" max="52" width="6.1796875" style="194" hidden="1" customWidth="1"/>
    <col min="53" max="61" width="6.1796875" style="194" customWidth="1"/>
    <col min="62" max="77" width="5.1796875" style="194"/>
    <col min="78" max="78" width="1.7265625" style="194" customWidth="1"/>
    <col min="79" max="79" width="2.26953125" style="194" customWidth="1"/>
    <col min="80" max="16384" width="5.1796875" style="194"/>
  </cols>
  <sheetData>
    <row r="1" spans="1:89" s="132" customFormat="1" ht="22.5" customHeight="1">
      <c r="A1" s="599" t="str">
        <f>uxb_works!$B$92</f>
        <v>Digital Cities Index</v>
      </c>
      <c r="B1" s="599"/>
      <c r="C1" s="599"/>
      <c r="D1" s="599"/>
      <c r="E1" s="599"/>
      <c r="F1" s="599"/>
      <c r="G1" s="599"/>
      <c r="H1" s="599"/>
      <c r="I1" s="599"/>
      <c r="J1" s="599"/>
      <c r="K1" s="599"/>
      <c r="L1" s="599"/>
      <c r="M1" s="599"/>
      <c r="N1" s="599"/>
      <c r="O1" s="599"/>
      <c r="P1" s="599"/>
      <c r="Q1" s="599"/>
      <c r="R1" s="599"/>
      <c r="S1" s="599"/>
      <c r="T1" s="599"/>
      <c r="U1" s="599"/>
      <c r="V1" s="599"/>
      <c r="W1" s="599"/>
      <c r="X1" s="599"/>
      <c r="Y1" s="528"/>
      <c r="Z1" s="528"/>
      <c r="AA1" s="528"/>
      <c r="AB1" s="528"/>
      <c r="AC1" s="528"/>
      <c r="AD1" s="528"/>
      <c r="AE1" s="528"/>
      <c r="AF1" s="528"/>
      <c r="AG1" s="528"/>
      <c r="AH1" s="528"/>
      <c r="AI1" s="528"/>
      <c r="AJ1" s="528"/>
      <c r="AK1" s="528"/>
      <c r="AL1" s="528"/>
      <c r="AM1" s="528"/>
      <c r="AN1" s="528"/>
      <c r="AO1" s="528"/>
      <c r="AP1" s="528"/>
      <c r="AQ1" s="528"/>
      <c r="AR1" s="528"/>
      <c r="AS1" s="528"/>
      <c r="AT1" s="528"/>
      <c r="AU1" s="528"/>
      <c r="AV1" s="528"/>
      <c r="AW1" s="528"/>
      <c r="AX1" s="528"/>
      <c r="AY1" s="528"/>
      <c r="AZ1" s="528"/>
      <c r="BA1" s="528">
        <v>1</v>
      </c>
      <c r="BB1" s="528">
        <v>3</v>
      </c>
      <c r="BC1" s="528"/>
      <c r="BD1" s="528"/>
      <c r="BE1" s="528"/>
      <c r="BF1" s="528"/>
      <c r="BG1" s="528"/>
      <c r="BH1" s="528"/>
      <c r="BI1" s="528"/>
      <c r="BJ1" s="528"/>
      <c r="BK1" s="528"/>
      <c r="BL1" s="528"/>
      <c r="BM1" s="528"/>
      <c r="BN1" s="528"/>
      <c r="BO1" s="528"/>
      <c r="BP1" s="528"/>
      <c r="BQ1" s="528"/>
      <c r="BR1" s="528"/>
      <c r="BS1" s="528"/>
      <c r="BT1" s="528"/>
      <c r="BU1" s="528"/>
      <c r="BV1" s="528"/>
      <c r="BW1" s="528"/>
      <c r="BX1" s="528"/>
      <c r="BY1" s="528"/>
      <c r="BZ1" s="528"/>
      <c r="CA1" s="528"/>
      <c r="CB1" s="528"/>
      <c r="CC1" s="528"/>
      <c r="CD1" s="528"/>
      <c r="CE1" s="528"/>
    </row>
    <row r="2" spans="1:89" s="156" customFormat="1" ht="63" customHeight="1">
      <c r="A2" s="155"/>
      <c r="D2" s="157"/>
      <c r="E2" s="155"/>
      <c r="G2" s="167"/>
      <c r="H2" s="155"/>
      <c r="I2" s="157"/>
      <c r="J2"/>
      <c r="K2"/>
      <c r="L2"/>
      <c r="M2"/>
      <c r="N2"/>
      <c r="O2"/>
      <c r="P2" s="155"/>
      <c r="AA2" s="166"/>
      <c r="AB2" s="166"/>
      <c r="AC2" s="166"/>
      <c r="AD2" s="166"/>
      <c r="AE2" s="166"/>
      <c r="AF2" s="155"/>
      <c r="AG2" s="155"/>
      <c r="AH2" s="155"/>
      <c r="AI2" s="155"/>
      <c r="AJ2" s="155"/>
      <c r="BF2" s="155">
        <v>2</v>
      </c>
      <c r="BG2" s="155">
        <v>0</v>
      </c>
    </row>
    <row r="3" spans="1:89" s="156" customFormat="1" ht="4" hidden="1" customHeight="1">
      <c r="A3" s="155"/>
      <c r="D3" s="157"/>
      <c r="E3" s="155"/>
      <c r="G3" s="167"/>
      <c r="H3" s="155"/>
      <c r="I3" s="157"/>
      <c r="J3"/>
      <c r="K3"/>
      <c r="L3"/>
      <c r="M3"/>
      <c r="N3"/>
      <c r="O3"/>
      <c r="P3" s="155"/>
      <c r="AA3" s="166"/>
      <c r="AB3" s="166"/>
      <c r="AC3" s="166"/>
      <c r="AD3" s="166"/>
      <c r="AE3" s="166"/>
      <c r="AF3" s="155"/>
      <c r="AG3" s="155"/>
      <c r="AH3" s="155"/>
      <c r="AI3" s="155"/>
      <c r="AJ3" s="155"/>
      <c r="BF3" s="155"/>
      <c r="BG3" s="155"/>
    </row>
    <row r="4" spans="1:89" s="157" customFormat="1" ht="50.15" hidden="1" customHeight="1">
      <c r="G4" s="167"/>
      <c r="J4"/>
      <c r="K4"/>
      <c r="L4"/>
      <c r="M4"/>
      <c r="N4"/>
      <c r="O4"/>
      <c r="AA4" s="166"/>
      <c r="AB4" s="166"/>
      <c r="AC4" s="166"/>
      <c r="AD4" s="166"/>
      <c r="AE4" s="166"/>
    </row>
    <row r="5" spans="1:89" s="156" customFormat="1" ht="4" hidden="1" customHeight="1">
      <c r="A5" s="441"/>
      <c r="B5" s="442"/>
      <c r="C5" s="442"/>
      <c r="D5" s="157"/>
      <c r="E5" s="441"/>
      <c r="F5" s="442"/>
      <c r="G5" s="443"/>
      <c r="H5" s="441"/>
      <c r="I5" s="157"/>
      <c r="J5"/>
      <c r="K5"/>
      <c r="L5"/>
      <c r="M5"/>
      <c r="N5"/>
      <c r="O5"/>
      <c r="P5" s="441"/>
      <c r="Q5" s="442"/>
      <c r="R5" s="442"/>
      <c r="S5" s="442"/>
      <c r="T5" s="442"/>
      <c r="U5" s="442"/>
      <c r="V5" s="442"/>
      <c r="AA5" s="166"/>
      <c r="AB5" s="166"/>
      <c r="AC5" s="166"/>
      <c r="AD5" s="166"/>
      <c r="AE5" s="166"/>
      <c r="AF5" s="155"/>
      <c r="AG5" s="155"/>
      <c r="AH5" s="155"/>
      <c r="AI5" s="155"/>
      <c r="AJ5" s="155"/>
    </row>
    <row r="6" spans="1:89" s="197" customFormat="1" ht="15" hidden="1" customHeight="1">
      <c r="A6" s="346" t="str">
        <f>uxb_works!$C$5</f>
        <v>The active weight profile has been changed from its default setting</v>
      </c>
      <c r="B6" s="346"/>
      <c r="C6" s="346"/>
      <c r="D6" s="346"/>
      <c r="E6" s="346"/>
      <c r="F6" s="346"/>
      <c r="G6" s="346"/>
      <c r="H6" s="346"/>
      <c r="I6" s="346"/>
      <c r="J6" s="346"/>
      <c r="K6" s="346"/>
      <c r="L6" s="346"/>
      <c r="M6" s="346"/>
      <c r="N6" s="346"/>
      <c r="O6" s="346"/>
      <c r="P6" s="346"/>
      <c r="Q6" s="346"/>
      <c r="R6" s="346"/>
      <c r="S6" s="346"/>
      <c r="T6" s="346"/>
      <c r="U6" s="346"/>
      <c r="V6" s="346"/>
      <c r="W6" s="346"/>
      <c r="X6" s="34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row>
    <row r="7" spans="1:89" s="197" customFormat="1" ht="19.899999999999999" hidden="1" customHeight="1">
      <c r="A7" s="444"/>
      <c r="B7" s="158"/>
      <c r="C7" s="158"/>
      <c r="D7" s="157"/>
      <c r="E7" s="158"/>
      <c r="F7" s="158"/>
      <c r="G7" s="445"/>
      <c r="H7" s="158"/>
      <c r="I7" s="157"/>
      <c r="J7"/>
      <c r="K7"/>
      <c r="L7"/>
      <c r="M7"/>
      <c r="N7"/>
      <c r="O7"/>
      <c r="P7" s="158"/>
      <c r="Q7" s="158"/>
      <c r="R7" s="158"/>
      <c r="S7" s="158"/>
      <c r="T7" s="158"/>
      <c r="U7" s="158"/>
      <c r="V7" s="158"/>
      <c r="W7" s="157"/>
      <c r="X7" s="157"/>
      <c r="Y7" s="157"/>
      <c r="Z7" s="157"/>
      <c r="AA7" s="166"/>
      <c r="AB7" s="166"/>
      <c r="AC7" s="166"/>
      <c r="AD7" s="166"/>
      <c r="AE7" s="166"/>
      <c r="AF7" s="157"/>
      <c r="AG7" s="157"/>
      <c r="AH7" s="157"/>
      <c r="AI7" s="157"/>
      <c r="AJ7" s="157"/>
      <c r="AK7" s="157"/>
      <c r="AL7" s="157"/>
      <c r="AM7" s="157"/>
      <c r="AN7" s="157"/>
      <c r="AO7" s="157"/>
      <c r="AP7" s="157"/>
      <c r="AQ7" s="157"/>
      <c r="AR7" s="157"/>
    </row>
    <row r="8" spans="1:89" s="197" customFormat="1" ht="19.5" hidden="1" customHeight="1">
      <c r="A8" s="444"/>
      <c r="B8" s="158"/>
      <c r="C8" s="158"/>
      <c r="D8" s="157"/>
      <c r="E8" s="158"/>
      <c r="F8" s="158"/>
      <c r="G8" s="445"/>
      <c r="H8" s="158"/>
      <c r="I8" s="157"/>
      <c r="J8"/>
      <c r="K8"/>
      <c r="L8"/>
      <c r="M8"/>
      <c r="N8"/>
      <c r="O8"/>
      <c r="P8" s="158"/>
      <c r="Q8" s="158"/>
      <c r="R8" s="158"/>
      <c r="S8" s="158"/>
      <c r="T8" s="158"/>
      <c r="U8" s="158"/>
      <c r="V8" s="158"/>
      <c r="W8" s="157"/>
      <c r="X8" s="157"/>
      <c r="Y8" s="157"/>
      <c r="Z8" s="157"/>
      <c r="AA8" s="166"/>
      <c r="AB8" s="166"/>
      <c r="AC8" s="166"/>
      <c r="AD8" s="166"/>
      <c r="AE8" s="166"/>
      <c r="AF8" s="157"/>
      <c r="AG8" s="157"/>
      <c r="AH8" s="157"/>
      <c r="AI8" s="157"/>
      <c r="AJ8" s="157"/>
      <c r="AK8" s="157"/>
      <c r="AL8" s="157"/>
      <c r="AM8" s="157"/>
      <c r="AN8" s="157"/>
      <c r="AO8" s="157"/>
      <c r="AP8" s="157"/>
      <c r="AQ8" s="157"/>
      <c r="AR8" s="157"/>
    </row>
    <row r="9" spans="1:89" s="197" customFormat="1" ht="14.25" hidden="1" customHeight="1">
      <c r="A9" s="444"/>
      <c r="B9" s="158"/>
      <c r="C9" s="158"/>
      <c r="D9" s="157"/>
      <c r="E9" s="158"/>
      <c r="F9" s="158"/>
      <c r="G9" s="445"/>
      <c r="H9" s="158"/>
      <c r="I9" s="157"/>
      <c r="J9"/>
      <c r="K9"/>
      <c r="L9"/>
      <c r="M9"/>
      <c r="N9"/>
      <c r="O9"/>
      <c r="P9" s="158"/>
      <c r="Q9" s="158"/>
      <c r="R9" s="158"/>
      <c r="S9" s="158"/>
      <c r="T9" s="158"/>
      <c r="U9" s="158"/>
      <c r="V9" s="158"/>
      <c r="W9" s="157"/>
      <c r="X9" s="157"/>
      <c r="Y9" s="157"/>
      <c r="Z9" s="157"/>
      <c r="AA9" s="166"/>
      <c r="AB9" s="166"/>
      <c r="AC9" s="166"/>
      <c r="AD9" s="166"/>
      <c r="AE9" s="166"/>
      <c r="AF9" s="157"/>
      <c r="AG9" s="157"/>
      <c r="AH9" s="157"/>
      <c r="AI9" s="157"/>
      <c r="AJ9" s="157"/>
      <c r="AK9" s="157"/>
      <c r="AL9" s="157"/>
      <c r="AM9" s="157"/>
      <c r="AN9" s="157"/>
      <c r="AO9" s="157"/>
      <c r="AP9" s="157"/>
      <c r="AQ9" s="157"/>
      <c r="AR9" s="157"/>
    </row>
    <row r="10" spans="1:89" s="156" customFormat="1" ht="11.25" customHeight="1">
      <c r="A10" s="155"/>
      <c r="B10" s="159"/>
      <c r="C10" s="159"/>
      <c r="D10" s="157"/>
      <c r="E10" s="160"/>
      <c r="F10" s="159"/>
      <c r="G10" s="446"/>
      <c r="H10" s="160"/>
      <c r="I10" s="397"/>
      <c r="J10"/>
      <c r="K10"/>
      <c r="L10"/>
      <c r="M10"/>
      <c r="N10"/>
      <c r="O10"/>
      <c r="P10" s="497"/>
      <c r="Q10" s="498"/>
      <c r="R10" s="498"/>
      <c r="S10" s="498"/>
      <c r="T10" s="498"/>
      <c r="U10" s="498"/>
      <c r="V10" s="498"/>
      <c r="W10" s="498"/>
      <c r="X10" s="498"/>
      <c r="Y10" s="498"/>
      <c r="Z10" s="498"/>
      <c r="AA10" s="499"/>
      <c r="AB10" s="499"/>
      <c r="AC10" s="499"/>
      <c r="AD10" s="499"/>
      <c r="AE10" s="499"/>
      <c r="AF10" s="497"/>
      <c r="AG10" s="497"/>
      <c r="AH10" s="497"/>
      <c r="AI10" s="497"/>
      <c r="AJ10" s="497"/>
      <c r="AK10" s="498"/>
      <c r="AL10" s="498"/>
      <c r="AM10" s="498"/>
      <c r="AN10" s="498"/>
      <c r="AO10" s="498"/>
      <c r="AP10" s="498"/>
      <c r="AQ10" s="498"/>
      <c r="AR10" s="498"/>
      <c r="AS10" s="498"/>
      <c r="AT10" s="498"/>
      <c r="AU10" s="498"/>
      <c r="AV10" s="498"/>
      <c r="AW10" s="498"/>
      <c r="AX10" s="498"/>
      <c r="AY10" s="498"/>
      <c r="AZ10" s="498"/>
      <c r="BA10" s="498"/>
      <c r="BB10" s="498"/>
      <c r="BC10" s="498"/>
      <c r="BD10" s="498"/>
      <c r="BE10" s="498"/>
      <c r="BF10" s="498"/>
      <c r="BG10" s="498"/>
      <c r="BH10" s="498"/>
      <c r="BI10" s="498"/>
      <c r="BJ10" s="498"/>
      <c r="BK10" s="498"/>
      <c r="BL10" s="498"/>
      <c r="BM10" s="498"/>
      <c r="BN10" s="498"/>
      <c r="BO10" s="498"/>
      <c r="BP10" s="498"/>
      <c r="BQ10" s="498"/>
      <c r="BR10" s="498"/>
      <c r="BS10" s="498"/>
      <c r="BT10" s="498"/>
      <c r="BU10" s="498"/>
      <c r="BV10" s="498"/>
      <c r="BW10" s="498"/>
      <c r="BX10" s="498"/>
      <c r="BY10" s="498"/>
      <c r="BZ10" s="498"/>
      <c r="CA10" s="498"/>
    </row>
    <row r="11" spans="1:89" ht="25.5" hidden="1" customHeight="1">
      <c r="F11" s="252"/>
      <c r="I11" s="397"/>
      <c r="P11" s="397"/>
      <c r="Q11" s="397"/>
      <c r="R11" s="397"/>
      <c r="S11" s="500"/>
      <c r="T11" s="500"/>
      <c r="U11" s="500"/>
      <c r="V11" s="500"/>
      <c r="W11" s="500"/>
      <c r="X11" s="500"/>
      <c r="Y11" s="500"/>
      <c r="Z11" s="500"/>
      <c r="AA11" s="501"/>
      <c r="AB11" s="501"/>
      <c r="AC11" s="501"/>
      <c r="AD11" s="501"/>
      <c r="AE11" s="501"/>
      <c r="AF11" s="500"/>
      <c r="AG11" s="500"/>
      <c r="AH11" s="500"/>
      <c r="AI11" s="500"/>
      <c r="AJ11" s="500"/>
      <c r="AK11" s="500"/>
      <c r="AL11" s="500"/>
      <c r="AM11" s="500"/>
      <c r="AN11" s="500"/>
      <c r="AO11" s="500"/>
      <c r="AP11" s="500"/>
      <c r="AQ11" s="500"/>
      <c r="AR11" s="500"/>
      <c r="AS11" s="500"/>
      <c r="AT11" s="500"/>
      <c r="AU11" s="500"/>
      <c r="AV11" s="500"/>
      <c r="AW11" s="500"/>
      <c r="AX11" s="500"/>
      <c r="AY11" s="500"/>
      <c r="AZ11" s="500"/>
      <c r="BA11" s="500"/>
      <c r="BB11" s="500"/>
      <c r="BC11" s="500"/>
      <c r="BD11" s="500"/>
      <c r="BE11" s="500"/>
      <c r="BF11" s="500"/>
      <c r="BG11" s="500"/>
      <c r="BH11" s="500"/>
      <c r="BI11" s="500"/>
      <c r="BJ11" s="500"/>
      <c r="BK11" s="500"/>
      <c r="BL11" s="500"/>
      <c r="BM11" s="500"/>
      <c r="BN11" s="500"/>
      <c r="BO11" s="500"/>
      <c r="BP11" s="500"/>
      <c r="BQ11" s="500"/>
      <c r="BR11" s="500"/>
      <c r="BS11" s="500"/>
      <c r="BT11" s="500"/>
      <c r="BU11" s="500"/>
      <c r="BV11" s="500"/>
      <c r="BW11" s="500"/>
      <c r="BX11" s="500"/>
      <c r="BY11" s="500"/>
      <c r="BZ11" s="500"/>
      <c r="CA11" s="500"/>
    </row>
    <row r="12" spans="1:89" ht="30" customHeight="1">
      <c r="C12" s="1119"/>
      <c r="E12" s="1116" t="str">
        <f>uxb_works!C26</f>
        <v>Amsterdam</v>
      </c>
      <c r="F12" s="1117"/>
      <c r="G12" s="1117"/>
      <c r="H12" s="1118"/>
      <c r="I12" s="397"/>
      <c r="P12" s="397"/>
      <c r="Q12" s="397"/>
      <c r="R12" s="397"/>
      <c r="S12" s="500"/>
      <c r="T12" s="500"/>
      <c r="U12" s="500"/>
      <c r="V12" s="500"/>
      <c r="W12" s="500"/>
      <c r="X12" s="500"/>
      <c r="Y12" s="500"/>
      <c r="Z12" s="500"/>
      <c r="AA12" s="501"/>
      <c r="AB12" s="501"/>
      <c r="AC12" s="501"/>
      <c r="AD12" s="501"/>
      <c r="AE12" s="501"/>
      <c r="AF12" s="500"/>
      <c r="AG12" s="500"/>
      <c r="AH12" s="500"/>
      <c r="AI12" s="500"/>
      <c r="AJ12" s="500"/>
      <c r="AK12" s="500"/>
      <c r="AL12" s="500"/>
      <c r="AM12" s="500"/>
      <c r="AN12" s="500"/>
      <c r="AO12" s="500"/>
      <c r="AP12" s="500"/>
      <c r="AQ12" s="500"/>
      <c r="AR12" s="500"/>
      <c r="AS12" s="500"/>
      <c r="AT12" s="500"/>
      <c r="AU12" s="500"/>
      <c r="AV12" s="500"/>
      <c r="AW12" s="500"/>
      <c r="AX12" s="500"/>
      <c r="AY12" s="500"/>
      <c r="AZ12" s="500"/>
      <c r="BA12" s="500"/>
      <c r="BB12" s="500"/>
      <c r="BC12" s="500"/>
      <c r="BD12" s="500"/>
      <c r="BE12" s="500"/>
      <c r="BF12" s="500"/>
      <c r="BG12" s="500"/>
      <c r="BH12" s="500"/>
      <c r="BI12" s="500"/>
      <c r="BJ12" s="500"/>
      <c r="BK12" s="500"/>
      <c r="BL12" s="500"/>
      <c r="BM12" s="500"/>
      <c r="BN12" s="500"/>
      <c r="BO12" s="500"/>
      <c r="BP12" s="500"/>
      <c r="BQ12" s="500"/>
      <c r="BR12" s="500"/>
      <c r="BS12" s="500"/>
      <c r="BT12" s="500"/>
      <c r="BU12" s="500"/>
      <c r="BV12" s="500"/>
      <c r="BW12" s="500"/>
      <c r="BX12" s="500"/>
      <c r="BY12" s="500"/>
      <c r="BZ12" s="500"/>
      <c r="CA12" s="500"/>
    </row>
    <row r="13" spans="1:89" ht="19.5" customHeight="1">
      <c r="B13" s="194">
        <f ca="1">COUNTIF(B15:B24,"&gt;0")</f>
        <v>5</v>
      </c>
      <c r="C13" s="1120"/>
      <c r="E13" s="496"/>
      <c r="F13" s="495"/>
      <c r="G13" s="512" t="s">
        <v>31</v>
      </c>
      <c r="H13" s="513" t="s">
        <v>35</v>
      </c>
      <c r="I13" s="502"/>
      <c r="P13" s="397"/>
      <c r="Q13" s="397"/>
      <c r="R13" s="397"/>
      <c r="S13" s="500"/>
      <c r="T13" s="500"/>
      <c r="U13" s="500"/>
      <c r="V13" s="500"/>
      <c r="W13" s="500"/>
      <c r="X13" s="500"/>
      <c r="Y13" s="500"/>
      <c r="Z13" s="500"/>
      <c r="AA13" s="501"/>
      <c r="AB13" s="501"/>
      <c r="AC13" s="501"/>
      <c r="AD13" s="501"/>
      <c r="AE13" s="501"/>
      <c r="AF13" s="500"/>
      <c r="AG13" s="500"/>
      <c r="AH13" s="500"/>
      <c r="AI13" s="500"/>
      <c r="AJ13" s="500"/>
      <c r="AK13" s="500"/>
      <c r="AL13" s="500"/>
      <c r="AM13" s="500"/>
      <c r="AN13" s="500"/>
      <c r="AO13" s="500"/>
      <c r="AP13" s="500"/>
      <c r="AQ13" s="500"/>
      <c r="AR13" s="500"/>
      <c r="AS13" s="500"/>
      <c r="AT13" s="500"/>
      <c r="AU13" s="500"/>
      <c r="AV13" s="500"/>
      <c r="AW13" s="500"/>
      <c r="AX13" s="500"/>
      <c r="AY13" s="500"/>
      <c r="AZ13" s="500"/>
      <c r="BA13" s="500"/>
      <c r="BB13" s="500"/>
      <c r="BC13" s="500"/>
      <c r="BD13" s="500"/>
      <c r="BE13" s="500"/>
      <c r="BF13" s="500"/>
      <c r="BG13" s="500"/>
      <c r="BH13" s="500"/>
      <c r="BI13" s="500"/>
      <c r="BJ13" s="500"/>
      <c r="BK13" s="500"/>
      <c r="BL13" s="500"/>
      <c r="BM13" s="500"/>
      <c r="BN13" s="500"/>
      <c r="BO13" s="500"/>
      <c r="BP13" s="500"/>
      <c r="BQ13" s="500"/>
      <c r="BR13" s="500"/>
      <c r="BS13" s="500"/>
      <c r="BT13" s="500"/>
      <c r="BU13" s="500"/>
      <c r="BV13" s="500"/>
      <c r="BW13" s="500"/>
      <c r="BX13" s="500"/>
      <c r="BY13" s="500"/>
      <c r="BZ13" s="500"/>
      <c r="CA13" s="500"/>
      <c r="CC13" s="196"/>
      <c r="CD13" s="196"/>
    </row>
    <row r="14" spans="1:89" s="157" customFormat="1" ht="5.25" customHeight="1">
      <c r="H14" s="508"/>
      <c r="I14" s="397"/>
      <c r="J14"/>
      <c r="K14"/>
      <c r="L14"/>
      <c r="M14"/>
      <c r="N14"/>
      <c r="O14"/>
      <c r="P14" s="397"/>
      <c r="Q14" s="397"/>
      <c r="R14" s="397"/>
      <c r="S14" s="397"/>
      <c r="T14" s="397"/>
      <c r="U14" s="397"/>
      <c r="V14" s="397"/>
      <c r="W14" s="397"/>
      <c r="X14" s="397"/>
      <c r="Y14" s="397"/>
      <c r="Z14" s="397"/>
      <c r="AA14" s="397"/>
      <c r="AB14" s="397"/>
      <c r="AC14" s="397"/>
      <c r="AD14" s="397"/>
      <c r="AE14" s="397"/>
      <c r="AF14" s="397"/>
      <c r="AG14" s="397"/>
      <c r="AH14" s="397"/>
      <c r="AI14" s="397"/>
      <c r="AJ14" s="397"/>
      <c r="AK14" s="397"/>
      <c r="AL14" s="397"/>
      <c r="AM14" s="397"/>
      <c r="AN14" s="397"/>
      <c r="AO14" s="397"/>
      <c r="AP14" s="397"/>
      <c r="AQ14" s="397"/>
      <c r="AR14" s="397"/>
      <c r="AS14" s="397"/>
      <c r="AT14" s="397"/>
      <c r="AU14" s="397"/>
      <c r="AV14" s="397"/>
      <c r="AW14" s="397"/>
      <c r="AX14" s="397"/>
      <c r="AY14" s="397"/>
      <c r="AZ14" s="397"/>
      <c r="BA14" s="397"/>
      <c r="BB14" s="397"/>
      <c r="BC14" s="397"/>
      <c r="BD14" s="397"/>
      <c r="BE14" s="397"/>
      <c r="BF14" s="397"/>
      <c r="BG14" s="397"/>
      <c r="BH14" s="397"/>
      <c r="BI14" s="397"/>
      <c r="BJ14" s="397"/>
      <c r="BK14" s="397"/>
      <c r="BL14" s="397"/>
      <c r="BM14" s="397"/>
      <c r="BN14" s="397"/>
      <c r="BO14" s="397"/>
      <c r="BP14" s="397"/>
      <c r="BQ14" s="397"/>
      <c r="BR14" s="397"/>
      <c r="BS14" s="397"/>
      <c r="BT14" s="397"/>
      <c r="BU14" s="397"/>
      <c r="BV14" s="397"/>
      <c r="BW14" s="397"/>
      <c r="BX14" s="397"/>
      <c r="BY14" s="397"/>
      <c r="BZ14" s="397"/>
      <c r="CA14" s="397"/>
    </row>
    <row r="15" spans="1:89" s="157" customFormat="1" ht="34.9" customHeight="1" thickBot="1">
      <c r="B15" s="157">
        <f>iCP_Chart!CV41</f>
        <v>2</v>
      </c>
      <c r="C15" s="448" t="str">
        <f ca="1">iCP_Chart!CX41</f>
        <v>OVERALL SCORE</v>
      </c>
      <c r="E15" s="449"/>
      <c r="F15" s="450">
        <f ca="1">iCP_Chart!DA41</f>
        <v>3</v>
      </c>
      <c r="G15" s="491">
        <f ca="1">iCP_Chart!CY41</f>
        <v>74.599999999999994</v>
      </c>
      <c r="H15" s="492" t="str">
        <f ca="1">iCP_Chart!CZ41</f>
        <v>2</v>
      </c>
      <c r="I15" s="503"/>
      <c r="J15"/>
      <c r="K15"/>
      <c r="L15"/>
      <c r="M15"/>
      <c r="N15"/>
      <c r="O15"/>
      <c r="P15" s="397"/>
      <c r="Q15" s="397"/>
      <c r="R15" s="397"/>
      <c r="S15" s="397"/>
      <c r="T15" s="397"/>
      <c r="U15" s="397"/>
      <c r="V15" s="397"/>
      <c r="W15" s="397"/>
      <c r="X15" s="397"/>
      <c r="Y15" s="397"/>
      <c r="Z15" s="397"/>
      <c r="AA15" s="499"/>
      <c r="AB15" s="499"/>
      <c r="AC15" s="499"/>
      <c r="AD15" s="499"/>
      <c r="AE15" s="499"/>
      <c r="AF15" s="397"/>
      <c r="AG15" s="397"/>
      <c r="AH15" s="397"/>
      <c r="AI15" s="397"/>
      <c r="AJ15" s="397"/>
      <c r="AK15" s="397"/>
      <c r="AL15" s="397"/>
      <c r="AM15" s="397"/>
      <c r="AN15" s="397"/>
      <c r="AO15" s="397"/>
      <c r="AP15" s="397"/>
      <c r="AQ15" s="397"/>
      <c r="AR15" s="397"/>
      <c r="AS15" s="397"/>
      <c r="AT15" s="397"/>
      <c r="AU15" s="397"/>
      <c r="AV15" s="397"/>
      <c r="AW15" s="397"/>
      <c r="AX15" s="397"/>
      <c r="AY15" s="397"/>
      <c r="AZ15" s="397"/>
      <c r="BA15" s="397"/>
      <c r="BB15" s="397"/>
      <c r="BC15" s="397"/>
      <c r="BD15" s="397"/>
      <c r="BE15" s="397"/>
      <c r="BF15" s="397"/>
      <c r="BG15" s="397"/>
      <c r="BH15" s="397"/>
      <c r="BI15" s="397"/>
      <c r="BJ15" s="397"/>
      <c r="BK15" s="397"/>
      <c r="BL15" s="397"/>
      <c r="BM15" s="397"/>
      <c r="BN15" s="397"/>
      <c r="BO15" s="397"/>
      <c r="BP15" s="397"/>
      <c r="BQ15" s="397"/>
      <c r="BR15" s="397"/>
      <c r="BS15" s="397"/>
      <c r="BT15" s="397"/>
      <c r="BU15" s="397"/>
      <c r="BV15" s="397"/>
      <c r="BW15" s="397"/>
      <c r="BX15" s="397"/>
      <c r="BY15" s="397"/>
      <c r="BZ15" s="397"/>
      <c r="CA15" s="397"/>
      <c r="CC15" s="196"/>
      <c r="CD15" s="196"/>
    </row>
    <row r="16" spans="1:89" s="196" customFormat="1" ht="30" customHeight="1" thickTop="1" thickBot="1">
      <c r="A16" s="195"/>
      <c r="B16" s="157">
        <f ca="1">iCP_Chart!CV42</f>
        <v>1</v>
      </c>
      <c r="C16" s="507" t="str">
        <f ca="1">iCP_Chart!CX42</f>
        <v xml:space="preserve"> 1) CONNECTIVITY</v>
      </c>
      <c r="D16" s="157"/>
      <c r="E16" s="452"/>
      <c r="F16" s="450">
        <f ca="1">iCP_Chart!DA42</f>
        <v>4</v>
      </c>
      <c r="G16" s="509">
        <f ca="1">iCP_Chart!CY42</f>
        <v>77</v>
      </c>
      <c r="H16" s="493" t="str">
        <f ca="1">iCP_Chart!CZ42</f>
        <v>6</v>
      </c>
      <c r="I16" s="503"/>
      <c r="J16"/>
      <c r="K16"/>
      <c r="L16"/>
      <c r="M16"/>
      <c r="N16"/>
      <c r="O16"/>
      <c r="P16" s="505"/>
      <c r="Q16" s="504"/>
      <c r="R16" s="504"/>
      <c r="S16" s="504"/>
      <c r="T16" s="504"/>
      <c r="U16" s="504"/>
      <c r="V16" s="504"/>
      <c r="W16" s="504"/>
      <c r="X16" s="504"/>
      <c r="Y16" s="504"/>
      <c r="Z16" s="504"/>
      <c r="AA16" s="506"/>
      <c r="AB16" s="506"/>
      <c r="AC16" s="506"/>
      <c r="AD16" s="506"/>
      <c r="AE16" s="506"/>
      <c r="AF16" s="504"/>
      <c r="AG16" s="504"/>
      <c r="AH16" s="504"/>
      <c r="AI16" s="504"/>
      <c r="AJ16" s="504"/>
      <c r="AK16" s="504"/>
      <c r="AL16" s="504"/>
      <c r="AM16" s="504"/>
      <c r="AN16" s="504"/>
      <c r="AO16" s="504"/>
      <c r="AP16" s="504"/>
      <c r="AQ16" s="504"/>
      <c r="AR16" s="504"/>
      <c r="AS16" s="504"/>
      <c r="AT16" s="504"/>
      <c r="AU16" s="504"/>
      <c r="AV16" s="504"/>
      <c r="AW16" s="504"/>
      <c r="AX16" s="504"/>
      <c r="AY16" s="504"/>
      <c r="AZ16" s="504"/>
      <c r="BA16" s="504"/>
      <c r="BB16" s="504"/>
      <c r="BC16" s="504"/>
      <c r="BD16" s="504"/>
      <c r="BE16" s="504"/>
      <c r="BF16" s="504"/>
      <c r="BG16" s="504"/>
      <c r="BH16" s="504"/>
      <c r="BI16" s="504"/>
      <c r="BJ16" s="504"/>
      <c r="BK16" s="504"/>
      <c r="BL16" s="504"/>
      <c r="BM16" s="504"/>
      <c r="BN16" s="504"/>
      <c r="BO16" s="504"/>
      <c r="BP16" s="504"/>
      <c r="BQ16" s="504"/>
      <c r="BR16" s="504"/>
      <c r="BS16" s="504"/>
      <c r="BT16" s="504"/>
      <c r="BU16" s="504"/>
      <c r="BV16" s="504"/>
      <c r="BW16" s="504"/>
      <c r="BX16" s="504"/>
      <c r="BY16" s="504"/>
      <c r="BZ16" s="504"/>
      <c r="CA16" s="504"/>
    </row>
    <row r="17" spans="1:79" s="196" customFormat="1" ht="30" customHeight="1" thickTop="1" thickBot="1">
      <c r="A17" s="195"/>
      <c r="B17" s="157">
        <f ca="1">iCP_Chart!CV43</f>
        <v>2</v>
      </c>
      <c r="C17" s="451" t="str">
        <f ca="1">iCP_Chart!CX43</f>
        <v xml:space="preserve"> 2) SERVICES</v>
      </c>
      <c r="D17" s="157"/>
      <c r="E17" s="452"/>
      <c r="F17" s="450">
        <f ca="1">iCP_Chart!DA43</f>
        <v>3</v>
      </c>
      <c r="G17" s="509">
        <f ca="1">iCP_Chart!CY43</f>
        <v>73.2</v>
      </c>
      <c r="H17" s="493" t="str">
        <f ca="1">iCP_Chart!CZ43</f>
        <v>4</v>
      </c>
      <c r="I17" s="503"/>
      <c r="J17"/>
      <c r="K17"/>
      <c r="L17"/>
      <c r="M17"/>
      <c r="N17"/>
      <c r="O17"/>
      <c r="P17" s="505"/>
      <c r="Q17" s="504"/>
      <c r="R17" s="504"/>
      <c r="S17" s="504"/>
      <c r="T17" s="504"/>
      <c r="U17" s="504"/>
      <c r="V17" s="504"/>
      <c r="W17" s="504"/>
      <c r="X17" s="504"/>
      <c r="Y17" s="504"/>
      <c r="Z17" s="504"/>
      <c r="AA17" s="506"/>
      <c r="AB17" s="506"/>
      <c r="AC17" s="506"/>
      <c r="AD17" s="506"/>
      <c r="AE17" s="506"/>
      <c r="AF17" s="504"/>
      <c r="AG17" s="504"/>
      <c r="AH17" s="504"/>
      <c r="AI17" s="504"/>
      <c r="AJ17" s="504"/>
      <c r="AK17" s="504"/>
      <c r="AL17" s="504"/>
      <c r="AM17" s="504"/>
      <c r="AN17" s="504"/>
      <c r="AO17" s="504"/>
      <c r="AP17" s="504"/>
      <c r="AQ17" s="504"/>
      <c r="AR17" s="504"/>
      <c r="AS17" s="504"/>
      <c r="AT17" s="504"/>
      <c r="AU17" s="504"/>
      <c r="AV17" s="504"/>
      <c r="AW17" s="504"/>
      <c r="AX17" s="504"/>
      <c r="AY17" s="504"/>
      <c r="AZ17" s="504"/>
      <c r="BA17" s="504"/>
      <c r="BB17" s="504"/>
      <c r="BC17" s="504"/>
      <c r="BD17" s="504"/>
      <c r="BE17" s="504"/>
      <c r="BF17" s="504"/>
      <c r="BG17" s="504"/>
      <c r="BH17" s="504"/>
      <c r="BI17" s="504"/>
      <c r="BJ17" s="504"/>
      <c r="BK17" s="504"/>
      <c r="BL17" s="504"/>
      <c r="BM17" s="504"/>
      <c r="BN17" s="504"/>
      <c r="BO17" s="504"/>
      <c r="BP17" s="504"/>
      <c r="BQ17" s="504"/>
      <c r="BR17" s="504"/>
      <c r="BS17" s="504"/>
      <c r="BT17" s="504"/>
      <c r="BU17" s="504"/>
      <c r="BV17" s="504"/>
      <c r="BW17" s="504"/>
      <c r="BX17" s="504"/>
      <c r="BY17" s="504"/>
      <c r="BZ17" s="504"/>
      <c r="CA17" s="504"/>
    </row>
    <row r="18" spans="1:79" s="196" customFormat="1" ht="30" customHeight="1" thickTop="1" thickBot="1">
      <c r="A18" s="195"/>
      <c r="B18" s="157">
        <f ca="1">iCP_Chart!CV44</f>
        <v>1</v>
      </c>
      <c r="C18" s="451" t="str">
        <f ca="1">iCP_Chart!CX44</f>
        <v xml:space="preserve"> 3) CULTURE</v>
      </c>
      <c r="D18" s="157"/>
      <c r="E18" s="452"/>
      <c r="F18" s="450">
        <f ca="1">iCP_Chart!DA44</f>
        <v>3</v>
      </c>
      <c r="G18" s="509">
        <f ca="1">iCP_Chart!CY44</f>
        <v>62.1</v>
      </c>
      <c r="H18" s="493" t="str">
        <f ca="1">iCP_Chart!CZ44</f>
        <v>15</v>
      </c>
      <c r="I18" s="503"/>
      <c r="J18"/>
      <c r="K18"/>
      <c r="L18"/>
      <c r="M18"/>
      <c r="N18"/>
      <c r="O18"/>
      <c r="P18" s="505"/>
      <c r="Q18" s="504"/>
      <c r="R18" s="504"/>
      <c r="S18" s="504"/>
      <c r="T18" s="504"/>
      <c r="U18" s="504"/>
      <c r="V18" s="504"/>
      <c r="W18" s="504"/>
      <c r="X18" s="504"/>
      <c r="Y18" s="504"/>
      <c r="Z18" s="504"/>
      <c r="AA18" s="506"/>
      <c r="AB18" s="506"/>
      <c r="AC18" s="506"/>
      <c r="AD18" s="506"/>
      <c r="AE18" s="506"/>
      <c r="AF18" s="504"/>
      <c r="AG18" s="504"/>
      <c r="AH18" s="504"/>
      <c r="AI18" s="504"/>
      <c r="AJ18" s="504"/>
      <c r="AK18" s="504"/>
      <c r="AL18" s="504"/>
      <c r="AM18" s="504"/>
      <c r="AN18" s="504"/>
      <c r="AO18" s="504"/>
      <c r="AP18" s="504"/>
      <c r="AQ18" s="504"/>
      <c r="AR18" s="504"/>
      <c r="AS18" s="504"/>
      <c r="AT18" s="504"/>
      <c r="AU18" s="504"/>
      <c r="AV18" s="504"/>
      <c r="AW18" s="504"/>
      <c r="AX18" s="504"/>
      <c r="AY18" s="504"/>
      <c r="AZ18" s="504"/>
      <c r="BA18" s="504"/>
      <c r="BB18" s="504"/>
      <c r="BC18" s="504"/>
      <c r="BD18" s="504"/>
      <c r="BE18" s="504"/>
      <c r="BF18" s="504"/>
      <c r="BG18" s="504"/>
      <c r="BH18" s="504"/>
      <c r="BI18" s="504"/>
      <c r="BJ18" s="504"/>
      <c r="BK18" s="504"/>
      <c r="BL18" s="504"/>
      <c r="BM18" s="504"/>
      <c r="BN18" s="504"/>
      <c r="BO18" s="504"/>
      <c r="BP18" s="504"/>
      <c r="BQ18" s="504"/>
      <c r="BR18" s="504"/>
      <c r="BS18" s="504"/>
      <c r="BT18" s="504"/>
      <c r="BU18" s="504"/>
      <c r="BV18" s="504"/>
      <c r="BW18" s="504"/>
      <c r="BX18" s="504"/>
      <c r="BY18" s="504"/>
      <c r="BZ18" s="504"/>
      <c r="CA18" s="504"/>
    </row>
    <row r="19" spans="1:79" s="196" customFormat="1" ht="30" customHeight="1" thickTop="1" thickBot="1">
      <c r="A19" s="195"/>
      <c r="B19" s="157">
        <f ca="1">iCP_Chart!CV45</f>
        <v>2</v>
      </c>
      <c r="C19" s="451" t="str">
        <f ca="1">iCP_Chart!CX45</f>
        <v xml:space="preserve"> 4) SUSTAINABILITY</v>
      </c>
      <c r="D19" s="157"/>
      <c r="E19" s="452"/>
      <c r="F19" s="450">
        <f ca="1">iCP_Chart!DA45</f>
        <v>4</v>
      </c>
      <c r="G19" s="509">
        <f ca="1">iCP_Chart!CY45</f>
        <v>85.4</v>
      </c>
      <c r="H19" s="493" t="str">
        <f ca="1">iCP_Chart!CZ45</f>
        <v>6</v>
      </c>
      <c r="I19" s="503"/>
      <c r="J19"/>
      <c r="K19"/>
      <c r="L19"/>
      <c r="M19"/>
      <c r="N19"/>
      <c r="O19"/>
      <c r="P19" s="505"/>
      <c r="Q19" s="504"/>
      <c r="R19" s="504"/>
      <c r="S19" s="504"/>
      <c r="T19" s="504"/>
      <c r="U19" s="504"/>
      <c r="V19" s="504"/>
      <c r="W19" s="504"/>
      <c r="X19" s="504"/>
      <c r="Y19" s="504"/>
      <c r="Z19" s="504"/>
      <c r="AA19" s="506"/>
      <c r="AB19" s="506"/>
      <c r="AC19" s="506"/>
      <c r="AD19" s="506"/>
      <c r="AE19" s="506"/>
      <c r="AF19" s="504"/>
      <c r="AG19" s="504"/>
      <c r="AH19" s="504"/>
      <c r="AI19" s="504"/>
      <c r="AJ19" s="504"/>
      <c r="AK19" s="504"/>
      <c r="AL19" s="504"/>
      <c r="AM19" s="504"/>
      <c r="AN19" s="504"/>
      <c r="AO19" s="504"/>
      <c r="AP19" s="504"/>
      <c r="AQ19" s="504"/>
      <c r="AR19" s="504"/>
      <c r="AS19" s="504"/>
      <c r="AT19" s="504"/>
      <c r="AU19" s="504"/>
      <c r="AV19" s="504"/>
      <c r="AW19" s="504"/>
      <c r="AX19" s="504"/>
      <c r="AY19" s="504"/>
      <c r="AZ19" s="504"/>
      <c r="BA19" s="504"/>
      <c r="BB19" s="504"/>
      <c r="BC19" s="504"/>
      <c r="BD19" s="504"/>
      <c r="BE19" s="504"/>
      <c r="BF19" s="504"/>
      <c r="BG19" s="504"/>
      <c r="BH19" s="504"/>
      <c r="BI19" s="504"/>
      <c r="BJ19" s="504"/>
      <c r="BK19" s="504"/>
      <c r="BL19" s="504"/>
      <c r="BM19" s="504"/>
      <c r="BN19" s="504"/>
      <c r="BO19" s="504"/>
      <c r="BP19" s="504"/>
      <c r="BQ19" s="504"/>
      <c r="BR19" s="504"/>
      <c r="BS19" s="504"/>
      <c r="BT19" s="504"/>
      <c r="BU19" s="504"/>
      <c r="BV19" s="504"/>
      <c r="BW19" s="504"/>
      <c r="BX19" s="504"/>
      <c r="BY19" s="504"/>
      <c r="BZ19" s="504"/>
      <c r="CA19" s="504"/>
    </row>
    <row r="20" spans="1:79" s="196" customFormat="1" ht="30" customHeight="1" thickTop="1" thickBot="1">
      <c r="A20" s="195"/>
      <c r="B20" s="157">
        <f ca="1">iCP_Chart!CV46</f>
        <v>0</v>
      </c>
      <c r="C20" s="451" t="str">
        <f ca="1">iCP_Chart!CX46</f>
        <v/>
      </c>
      <c r="D20" s="157"/>
      <c r="E20" s="452"/>
      <c r="F20" s="450" t="str">
        <f ca="1">iCP_Chart!DA46</f>
        <v/>
      </c>
      <c r="G20" s="509" t="str">
        <f ca="1">iCP_Chart!CY46</f>
        <v/>
      </c>
      <c r="H20" s="493" t="str">
        <f ca="1">iCP_Chart!CZ46</f>
        <v/>
      </c>
      <c r="I20" s="503"/>
      <c r="J20" s="367"/>
      <c r="K20" s="367"/>
      <c r="L20" s="367"/>
      <c r="M20" s="367"/>
      <c r="N20" s="367"/>
      <c r="O20" s="367"/>
      <c r="P20" s="505"/>
      <c r="Q20" s="504"/>
      <c r="R20" s="504"/>
      <c r="S20" s="504"/>
      <c r="T20" s="504"/>
      <c r="U20" s="504"/>
      <c r="V20" s="504"/>
      <c r="W20" s="504"/>
      <c r="X20" s="504"/>
      <c r="Y20" s="504"/>
      <c r="Z20" s="504"/>
      <c r="AA20" s="506"/>
      <c r="AB20" s="506"/>
      <c r="AC20" s="506"/>
      <c r="AD20" s="506"/>
      <c r="AE20" s="506"/>
      <c r="AF20" s="504"/>
      <c r="AG20" s="504"/>
      <c r="AH20" s="504"/>
      <c r="AI20" s="504"/>
      <c r="AJ20" s="504"/>
      <c r="AK20" s="504"/>
      <c r="AL20" s="504"/>
      <c r="AM20" s="504"/>
      <c r="AN20" s="504"/>
      <c r="AO20" s="504"/>
      <c r="AP20" s="504"/>
      <c r="AQ20" s="504"/>
      <c r="AR20" s="504"/>
      <c r="AS20" s="504"/>
      <c r="AT20" s="504"/>
      <c r="AU20" s="504"/>
      <c r="AV20" s="504"/>
      <c r="AW20" s="504"/>
      <c r="AX20" s="504"/>
      <c r="AY20" s="504"/>
      <c r="AZ20" s="504"/>
      <c r="BA20" s="504"/>
      <c r="BB20" s="504"/>
      <c r="BC20" s="504"/>
      <c r="BD20" s="504"/>
      <c r="BE20" s="504"/>
      <c r="BF20" s="504"/>
      <c r="BG20" s="504"/>
      <c r="BH20" s="504"/>
      <c r="BI20" s="504"/>
      <c r="BJ20" s="504"/>
      <c r="BK20" s="504"/>
      <c r="BL20" s="504"/>
      <c r="BM20" s="504"/>
      <c r="BN20" s="504"/>
      <c r="BO20" s="504"/>
      <c r="BP20" s="504"/>
      <c r="BQ20" s="504"/>
      <c r="BR20" s="504"/>
      <c r="BS20" s="504"/>
      <c r="BT20" s="504"/>
      <c r="BU20" s="504"/>
      <c r="BV20" s="504"/>
      <c r="BW20" s="504"/>
      <c r="BX20" s="504"/>
      <c r="BY20" s="504"/>
      <c r="BZ20" s="504"/>
      <c r="CA20" s="504"/>
    </row>
    <row r="21" spans="1:79" s="196" customFormat="1" ht="30" customHeight="1" thickTop="1" thickBot="1">
      <c r="A21" s="195"/>
      <c r="B21" s="157">
        <f ca="1">iCP_Chart!CV47</f>
        <v>0</v>
      </c>
      <c r="C21" s="451" t="str">
        <f ca="1">iCP_Chart!CX47</f>
        <v/>
      </c>
      <c r="D21" s="157"/>
      <c r="E21" s="452"/>
      <c r="F21" s="450" t="str">
        <f ca="1">iCP_Chart!DA47</f>
        <v/>
      </c>
      <c r="G21" s="509" t="str">
        <f ca="1">iCP_Chart!CY47</f>
        <v/>
      </c>
      <c r="H21" s="493" t="str">
        <f ca="1">iCP_Chart!CZ47</f>
        <v/>
      </c>
      <c r="I21" s="503"/>
      <c r="J21" s="367"/>
      <c r="K21" s="367"/>
      <c r="L21" s="367"/>
      <c r="M21" s="367"/>
      <c r="N21" s="367"/>
      <c r="O21" s="367"/>
      <c r="P21" s="505"/>
      <c r="Q21" s="504"/>
      <c r="R21" s="504"/>
      <c r="S21" s="504"/>
      <c r="T21" s="504"/>
      <c r="U21" s="504"/>
      <c r="V21" s="504"/>
      <c r="W21" s="504"/>
      <c r="X21" s="504"/>
      <c r="Y21" s="504"/>
      <c r="Z21" s="504"/>
      <c r="AA21" s="506"/>
      <c r="AB21" s="506"/>
      <c r="AC21" s="506"/>
      <c r="AD21" s="506"/>
      <c r="AE21" s="506"/>
      <c r="AF21" s="504"/>
      <c r="AG21" s="504"/>
      <c r="AH21" s="504"/>
      <c r="AI21" s="504"/>
      <c r="AJ21" s="504"/>
      <c r="AK21" s="504"/>
      <c r="AL21" s="504"/>
      <c r="AM21" s="504"/>
      <c r="AN21" s="504"/>
      <c r="AO21" s="504"/>
      <c r="AP21" s="504"/>
      <c r="AQ21" s="504"/>
      <c r="AR21" s="504"/>
      <c r="AS21" s="504"/>
      <c r="AT21" s="504"/>
      <c r="AU21" s="504"/>
      <c r="AV21" s="504"/>
      <c r="AW21" s="504"/>
      <c r="AX21" s="504"/>
      <c r="AY21" s="504"/>
      <c r="AZ21" s="504"/>
      <c r="BA21" s="504"/>
      <c r="BB21" s="504"/>
      <c r="BC21" s="504"/>
      <c r="BD21" s="504"/>
      <c r="BE21" s="504"/>
      <c r="BF21" s="504"/>
      <c r="BG21" s="504"/>
      <c r="BH21" s="504"/>
      <c r="BI21" s="504"/>
      <c r="BJ21" s="504"/>
      <c r="BK21" s="504"/>
      <c r="BL21" s="504"/>
      <c r="BM21" s="504"/>
      <c r="BN21" s="504"/>
      <c r="BO21" s="504"/>
      <c r="BP21" s="504"/>
      <c r="BQ21" s="504"/>
      <c r="BR21" s="504"/>
      <c r="BS21" s="504"/>
      <c r="BT21" s="504"/>
      <c r="BU21" s="504"/>
      <c r="BV21" s="504"/>
      <c r="BW21" s="504"/>
      <c r="BX21" s="504"/>
      <c r="BY21" s="504"/>
      <c r="BZ21" s="504"/>
      <c r="CA21" s="504"/>
    </row>
    <row r="22" spans="1:79" s="196" customFormat="1" ht="30" customHeight="1" thickTop="1" thickBot="1">
      <c r="A22" s="195"/>
      <c r="B22" s="157">
        <f ca="1">iCP_Chart!CV48</f>
        <v>0</v>
      </c>
      <c r="C22" s="451" t="str">
        <f ca="1">iCP_Chart!CX48</f>
        <v/>
      </c>
      <c r="D22" s="157"/>
      <c r="E22" s="452"/>
      <c r="F22" s="450" t="str">
        <f ca="1">iCP_Chart!DA48</f>
        <v/>
      </c>
      <c r="G22" s="509" t="str">
        <f ca="1">iCP_Chart!CY48</f>
        <v/>
      </c>
      <c r="H22" s="493" t="str">
        <f ca="1">iCP_Chart!CZ48</f>
        <v/>
      </c>
      <c r="I22" s="503"/>
      <c r="J22" s="367"/>
      <c r="K22" s="367"/>
      <c r="L22" s="367"/>
      <c r="M22" s="367"/>
      <c r="N22" s="367"/>
      <c r="O22" s="367"/>
      <c r="P22" s="505"/>
      <c r="Q22" s="504"/>
      <c r="R22" s="504"/>
      <c r="S22" s="504"/>
      <c r="T22" s="504"/>
      <c r="U22" s="504"/>
      <c r="V22" s="504"/>
      <c r="W22" s="504"/>
      <c r="X22" s="504"/>
      <c r="Y22" s="504"/>
      <c r="Z22" s="504"/>
      <c r="AA22" s="506"/>
      <c r="AB22" s="506"/>
      <c r="AC22" s="506"/>
      <c r="AD22" s="506"/>
      <c r="AE22" s="506"/>
      <c r="AF22" s="504"/>
      <c r="AG22" s="504"/>
      <c r="AH22" s="504"/>
      <c r="AI22" s="504"/>
      <c r="AJ22" s="504"/>
      <c r="AK22" s="504"/>
      <c r="AL22" s="504"/>
      <c r="AM22" s="504"/>
      <c r="AN22" s="504"/>
      <c r="AO22" s="504"/>
      <c r="AP22" s="504"/>
      <c r="AQ22" s="504"/>
      <c r="AR22" s="504"/>
      <c r="AS22" s="504"/>
      <c r="AT22" s="504"/>
      <c r="AU22" s="504"/>
      <c r="AV22" s="504"/>
      <c r="AW22" s="504"/>
      <c r="AX22" s="504"/>
      <c r="AY22" s="504"/>
      <c r="AZ22" s="504"/>
      <c r="BA22" s="504"/>
      <c r="BB22" s="504"/>
      <c r="BC22" s="504"/>
      <c r="BD22" s="504"/>
      <c r="BE22" s="504"/>
      <c r="BF22" s="504"/>
      <c r="BG22" s="504"/>
      <c r="BH22" s="504"/>
      <c r="BI22" s="504"/>
      <c r="BJ22" s="504"/>
      <c r="BK22" s="504"/>
      <c r="BL22" s="504"/>
      <c r="BM22" s="504"/>
      <c r="BN22" s="504"/>
      <c r="BO22" s="504"/>
      <c r="BP22" s="504"/>
      <c r="BQ22" s="504"/>
      <c r="BR22" s="504"/>
      <c r="BS22" s="504"/>
      <c r="BT22" s="504"/>
      <c r="BU22" s="504"/>
      <c r="BV22" s="504"/>
      <c r="BW22" s="504"/>
      <c r="BX22" s="504"/>
      <c r="BY22" s="504"/>
      <c r="BZ22" s="504"/>
      <c r="CA22" s="504"/>
    </row>
    <row r="23" spans="1:79" s="196" customFormat="1" ht="30" customHeight="1" thickTop="1" thickBot="1">
      <c r="A23" s="195"/>
      <c r="B23" s="157">
        <f ca="1">iCP_Chart!CV49</f>
        <v>0</v>
      </c>
      <c r="C23" s="453" t="str">
        <f ca="1">iCP_Chart!CX49</f>
        <v/>
      </c>
      <c r="D23" s="157"/>
      <c r="E23" s="454"/>
      <c r="F23" s="450" t="str">
        <f ca="1">iCP_Chart!DA49</f>
        <v/>
      </c>
      <c r="G23" s="510" t="str">
        <f ca="1">iCP_Chart!CY49</f>
        <v/>
      </c>
      <c r="H23" s="494" t="str">
        <f ca="1">iCP_Chart!CZ49</f>
        <v/>
      </c>
      <c r="I23" s="397"/>
      <c r="J23"/>
      <c r="K23"/>
      <c r="L23"/>
      <c r="M23"/>
      <c r="N23"/>
      <c r="O23"/>
      <c r="P23" s="505"/>
      <c r="Q23" s="504"/>
      <c r="R23" s="504"/>
      <c r="S23" s="504"/>
      <c r="T23" s="504"/>
      <c r="U23" s="504"/>
      <c r="V23" s="504"/>
      <c r="W23" s="504"/>
      <c r="X23" s="504"/>
      <c r="Y23" s="504"/>
      <c r="Z23" s="504"/>
      <c r="AA23" s="506"/>
      <c r="AB23" s="506"/>
      <c r="AC23" s="506"/>
      <c r="AD23" s="506"/>
      <c r="AE23" s="506"/>
      <c r="AF23" s="504"/>
      <c r="AG23" s="504"/>
      <c r="AH23" s="504"/>
      <c r="AI23" s="504"/>
      <c r="AJ23" s="504"/>
      <c r="AK23" s="504"/>
      <c r="AL23" s="504"/>
      <c r="AM23" s="504"/>
      <c r="AN23" s="504"/>
      <c r="AO23" s="504"/>
      <c r="AP23" s="504"/>
      <c r="AQ23" s="504"/>
      <c r="AR23" s="504"/>
      <c r="AS23" s="504"/>
      <c r="AT23" s="504"/>
      <c r="AU23" s="504"/>
      <c r="AV23" s="504"/>
      <c r="AW23" s="504"/>
      <c r="AX23" s="504"/>
      <c r="AY23" s="504"/>
      <c r="AZ23" s="504"/>
      <c r="BA23" s="504"/>
      <c r="BB23" s="504"/>
      <c r="BC23" s="504"/>
      <c r="BD23" s="504"/>
      <c r="BE23" s="504"/>
      <c r="BF23" s="504"/>
      <c r="BG23" s="504"/>
      <c r="BH23" s="504"/>
      <c r="BI23" s="504"/>
      <c r="BJ23" s="504"/>
      <c r="BK23" s="504"/>
      <c r="BL23" s="504"/>
      <c r="BM23" s="504"/>
      <c r="BN23" s="504"/>
      <c r="BO23" s="504"/>
      <c r="BP23" s="504"/>
      <c r="BQ23" s="504"/>
      <c r="BR23" s="504"/>
      <c r="BS23" s="504"/>
      <c r="BT23" s="504"/>
      <c r="BU23" s="504"/>
      <c r="BV23" s="504"/>
      <c r="BW23" s="504"/>
      <c r="BX23" s="504"/>
      <c r="BY23" s="504"/>
      <c r="BZ23" s="504"/>
      <c r="CA23" s="504"/>
    </row>
    <row r="24" spans="1:79" s="196" customFormat="1" ht="30" customHeight="1" thickTop="1" thickBot="1">
      <c r="A24" s="195"/>
      <c r="B24" s="157">
        <f ca="1">iCP_Chart!CV50</f>
        <v>0</v>
      </c>
      <c r="C24" s="453" t="str">
        <f ca="1">iCP_Chart!CX50</f>
        <v/>
      </c>
      <c r="D24" s="157"/>
      <c r="E24" s="454"/>
      <c r="F24" s="450" t="str">
        <f ca="1">iCP_Chart!DA50</f>
        <v/>
      </c>
      <c r="G24" s="510" t="str">
        <f ca="1">iCP_Chart!CY50</f>
        <v/>
      </c>
      <c r="H24" s="494" t="str">
        <f ca="1">iCP_Chart!CZ50</f>
        <v/>
      </c>
      <c r="I24" s="397"/>
      <c r="J24"/>
      <c r="K24"/>
      <c r="L24"/>
      <c r="M24"/>
      <c r="N24"/>
      <c r="O24"/>
      <c r="P24" s="505"/>
      <c r="Q24" s="504"/>
      <c r="R24" s="504"/>
      <c r="S24" s="504"/>
      <c r="T24" s="504"/>
      <c r="U24" s="504"/>
      <c r="V24" s="504"/>
      <c r="W24" s="504"/>
      <c r="X24" s="504"/>
      <c r="Y24" s="504"/>
      <c r="Z24" s="504"/>
      <c r="AA24" s="506"/>
      <c r="AB24" s="506"/>
      <c r="AC24" s="506"/>
      <c r="AD24" s="506"/>
      <c r="AE24" s="506"/>
      <c r="AF24" s="504"/>
      <c r="AG24" s="504"/>
      <c r="AH24" s="504"/>
      <c r="AI24" s="504"/>
      <c r="AJ24" s="504"/>
      <c r="AK24" s="504"/>
      <c r="AL24" s="504"/>
      <c r="AM24" s="504"/>
      <c r="AN24" s="504"/>
      <c r="AO24" s="504"/>
      <c r="AP24" s="504"/>
      <c r="AQ24" s="504"/>
      <c r="AR24" s="504"/>
      <c r="AS24" s="504"/>
      <c r="AT24" s="504"/>
      <c r="AU24" s="504"/>
      <c r="AV24" s="504"/>
      <c r="AW24" s="504"/>
      <c r="AX24" s="504"/>
      <c r="AY24" s="504"/>
      <c r="AZ24" s="504"/>
      <c r="BA24" s="504"/>
      <c r="BB24" s="504"/>
      <c r="BC24" s="504"/>
      <c r="BD24" s="504"/>
      <c r="BE24" s="504"/>
      <c r="BF24" s="504"/>
      <c r="BG24" s="504"/>
      <c r="BH24" s="504"/>
      <c r="BI24" s="504"/>
      <c r="BJ24" s="504"/>
      <c r="BK24" s="504"/>
      <c r="BL24" s="504"/>
      <c r="BM24" s="504"/>
      <c r="BN24" s="504"/>
      <c r="BO24" s="504"/>
      <c r="BP24" s="504"/>
      <c r="BQ24" s="504"/>
      <c r="BR24" s="504"/>
      <c r="BS24" s="504"/>
      <c r="BT24" s="504"/>
      <c r="BU24" s="504"/>
      <c r="BV24" s="504"/>
      <c r="BW24" s="504"/>
      <c r="BX24" s="504"/>
      <c r="BY24" s="504"/>
      <c r="BZ24" s="504"/>
      <c r="CA24" s="504"/>
    </row>
    <row r="25" spans="1:79" s="157" customFormat="1" ht="30" customHeight="1" thickTop="1">
      <c r="G25" s="511"/>
      <c r="H25" s="508"/>
      <c r="I25" s="397"/>
      <c r="J25"/>
      <c r="K25"/>
      <c r="L25"/>
      <c r="M25"/>
      <c r="N25"/>
      <c r="O25"/>
      <c r="P25" s="397"/>
      <c r="Q25" s="397"/>
      <c r="R25" s="397"/>
      <c r="S25" s="397"/>
      <c r="T25" s="397"/>
      <c r="U25" s="397"/>
      <c r="V25" s="397"/>
      <c r="W25" s="397"/>
      <c r="X25" s="397"/>
      <c r="Y25" s="397"/>
      <c r="Z25" s="397"/>
      <c r="AA25" s="397"/>
      <c r="AB25" s="397"/>
      <c r="AC25" s="397"/>
      <c r="AD25" s="397"/>
      <c r="AE25" s="397"/>
      <c r="AF25" s="397"/>
      <c r="AG25" s="397"/>
      <c r="AH25" s="397"/>
      <c r="AI25" s="397"/>
      <c r="AJ25" s="397"/>
      <c r="AK25" s="397"/>
      <c r="AL25" s="397"/>
      <c r="AM25" s="397"/>
      <c r="AN25" s="397"/>
      <c r="AO25" s="397"/>
      <c r="AP25" s="397"/>
      <c r="AQ25" s="397"/>
      <c r="AR25" s="397"/>
      <c r="AS25" s="397"/>
      <c r="AT25" s="397"/>
      <c r="AU25" s="397"/>
      <c r="AV25" s="397"/>
      <c r="AW25" s="397"/>
      <c r="AX25" s="397"/>
      <c r="AY25" s="397"/>
      <c r="AZ25" s="397"/>
      <c r="BA25" s="397"/>
      <c r="BB25" s="397"/>
      <c r="BC25" s="397"/>
      <c r="BD25" s="397"/>
      <c r="BE25" s="397"/>
      <c r="BF25" s="397"/>
      <c r="BG25" s="397"/>
      <c r="BH25" s="397"/>
      <c r="BI25" s="397"/>
      <c r="BJ25" s="397"/>
      <c r="BK25" s="397"/>
      <c r="BL25" s="397"/>
      <c r="BM25" s="397"/>
      <c r="BN25" s="397"/>
      <c r="BO25" s="397"/>
      <c r="BP25" s="397"/>
      <c r="BQ25" s="397"/>
      <c r="BR25" s="397"/>
      <c r="BS25" s="397"/>
      <c r="BT25" s="397"/>
      <c r="BU25" s="397"/>
      <c r="BV25" s="397"/>
      <c r="BW25" s="397"/>
      <c r="BX25" s="397"/>
      <c r="BY25" s="397"/>
      <c r="BZ25" s="397"/>
      <c r="CA25" s="397"/>
    </row>
    <row r="26" spans="1:79" s="157" customFormat="1" ht="30" customHeight="1">
      <c r="G26" s="411"/>
      <c r="H26" s="508"/>
      <c r="I26" s="397"/>
      <c r="J26"/>
      <c r="K26"/>
      <c r="L26"/>
      <c r="M26"/>
      <c r="N26"/>
      <c r="O26"/>
      <c r="P26" s="397"/>
      <c r="Q26" s="397"/>
      <c r="R26" s="397"/>
      <c r="S26" s="397"/>
      <c r="T26" s="397"/>
      <c r="U26" s="397"/>
      <c r="V26" s="397"/>
      <c r="W26" s="397"/>
      <c r="X26" s="397"/>
      <c r="Y26" s="397"/>
      <c r="Z26" s="397"/>
      <c r="AA26" s="397"/>
      <c r="AB26" s="397"/>
      <c r="AC26" s="397"/>
      <c r="AD26" s="397"/>
      <c r="AE26" s="397"/>
      <c r="AF26" s="397"/>
      <c r="AG26" s="397"/>
      <c r="AH26" s="397"/>
      <c r="AI26" s="397"/>
      <c r="AJ26" s="397"/>
      <c r="AK26" s="397"/>
      <c r="AL26" s="397"/>
      <c r="AM26" s="397"/>
      <c r="AN26" s="397"/>
      <c r="AO26" s="397"/>
      <c r="AP26" s="397"/>
      <c r="AQ26" s="397"/>
      <c r="AR26" s="397"/>
      <c r="AS26" s="397"/>
      <c r="AT26" s="397"/>
      <c r="AU26" s="397"/>
      <c r="AV26" s="397"/>
      <c r="AW26" s="397"/>
      <c r="AX26" s="397"/>
      <c r="AY26" s="397"/>
      <c r="AZ26" s="397"/>
      <c r="BA26" s="397"/>
      <c r="BB26" s="397"/>
      <c r="BC26" s="397"/>
      <c r="BD26" s="397"/>
      <c r="BE26" s="397"/>
      <c r="BF26" s="397"/>
      <c r="BG26" s="397"/>
      <c r="BH26" s="397"/>
      <c r="BI26" s="397"/>
      <c r="BJ26" s="397"/>
      <c r="BK26" s="397"/>
      <c r="BL26" s="397"/>
      <c r="BM26" s="397"/>
      <c r="BN26" s="397"/>
      <c r="BO26" s="397"/>
      <c r="BP26" s="397"/>
      <c r="BQ26" s="397"/>
      <c r="BR26" s="397"/>
      <c r="BS26" s="397"/>
      <c r="BT26" s="397"/>
      <c r="BU26" s="397"/>
      <c r="BV26" s="397"/>
      <c r="BW26" s="397"/>
      <c r="BX26" s="397"/>
      <c r="BY26" s="397"/>
      <c r="BZ26" s="397"/>
      <c r="CA26" s="397"/>
    </row>
    <row r="27" spans="1:79" s="157" customFormat="1" ht="14.5">
      <c r="G27" s="411"/>
      <c r="H27" s="508"/>
      <c r="I27" s="397"/>
      <c r="J27"/>
      <c r="K27"/>
      <c r="L27"/>
      <c r="M27"/>
      <c r="N27"/>
      <c r="O27"/>
      <c r="P27" s="397"/>
      <c r="Q27" s="397"/>
      <c r="R27" s="397"/>
      <c r="S27" s="397"/>
      <c r="T27" s="397"/>
      <c r="U27" s="397"/>
      <c r="V27" s="397"/>
      <c r="W27" s="397"/>
      <c r="X27" s="397"/>
      <c r="Y27" s="397"/>
      <c r="Z27" s="397"/>
      <c r="AA27" s="397"/>
      <c r="AB27" s="397"/>
      <c r="AC27" s="397"/>
      <c r="AD27" s="397"/>
      <c r="AE27" s="397"/>
      <c r="AF27" s="397"/>
      <c r="AG27" s="397"/>
      <c r="AH27" s="397"/>
      <c r="AI27" s="397"/>
      <c r="AJ27" s="397"/>
      <c r="AK27" s="397"/>
      <c r="AL27" s="397"/>
      <c r="AM27" s="397"/>
      <c r="AN27" s="397"/>
      <c r="AO27" s="397"/>
      <c r="AP27" s="397"/>
      <c r="AQ27" s="397"/>
      <c r="AR27" s="397"/>
      <c r="AS27" s="397"/>
      <c r="AT27" s="397"/>
      <c r="AU27" s="397"/>
      <c r="AV27" s="397"/>
      <c r="AW27" s="397"/>
      <c r="AX27" s="397"/>
      <c r="AY27" s="397"/>
      <c r="AZ27" s="397"/>
      <c r="BA27" s="397"/>
      <c r="BB27" s="397"/>
      <c r="BC27" s="397"/>
      <c r="BD27" s="397"/>
      <c r="BE27" s="397"/>
      <c r="BF27" s="397"/>
      <c r="BG27" s="397"/>
      <c r="BH27" s="397"/>
      <c r="BI27" s="397"/>
      <c r="BJ27" s="397"/>
      <c r="BK27" s="397"/>
      <c r="BL27" s="397"/>
      <c r="BM27" s="397"/>
      <c r="BN27" s="397"/>
      <c r="BO27" s="397"/>
      <c r="BP27" s="397"/>
      <c r="BQ27" s="397"/>
      <c r="BR27" s="397"/>
      <c r="BS27" s="397"/>
      <c r="BT27" s="397"/>
      <c r="BU27" s="397"/>
      <c r="BV27" s="397"/>
      <c r="BW27" s="397"/>
      <c r="BX27" s="397"/>
      <c r="BY27" s="397"/>
      <c r="BZ27" s="397"/>
      <c r="CA27" s="397"/>
    </row>
    <row r="28" spans="1:79" s="157" customFormat="1" ht="14.5">
      <c r="G28" s="411"/>
      <c r="H28" s="508"/>
      <c r="I28" s="397"/>
      <c r="J28"/>
      <c r="K28"/>
      <c r="L28"/>
      <c r="M28"/>
      <c r="N28"/>
      <c r="O28"/>
      <c r="P28" s="397"/>
      <c r="Q28" s="397"/>
      <c r="R28" s="397"/>
      <c r="S28" s="397"/>
      <c r="T28" s="397"/>
      <c r="U28" s="397"/>
      <c r="V28" s="397"/>
      <c r="W28" s="397"/>
      <c r="X28" s="397"/>
      <c r="Y28" s="397"/>
      <c r="Z28" s="397"/>
      <c r="AA28" s="397"/>
      <c r="AB28" s="397"/>
      <c r="AC28" s="397"/>
      <c r="AD28" s="397"/>
      <c r="AE28" s="397"/>
      <c r="AF28" s="397"/>
      <c r="AG28" s="397"/>
      <c r="AH28" s="397"/>
      <c r="AI28" s="397"/>
      <c r="AJ28" s="397"/>
      <c r="AK28" s="397"/>
      <c r="AL28" s="397"/>
      <c r="AM28" s="397"/>
      <c r="AN28" s="397"/>
      <c r="AO28" s="397"/>
      <c r="AP28" s="397"/>
      <c r="AQ28" s="397"/>
      <c r="AR28" s="397"/>
      <c r="AS28" s="397"/>
      <c r="AT28" s="397"/>
      <c r="AU28" s="397"/>
      <c r="AV28" s="397"/>
      <c r="AW28" s="397"/>
      <c r="AX28" s="397"/>
      <c r="AY28" s="397"/>
      <c r="AZ28" s="397"/>
      <c r="BA28" s="397"/>
      <c r="BB28" s="397"/>
      <c r="BC28" s="397"/>
      <c r="BD28" s="397"/>
      <c r="BE28" s="397"/>
      <c r="BF28" s="397"/>
      <c r="BG28" s="397"/>
      <c r="BH28" s="397"/>
      <c r="BI28" s="397"/>
      <c r="BJ28" s="397"/>
      <c r="BK28" s="397"/>
      <c r="BL28" s="397"/>
      <c r="BM28" s="397"/>
      <c r="BN28" s="397"/>
      <c r="BO28" s="397"/>
      <c r="BP28" s="397"/>
      <c r="BQ28" s="397"/>
      <c r="BR28" s="397"/>
      <c r="BS28" s="397"/>
      <c r="BT28" s="397"/>
      <c r="BU28" s="397"/>
      <c r="BV28" s="397"/>
      <c r="BW28" s="397"/>
      <c r="BX28" s="397"/>
      <c r="BY28" s="397"/>
      <c r="BZ28" s="397"/>
      <c r="CA28" s="397"/>
    </row>
    <row r="29" spans="1:79" s="157" customFormat="1" ht="14.5">
      <c r="G29" s="411"/>
      <c r="J29"/>
      <c r="K29"/>
      <c r="L29"/>
      <c r="M29"/>
      <c r="N29"/>
      <c r="O29"/>
    </row>
    <row r="30" spans="1:79" s="157" customFormat="1" ht="14.5">
      <c r="G30" s="411"/>
      <c r="J30"/>
      <c r="K30"/>
      <c r="L30"/>
      <c r="M30"/>
      <c r="N30"/>
      <c r="O30"/>
    </row>
    <row r="31" spans="1:79" s="157" customFormat="1" ht="14.5" hidden="1">
      <c r="G31" s="411"/>
      <c r="J31"/>
      <c r="K31"/>
      <c r="L31"/>
      <c r="M31"/>
      <c r="N31"/>
      <c r="O31"/>
    </row>
    <row r="32" spans="1:79" s="157" customFormat="1" ht="14.5" hidden="1">
      <c r="G32" s="411"/>
      <c r="J32"/>
      <c r="K32"/>
      <c r="L32"/>
      <c r="M32"/>
      <c r="N32"/>
      <c r="O32"/>
    </row>
    <row r="33" spans="7:15" s="157" customFormat="1" ht="14.5" hidden="1">
      <c r="G33" s="411"/>
      <c r="J33"/>
      <c r="K33"/>
      <c r="L33"/>
      <c r="M33"/>
      <c r="N33"/>
      <c r="O33"/>
    </row>
    <row r="34" spans="7:15" s="157" customFormat="1" ht="14.5" hidden="1">
      <c r="G34" s="411"/>
      <c r="J34"/>
      <c r="K34"/>
      <c r="L34"/>
      <c r="M34"/>
      <c r="N34"/>
      <c r="O34"/>
    </row>
    <row r="35" spans="7:15" s="157" customFormat="1" ht="14.5" hidden="1">
      <c r="G35" s="411"/>
      <c r="J35"/>
      <c r="K35"/>
      <c r="L35"/>
      <c r="M35"/>
      <c r="N35"/>
      <c r="O35"/>
    </row>
    <row r="36" spans="7:15" s="157" customFormat="1" ht="14.5" hidden="1">
      <c r="G36" s="411"/>
      <c r="J36"/>
      <c r="K36"/>
      <c r="L36"/>
      <c r="M36"/>
      <c r="N36"/>
      <c r="O36"/>
    </row>
    <row r="37" spans="7:15" s="157" customFormat="1" ht="14.5" hidden="1">
      <c r="G37" s="411"/>
      <c r="J37"/>
      <c r="K37"/>
      <c r="L37"/>
      <c r="M37"/>
      <c r="N37"/>
      <c r="O37"/>
    </row>
    <row r="38" spans="7:15" s="157" customFormat="1" ht="14.5" hidden="1">
      <c r="G38" s="411"/>
      <c r="J38"/>
      <c r="K38"/>
      <c r="L38"/>
      <c r="M38"/>
      <c r="N38"/>
      <c r="O38"/>
    </row>
    <row r="39" spans="7:15" s="157" customFormat="1" ht="14.5" hidden="1">
      <c r="G39" s="411"/>
      <c r="J39"/>
      <c r="K39"/>
      <c r="L39"/>
      <c r="M39"/>
      <c r="N39"/>
      <c r="O39"/>
    </row>
    <row r="40" spans="7:15" s="157" customFormat="1" ht="14.5" hidden="1">
      <c r="G40" s="411"/>
      <c r="J40"/>
      <c r="K40"/>
      <c r="L40"/>
      <c r="M40"/>
      <c r="N40"/>
      <c r="O40"/>
    </row>
    <row r="41" spans="7:15" s="157" customFormat="1" ht="14.5" hidden="1">
      <c r="G41" s="411"/>
      <c r="J41"/>
      <c r="K41"/>
      <c r="L41"/>
      <c r="M41"/>
      <c r="N41"/>
      <c r="O41"/>
    </row>
    <row r="42" spans="7:15" s="157" customFormat="1" ht="14.5" hidden="1">
      <c r="G42" s="411"/>
      <c r="J42"/>
      <c r="K42"/>
      <c r="L42"/>
      <c r="M42"/>
      <c r="N42"/>
      <c r="O42"/>
    </row>
    <row r="43" spans="7:15" s="157" customFormat="1" ht="14.5" hidden="1">
      <c r="G43" s="411"/>
      <c r="J43"/>
      <c r="K43"/>
      <c r="L43"/>
      <c r="M43"/>
      <c r="N43"/>
      <c r="O43"/>
    </row>
    <row r="44" spans="7:15" s="157" customFormat="1" ht="14.5" hidden="1">
      <c r="G44" s="411"/>
      <c r="J44"/>
      <c r="K44"/>
      <c r="L44"/>
      <c r="M44"/>
      <c r="N44"/>
      <c r="O44"/>
    </row>
    <row r="45" spans="7:15" s="157" customFormat="1" ht="14.5" hidden="1">
      <c r="G45" s="411"/>
      <c r="J45"/>
      <c r="K45"/>
      <c r="L45"/>
      <c r="M45"/>
      <c r="N45"/>
      <c r="O45"/>
    </row>
    <row r="46" spans="7:15" s="157" customFormat="1" ht="14.5" hidden="1">
      <c r="G46" s="411"/>
      <c r="J46"/>
      <c r="K46"/>
      <c r="L46"/>
      <c r="M46"/>
      <c r="N46"/>
      <c r="O46"/>
    </row>
    <row r="47" spans="7:15" s="157" customFormat="1" ht="14.5" hidden="1">
      <c r="G47" s="411"/>
      <c r="J47"/>
      <c r="K47"/>
      <c r="L47"/>
      <c r="M47"/>
      <c r="N47"/>
      <c r="O47"/>
    </row>
    <row r="48" spans="7:15" s="157" customFormat="1" ht="14.5" hidden="1">
      <c r="G48" s="411"/>
      <c r="J48"/>
      <c r="K48"/>
      <c r="L48"/>
      <c r="M48"/>
      <c r="N48"/>
      <c r="O48"/>
    </row>
    <row r="49" spans="7:15" s="157" customFormat="1" ht="14.5" hidden="1">
      <c r="G49" s="411"/>
      <c r="J49"/>
      <c r="K49"/>
      <c r="L49"/>
      <c r="M49"/>
      <c r="N49"/>
      <c r="O49"/>
    </row>
    <row r="50" spans="7:15" s="157" customFormat="1" ht="14.5" hidden="1">
      <c r="G50" s="411"/>
      <c r="J50"/>
      <c r="K50"/>
      <c r="L50"/>
      <c r="M50"/>
      <c r="N50"/>
      <c r="O50"/>
    </row>
    <row r="51" spans="7:15" s="157" customFormat="1" ht="14.5" hidden="1">
      <c r="G51" s="411"/>
      <c r="J51"/>
      <c r="K51"/>
      <c r="L51"/>
      <c r="M51"/>
      <c r="N51"/>
      <c r="O51"/>
    </row>
    <row r="52" spans="7:15" s="157" customFormat="1" ht="14.5" hidden="1">
      <c r="G52" s="411"/>
      <c r="J52"/>
      <c r="K52"/>
      <c r="L52"/>
      <c r="M52"/>
      <c r="N52"/>
      <c r="O52"/>
    </row>
    <row r="53" spans="7:15" s="157" customFormat="1" ht="14.5" hidden="1">
      <c r="G53" s="411"/>
      <c r="J53"/>
      <c r="K53"/>
      <c r="L53"/>
      <c r="M53"/>
      <c r="N53"/>
      <c r="O53"/>
    </row>
    <row r="54" spans="7:15" s="157" customFormat="1" ht="14.5" hidden="1">
      <c r="G54" s="411"/>
      <c r="J54"/>
      <c r="K54"/>
      <c r="L54"/>
      <c r="M54"/>
      <c r="N54"/>
      <c r="O54"/>
    </row>
    <row r="55" spans="7:15" s="157" customFormat="1" ht="14.5" hidden="1">
      <c r="G55" s="411"/>
      <c r="J55"/>
      <c r="K55"/>
      <c r="L55"/>
      <c r="M55"/>
      <c r="N55"/>
      <c r="O55"/>
    </row>
    <row r="56" spans="7:15" s="157" customFormat="1" ht="14.5" hidden="1">
      <c r="G56" s="411"/>
      <c r="J56"/>
      <c r="K56"/>
      <c r="L56"/>
      <c r="M56"/>
      <c r="N56"/>
      <c r="O56"/>
    </row>
    <row r="57" spans="7:15" s="157" customFormat="1" ht="14.5" hidden="1">
      <c r="G57" s="411"/>
      <c r="J57"/>
      <c r="K57"/>
      <c r="L57"/>
      <c r="M57"/>
      <c r="N57"/>
      <c r="O57"/>
    </row>
    <row r="58" spans="7:15" s="157" customFormat="1" ht="14.5" hidden="1">
      <c r="G58" s="411"/>
      <c r="J58"/>
      <c r="K58"/>
      <c r="L58"/>
      <c r="M58"/>
      <c r="N58"/>
      <c r="O58"/>
    </row>
    <row r="59" spans="7:15" s="157" customFormat="1" ht="14.5" hidden="1">
      <c r="G59" s="411"/>
      <c r="J59"/>
      <c r="K59"/>
      <c r="L59"/>
      <c r="M59"/>
      <c r="N59"/>
      <c r="O59"/>
    </row>
    <row r="60" spans="7:15" s="157" customFormat="1" ht="14.5" hidden="1">
      <c r="G60" s="411"/>
      <c r="J60"/>
      <c r="K60"/>
      <c r="L60"/>
      <c r="M60"/>
      <c r="N60"/>
      <c r="O60"/>
    </row>
    <row r="61" spans="7:15" s="157" customFormat="1" ht="14.5" hidden="1">
      <c r="G61" s="411"/>
      <c r="J61"/>
      <c r="K61"/>
      <c r="L61"/>
      <c r="M61"/>
      <c r="N61"/>
      <c r="O61"/>
    </row>
    <row r="62" spans="7:15" s="157" customFormat="1" ht="14.5" hidden="1">
      <c r="G62" s="411"/>
      <c r="J62"/>
      <c r="K62"/>
      <c r="L62"/>
      <c r="M62"/>
      <c r="N62"/>
      <c r="O62"/>
    </row>
    <row r="63" spans="7:15" s="157" customFormat="1" ht="14.5" hidden="1">
      <c r="G63" s="411"/>
      <c r="J63"/>
      <c r="K63"/>
      <c r="L63"/>
      <c r="M63"/>
      <c r="N63"/>
      <c r="O63"/>
    </row>
    <row r="64" spans="7:15" s="157" customFormat="1" ht="14.5" hidden="1">
      <c r="G64" s="411"/>
      <c r="J64"/>
      <c r="K64"/>
      <c r="L64"/>
      <c r="M64"/>
      <c r="N64"/>
      <c r="O64"/>
    </row>
    <row r="65" spans="7:15" s="157" customFormat="1" ht="14.5" hidden="1">
      <c r="G65" s="411"/>
      <c r="J65"/>
      <c r="K65"/>
      <c r="L65"/>
      <c r="M65"/>
      <c r="N65"/>
      <c r="O65"/>
    </row>
    <row r="66" spans="7:15" s="157" customFormat="1" ht="14.5" hidden="1">
      <c r="G66" s="411"/>
      <c r="J66"/>
      <c r="K66"/>
      <c r="L66"/>
      <c r="M66"/>
      <c r="N66"/>
      <c r="O66"/>
    </row>
    <row r="67" spans="7:15" s="157" customFormat="1" ht="14.5" hidden="1">
      <c r="G67" s="411"/>
      <c r="J67"/>
      <c r="K67"/>
      <c r="L67"/>
      <c r="M67"/>
      <c r="N67"/>
      <c r="O67"/>
    </row>
    <row r="68" spans="7:15" s="157" customFormat="1" ht="14.5" hidden="1">
      <c r="G68" s="411"/>
      <c r="J68"/>
      <c r="K68"/>
      <c r="L68"/>
      <c r="M68"/>
      <c r="N68"/>
      <c r="O68"/>
    </row>
    <row r="69" spans="7:15" s="157" customFormat="1" ht="14.5" hidden="1">
      <c r="G69" s="411"/>
      <c r="J69"/>
      <c r="K69"/>
      <c r="L69"/>
      <c r="M69"/>
      <c r="N69"/>
      <c r="O69"/>
    </row>
    <row r="70" spans="7:15" s="157" customFormat="1" ht="14.5" hidden="1">
      <c r="G70" s="411"/>
      <c r="J70"/>
      <c r="K70"/>
      <c r="L70"/>
      <c r="M70"/>
      <c r="N70"/>
      <c r="O70"/>
    </row>
    <row r="71" spans="7:15" s="157" customFormat="1" ht="14.5" hidden="1">
      <c r="G71" s="411"/>
      <c r="J71"/>
      <c r="K71"/>
      <c r="L71"/>
      <c r="M71"/>
      <c r="N71"/>
      <c r="O71"/>
    </row>
    <row r="72" spans="7:15" s="157" customFormat="1" ht="14.5" hidden="1">
      <c r="G72" s="411"/>
      <c r="J72"/>
      <c r="K72"/>
      <c r="L72"/>
      <c r="M72"/>
      <c r="N72"/>
      <c r="O72"/>
    </row>
    <row r="73" spans="7:15" s="157" customFormat="1" ht="14.5" hidden="1">
      <c r="G73" s="411"/>
      <c r="J73"/>
      <c r="K73"/>
      <c r="L73"/>
      <c r="M73"/>
      <c r="N73"/>
      <c r="O73"/>
    </row>
    <row r="74" spans="7:15" s="157" customFormat="1" ht="14.5" hidden="1">
      <c r="G74" s="411"/>
      <c r="J74"/>
      <c r="K74"/>
      <c r="L74"/>
      <c r="M74"/>
      <c r="N74"/>
      <c r="O74"/>
    </row>
    <row r="75" spans="7:15" s="157" customFormat="1" ht="14.5" hidden="1">
      <c r="G75" s="411"/>
      <c r="J75"/>
      <c r="K75"/>
      <c r="L75"/>
      <c r="M75"/>
      <c r="N75"/>
      <c r="O75"/>
    </row>
    <row r="76" spans="7:15" s="157" customFormat="1" ht="14.5" hidden="1">
      <c r="G76" s="411"/>
      <c r="J76"/>
      <c r="K76"/>
      <c r="L76"/>
      <c r="M76"/>
      <c r="N76"/>
      <c r="O76"/>
    </row>
    <row r="77" spans="7:15" s="157" customFormat="1" ht="14.5" hidden="1">
      <c r="G77" s="411"/>
      <c r="J77"/>
      <c r="K77"/>
      <c r="L77"/>
      <c r="M77"/>
      <c r="N77"/>
      <c r="O77"/>
    </row>
    <row r="78" spans="7:15" s="157" customFormat="1" ht="14.5" hidden="1">
      <c r="G78" s="411"/>
      <c r="J78"/>
      <c r="K78"/>
      <c r="L78"/>
      <c r="M78"/>
      <c r="N78"/>
      <c r="O78"/>
    </row>
    <row r="79" spans="7:15" s="157" customFormat="1" ht="14.5" hidden="1">
      <c r="G79" s="411"/>
      <c r="J79"/>
      <c r="K79"/>
      <c r="L79"/>
      <c r="M79"/>
      <c r="N79"/>
      <c r="O79"/>
    </row>
    <row r="80" spans="7:15" s="157" customFormat="1" ht="14.5" hidden="1">
      <c r="G80" s="411"/>
      <c r="J80"/>
      <c r="K80"/>
      <c r="L80"/>
      <c r="M80"/>
      <c r="N80"/>
      <c r="O80"/>
    </row>
    <row r="81" spans="7:15" s="157" customFormat="1" ht="14.5" hidden="1">
      <c r="G81" s="411"/>
      <c r="J81"/>
      <c r="K81"/>
      <c r="L81"/>
      <c r="M81"/>
      <c r="N81"/>
      <c r="O81"/>
    </row>
    <row r="82" spans="7:15" s="157" customFormat="1" ht="14.5" hidden="1">
      <c r="G82" s="411"/>
      <c r="J82"/>
      <c r="K82"/>
      <c r="L82"/>
      <c r="M82"/>
      <c r="N82"/>
      <c r="O82"/>
    </row>
    <row r="83" spans="7:15" s="157" customFormat="1" ht="14.5" hidden="1">
      <c r="G83" s="411"/>
      <c r="J83"/>
      <c r="K83"/>
      <c r="L83"/>
      <c r="M83"/>
      <c r="N83"/>
      <c r="O83"/>
    </row>
    <row r="84" spans="7:15" s="157" customFormat="1" ht="14.5" hidden="1">
      <c r="G84" s="411"/>
      <c r="J84"/>
      <c r="K84"/>
      <c r="L84"/>
      <c r="M84"/>
      <c r="N84"/>
      <c r="O84"/>
    </row>
    <row r="85" spans="7:15" s="157" customFormat="1" ht="14.5" hidden="1">
      <c r="G85" s="411"/>
      <c r="J85"/>
      <c r="K85"/>
      <c r="L85"/>
      <c r="M85"/>
      <c r="N85"/>
      <c r="O85"/>
    </row>
    <row r="86" spans="7:15" s="157" customFormat="1" ht="14.5" hidden="1">
      <c r="G86" s="411"/>
      <c r="J86"/>
      <c r="K86"/>
      <c r="L86"/>
      <c r="M86"/>
      <c r="N86"/>
      <c r="O86"/>
    </row>
    <row r="87" spans="7:15" s="157" customFormat="1" ht="14.5" hidden="1">
      <c r="G87" s="411"/>
      <c r="J87"/>
      <c r="K87"/>
      <c r="L87"/>
      <c r="M87"/>
      <c r="N87"/>
      <c r="O87"/>
    </row>
    <row r="88" spans="7:15" s="157" customFormat="1" ht="14.5" hidden="1">
      <c r="G88" s="411"/>
      <c r="J88"/>
      <c r="K88"/>
      <c r="L88"/>
      <c r="M88"/>
      <c r="N88"/>
      <c r="O88"/>
    </row>
    <row r="89" spans="7:15" s="157" customFormat="1" ht="14.5" hidden="1">
      <c r="G89" s="411"/>
      <c r="J89"/>
      <c r="K89"/>
      <c r="L89"/>
      <c r="M89"/>
      <c r="N89"/>
      <c r="O89"/>
    </row>
    <row r="90" spans="7:15" s="157" customFormat="1" ht="14.5" hidden="1">
      <c r="G90" s="411"/>
      <c r="J90"/>
      <c r="K90"/>
      <c r="L90"/>
      <c r="M90"/>
      <c r="N90"/>
      <c r="O90"/>
    </row>
    <row r="91" spans="7:15" s="157" customFormat="1" ht="14.5" hidden="1">
      <c r="G91" s="411"/>
      <c r="J91"/>
      <c r="K91"/>
      <c r="L91"/>
      <c r="M91"/>
      <c r="N91"/>
      <c r="O91"/>
    </row>
    <row r="92" spans="7:15" s="157" customFormat="1" ht="14.5" hidden="1">
      <c r="G92" s="411"/>
      <c r="J92"/>
      <c r="K92"/>
      <c r="L92"/>
      <c r="M92"/>
      <c r="N92"/>
      <c r="O92"/>
    </row>
    <row r="93" spans="7:15" s="157" customFormat="1" ht="14.5" hidden="1">
      <c r="G93" s="411"/>
      <c r="J93"/>
      <c r="K93"/>
      <c r="L93"/>
      <c r="M93"/>
      <c r="N93"/>
      <c r="O93"/>
    </row>
    <row r="94" spans="7:15" s="157" customFormat="1" ht="14.5" hidden="1">
      <c r="G94" s="411"/>
      <c r="J94"/>
      <c r="K94"/>
      <c r="L94"/>
      <c r="M94"/>
      <c r="N94"/>
      <c r="O94"/>
    </row>
    <row r="95" spans="7:15" s="157" customFormat="1" ht="14.5" hidden="1">
      <c r="G95" s="411"/>
      <c r="J95"/>
      <c r="K95"/>
      <c r="L95"/>
      <c r="M95"/>
      <c r="N95"/>
      <c r="O95"/>
    </row>
    <row r="96" spans="7:15" s="157" customFormat="1" ht="14.5" hidden="1">
      <c r="G96" s="411"/>
      <c r="J96"/>
      <c r="K96"/>
      <c r="L96"/>
      <c r="M96"/>
      <c r="N96"/>
      <c r="O96"/>
    </row>
    <row r="97" spans="7:15" s="157" customFormat="1" ht="14.5" hidden="1">
      <c r="G97" s="411"/>
      <c r="J97"/>
      <c r="K97"/>
      <c r="L97"/>
      <c r="M97"/>
      <c r="N97"/>
      <c r="O97"/>
    </row>
    <row r="98" spans="7:15" s="157" customFormat="1" ht="14.5" hidden="1">
      <c r="G98" s="411"/>
      <c r="J98"/>
      <c r="K98"/>
      <c r="L98"/>
      <c r="M98"/>
      <c r="N98"/>
      <c r="O98"/>
    </row>
    <row r="99" spans="7:15" s="157" customFormat="1" ht="14.5" hidden="1">
      <c r="G99" s="411"/>
      <c r="J99"/>
      <c r="K99"/>
      <c r="L99"/>
      <c r="M99"/>
      <c r="N99"/>
      <c r="O99"/>
    </row>
    <row r="100" spans="7:15" s="157" customFormat="1" ht="14.5" hidden="1">
      <c r="G100" s="411"/>
      <c r="J100"/>
      <c r="K100"/>
      <c r="L100"/>
      <c r="M100"/>
      <c r="N100"/>
      <c r="O100"/>
    </row>
    <row r="101" spans="7:15" s="157" customFormat="1" ht="14.5" hidden="1">
      <c r="G101" s="411"/>
      <c r="J101"/>
      <c r="K101"/>
      <c r="L101"/>
      <c r="M101"/>
      <c r="N101"/>
      <c r="O101"/>
    </row>
    <row r="102" spans="7:15" s="157" customFormat="1" ht="14.5" hidden="1">
      <c r="G102" s="411"/>
      <c r="J102"/>
      <c r="K102"/>
      <c r="L102"/>
      <c r="M102"/>
      <c r="N102"/>
      <c r="O102"/>
    </row>
    <row r="103" spans="7:15" s="157" customFormat="1" ht="14.5" hidden="1">
      <c r="G103" s="411"/>
      <c r="J103"/>
      <c r="K103"/>
      <c r="L103"/>
      <c r="M103"/>
      <c r="N103"/>
      <c r="O103"/>
    </row>
    <row r="104" spans="7:15" s="157" customFormat="1" ht="14.5" hidden="1">
      <c r="G104" s="411"/>
      <c r="J104"/>
      <c r="K104"/>
      <c r="L104"/>
      <c r="M104"/>
      <c r="N104"/>
      <c r="O104"/>
    </row>
    <row r="105" spans="7:15" s="157" customFormat="1" ht="14.5" hidden="1">
      <c r="G105" s="411"/>
      <c r="J105"/>
      <c r="K105"/>
      <c r="L105"/>
      <c r="M105"/>
      <c r="N105"/>
      <c r="O105"/>
    </row>
    <row r="106" spans="7:15" s="157" customFormat="1" ht="14.5" hidden="1">
      <c r="G106" s="411"/>
      <c r="J106"/>
      <c r="K106"/>
      <c r="L106"/>
      <c r="M106"/>
      <c r="N106"/>
      <c r="O106"/>
    </row>
    <row r="107" spans="7:15" s="157" customFormat="1" ht="14.5" hidden="1">
      <c r="G107" s="411"/>
      <c r="J107"/>
      <c r="K107"/>
      <c r="L107"/>
      <c r="M107"/>
      <c r="N107"/>
      <c r="O107"/>
    </row>
    <row r="108" spans="7:15" s="157" customFormat="1" ht="14.5" hidden="1">
      <c r="G108" s="411"/>
      <c r="J108"/>
      <c r="K108"/>
      <c r="L108"/>
      <c r="M108"/>
      <c r="N108"/>
      <c r="O108"/>
    </row>
    <row r="109" spans="7:15" s="157" customFormat="1" ht="14.5" hidden="1">
      <c r="G109" s="411"/>
      <c r="J109"/>
      <c r="K109"/>
      <c r="L109"/>
      <c r="M109"/>
      <c r="N109"/>
      <c r="O109"/>
    </row>
    <row r="110" spans="7:15" s="157" customFormat="1" ht="14.5" hidden="1">
      <c r="G110" s="411"/>
      <c r="J110"/>
      <c r="K110"/>
      <c r="L110"/>
      <c r="M110"/>
      <c r="N110"/>
      <c r="O110"/>
    </row>
    <row r="111" spans="7:15" s="157" customFormat="1" ht="14.5" hidden="1">
      <c r="G111" s="411"/>
      <c r="J111"/>
      <c r="K111"/>
      <c r="L111"/>
      <c r="M111"/>
      <c r="N111"/>
      <c r="O111"/>
    </row>
    <row r="112" spans="7:15" s="157" customFormat="1" ht="14.5" hidden="1">
      <c r="G112" s="411"/>
      <c r="J112"/>
      <c r="K112"/>
      <c r="L112"/>
      <c r="M112"/>
      <c r="N112"/>
      <c r="O112"/>
    </row>
    <row r="113" spans="7:15" s="157" customFormat="1" ht="14.5" hidden="1">
      <c r="G113" s="411"/>
      <c r="J113"/>
      <c r="K113"/>
      <c r="L113"/>
      <c r="M113"/>
      <c r="N113"/>
      <c r="O113"/>
    </row>
    <row r="114" spans="7:15" s="157" customFormat="1" ht="14.5" hidden="1">
      <c r="G114" s="411"/>
      <c r="J114"/>
      <c r="K114"/>
      <c r="L114"/>
      <c r="M114"/>
      <c r="N114"/>
      <c r="O114"/>
    </row>
    <row r="115" spans="7:15" s="157" customFormat="1" ht="14.5" hidden="1">
      <c r="G115" s="411"/>
      <c r="J115"/>
      <c r="K115"/>
      <c r="L115"/>
      <c r="M115"/>
      <c r="N115"/>
      <c r="O115"/>
    </row>
    <row r="116" spans="7:15" s="157" customFormat="1" ht="14.5" hidden="1">
      <c r="G116" s="411"/>
      <c r="J116"/>
      <c r="K116"/>
      <c r="L116"/>
      <c r="M116"/>
      <c r="N116"/>
      <c r="O116"/>
    </row>
    <row r="117" spans="7:15" s="157" customFormat="1" ht="14.5" hidden="1">
      <c r="G117" s="411"/>
      <c r="J117"/>
      <c r="K117"/>
      <c r="L117"/>
      <c r="M117"/>
      <c r="N117"/>
      <c r="O117"/>
    </row>
    <row r="118" spans="7:15" s="157" customFormat="1" ht="14.5" hidden="1">
      <c r="G118" s="411"/>
      <c r="J118"/>
      <c r="K118"/>
      <c r="L118"/>
      <c r="M118"/>
      <c r="N118"/>
      <c r="O118"/>
    </row>
    <row r="119" spans="7:15" s="157" customFormat="1" ht="14.5" hidden="1">
      <c r="G119" s="411"/>
      <c r="J119"/>
      <c r="K119"/>
      <c r="L119"/>
      <c r="M119"/>
      <c r="N119"/>
      <c r="O119"/>
    </row>
    <row r="120" spans="7:15" s="157" customFormat="1" ht="14.5" hidden="1">
      <c r="G120" s="411"/>
      <c r="J120"/>
      <c r="K120"/>
      <c r="L120"/>
      <c r="M120"/>
      <c r="N120"/>
      <c r="O120"/>
    </row>
    <row r="121" spans="7:15" s="157" customFormat="1" ht="14.5" hidden="1">
      <c r="G121" s="411"/>
      <c r="J121"/>
      <c r="K121"/>
      <c r="L121"/>
      <c r="M121"/>
      <c r="N121"/>
      <c r="O121"/>
    </row>
    <row r="122" spans="7:15" s="157" customFormat="1" ht="14.5" hidden="1">
      <c r="G122" s="411"/>
      <c r="J122"/>
      <c r="K122"/>
      <c r="L122"/>
      <c r="M122"/>
      <c r="N122"/>
      <c r="O122"/>
    </row>
    <row r="123" spans="7:15" s="157" customFormat="1" ht="14.5" hidden="1">
      <c r="G123" s="411"/>
      <c r="J123"/>
      <c r="K123"/>
      <c r="L123"/>
      <c r="M123"/>
      <c r="N123"/>
      <c r="O123"/>
    </row>
    <row r="124" spans="7:15" s="157" customFormat="1" ht="14.5" hidden="1">
      <c r="G124" s="411"/>
      <c r="J124"/>
      <c r="K124"/>
      <c r="L124"/>
      <c r="M124"/>
      <c r="N124"/>
      <c r="O124"/>
    </row>
    <row r="125" spans="7:15" s="157" customFormat="1" ht="14.5" hidden="1">
      <c r="G125" s="411"/>
      <c r="J125"/>
      <c r="K125"/>
      <c r="L125"/>
      <c r="M125"/>
      <c r="N125"/>
      <c r="O125"/>
    </row>
    <row r="126" spans="7:15" s="157" customFormat="1" ht="14.5" hidden="1">
      <c r="G126" s="411"/>
      <c r="J126"/>
      <c r="K126"/>
      <c r="L126"/>
      <c r="M126"/>
      <c r="N126"/>
      <c r="O126"/>
    </row>
    <row r="127" spans="7:15" s="157" customFormat="1" ht="14.5" hidden="1">
      <c r="G127" s="411"/>
      <c r="J127"/>
      <c r="K127"/>
      <c r="L127"/>
      <c r="M127"/>
      <c r="N127"/>
      <c r="O127"/>
    </row>
    <row r="128" spans="7:15" s="157" customFormat="1" ht="14.5" hidden="1">
      <c r="G128" s="411"/>
      <c r="J128"/>
      <c r="K128"/>
      <c r="L128"/>
      <c r="M128"/>
      <c r="N128"/>
      <c r="O128"/>
    </row>
    <row r="129" spans="2:82" s="157" customFormat="1" ht="14.5" hidden="1">
      <c r="G129" s="411"/>
      <c r="J129"/>
      <c r="K129"/>
      <c r="L129"/>
      <c r="M129"/>
      <c r="N129"/>
      <c r="O129"/>
    </row>
    <row r="130" spans="2:82" s="157" customFormat="1" ht="14.5" hidden="1">
      <c r="G130" s="411"/>
      <c r="J130"/>
      <c r="K130"/>
      <c r="L130"/>
      <c r="M130"/>
      <c r="N130"/>
      <c r="O130"/>
    </row>
    <row r="131" spans="2:82" s="157" customFormat="1" ht="14.5" hidden="1">
      <c r="G131" s="411"/>
      <c r="J131"/>
      <c r="K131"/>
      <c r="L131"/>
      <c r="M131"/>
      <c r="N131"/>
      <c r="O131"/>
    </row>
    <row r="132" spans="2:82" s="157" customFormat="1" ht="14.5" hidden="1">
      <c r="G132" s="411"/>
      <c r="J132"/>
      <c r="K132"/>
      <c r="L132"/>
      <c r="M132"/>
      <c r="N132"/>
      <c r="O132"/>
    </row>
    <row r="133" spans="2:82" s="157" customFormat="1" ht="14.5" hidden="1">
      <c r="G133" s="411"/>
      <c r="J133"/>
      <c r="K133"/>
      <c r="L133"/>
      <c r="M133"/>
      <c r="N133"/>
      <c r="O133"/>
    </row>
    <row r="134" spans="2:82" s="157" customFormat="1" ht="14.5" hidden="1">
      <c r="G134" s="411"/>
      <c r="J134"/>
      <c r="K134"/>
      <c r="L134"/>
      <c r="M134"/>
      <c r="N134"/>
      <c r="O134"/>
    </row>
    <row r="135" spans="2:82" s="157" customFormat="1" ht="14.5" hidden="1">
      <c r="G135" s="411"/>
      <c r="J135"/>
      <c r="K135"/>
      <c r="L135"/>
      <c r="M135"/>
      <c r="N135"/>
      <c r="O135"/>
    </row>
    <row r="136" spans="2:82" s="157" customFormat="1" ht="14.5" hidden="1">
      <c r="G136" s="411"/>
      <c r="J136"/>
      <c r="K136"/>
      <c r="L136"/>
      <c r="M136"/>
      <c r="N136"/>
      <c r="O136"/>
    </row>
    <row r="137" spans="2:82" s="163" customFormat="1" ht="15.5" hidden="1">
      <c r="B137" s="192" t="e">
        <f t="shared" ref="B137:B176" si="0">IF(C137="",0,1)</f>
        <v>#REF!</v>
      </c>
      <c r="C137" s="256" t="e">
        <f>TRIM(#REF!)</f>
        <v>#REF!</v>
      </c>
      <c r="D137" s="157"/>
      <c r="E137" s="257" t="e">
        <f>#REF!</f>
        <v>#REF!</v>
      </c>
      <c r="G137" s="168" t="e">
        <f t="shared" ref="G137:G176" si="1">IF(H137="",0,1)</f>
        <v>#REF!</v>
      </c>
      <c r="H137" s="256" t="e">
        <f>TRIM(#REF!)</f>
        <v>#REF!</v>
      </c>
      <c r="I137" s="157"/>
      <c r="J137"/>
      <c r="K137"/>
      <c r="L137"/>
      <c r="M137"/>
      <c r="N137"/>
      <c r="O137"/>
      <c r="P137" s="157"/>
      <c r="R137" s="255"/>
      <c r="AA137" s="192"/>
      <c r="AB137" s="192"/>
      <c r="AC137" s="192"/>
      <c r="AD137" s="192"/>
      <c r="AE137" s="192"/>
      <c r="CC137" s="254"/>
      <c r="CD137" s="254"/>
    </row>
    <row r="138" spans="2:82" s="163" customFormat="1" ht="15.5" hidden="1">
      <c r="B138" s="192" t="e">
        <f t="shared" si="0"/>
        <v>#REF!</v>
      </c>
      <c r="C138" s="256" t="e">
        <f>TRIM(#REF!)</f>
        <v>#REF!</v>
      </c>
      <c r="D138" s="157"/>
      <c r="E138" s="257" t="e">
        <f>#REF!</f>
        <v>#REF!</v>
      </c>
      <c r="G138" s="168" t="e">
        <f t="shared" si="1"/>
        <v>#REF!</v>
      </c>
      <c r="H138" s="256" t="e">
        <f>TRIM(#REF!)</f>
        <v>#REF!</v>
      </c>
      <c r="I138" s="157"/>
      <c r="J138"/>
      <c r="K138"/>
      <c r="L138"/>
      <c r="M138"/>
      <c r="N138"/>
      <c r="O138"/>
      <c r="P138" s="157"/>
      <c r="R138" s="255"/>
      <c r="AA138" s="192"/>
      <c r="AB138" s="192"/>
      <c r="AC138" s="192"/>
      <c r="AD138" s="192"/>
      <c r="AE138" s="192"/>
      <c r="CC138" s="254"/>
      <c r="CD138" s="254"/>
    </row>
    <row r="139" spans="2:82" s="163" customFormat="1" ht="15.5" hidden="1">
      <c r="B139" s="192" t="e">
        <f t="shared" si="0"/>
        <v>#REF!</v>
      </c>
      <c r="C139" s="256" t="e">
        <f>TRIM(#REF!)</f>
        <v>#REF!</v>
      </c>
      <c r="D139" s="157"/>
      <c r="E139" s="257" t="e">
        <f>#REF!</f>
        <v>#REF!</v>
      </c>
      <c r="G139" s="168" t="e">
        <f t="shared" si="1"/>
        <v>#REF!</v>
      </c>
      <c r="H139" s="256" t="e">
        <f>TRIM(#REF!)</f>
        <v>#REF!</v>
      </c>
      <c r="I139" s="157"/>
      <c r="J139"/>
      <c r="K139"/>
      <c r="L139"/>
      <c r="M139"/>
      <c r="N139"/>
      <c r="O139"/>
      <c r="P139" s="157"/>
      <c r="R139" s="255"/>
      <c r="AA139" s="192"/>
      <c r="AB139" s="192"/>
      <c r="AC139" s="192"/>
      <c r="AD139" s="192"/>
      <c r="AE139" s="192"/>
      <c r="CC139" s="254"/>
      <c r="CD139" s="254"/>
    </row>
    <row r="140" spans="2:82" s="163" customFormat="1" ht="15.5" hidden="1">
      <c r="B140" s="192" t="e">
        <f t="shared" si="0"/>
        <v>#REF!</v>
      </c>
      <c r="C140" s="256" t="e">
        <f>TRIM(#REF!)</f>
        <v>#REF!</v>
      </c>
      <c r="D140" s="157"/>
      <c r="E140" s="257" t="e">
        <f>#REF!</f>
        <v>#REF!</v>
      </c>
      <c r="G140" s="168" t="e">
        <f t="shared" si="1"/>
        <v>#REF!</v>
      </c>
      <c r="H140" s="256" t="e">
        <f>TRIM(#REF!)</f>
        <v>#REF!</v>
      </c>
      <c r="I140" s="157"/>
      <c r="J140"/>
      <c r="K140"/>
      <c r="L140"/>
      <c r="M140"/>
      <c r="N140"/>
      <c r="O140"/>
      <c r="P140" s="157"/>
      <c r="R140" s="255"/>
      <c r="AA140" s="192"/>
      <c r="AB140" s="192"/>
      <c r="AC140" s="192"/>
      <c r="AD140" s="192"/>
      <c r="AE140" s="192"/>
      <c r="CC140" s="254"/>
      <c r="CD140" s="254"/>
    </row>
    <row r="141" spans="2:82" s="163" customFormat="1" ht="15.5" hidden="1">
      <c r="B141" s="192" t="e">
        <f t="shared" si="0"/>
        <v>#REF!</v>
      </c>
      <c r="C141" s="256" t="e">
        <f>TRIM(#REF!)</f>
        <v>#REF!</v>
      </c>
      <c r="D141" s="157"/>
      <c r="E141" s="257" t="e">
        <f>#REF!</f>
        <v>#REF!</v>
      </c>
      <c r="G141" s="168" t="e">
        <f t="shared" si="1"/>
        <v>#REF!</v>
      </c>
      <c r="H141" s="256" t="e">
        <f>TRIM(#REF!)</f>
        <v>#REF!</v>
      </c>
      <c r="I141" s="157"/>
      <c r="J141"/>
      <c r="K141"/>
      <c r="L141"/>
      <c r="M141"/>
      <c r="N141"/>
      <c r="O141"/>
      <c r="P141" s="157"/>
      <c r="R141" s="255"/>
      <c r="AA141" s="192"/>
      <c r="AB141" s="192"/>
      <c r="AC141" s="192"/>
      <c r="AD141" s="192"/>
      <c r="AE141" s="192"/>
      <c r="CC141" s="254"/>
      <c r="CD141" s="254"/>
    </row>
    <row r="142" spans="2:82" s="163" customFormat="1" ht="15.5" hidden="1">
      <c r="B142" s="192" t="e">
        <f t="shared" si="0"/>
        <v>#REF!</v>
      </c>
      <c r="C142" s="256" t="e">
        <f>TRIM(#REF!)</f>
        <v>#REF!</v>
      </c>
      <c r="D142" s="157"/>
      <c r="E142" s="257" t="e">
        <f>#REF!</f>
        <v>#REF!</v>
      </c>
      <c r="G142" s="168" t="e">
        <f t="shared" si="1"/>
        <v>#REF!</v>
      </c>
      <c r="H142" s="256" t="e">
        <f>TRIM(#REF!)</f>
        <v>#REF!</v>
      </c>
      <c r="I142" s="157"/>
      <c r="J142"/>
      <c r="K142"/>
      <c r="L142"/>
      <c r="M142"/>
      <c r="N142"/>
      <c r="O142"/>
      <c r="P142" s="157"/>
      <c r="R142" s="255"/>
      <c r="AA142" s="192"/>
      <c r="AB142" s="192"/>
      <c r="AC142" s="192"/>
      <c r="AD142" s="192"/>
      <c r="AE142" s="192"/>
      <c r="CC142" s="254"/>
      <c r="CD142" s="254"/>
    </row>
    <row r="143" spans="2:82" s="163" customFormat="1" ht="15.5" hidden="1">
      <c r="B143" s="192" t="e">
        <f t="shared" si="0"/>
        <v>#REF!</v>
      </c>
      <c r="C143" s="256" t="e">
        <f>TRIM(#REF!)</f>
        <v>#REF!</v>
      </c>
      <c r="D143" s="157"/>
      <c r="E143" s="257" t="e">
        <f>#REF!</f>
        <v>#REF!</v>
      </c>
      <c r="G143" s="168" t="e">
        <f t="shared" si="1"/>
        <v>#REF!</v>
      </c>
      <c r="H143" s="256" t="e">
        <f>TRIM(#REF!)</f>
        <v>#REF!</v>
      </c>
      <c r="I143" s="157"/>
      <c r="J143"/>
      <c r="K143"/>
      <c r="L143"/>
      <c r="M143"/>
      <c r="N143"/>
      <c r="O143"/>
      <c r="P143" s="157"/>
      <c r="R143" s="255"/>
      <c r="AA143" s="192"/>
      <c r="AB143" s="192"/>
      <c r="AC143" s="192"/>
      <c r="AD143" s="192"/>
      <c r="AE143" s="192"/>
      <c r="CC143" s="254"/>
      <c r="CD143" s="254"/>
    </row>
    <row r="144" spans="2:82" s="163" customFormat="1" ht="15.5" hidden="1">
      <c r="B144" s="192" t="e">
        <f t="shared" si="0"/>
        <v>#REF!</v>
      </c>
      <c r="C144" s="256" t="e">
        <f>TRIM(#REF!)</f>
        <v>#REF!</v>
      </c>
      <c r="D144" s="157"/>
      <c r="E144" s="257" t="e">
        <f>#REF!</f>
        <v>#REF!</v>
      </c>
      <c r="G144" s="168" t="e">
        <f t="shared" si="1"/>
        <v>#REF!</v>
      </c>
      <c r="H144" s="256" t="e">
        <f>TRIM(#REF!)</f>
        <v>#REF!</v>
      </c>
      <c r="I144" s="157"/>
      <c r="J144"/>
      <c r="K144"/>
      <c r="L144"/>
      <c r="M144"/>
      <c r="N144"/>
      <c r="O144"/>
      <c r="P144" s="157"/>
      <c r="R144" s="255"/>
      <c r="AA144" s="192"/>
      <c r="AB144" s="192"/>
      <c r="AC144" s="192"/>
      <c r="AD144" s="192"/>
      <c r="AE144" s="192"/>
      <c r="CC144" s="254"/>
      <c r="CD144" s="254"/>
    </row>
    <row r="145" spans="2:82" s="163" customFormat="1" ht="15.5" hidden="1">
      <c r="B145" s="192" t="e">
        <f t="shared" si="0"/>
        <v>#REF!</v>
      </c>
      <c r="C145" s="256" t="e">
        <f>TRIM(#REF!)</f>
        <v>#REF!</v>
      </c>
      <c r="D145" s="157"/>
      <c r="E145" s="257" t="e">
        <f>#REF!</f>
        <v>#REF!</v>
      </c>
      <c r="G145" s="168" t="e">
        <f t="shared" si="1"/>
        <v>#REF!</v>
      </c>
      <c r="H145" s="256" t="e">
        <f>TRIM(#REF!)</f>
        <v>#REF!</v>
      </c>
      <c r="I145" s="157"/>
      <c r="J145"/>
      <c r="K145"/>
      <c r="L145"/>
      <c r="M145"/>
      <c r="N145"/>
      <c r="O145"/>
      <c r="P145" s="157"/>
      <c r="R145" s="255"/>
      <c r="AA145" s="192"/>
      <c r="AB145" s="192"/>
      <c r="AC145" s="192"/>
      <c r="AD145" s="192"/>
      <c r="AE145" s="192"/>
      <c r="CC145" s="254"/>
      <c r="CD145" s="254"/>
    </row>
    <row r="146" spans="2:82" s="163" customFormat="1" ht="15.5" hidden="1">
      <c r="B146" s="192" t="e">
        <f t="shared" si="0"/>
        <v>#REF!</v>
      </c>
      <c r="C146" s="256" t="e">
        <f>TRIM(#REF!)</f>
        <v>#REF!</v>
      </c>
      <c r="D146" s="157"/>
      <c r="E146" s="257" t="e">
        <f>#REF!</f>
        <v>#REF!</v>
      </c>
      <c r="G146" s="168" t="e">
        <f t="shared" si="1"/>
        <v>#REF!</v>
      </c>
      <c r="H146" s="256" t="e">
        <f>TRIM(#REF!)</f>
        <v>#REF!</v>
      </c>
      <c r="I146" s="157"/>
      <c r="J146"/>
      <c r="K146"/>
      <c r="L146"/>
      <c r="M146"/>
      <c r="N146"/>
      <c r="O146"/>
      <c r="P146" s="157"/>
      <c r="R146" s="255"/>
      <c r="AA146" s="192"/>
      <c r="AB146" s="192"/>
      <c r="AC146" s="192"/>
      <c r="AD146" s="192"/>
      <c r="AE146" s="192"/>
      <c r="CC146" s="254"/>
      <c r="CD146" s="254"/>
    </row>
    <row r="147" spans="2:82" s="163" customFormat="1" ht="15.5" hidden="1">
      <c r="B147" s="192" t="e">
        <f t="shared" si="0"/>
        <v>#REF!</v>
      </c>
      <c r="C147" s="256" t="e">
        <f>TRIM(#REF!)</f>
        <v>#REF!</v>
      </c>
      <c r="D147" s="157"/>
      <c r="E147" s="257" t="e">
        <f>#REF!</f>
        <v>#REF!</v>
      </c>
      <c r="G147" s="168" t="e">
        <f t="shared" si="1"/>
        <v>#REF!</v>
      </c>
      <c r="H147" s="256" t="e">
        <f>TRIM(#REF!)</f>
        <v>#REF!</v>
      </c>
      <c r="I147" s="157"/>
      <c r="J147"/>
      <c r="K147"/>
      <c r="L147"/>
      <c r="M147"/>
      <c r="N147"/>
      <c r="O147"/>
      <c r="P147" s="157"/>
      <c r="R147" s="255"/>
      <c r="AA147" s="192"/>
      <c r="AB147" s="192"/>
      <c r="AC147" s="192"/>
      <c r="AD147" s="192"/>
      <c r="AE147" s="192"/>
      <c r="CC147" s="254"/>
      <c r="CD147" s="254"/>
    </row>
    <row r="148" spans="2:82" s="163" customFormat="1" ht="15.5" hidden="1">
      <c r="B148" s="192" t="e">
        <f t="shared" si="0"/>
        <v>#REF!</v>
      </c>
      <c r="C148" s="256" t="e">
        <f>TRIM(#REF!)</f>
        <v>#REF!</v>
      </c>
      <c r="D148" s="157"/>
      <c r="E148" s="257" t="e">
        <f>#REF!</f>
        <v>#REF!</v>
      </c>
      <c r="G148" s="168" t="e">
        <f t="shared" si="1"/>
        <v>#REF!</v>
      </c>
      <c r="H148" s="256" t="e">
        <f>TRIM(#REF!)</f>
        <v>#REF!</v>
      </c>
      <c r="I148" s="157"/>
      <c r="J148"/>
      <c r="K148"/>
      <c r="L148"/>
      <c r="M148"/>
      <c r="N148"/>
      <c r="O148"/>
      <c r="P148" s="157"/>
      <c r="R148" s="255"/>
      <c r="AA148" s="192"/>
      <c r="AB148" s="192"/>
      <c r="AC148" s="192"/>
      <c r="AD148" s="192"/>
      <c r="AE148" s="192"/>
      <c r="CC148" s="254"/>
      <c r="CD148" s="254"/>
    </row>
    <row r="149" spans="2:82" s="163" customFormat="1" ht="15.5" hidden="1">
      <c r="B149" s="192" t="e">
        <f t="shared" si="0"/>
        <v>#REF!</v>
      </c>
      <c r="C149" s="256" t="e">
        <f>TRIM(#REF!)</f>
        <v>#REF!</v>
      </c>
      <c r="D149" s="157"/>
      <c r="E149" s="257" t="e">
        <f>#REF!</f>
        <v>#REF!</v>
      </c>
      <c r="G149" s="168" t="e">
        <f t="shared" si="1"/>
        <v>#REF!</v>
      </c>
      <c r="H149" s="256" t="e">
        <f>TRIM(#REF!)</f>
        <v>#REF!</v>
      </c>
      <c r="I149" s="157"/>
      <c r="J149"/>
      <c r="K149"/>
      <c r="L149"/>
      <c r="M149"/>
      <c r="N149"/>
      <c r="O149"/>
      <c r="P149" s="157"/>
      <c r="R149" s="255"/>
      <c r="AA149" s="192"/>
      <c r="AB149" s="192"/>
      <c r="AC149" s="192"/>
      <c r="AD149" s="192"/>
      <c r="AE149" s="192"/>
      <c r="CC149" s="254"/>
      <c r="CD149" s="254"/>
    </row>
    <row r="150" spans="2:82" s="163" customFormat="1" ht="15.5" hidden="1">
      <c r="B150" s="192" t="e">
        <f t="shared" si="0"/>
        <v>#REF!</v>
      </c>
      <c r="C150" s="256" t="e">
        <f>TRIM(#REF!)</f>
        <v>#REF!</v>
      </c>
      <c r="D150" s="157"/>
      <c r="E150" s="257" t="e">
        <f>#REF!</f>
        <v>#REF!</v>
      </c>
      <c r="G150" s="168" t="e">
        <f t="shared" si="1"/>
        <v>#REF!</v>
      </c>
      <c r="H150" s="256" t="e">
        <f>TRIM(#REF!)</f>
        <v>#REF!</v>
      </c>
      <c r="I150" s="157"/>
      <c r="J150"/>
      <c r="K150"/>
      <c r="L150"/>
      <c r="M150"/>
      <c r="N150"/>
      <c r="O150"/>
      <c r="P150" s="157"/>
      <c r="R150" s="255"/>
      <c r="AA150" s="192"/>
      <c r="AB150" s="192"/>
      <c r="AC150" s="192"/>
      <c r="AD150" s="192"/>
      <c r="AE150" s="192"/>
      <c r="CC150" s="254"/>
      <c r="CD150" s="254"/>
    </row>
    <row r="151" spans="2:82" s="163" customFormat="1" ht="15.5" hidden="1">
      <c r="B151" s="192" t="e">
        <f t="shared" si="0"/>
        <v>#REF!</v>
      </c>
      <c r="C151" s="256" t="e">
        <f>TRIM(#REF!)</f>
        <v>#REF!</v>
      </c>
      <c r="D151" s="157"/>
      <c r="E151" s="257" t="e">
        <f>#REF!</f>
        <v>#REF!</v>
      </c>
      <c r="G151" s="168" t="e">
        <f t="shared" si="1"/>
        <v>#REF!</v>
      </c>
      <c r="H151" s="256" t="e">
        <f>TRIM(#REF!)</f>
        <v>#REF!</v>
      </c>
      <c r="I151" s="157"/>
      <c r="J151"/>
      <c r="K151"/>
      <c r="L151"/>
      <c r="M151"/>
      <c r="N151"/>
      <c r="O151"/>
      <c r="P151" s="157"/>
      <c r="R151" s="255"/>
      <c r="AA151" s="192"/>
      <c r="AB151" s="192"/>
      <c r="AC151" s="192"/>
      <c r="AD151" s="192"/>
      <c r="AE151" s="192"/>
      <c r="CC151" s="254"/>
      <c r="CD151" s="254"/>
    </row>
    <row r="152" spans="2:82" s="163" customFormat="1" ht="15.5" hidden="1">
      <c r="B152" s="192" t="e">
        <f t="shared" si="0"/>
        <v>#REF!</v>
      </c>
      <c r="C152" s="256" t="e">
        <f>TRIM(#REF!)</f>
        <v>#REF!</v>
      </c>
      <c r="D152" s="157"/>
      <c r="E152" s="257" t="e">
        <f>#REF!</f>
        <v>#REF!</v>
      </c>
      <c r="G152" s="168" t="e">
        <f t="shared" si="1"/>
        <v>#REF!</v>
      </c>
      <c r="H152" s="256" t="e">
        <f>TRIM(#REF!)</f>
        <v>#REF!</v>
      </c>
      <c r="I152" s="157"/>
      <c r="J152"/>
      <c r="K152"/>
      <c r="L152"/>
      <c r="M152"/>
      <c r="N152"/>
      <c r="O152"/>
      <c r="P152" s="157"/>
      <c r="R152" s="255"/>
      <c r="AA152" s="192"/>
      <c r="AB152" s="192"/>
      <c r="AC152" s="192"/>
      <c r="AD152" s="192"/>
      <c r="AE152" s="192"/>
      <c r="CC152" s="254"/>
      <c r="CD152" s="254"/>
    </row>
    <row r="153" spans="2:82" s="163" customFormat="1" ht="15.5" hidden="1">
      <c r="B153" s="192" t="e">
        <f t="shared" si="0"/>
        <v>#REF!</v>
      </c>
      <c r="C153" s="256" t="e">
        <f>TRIM(#REF!)</f>
        <v>#REF!</v>
      </c>
      <c r="D153" s="157"/>
      <c r="E153" s="257" t="e">
        <f>#REF!</f>
        <v>#REF!</v>
      </c>
      <c r="G153" s="168" t="e">
        <f t="shared" si="1"/>
        <v>#REF!</v>
      </c>
      <c r="H153" s="256" t="e">
        <f>TRIM(#REF!)</f>
        <v>#REF!</v>
      </c>
      <c r="I153" s="157"/>
      <c r="J153"/>
      <c r="K153"/>
      <c r="L153"/>
      <c r="M153"/>
      <c r="N153"/>
      <c r="O153"/>
      <c r="P153" s="157"/>
      <c r="R153" s="255"/>
      <c r="AA153" s="192"/>
      <c r="AB153" s="192"/>
      <c r="AC153" s="192"/>
      <c r="AD153" s="192"/>
      <c r="AE153" s="192"/>
      <c r="CC153" s="254"/>
      <c r="CD153" s="254"/>
    </row>
    <row r="154" spans="2:82" s="163" customFormat="1" ht="15.5" hidden="1">
      <c r="B154" s="192" t="e">
        <f t="shared" si="0"/>
        <v>#REF!</v>
      </c>
      <c r="C154" s="256" t="e">
        <f>TRIM(#REF!)</f>
        <v>#REF!</v>
      </c>
      <c r="D154" s="157"/>
      <c r="E154" s="257" t="e">
        <f>#REF!</f>
        <v>#REF!</v>
      </c>
      <c r="G154" s="168" t="e">
        <f t="shared" si="1"/>
        <v>#REF!</v>
      </c>
      <c r="H154" s="256" t="e">
        <f>TRIM(#REF!)</f>
        <v>#REF!</v>
      </c>
      <c r="I154" s="157"/>
      <c r="J154"/>
      <c r="K154"/>
      <c r="L154"/>
      <c r="M154"/>
      <c r="N154"/>
      <c r="O154"/>
      <c r="P154" s="157"/>
      <c r="R154" s="255"/>
      <c r="AA154" s="192"/>
      <c r="AB154" s="192"/>
      <c r="AC154" s="192"/>
      <c r="AD154" s="192"/>
      <c r="AE154" s="192"/>
      <c r="CC154" s="254"/>
      <c r="CD154" s="254"/>
    </row>
    <row r="155" spans="2:82" s="163" customFormat="1" ht="15.5" hidden="1">
      <c r="B155" s="192" t="e">
        <f t="shared" si="0"/>
        <v>#REF!</v>
      </c>
      <c r="C155" s="256" t="e">
        <f>TRIM(#REF!)</f>
        <v>#REF!</v>
      </c>
      <c r="D155" s="157"/>
      <c r="E155" s="257" t="e">
        <f>#REF!</f>
        <v>#REF!</v>
      </c>
      <c r="G155" s="168" t="e">
        <f t="shared" si="1"/>
        <v>#REF!</v>
      </c>
      <c r="H155" s="256" t="e">
        <f>TRIM(#REF!)</f>
        <v>#REF!</v>
      </c>
      <c r="I155" s="157"/>
      <c r="J155"/>
      <c r="K155"/>
      <c r="L155"/>
      <c r="M155"/>
      <c r="N155"/>
      <c r="O155"/>
      <c r="P155" s="157"/>
      <c r="R155" s="255"/>
      <c r="AA155" s="192"/>
      <c r="AB155" s="192"/>
      <c r="AC155" s="192"/>
      <c r="AD155" s="192"/>
      <c r="AE155" s="192"/>
      <c r="CC155" s="254"/>
      <c r="CD155" s="254"/>
    </row>
    <row r="156" spans="2:82" s="163" customFormat="1" ht="15.5" hidden="1">
      <c r="B156" s="192" t="e">
        <f t="shared" si="0"/>
        <v>#REF!</v>
      </c>
      <c r="C156" s="256" t="e">
        <f>TRIM(#REF!)</f>
        <v>#REF!</v>
      </c>
      <c r="D156" s="157"/>
      <c r="E156" s="257" t="e">
        <f>#REF!</f>
        <v>#REF!</v>
      </c>
      <c r="G156" s="168" t="e">
        <f t="shared" si="1"/>
        <v>#REF!</v>
      </c>
      <c r="H156" s="256" t="e">
        <f>TRIM(#REF!)</f>
        <v>#REF!</v>
      </c>
      <c r="I156" s="157"/>
      <c r="J156"/>
      <c r="K156"/>
      <c r="L156"/>
      <c r="M156"/>
      <c r="N156"/>
      <c r="O156"/>
      <c r="P156" s="157"/>
      <c r="R156" s="255"/>
      <c r="AA156" s="192"/>
      <c r="AB156" s="192"/>
      <c r="AC156" s="192"/>
      <c r="AD156" s="192"/>
      <c r="AE156" s="192"/>
      <c r="CC156" s="254"/>
      <c r="CD156" s="254"/>
    </row>
    <row r="157" spans="2:82" s="163" customFormat="1" ht="15.5" hidden="1">
      <c r="B157" s="192" t="e">
        <f t="shared" si="0"/>
        <v>#REF!</v>
      </c>
      <c r="C157" s="256" t="e">
        <f>TRIM(#REF!)</f>
        <v>#REF!</v>
      </c>
      <c r="D157" s="157"/>
      <c r="E157" s="257" t="e">
        <f>#REF!</f>
        <v>#REF!</v>
      </c>
      <c r="G157" s="168" t="e">
        <f t="shared" si="1"/>
        <v>#REF!</v>
      </c>
      <c r="H157" s="256" t="e">
        <f>TRIM(#REF!)</f>
        <v>#REF!</v>
      </c>
      <c r="I157" s="157"/>
      <c r="J157"/>
      <c r="K157"/>
      <c r="L157"/>
      <c r="M157"/>
      <c r="N157"/>
      <c r="O157"/>
      <c r="P157" s="157"/>
      <c r="R157" s="255"/>
      <c r="AA157" s="192"/>
      <c r="AB157" s="192"/>
      <c r="AC157" s="192"/>
      <c r="AD157" s="192"/>
      <c r="AE157" s="192"/>
      <c r="CC157" s="254"/>
      <c r="CD157" s="254"/>
    </row>
    <row r="158" spans="2:82" s="163" customFormat="1" ht="15.5" hidden="1">
      <c r="B158" s="192" t="e">
        <f t="shared" si="0"/>
        <v>#REF!</v>
      </c>
      <c r="C158" s="256" t="e">
        <f>TRIM(#REF!)</f>
        <v>#REF!</v>
      </c>
      <c r="D158" s="157"/>
      <c r="E158" s="257" t="e">
        <f>#REF!</f>
        <v>#REF!</v>
      </c>
      <c r="G158" s="168" t="e">
        <f t="shared" si="1"/>
        <v>#REF!</v>
      </c>
      <c r="H158" s="256" t="e">
        <f>TRIM(#REF!)</f>
        <v>#REF!</v>
      </c>
      <c r="I158" s="157"/>
      <c r="J158"/>
      <c r="K158"/>
      <c r="L158"/>
      <c r="M158"/>
      <c r="N158"/>
      <c r="O158"/>
      <c r="P158" s="157"/>
      <c r="R158" s="255"/>
      <c r="AA158" s="192"/>
      <c r="AB158" s="192"/>
      <c r="AC158" s="192"/>
      <c r="AD158" s="192"/>
      <c r="AE158" s="192"/>
      <c r="CC158" s="254"/>
      <c r="CD158" s="254"/>
    </row>
    <row r="159" spans="2:82" s="163" customFormat="1" ht="15.5" hidden="1">
      <c r="B159" s="192" t="e">
        <f t="shared" si="0"/>
        <v>#REF!</v>
      </c>
      <c r="C159" s="256" t="e">
        <f>TRIM(#REF!)</f>
        <v>#REF!</v>
      </c>
      <c r="D159" s="157"/>
      <c r="E159" s="257" t="e">
        <f>#REF!</f>
        <v>#REF!</v>
      </c>
      <c r="G159" s="168" t="e">
        <f t="shared" si="1"/>
        <v>#REF!</v>
      </c>
      <c r="H159" s="256" t="e">
        <f>TRIM(#REF!)</f>
        <v>#REF!</v>
      </c>
      <c r="I159" s="157"/>
      <c r="J159"/>
      <c r="K159"/>
      <c r="L159"/>
      <c r="M159"/>
      <c r="N159"/>
      <c r="O159"/>
      <c r="P159" s="157"/>
      <c r="R159" s="255"/>
      <c r="AA159" s="192"/>
      <c r="AB159" s="192"/>
      <c r="AC159" s="192"/>
      <c r="AD159" s="192"/>
      <c r="AE159" s="192"/>
      <c r="CC159" s="254"/>
      <c r="CD159" s="254"/>
    </row>
    <row r="160" spans="2:82" s="163" customFormat="1" ht="15.5" hidden="1">
      <c r="B160" s="192" t="e">
        <f t="shared" si="0"/>
        <v>#REF!</v>
      </c>
      <c r="C160" s="256" t="e">
        <f>TRIM(#REF!)</f>
        <v>#REF!</v>
      </c>
      <c r="D160" s="157"/>
      <c r="E160" s="257" t="e">
        <f>#REF!</f>
        <v>#REF!</v>
      </c>
      <c r="G160" s="168" t="e">
        <f t="shared" si="1"/>
        <v>#REF!</v>
      </c>
      <c r="H160" s="256" t="e">
        <f>TRIM(#REF!)</f>
        <v>#REF!</v>
      </c>
      <c r="I160" s="157"/>
      <c r="J160"/>
      <c r="K160"/>
      <c r="L160"/>
      <c r="M160"/>
      <c r="N160"/>
      <c r="O160"/>
      <c r="P160" s="157"/>
      <c r="R160" s="255"/>
      <c r="AA160" s="192"/>
      <c r="AB160" s="192"/>
      <c r="AC160" s="192"/>
      <c r="AD160" s="192"/>
      <c r="AE160" s="192"/>
      <c r="CC160" s="254"/>
      <c r="CD160" s="254"/>
    </row>
    <row r="161" spans="2:82" s="163" customFormat="1" ht="15.5" hidden="1">
      <c r="B161" s="192" t="e">
        <f t="shared" si="0"/>
        <v>#REF!</v>
      </c>
      <c r="C161" s="256" t="e">
        <f>TRIM(#REF!)</f>
        <v>#REF!</v>
      </c>
      <c r="D161" s="157"/>
      <c r="E161" s="257" t="e">
        <f>#REF!</f>
        <v>#REF!</v>
      </c>
      <c r="G161" s="168" t="e">
        <f t="shared" si="1"/>
        <v>#REF!</v>
      </c>
      <c r="H161" s="256" t="e">
        <f>TRIM(#REF!)</f>
        <v>#REF!</v>
      </c>
      <c r="I161" s="157"/>
      <c r="J161"/>
      <c r="K161"/>
      <c r="L161"/>
      <c r="M161"/>
      <c r="N161"/>
      <c r="O161"/>
      <c r="P161" s="157"/>
      <c r="R161" s="255"/>
      <c r="AA161" s="192"/>
      <c r="AB161" s="192"/>
      <c r="AC161" s="192"/>
      <c r="AD161" s="192"/>
      <c r="AE161" s="192"/>
      <c r="CC161" s="254"/>
      <c r="CD161" s="254"/>
    </row>
    <row r="162" spans="2:82" s="163" customFormat="1" ht="15.5" hidden="1">
      <c r="B162" s="192" t="e">
        <f t="shared" si="0"/>
        <v>#REF!</v>
      </c>
      <c r="C162" s="256" t="e">
        <f>TRIM(#REF!)</f>
        <v>#REF!</v>
      </c>
      <c r="D162" s="157"/>
      <c r="E162" s="257" t="e">
        <f>#REF!</f>
        <v>#REF!</v>
      </c>
      <c r="G162" s="168" t="e">
        <f t="shared" si="1"/>
        <v>#REF!</v>
      </c>
      <c r="H162" s="256" t="e">
        <f>TRIM(#REF!)</f>
        <v>#REF!</v>
      </c>
      <c r="I162" s="157"/>
      <c r="J162"/>
      <c r="K162"/>
      <c r="L162"/>
      <c r="M162"/>
      <c r="N162"/>
      <c r="O162"/>
      <c r="P162" s="157"/>
      <c r="R162" s="255"/>
      <c r="AA162" s="192"/>
      <c r="AB162" s="192"/>
      <c r="AC162" s="192"/>
      <c r="AD162" s="192"/>
      <c r="AE162" s="192"/>
      <c r="CC162" s="254"/>
      <c r="CD162" s="254"/>
    </row>
    <row r="163" spans="2:82" s="163" customFormat="1" ht="15.5" hidden="1">
      <c r="B163" s="192" t="e">
        <f t="shared" si="0"/>
        <v>#REF!</v>
      </c>
      <c r="C163" s="256" t="e">
        <f>TRIM(#REF!)</f>
        <v>#REF!</v>
      </c>
      <c r="D163" s="157"/>
      <c r="E163" s="257" t="e">
        <f>#REF!</f>
        <v>#REF!</v>
      </c>
      <c r="G163" s="168" t="e">
        <f t="shared" si="1"/>
        <v>#REF!</v>
      </c>
      <c r="H163" s="256" t="e">
        <f>TRIM(#REF!)</f>
        <v>#REF!</v>
      </c>
      <c r="I163" s="157"/>
      <c r="J163"/>
      <c r="K163"/>
      <c r="L163"/>
      <c r="M163"/>
      <c r="N163"/>
      <c r="O163"/>
      <c r="P163" s="157"/>
      <c r="R163" s="255"/>
      <c r="AA163" s="192"/>
      <c r="AB163" s="192"/>
      <c r="AC163" s="192"/>
      <c r="AD163" s="192"/>
      <c r="AE163" s="192"/>
      <c r="CC163" s="254"/>
      <c r="CD163" s="254"/>
    </row>
    <row r="164" spans="2:82" s="163" customFormat="1" ht="15.5" hidden="1">
      <c r="B164" s="192" t="e">
        <f t="shared" si="0"/>
        <v>#REF!</v>
      </c>
      <c r="C164" s="256" t="e">
        <f>TRIM(#REF!)</f>
        <v>#REF!</v>
      </c>
      <c r="D164" s="157"/>
      <c r="E164" s="257" t="e">
        <f>#REF!</f>
        <v>#REF!</v>
      </c>
      <c r="G164" s="168" t="e">
        <f t="shared" si="1"/>
        <v>#REF!</v>
      </c>
      <c r="H164" s="256" t="e">
        <f>TRIM(#REF!)</f>
        <v>#REF!</v>
      </c>
      <c r="I164" s="157"/>
      <c r="J164"/>
      <c r="K164"/>
      <c r="L164"/>
      <c r="M164"/>
      <c r="N164"/>
      <c r="O164"/>
      <c r="P164" s="157"/>
      <c r="R164" s="255"/>
      <c r="AA164" s="192"/>
      <c r="AB164" s="192"/>
      <c r="AC164" s="192"/>
      <c r="AD164" s="192"/>
      <c r="AE164" s="192"/>
      <c r="CC164" s="254"/>
      <c r="CD164" s="254"/>
    </row>
    <row r="165" spans="2:82" s="163" customFormat="1" ht="15.5" hidden="1">
      <c r="B165" s="192" t="e">
        <f t="shared" si="0"/>
        <v>#REF!</v>
      </c>
      <c r="C165" s="256" t="e">
        <f>TRIM(#REF!)</f>
        <v>#REF!</v>
      </c>
      <c r="D165" s="157"/>
      <c r="E165" s="257" t="e">
        <f>#REF!</f>
        <v>#REF!</v>
      </c>
      <c r="G165" s="168" t="e">
        <f t="shared" si="1"/>
        <v>#REF!</v>
      </c>
      <c r="H165" s="256" t="e">
        <f>TRIM(#REF!)</f>
        <v>#REF!</v>
      </c>
      <c r="I165" s="157"/>
      <c r="J165"/>
      <c r="K165"/>
      <c r="L165"/>
      <c r="M165"/>
      <c r="N165"/>
      <c r="O165"/>
      <c r="P165" s="157"/>
      <c r="R165" s="255"/>
      <c r="AA165" s="192"/>
      <c r="AB165" s="192"/>
      <c r="AC165" s="192"/>
      <c r="AD165" s="192"/>
      <c r="AE165" s="192"/>
      <c r="CC165" s="254"/>
      <c r="CD165" s="254"/>
    </row>
    <row r="166" spans="2:82" s="163" customFormat="1" ht="15.5" hidden="1">
      <c r="B166" s="192" t="e">
        <f t="shared" si="0"/>
        <v>#REF!</v>
      </c>
      <c r="C166" s="256" t="e">
        <f>TRIM(#REF!)</f>
        <v>#REF!</v>
      </c>
      <c r="D166" s="157"/>
      <c r="E166" s="257" t="e">
        <f>#REF!</f>
        <v>#REF!</v>
      </c>
      <c r="G166" s="168" t="e">
        <f t="shared" si="1"/>
        <v>#REF!</v>
      </c>
      <c r="H166" s="256" t="e">
        <f>TRIM(#REF!)</f>
        <v>#REF!</v>
      </c>
      <c r="I166" s="157"/>
      <c r="J166"/>
      <c r="K166"/>
      <c r="L166"/>
      <c r="M166"/>
      <c r="N166"/>
      <c r="O166"/>
      <c r="P166" s="157"/>
      <c r="R166" s="255"/>
      <c r="AA166" s="192"/>
      <c r="AB166" s="192"/>
      <c r="AC166" s="192"/>
      <c r="AD166" s="192"/>
      <c r="AE166" s="192"/>
      <c r="CC166" s="254"/>
      <c r="CD166" s="254"/>
    </row>
    <row r="167" spans="2:82" s="163" customFormat="1" ht="15.5" hidden="1">
      <c r="B167" s="192" t="e">
        <f t="shared" si="0"/>
        <v>#REF!</v>
      </c>
      <c r="C167" s="256" t="e">
        <f>TRIM(#REF!)</f>
        <v>#REF!</v>
      </c>
      <c r="D167" s="157"/>
      <c r="E167" s="257" t="e">
        <f>#REF!</f>
        <v>#REF!</v>
      </c>
      <c r="G167" s="168" t="e">
        <f t="shared" si="1"/>
        <v>#REF!</v>
      </c>
      <c r="H167" s="256" t="e">
        <f>TRIM(#REF!)</f>
        <v>#REF!</v>
      </c>
      <c r="I167" s="157"/>
      <c r="J167"/>
      <c r="K167"/>
      <c r="L167"/>
      <c r="M167"/>
      <c r="N167"/>
      <c r="O167"/>
      <c r="P167" s="157"/>
      <c r="R167" s="255"/>
      <c r="AA167" s="192"/>
      <c r="AB167" s="192"/>
      <c r="AC167" s="192"/>
      <c r="AD167" s="192"/>
      <c r="AE167" s="192"/>
      <c r="CC167" s="254"/>
      <c r="CD167" s="254"/>
    </row>
    <row r="168" spans="2:82" s="163" customFormat="1" ht="15.5" hidden="1">
      <c r="B168" s="192" t="e">
        <f t="shared" si="0"/>
        <v>#REF!</v>
      </c>
      <c r="C168" s="256" t="e">
        <f>TRIM(#REF!)</f>
        <v>#REF!</v>
      </c>
      <c r="D168" s="157"/>
      <c r="E168" s="257" t="e">
        <f>#REF!</f>
        <v>#REF!</v>
      </c>
      <c r="G168" s="168" t="e">
        <f t="shared" si="1"/>
        <v>#REF!</v>
      </c>
      <c r="H168" s="256" t="e">
        <f>TRIM(#REF!)</f>
        <v>#REF!</v>
      </c>
      <c r="I168" s="157"/>
      <c r="J168"/>
      <c r="K168"/>
      <c r="L168"/>
      <c r="M168"/>
      <c r="N168"/>
      <c r="O168"/>
      <c r="P168" s="157"/>
      <c r="R168" s="255"/>
      <c r="AA168" s="192"/>
      <c r="AB168" s="192"/>
      <c r="AC168" s="192"/>
      <c r="AD168" s="192"/>
      <c r="AE168" s="192"/>
      <c r="CC168" s="254"/>
      <c r="CD168" s="254"/>
    </row>
    <row r="169" spans="2:82" s="163" customFormat="1" ht="15.5" hidden="1">
      <c r="B169" s="192" t="e">
        <f t="shared" si="0"/>
        <v>#REF!</v>
      </c>
      <c r="C169" s="256" t="e">
        <f>TRIM(#REF!)</f>
        <v>#REF!</v>
      </c>
      <c r="D169" s="157"/>
      <c r="E169" s="257" t="e">
        <f>#REF!</f>
        <v>#REF!</v>
      </c>
      <c r="G169" s="168" t="e">
        <f t="shared" si="1"/>
        <v>#REF!</v>
      </c>
      <c r="H169" s="256" t="e">
        <f>TRIM(#REF!)</f>
        <v>#REF!</v>
      </c>
      <c r="I169" s="157"/>
      <c r="J169"/>
      <c r="K169"/>
      <c r="L169"/>
      <c r="M169"/>
      <c r="N169"/>
      <c r="O169"/>
      <c r="P169" s="157"/>
      <c r="R169" s="255"/>
      <c r="AA169" s="192"/>
      <c r="AB169" s="192"/>
      <c r="AC169" s="192"/>
      <c r="AD169" s="192"/>
      <c r="AE169" s="192"/>
      <c r="CC169" s="254"/>
      <c r="CD169" s="254"/>
    </row>
    <row r="170" spans="2:82" s="163" customFormat="1" ht="15.5" hidden="1">
      <c r="B170" s="192" t="e">
        <f t="shared" si="0"/>
        <v>#REF!</v>
      </c>
      <c r="C170" s="256" t="e">
        <f>TRIM(#REF!)</f>
        <v>#REF!</v>
      </c>
      <c r="D170" s="157"/>
      <c r="E170" s="257" t="e">
        <f>#REF!</f>
        <v>#REF!</v>
      </c>
      <c r="G170" s="168" t="e">
        <f t="shared" si="1"/>
        <v>#REF!</v>
      </c>
      <c r="H170" s="256" t="e">
        <f>TRIM(#REF!)</f>
        <v>#REF!</v>
      </c>
      <c r="I170" s="157"/>
      <c r="J170"/>
      <c r="K170"/>
      <c r="L170"/>
      <c r="M170"/>
      <c r="N170"/>
      <c r="O170"/>
      <c r="P170" s="157"/>
      <c r="R170" s="255"/>
      <c r="AA170" s="192"/>
      <c r="AB170" s="192"/>
      <c r="AC170" s="192"/>
      <c r="AD170" s="192"/>
      <c r="AE170" s="192"/>
      <c r="CC170" s="254"/>
      <c r="CD170" s="254"/>
    </row>
    <row r="171" spans="2:82" s="163" customFormat="1" ht="15.5" hidden="1">
      <c r="B171" s="192" t="e">
        <f t="shared" si="0"/>
        <v>#REF!</v>
      </c>
      <c r="C171" s="256" t="e">
        <f>TRIM(#REF!)</f>
        <v>#REF!</v>
      </c>
      <c r="D171" s="157"/>
      <c r="E171" s="257" t="e">
        <f>#REF!</f>
        <v>#REF!</v>
      </c>
      <c r="G171" s="168" t="e">
        <f t="shared" si="1"/>
        <v>#REF!</v>
      </c>
      <c r="H171" s="256" t="e">
        <f>TRIM(#REF!)</f>
        <v>#REF!</v>
      </c>
      <c r="I171" s="157"/>
      <c r="J171"/>
      <c r="K171"/>
      <c r="L171"/>
      <c r="M171"/>
      <c r="N171"/>
      <c r="O171"/>
      <c r="P171" s="157"/>
      <c r="R171" s="255"/>
      <c r="AA171" s="192"/>
      <c r="AB171" s="192"/>
      <c r="AC171" s="192"/>
      <c r="AD171" s="192"/>
      <c r="AE171" s="192"/>
      <c r="CC171" s="254"/>
      <c r="CD171" s="254"/>
    </row>
    <row r="172" spans="2:82" s="163" customFormat="1" ht="15.5" hidden="1">
      <c r="B172" s="192" t="e">
        <f t="shared" si="0"/>
        <v>#REF!</v>
      </c>
      <c r="C172" s="256" t="e">
        <f>TRIM(#REF!)</f>
        <v>#REF!</v>
      </c>
      <c r="D172" s="157"/>
      <c r="E172" s="257" t="e">
        <f>#REF!</f>
        <v>#REF!</v>
      </c>
      <c r="G172" s="168" t="e">
        <f t="shared" si="1"/>
        <v>#REF!</v>
      </c>
      <c r="H172" s="256" t="e">
        <f>TRIM(#REF!)</f>
        <v>#REF!</v>
      </c>
      <c r="I172" s="157"/>
      <c r="J172"/>
      <c r="K172"/>
      <c r="L172"/>
      <c r="M172"/>
      <c r="N172"/>
      <c r="O172"/>
      <c r="P172" s="157"/>
      <c r="R172" s="255"/>
      <c r="AA172" s="192"/>
      <c r="AB172" s="192"/>
      <c r="AC172" s="192"/>
      <c r="AD172" s="192"/>
      <c r="AE172" s="192"/>
      <c r="CC172" s="254"/>
      <c r="CD172" s="254"/>
    </row>
    <row r="173" spans="2:82" s="163" customFormat="1" ht="15.5" hidden="1">
      <c r="B173" s="192" t="e">
        <f t="shared" si="0"/>
        <v>#REF!</v>
      </c>
      <c r="C173" s="256" t="e">
        <f>TRIM(#REF!)</f>
        <v>#REF!</v>
      </c>
      <c r="D173" s="157"/>
      <c r="E173" s="257" t="e">
        <f>#REF!</f>
        <v>#REF!</v>
      </c>
      <c r="G173" s="168" t="e">
        <f t="shared" si="1"/>
        <v>#REF!</v>
      </c>
      <c r="H173" s="256" t="e">
        <f>TRIM(#REF!)</f>
        <v>#REF!</v>
      </c>
      <c r="I173" s="157"/>
      <c r="J173"/>
      <c r="K173"/>
      <c r="L173"/>
      <c r="M173"/>
      <c r="N173"/>
      <c r="O173"/>
      <c r="P173" s="157"/>
      <c r="R173" s="255"/>
      <c r="AA173" s="192"/>
      <c r="AB173" s="192"/>
      <c r="AC173" s="192"/>
      <c r="AD173" s="192"/>
      <c r="AE173" s="192"/>
      <c r="CC173" s="254"/>
      <c r="CD173" s="254"/>
    </row>
    <row r="174" spans="2:82" s="163" customFormat="1" ht="15.5" hidden="1">
      <c r="B174" s="192" t="e">
        <f t="shared" si="0"/>
        <v>#REF!</v>
      </c>
      <c r="C174" s="256" t="e">
        <f>TRIM(#REF!)</f>
        <v>#REF!</v>
      </c>
      <c r="D174" s="157"/>
      <c r="E174" s="257" t="e">
        <f>#REF!</f>
        <v>#REF!</v>
      </c>
      <c r="G174" s="168" t="e">
        <f t="shared" si="1"/>
        <v>#REF!</v>
      </c>
      <c r="H174" s="256" t="e">
        <f>TRIM(#REF!)</f>
        <v>#REF!</v>
      </c>
      <c r="I174" s="157"/>
      <c r="J174"/>
      <c r="K174"/>
      <c r="L174"/>
      <c r="M174"/>
      <c r="N174"/>
      <c r="O174"/>
      <c r="P174" s="157"/>
      <c r="R174" s="255"/>
      <c r="AA174" s="192"/>
      <c r="AB174" s="192"/>
      <c r="AC174" s="192"/>
      <c r="AD174" s="192"/>
      <c r="AE174" s="192"/>
      <c r="CC174" s="254"/>
      <c r="CD174" s="254"/>
    </row>
    <row r="175" spans="2:82" s="163" customFormat="1" ht="15.5" hidden="1">
      <c r="B175" s="192" t="e">
        <f t="shared" si="0"/>
        <v>#REF!</v>
      </c>
      <c r="C175" s="256" t="e">
        <f>TRIM(#REF!)</f>
        <v>#REF!</v>
      </c>
      <c r="D175" s="157"/>
      <c r="E175" s="257" t="e">
        <f>#REF!</f>
        <v>#REF!</v>
      </c>
      <c r="G175" s="168" t="e">
        <f t="shared" si="1"/>
        <v>#REF!</v>
      </c>
      <c r="H175" s="256" t="e">
        <f>TRIM(#REF!)</f>
        <v>#REF!</v>
      </c>
      <c r="I175" s="157"/>
      <c r="J175"/>
      <c r="K175"/>
      <c r="L175"/>
      <c r="M175"/>
      <c r="N175"/>
      <c r="O175"/>
      <c r="P175" s="157"/>
      <c r="R175" s="255"/>
      <c r="AA175" s="192"/>
      <c r="AB175" s="192"/>
      <c r="AC175" s="192"/>
      <c r="AD175" s="192"/>
      <c r="AE175" s="192"/>
      <c r="CC175" s="254"/>
      <c r="CD175" s="254"/>
    </row>
    <row r="176" spans="2:82" s="163" customFormat="1" ht="15.5" hidden="1">
      <c r="B176" s="192" t="e">
        <f t="shared" si="0"/>
        <v>#REF!</v>
      </c>
      <c r="C176" s="256" t="e">
        <f>TRIM(#REF!)</f>
        <v>#REF!</v>
      </c>
      <c r="D176" s="157"/>
      <c r="E176" s="257" t="e">
        <f>#REF!</f>
        <v>#REF!</v>
      </c>
      <c r="G176" s="168" t="e">
        <f t="shared" si="1"/>
        <v>#REF!</v>
      </c>
      <c r="H176" s="256" t="e">
        <f>TRIM(#REF!)</f>
        <v>#REF!</v>
      </c>
      <c r="I176" s="157"/>
      <c r="J176"/>
      <c r="K176"/>
      <c r="L176"/>
      <c r="M176"/>
      <c r="N176"/>
      <c r="O176"/>
      <c r="P176" s="157"/>
      <c r="R176" s="255"/>
      <c r="AA176" s="192"/>
      <c r="AB176" s="192"/>
      <c r="AC176" s="192"/>
      <c r="AD176" s="192"/>
      <c r="AE176" s="192"/>
      <c r="CC176" s="254"/>
      <c r="CD176" s="254"/>
    </row>
  </sheetData>
  <mergeCells count="2">
    <mergeCell ref="E12:H12"/>
    <mergeCell ref="C12:C13"/>
  </mergeCells>
  <conditionalFormatting sqref="C137:C176 E137:E176">
    <cfRule type="expression" dxfId="228" priority="18">
      <formula>$B137=0</formula>
    </cfRule>
  </conditionalFormatting>
  <conditionalFormatting sqref="H137:H176">
    <cfRule type="expression" dxfId="227" priority="12">
      <formula>$G137=2</formula>
    </cfRule>
    <cfRule type="expression" dxfId="226" priority="13">
      <formula>$G137=3</formula>
    </cfRule>
  </conditionalFormatting>
  <conditionalFormatting sqref="C137:C176 E137:E176">
    <cfRule type="expression" dxfId="225" priority="15">
      <formula>$B137=2</formula>
    </cfRule>
    <cfRule type="expression" dxfId="224" priority="16">
      <formula>$B137=3</formula>
    </cfRule>
    <cfRule type="expression" dxfId="223" priority="17">
      <formula>$B137=0</formula>
    </cfRule>
  </conditionalFormatting>
  <conditionalFormatting sqref="H137:H176">
    <cfRule type="expression" dxfId="222" priority="14">
      <formula>$G137=0</formula>
    </cfRule>
  </conditionalFormatting>
  <conditionalFormatting sqref="G15:G24">
    <cfRule type="expression" dxfId="221" priority="3">
      <formula>$F15=4</formula>
    </cfRule>
    <cfRule type="expression" dxfId="220" priority="4">
      <formula>$F15=3</formula>
    </cfRule>
    <cfRule type="expression" dxfId="219" priority="6">
      <formula>$F15=2</formula>
    </cfRule>
    <cfRule type="expression" dxfId="218" priority="7">
      <formula>$F15=1</formula>
    </cfRule>
  </conditionalFormatting>
  <conditionalFormatting sqref="C15:I24">
    <cfRule type="expression" dxfId="217" priority="1">
      <formula>$B15=0</formula>
    </cfRule>
  </conditionalFormatting>
  <pageMargins left="0.55118110236220474" right="0.55118110236220474" top="0.59055118110236227" bottom="0.78740157480314965" header="0.51181102362204722" footer="0.51181102362204722"/>
  <pageSetup paperSize="9" scale="38" orientation="landscape" r:id="rId1"/>
  <headerFooter alignWithMargins="0">
    <oddHeader>&amp;RCity Water Optimization Index: 2020</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451713" r:id="rId4" name="Cnt_Select">
              <controlPr defaultSize="0" autoLine="0" autoPict="0" macro="[0]!UniversalChanger">
                <anchor>
                  <from>
                    <xdr:col>6</xdr:col>
                    <xdr:colOff>317500</xdr:colOff>
                    <xdr:row>1</xdr:row>
                    <xdr:rowOff>508000</xdr:rowOff>
                  </from>
                  <to>
                    <xdr:col>9</xdr:col>
                    <xdr:colOff>171450</xdr:colOff>
                    <xdr:row>1</xdr:row>
                    <xdr:rowOff>717550</xdr:rowOff>
                  </to>
                </anchor>
              </controlPr>
            </control>
          </mc:Choice>
        </mc:AlternateContent>
        <mc:AlternateContent xmlns:mc="http://schemas.openxmlformats.org/markup-compatibility/2006">
          <mc:Choice Requires="x14">
            <control shapeId="14451714" r:id="rId5" name="CP_Cat_Select">
              <controlPr defaultSize="0" autoLine="0" autoPict="0" macro="[0]!UniversalChanger">
                <anchor>
                  <from>
                    <xdr:col>0</xdr:col>
                    <xdr:colOff>114300</xdr:colOff>
                    <xdr:row>1</xdr:row>
                    <xdr:rowOff>508000</xdr:rowOff>
                  </from>
                  <to>
                    <xdr:col>2</xdr:col>
                    <xdr:colOff>4470400</xdr:colOff>
                    <xdr:row>1</xdr:row>
                    <xdr:rowOff>717550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pageSetUpPr fitToPage="1"/>
  </sheetPr>
  <dimension ref="A1:CA144"/>
  <sheetViews>
    <sheetView showGridLines="0" showRowColHeaders="0" zoomScaleNormal="100" workbookViewId="0">
      <pane ySplit="13" topLeftCell="A14" activePane="bottomLeft" state="frozen"/>
      <selection activeCell="V38" sqref="V38"/>
      <selection pane="bottomLeft"/>
    </sheetView>
  </sheetViews>
  <sheetFormatPr defaultColWidth="5.453125" defaultRowHeight="14.5"/>
  <cols>
    <col min="1" max="1" width="2.54296875" style="157" customWidth="1"/>
    <col min="2" max="2" width="13.7265625" style="194" hidden="1" customWidth="1"/>
    <col min="3" max="3" width="60.453125" style="194" customWidth="1"/>
    <col min="4" max="4" width="10.54296875" style="194" customWidth="1"/>
    <col min="5" max="5" width="5.54296875" style="194" hidden="1" customWidth="1"/>
    <col min="6" max="6" width="5.54296875" style="253" customWidth="1"/>
    <col min="7" max="7" width="60.453125" style="194" customWidth="1"/>
    <col min="8" max="8" width="10.54296875" style="194" hidden="1" customWidth="1"/>
    <col min="9" max="9" width="9.453125" style="808" customWidth="1"/>
    <col min="10" max="10" width="9.54296875" style="194" customWidth="1"/>
    <col min="11" max="11" width="15.54296875" style="194" customWidth="1"/>
    <col min="12" max="12" width="3.453125" style="194" customWidth="1"/>
    <col min="13" max="13" width="0" style="157" hidden="1" customWidth="1"/>
    <col min="14" max="16" width="0" style="194" hidden="1" customWidth="1"/>
    <col min="17" max="20" width="9.453125" style="194" hidden="1" customWidth="1"/>
    <col min="21" max="22" width="12.54296875" customWidth="1"/>
    <col min="23" max="24" width="55.54296875" style="69" customWidth="1"/>
    <col min="25" max="27" width="12.54296875" customWidth="1"/>
    <col min="28" max="28" width="9.453125" style="174" hidden="1" customWidth="1"/>
    <col min="29" max="52" width="9.453125" style="194" hidden="1" customWidth="1"/>
    <col min="53" max="16384" width="5.453125" style="194"/>
  </cols>
  <sheetData>
    <row r="1" spans="1:79" s="132" customFormat="1" ht="22.5" customHeight="1">
      <c r="A1" s="599" t="str">
        <f>uxb_works!$B$92</f>
        <v>Digital Cities Index</v>
      </c>
      <c r="B1" s="599"/>
      <c r="C1" s="599"/>
      <c r="D1" s="599"/>
      <c r="E1" s="599"/>
      <c r="F1" s="599"/>
      <c r="G1" s="599"/>
      <c r="H1" s="599"/>
      <c r="I1" s="599"/>
      <c r="J1" s="599"/>
      <c r="K1" s="599"/>
      <c r="L1" s="599"/>
      <c r="M1" s="709"/>
      <c r="N1" s="710"/>
      <c r="O1" s="711"/>
      <c r="P1" s="709"/>
      <c r="Q1" s="709"/>
      <c r="R1" s="709"/>
      <c r="S1" s="709"/>
      <c r="T1" s="709"/>
      <c r="U1"/>
      <c r="V1"/>
      <c r="W1" s="69"/>
      <c r="X1" s="69"/>
      <c r="Y1"/>
      <c r="Z1"/>
      <c r="AA1"/>
      <c r="AB1" s="710"/>
      <c r="AC1" s="709" t="s">
        <v>944</v>
      </c>
      <c r="AD1" s="709"/>
      <c r="AE1" s="709"/>
      <c r="AF1" s="709"/>
      <c r="AG1" s="709"/>
      <c r="AH1" s="709"/>
      <c r="AI1" s="710"/>
      <c r="AJ1" s="710"/>
      <c r="BA1" s="133">
        <v>1</v>
      </c>
      <c r="BB1" s="133">
        <v>4</v>
      </c>
      <c r="BF1" s="132">
        <v>1</v>
      </c>
      <c r="BG1" s="132">
        <v>2</v>
      </c>
    </row>
    <row r="2" spans="1:79" s="156" customFormat="1" ht="63" customHeight="1">
      <c r="A2" s="709"/>
      <c r="B2" s="709"/>
      <c r="C2" s="709"/>
      <c r="D2" s="709"/>
      <c r="E2" s="709"/>
      <c r="F2" s="709"/>
      <c r="G2" s="710"/>
      <c r="H2" s="709"/>
      <c r="I2" s="709"/>
      <c r="J2" s="709"/>
      <c r="K2" s="709"/>
      <c r="L2" s="709"/>
      <c r="M2" s="709"/>
      <c r="N2" s="710"/>
      <c r="O2" s="709"/>
      <c r="P2" s="709"/>
      <c r="Q2" s="709"/>
      <c r="R2" s="709"/>
      <c r="S2" s="709"/>
      <c r="T2" s="709"/>
      <c r="U2"/>
      <c r="V2"/>
      <c r="W2" s="69"/>
      <c r="X2" s="69"/>
      <c r="Y2"/>
      <c r="Z2"/>
      <c r="AA2"/>
      <c r="AB2" s="710"/>
      <c r="AC2" s="709"/>
      <c r="AD2" s="709"/>
      <c r="AE2" s="709"/>
      <c r="AF2" s="709"/>
      <c r="AG2" s="709"/>
      <c r="AH2" s="709"/>
      <c r="AI2" s="710"/>
      <c r="AJ2" s="710"/>
    </row>
    <row r="3" spans="1:79" s="156" customFormat="1" ht="4" hidden="1" customHeight="1">
      <c r="A3" s="369" t="s">
        <v>954</v>
      </c>
      <c r="B3" s="369"/>
      <c r="C3" s="369"/>
      <c r="D3" s="369"/>
      <c r="E3" s="369"/>
      <c r="F3" s="369"/>
      <c r="G3" s="369"/>
      <c r="H3" s="369"/>
      <c r="I3" s="369"/>
      <c r="J3" s="369"/>
      <c r="K3" s="369"/>
      <c r="L3" s="369"/>
      <c r="M3" s="369"/>
      <c r="N3" s="369"/>
      <c r="O3" s="369"/>
      <c r="P3" s="369"/>
      <c r="Q3" s="369"/>
      <c r="R3" s="369"/>
      <c r="S3" s="369"/>
      <c r="T3" s="369"/>
      <c r="U3"/>
      <c r="V3"/>
      <c r="W3" s="69"/>
      <c r="X3" s="69"/>
      <c r="Y3"/>
      <c r="Z3"/>
      <c r="AA3"/>
      <c r="AB3" s="369"/>
      <c r="AC3" s="369"/>
      <c r="AD3" s="369"/>
      <c r="AE3" s="369"/>
      <c r="AF3" s="369"/>
      <c r="AG3" s="369"/>
      <c r="AH3" s="369"/>
      <c r="AI3" s="369"/>
      <c r="AJ3" s="369"/>
    </row>
    <row r="4" spans="1:79" s="156" customFormat="1" ht="50.15" hidden="1" customHeight="1">
      <c r="A4" s="370">
        <f>uxb_works!B111</f>
        <v>2</v>
      </c>
      <c r="B4" s="370"/>
      <c r="C4" s="370"/>
      <c r="D4" s="370"/>
      <c r="E4" s="370"/>
      <c r="F4" s="370"/>
      <c r="G4" s="370"/>
      <c r="H4" s="370"/>
      <c r="I4" s="370"/>
      <c r="J4" s="370"/>
      <c r="K4" s="370"/>
      <c r="L4" s="370"/>
      <c r="M4" s="370"/>
      <c r="N4" s="370"/>
      <c r="O4" s="370"/>
      <c r="P4" s="370"/>
      <c r="Q4" s="370"/>
      <c r="R4" s="370"/>
      <c r="S4" s="370"/>
      <c r="T4" s="370"/>
      <c r="U4"/>
      <c r="V4"/>
      <c r="W4" s="69"/>
      <c r="X4" s="69"/>
      <c r="Y4"/>
      <c r="Z4"/>
      <c r="AA4"/>
      <c r="AB4" s="370"/>
      <c r="AC4" s="370"/>
      <c r="AD4" s="370"/>
      <c r="AE4" s="370"/>
      <c r="AF4" s="370"/>
      <c r="AG4" s="370"/>
      <c r="AH4" s="370"/>
      <c r="AI4" s="370"/>
      <c r="AJ4" s="370"/>
    </row>
    <row r="5" spans="1:79" s="156" customFormat="1" ht="4" hidden="1" customHeight="1">
      <c r="A5" s="369"/>
      <c r="B5" s="369"/>
      <c r="C5" s="369"/>
      <c r="D5" s="369"/>
      <c r="E5" s="369"/>
      <c r="F5" s="369"/>
      <c r="G5" s="369"/>
      <c r="H5" s="369"/>
      <c r="I5" s="369"/>
      <c r="J5" s="369"/>
      <c r="K5" s="369"/>
      <c r="L5" s="369"/>
      <c r="M5" s="369"/>
      <c r="N5" s="369"/>
      <c r="O5" s="369"/>
      <c r="P5" s="369"/>
      <c r="Q5" s="369"/>
      <c r="R5" s="369"/>
      <c r="S5" s="369"/>
      <c r="T5" s="369"/>
      <c r="U5"/>
      <c r="V5"/>
      <c r="W5" s="69"/>
      <c r="X5" s="69"/>
      <c r="Y5"/>
      <c r="Z5"/>
      <c r="AA5"/>
      <c r="AB5" s="369"/>
      <c r="AC5" s="369"/>
      <c r="AD5" s="369"/>
      <c r="AE5" s="369"/>
      <c r="AF5" s="369"/>
      <c r="AG5" s="369"/>
      <c r="AH5" s="369"/>
      <c r="AI5" s="369"/>
      <c r="AJ5" s="369"/>
    </row>
    <row r="6" spans="1:79" s="197" customFormat="1" ht="15" hidden="1" customHeight="1">
      <c r="A6" s="983" t="str">
        <f>uxb_works!$C$5</f>
        <v>The active weight profile has been changed from its default setting</v>
      </c>
      <c r="B6" s="653"/>
      <c r="C6" s="653"/>
      <c r="D6" s="653"/>
      <c r="E6" s="653"/>
      <c r="F6" s="984"/>
      <c r="G6" s="653"/>
      <c r="H6" s="653"/>
      <c r="I6" s="985"/>
      <c r="J6" s="653"/>
      <c r="K6" s="653"/>
      <c r="L6" s="653"/>
      <c r="M6" s="416"/>
      <c r="N6" s="416"/>
      <c r="O6" s="416"/>
      <c r="P6" s="416"/>
      <c r="Q6" s="416"/>
      <c r="R6" s="416"/>
      <c r="S6" s="416"/>
      <c r="T6" s="157"/>
      <c r="U6"/>
      <c r="V6"/>
      <c r="W6" s="69"/>
      <c r="X6" s="69"/>
      <c r="Y6"/>
      <c r="Z6"/>
      <c r="AA6"/>
      <c r="AB6" s="166"/>
      <c r="AC6" s="157"/>
      <c r="AD6" s="157"/>
      <c r="AE6" s="157"/>
      <c r="AF6" s="157"/>
      <c r="AG6" s="157"/>
      <c r="AH6" s="157"/>
      <c r="AI6" s="157"/>
      <c r="AJ6" s="157"/>
      <c r="AK6" s="157"/>
      <c r="AL6" s="157"/>
      <c r="AM6" s="157"/>
      <c r="AN6" s="157"/>
      <c r="AO6" s="157"/>
    </row>
    <row r="7" spans="1:79" s="197" customFormat="1" ht="19.5" hidden="1" customHeight="1">
      <c r="A7" s="444"/>
      <c r="B7" s="158"/>
      <c r="C7" s="158"/>
      <c r="D7" s="158"/>
      <c r="E7" s="158"/>
      <c r="F7" s="986"/>
      <c r="G7" s="158"/>
      <c r="H7" s="158"/>
      <c r="I7" s="987"/>
      <c r="J7" s="158"/>
      <c r="K7" s="158"/>
      <c r="L7" s="158"/>
      <c r="M7" s="158"/>
      <c r="N7" s="158"/>
      <c r="O7" s="158"/>
      <c r="P7" s="158"/>
      <c r="Q7" s="158"/>
      <c r="R7" s="158"/>
      <c r="S7" s="158"/>
      <c r="T7" s="157"/>
      <c r="U7"/>
      <c r="V7"/>
      <c r="W7" s="69"/>
      <c r="X7" s="69"/>
      <c r="Y7"/>
      <c r="Z7"/>
      <c r="AA7"/>
      <c r="AB7" s="166"/>
      <c r="AC7" s="157"/>
      <c r="AD7" s="157"/>
      <c r="AE7" s="157"/>
      <c r="AF7" s="157"/>
      <c r="AG7" s="157"/>
      <c r="AH7" s="157"/>
      <c r="AI7" s="157"/>
      <c r="AJ7" s="157"/>
      <c r="AK7" s="157"/>
      <c r="AL7" s="157"/>
      <c r="AM7" s="157"/>
      <c r="AN7" s="157"/>
      <c r="AO7" s="157"/>
    </row>
    <row r="8" spans="1:79" s="367" customFormat="1" ht="15" hidden="1" customHeight="1">
      <c r="A8" s="348"/>
      <c r="B8" s="348"/>
      <c r="C8" s="348" t="str">
        <f>uxb_works!D67</f>
        <v>There are 30 cities in the active filter set</v>
      </c>
      <c r="D8" s="348"/>
      <c r="E8" s="348"/>
      <c r="F8" s="348"/>
      <c r="G8" s="348"/>
      <c r="H8" s="348"/>
      <c r="I8" s="348"/>
      <c r="J8" s="348"/>
      <c r="K8" s="348"/>
      <c r="L8" s="348"/>
      <c r="M8" s="348"/>
      <c r="N8" s="348"/>
      <c r="O8" s="348"/>
      <c r="P8" s="348"/>
      <c r="Q8" s="348"/>
      <c r="R8" s="348"/>
      <c r="S8" s="348"/>
      <c r="T8" s="348"/>
      <c r="U8"/>
      <c r="V8"/>
      <c r="W8" s="69"/>
      <c r="X8" s="69"/>
      <c r="Y8"/>
      <c r="Z8"/>
      <c r="AA8"/>
      <c r="AB8" s="794"/>
      <c r="AC8" s="348"/>
      <c r="AD8" s="795"/>
      <c r="AE8" s="348"/>
      <c r="AF8" s="348"/>
      <c r="AG8" s="348"/>
      <c r="AH8" s="348"/>
      <c r="AI8" s="348"/>
      <c r="AJ8" s="348"/>
      <c r="AK8" s="197"/>
      <c r="AL8" s="197"/>
      <c r="AM8" s="197"/>
      <c r="AN8" s="286"/>
      <c r="AO8" s="197"/>
      <c r="AP8" s="197"/>
      <c r="AQ8" s="197"/>
      <c r="AR8" s="197"/>
      <c r="AS8" s="197"/>
      <c r="AT8" s="197"/>
      <c r="AU8" s="197"/>
      <c r="AV8" s="197"/>
      <c r="AW8" s="197"/>
      <c r="AX8" s="197"/>
      <c r="AY8" s="197"/>
      <c r="AZ8" s="197"/>
      <c r="BA8" s="197"/>
      <c r="BB8" s="197"/>
    </row>
    <row r="9" spans="1:79" s="197" customFormat="1" ht="30" hidden="1" customHeight="1">
      <c r="A9" s="444"/>
      <c r="B9" s="158"/>
      <c r="C9" s="158"/>
      <c r="D9" s="158"/>
      <c r="E9" s="158"/>
      <c r="F9" s="986"/>
      <c r="G9" s="158"/>
      <c r="H9" s="158"/>
      <c r="I9" s="987"/>
      <c r="J9" s="158"/>
      <c r="K9" s="158"/>
      <c r="L9" s="158"/>
      <c r="M9" s="158"/>
      <c r="N9" s="158"/>
      <c r="O9" s="158"/>
      <c r="P9" s="158"/>
      <c r="Q9" s="158"/>
      <c r="R9" s="158"/>
      <c r="S9" s="158"/>
      <c r="T9" s="157"/>
      <c r="U9"/>
      <c r="V9"/>
      <c r="W9" s="69"/>
      <c r="X9" s="69"/>
      <c r="Y9"/>
      <c r="Z9"/>
      <c r="AA9"/>
      <c r="AB9" s="166"/>
      <c r="AC9" s="157"/>
      <c r="AD9" s="157"/>
      <c r="AE9" s="157"/>
      <c r="AF9" s="157"/>
      <c r="AG9" s="157"/>
      <c r="AH9" s="157"/>
      <c r="AI9" s="157"/>
      <c r="AJ9" s="157"/>
      <c r="AK9" s="157"/>
      <c r="AL9" s="157"/>
      <c r="AM9" s="157"/>
      <c r="AN9" s="157"/>
      <c r="AO9" s="157"/>
    </row>
    <row r="10" spans="1:79" s="156" customFormat="1" ht="9.75" customHeight="1">
      <c r="A10" s="155"/>
      <c r="B10" s="159"/>
      <c r="C10" s="159"/>
      <c r="D10" s="160"/>
      <c r="E10" s="159"/>
      <c r="F10" s="160"/>
      <c r="G10" s="160"/>
      <c r="H10" s="159"/>
      <c r="I10" s="988"/>
      <c r="J10" s="160"/>
      <c r="K10" s="159"/>
      <c r="L10" s="159"/>
      <c r="M10" s="160"/>
      <c r="N10" s="159"/>
      <c r="O10" s="159"/>
      <c r="U10"/>
      <c r="V10"/>
      <c r="W10" s="69"/>
      <c r="X10" s="69"/>
      <c r="Y10"/>
      <c r="Z10"/>
      <c r="AA10"/>
      <c r="AB10" s="166"/>
      <c r="AC10" s="155"/>
      <c r="AD10" s="155"/>
      <c r="AE10" s="155"/>
      <c r="AF10" s="155"/>
      <c r="AG10" s="155"/>
    </row>
    <row r="11" spans="1:79" ht="38.25" hidden="1" customHeight="1">
      <c r="E11" s="252"/>
      <c r="K11" s="157"/>
      <c r="L11" s="157"/>
      <c r="N11" s="157"/>
      <c r="O11" s="157"/>
    </row>
    <row r="12" spans="1:79" ht="38.25" hidden="1" customHeight="1">
      <c r="E12" s="252"/>
      <c r="K12" s="157"/>
      <c r="L12" s="157"/>
      <c r="N12" s="157"/>
      <c r="O12" s="157"/>
      <c r="BZ12" s="196"/>
      <c r="CA12" s="196"/>
    </row>
    <row r="13" spans="1:79" ht="56.25" customHeight="1">
      <c r="C13" s="989" t="str">
        <f>uxb_works!C26</f>
        <v>Amsterdam</v>
      </c>
      <c r="E13" s="252"/>
      <c r="F13" s="990"/>
      <c r="G13" s="991"/>
      <c r="I13" s="992" t="s">
        <v>31</v>
      </c>
      <c r="J13" s="991" t="str">
        <f>"Rank/"&amp;uxb_works!$B$1</f>
        <v>Rank/30</v>
      </c>
      <c r="K13" s="993" t="str">
        <f>IF(uxb_works!E10=3,"All city average","See filters above")</f>
        <v>All city average</v>
      </c>
      <c r="L13" s="157"/>
      <c r="N13" s="157"/>
      <c r="O13" s="157"/>
      <c r="BZ13" s="196"/>
      <c r="CA13" s="196"/>
    </row>
    <row r="14" spans="1:79" s="157" customFormat="1" ht="35.15" customHeight="1">
      <c r="B14" s="157">
        <v>1</v>
      </c>
      <c r="C14" s="1060" t="str">
        <f>iCSCtbl!C3</f>
        <v>OVERALL SCORE</v>
      </c>
      <c r="D14" s="1061"/>
      <c r="E14" s="1061"/>
      <c r="F14" s="1062"/>
      <c r="G14" s="1063"/>
      <c r="H14" s="1061"/>
      <c r="I14" s="1064">
        <f>iCSCtbl!D3</f>
        <v>74.599999999999994</v>
      </c>
      <c r="J14" s="1065" t="str">
        <f ca="1">iCSCtbl!E3</f>
        <v>2</v>
      </c>
      <c r="K14" s="1066">
        <f ca="1">iCSCtbl!G3</f>
        <v>63.3</v>
      </c>
      <c r="U14"/>
      <c r="V14"/>
      <c r="W14" s="69"/>
      <c r="X14" s="69"/>
      <c r="Y14"/>
      <c r="Z14"/>
      <c r="AA14"/>
      <c r="AB14" s="166"/>
      <c r="BZ14" s="196"/>
      <c r="CA14" s="196"/>
    </row>
    <row r="15" spans="1:79" s="196" customFormat="1" ht="32.15" customHeight="1">
      <c r="A15" s="195"/>
      <c r="B15" s="196">
        <f>iCSCtbl!F4</f>
        <v>1</v>
      </c>
      <c r="C15" s="994" t="str">
        <f>TRIM(UPPER(iCSCtbl!C4))</f>
        <v>1) CONNECTIVITY</v>
      </c>
      <c r="D15" s="995"/>
      <c r="E15" s="995"/>
      <c r="F15" s="996"/>
      <c r="G15" s="997"/>
      <c r="H15" s="995"/>
      <c r="I15" s="998">
        <f>iCSCtbl!D4</f>
        <v>77</v>
      </c>
      <c r="J15" s="999" t="str">
        <f ca="1">iCSCtbl!E4</f>
        <v>6</v>
      </c>
      <c r="K15" s="1000">
        <f ca="1">iCSCtbl!G4</f>
        <v>65.900000000000006</v>
      </c>
      <c r="M15" s="1001"/>
      <c r="U15"/>
      <c r="V15"/>
      <c r="W15" s="69"/>
      <c r="X15" s="69"/>
      <c r="Y15"/>
      <c r="Z15"/>
      <c r="AA15"/>
      <c r="AB15" s="1002"/>
    </row>
    <row r="16" spans="1:79" s="198" customFormat="1" ht="32.15" customHeight="1">
      <c r="A16" s="907"/>
      <c r="B16" s="198">
        <f>iCSCtbl!F5</f>
        <v>2</v>
      </c>
      <c r="C16" s="1003" t="str">
        <f>TRIM(iCSCtbl!C5)</f>
        <v>1.1) Digital infrastructure</v>
      </c>
      <c r="D16" s="887"/>
      <c r="E16" s="887"/>
      <c r="F16" s="1004"/>
      <c r="G16" s="1005"/>
      <c r="H16" s="887"/>
      <c r="I16" s="1006">
        <f>iCSCtbl!D5</f>
        <v>84</v>
      </c>
      <c r="J16" s="1007" t="str">
        <f ca="1">iCSCtbl!E5</f>
        <v>8</v>
      </c>
      <c r="K16" s="1008">
        <f ca="1">iCSCtbl!G5</f>
        <v>74.5</v>
      </c>
      <c r="M16" s="1009"/>
      <c r="U16"/>
      <c r="V16"/>
      <c r="W16" s="69"/>
      <c r="X16" s="69"/>
      <c r="Y16"/>
      <c r="Z16"/>
      <c r="AA16"/>
      <c r="AB16" s="887"/>
      <c r="BZ16" s="196"/>
      <c r="CA16" s="196"/>
    </row>
    <row r="17" spans="1:79" s="198" customFormat="1" ht="32.15" customHeight="1">
      <c r="A17" s="907"/>
      <c r="B17" s="198">
        <f>iCSCtbl!F6</f>
        <v>2</v>
      </c>
      <c r="C17" s="1003" t="str">
        <f>TRIM(iCSCtbl!C6)</f>
        <v>1.2) Quality</v>
      </c>
      <c r="D17" s="887"/>
      <c r="E17" s="887"/>
      <c r="F17" s="1004"/>
      <c r="G17" s="1005"/>
      <c r="H17" s="887"/>
      <c r="I17" s="1006">
        <f>iCSCtbl!D6</f>
        <v>66.7</v>
      </c>
      <c r="J17" s="1007" t="str">
        <f ca="1">iCSCtbl!E6</f>
        <v>7</v>
      </c>
      <c r="K17" s="1008">
        <f ca="1">iCSCtbl!G6</f>
        <v>43.5</v>
      </c>
      <c r="M17" s="1009"/>
      <c r="U17"/>
      <c r="V17"/>
      <c r="W17" s="69"/>
      <c r="X17" s="69"/>
      <c r="Y17"/>
      <c r="Z17"/>
      <c r="AA17"/>
      <c r="AB17" s="887"/>
      <c r="BZ17" s="196"/>
      <c r="CA17" s="196"/>
    </row>
    <row r="18" spans="1:79" s="198" customFormat="1" ht="32.15" customHeight="1">
      <c r="A18" s="907"/>
      <c r="B18" s="198">
        <f>iCSCtbl!F7</f>
        <v>2</v>
      </c>
      <c r="C18" s="1003" t="str">
        <f>TRIM(iCSCtbl!C7)</f>
        <v>1.3) Affordability</v>
      </c>
      <c r="D18" s="887"/>
      <c r="E18" s="887"/>
      <c r="F18" s="1004"/>
      <c r="G18" s="1005"/>
      <c r="H18" s="887"/>
      <c r="I18" s="1006">
        <f>iCSCtbl!D7</f>
        <v>74.599999999999994</v>
      </c>
      <c r="J18" s="1007" t="str">
        <f ca="1">iCSCtbl!E7</f>
        <v>15</v>
      </c>
      <c r="K18" s="1008">
        <f ca="1">iCSCtbl!G7</f>
        <v>69.3</v>
      </c>
      <c r="M18" s="1009"/>
      <c r="U18"/>
      <c r="V18"/>
      <c r="W18" s="69"/>
      <c r="X18" s="69"/>
      <c r="Y18"/>
      <c r="Z18"/>
      <c r="AA18"/>
      <c r="AB18" s="887"/>
      <c r="BZ18" s="196"/>
      <c r="CA18" s="196"/>
    </row>
    <row r="19" spans="1:79" s="198" customFormat="1" ht="32.15" customHeight="1">
      <c r="A19" s="907"/>
      <c r="B19" s="198">
        <f>iCSCtbl!F8</f>
        <v>1</v>
      </c>
      <c r="C19" s="1003" t="str">
        <f>TRIM(iCSCtbl!C8)</f>
        <v>2) SERVICES</v>
      </c>
      <c r="D19" s="887"/>
      <c r="E19" s="887"/>
      <c r="F19" s="1004"/>
      <c r="G19" s="1005"/>
      <c r="H19" s="887"/>
      <c r="I19" s="1006">
        <f>iCSCtbl!D8</f>
        <v>73.2</v>
      </c>
      <c r="J19" s="1007" t="str">
        <f ca="1">iCSCtbl!E8</f>
        <v>4</v>
      </c>
      <c r="K19" s="1008">
        <f ca="1">iCSCtbl!G8</f>
        <v>61.4</v>
      </c>
      <c r="M19" s="1009"/>
      <c r="U19"/>
      <c r="V19"/>
      <c r="W19" s="69"/>
      <c r="X19" s="69"/>
      <c r="Y19"/>
      <c r="Z19"/>
      <c r="AA19"/>
      <c r="AB19" s="887"/>
      <c r="BZ19" s="196"/>
      <c r="CA19" s="196"/>
    </row>
    <row r="20" spans="1:79" s="198" customFormat="1" ht="32.15" customHeight="1">
      <c r="A20" s="907"/>
      <c r="B20" s="198">
        <f>iCSCtbl!F9</f>
        <v>2</v>
      </c>
      <c r="C20" s="1003" t="str">
        <f>TRIM(iCSCtbl!C9)</f>
        <v>2.1) E-gov services for residents &amp; businesses</v>
      </c>
      <c r="D20" s="887"/>
      <c r="E20" s="887"/>
      <c r="F20" s="1004"/>
      <c r="G20" s="1005"/>
      <c r="H20" s="887"/>
      <c r="I20" s="1006">
        <f>iCSCtbl!D9</f>
        <v>48.6</v>
      </c>
      <c r="J20" s="1007" t="str">
        <f ca="1">iCSCtbl!E9</f>
        <v>29</v>
      </c>
      <c r="K20" s="1008">
        <f ca="1">iCSCtbl!G9</f>
        <v>68.2</v>
      </c>
      <c r="M20" s="1009"/>
      <c r="U20"/>
      <c r="V20"/>
      <c r="W20" s="69"/>
      <c r="X20" s="69"/>
      <c r="Y20"/>
      <c r="Z20"/>
      <c r="AA20"/>
      <c r="AB20" s="887"/>
      <c r="BZ20" s="196"/>
      <c r="CA20" s="196"/>
    </row>
    <row r="21" spans="1:79" s="198" customFormat="1" ht="32.15" customHeight="1">
      <c r="A21" s="907"/>
      <c r="B21" s="198">
        <f>iCSCtbl!F10</f>
        <v>2</v>
      </c>
      <c r="C21" s="1003" t="str">
        <f>TRIM(iCSCtbl!C10)</f>
        <v>2.2) Digital finance</v>
      </c>
      <c r="D21" s="887"/>
      <c r="E21" s="887"/>
      <c r="F21" s="1004"/>
      <c r="G21" s="1005"/>
      <c r="H21" s="887"/>
      <c r="I21" s="1006">
        <f>iCSCtbl!D10</f>
        <v>58.5</v>
      </c>
      <c r="J21" s="1007" t="str">
        <f ca="1">iCSCtbl!E10</f>
        <v>13</v>
      </c>
      <c r="K21" s="1008">
        <f ca="1">iCSCtbl!G10</f>
        <v>50.8</v>
      </c>
      <c r="M21" s="1009"/>
      <c r="U21"/>
      <c r="V21"/>
      <c r="W21" s="69"/>
      <c r="X21" s="69"/>
      <c r="Y21"/>
      <c r="Z21"/>
      <c r="AA21"/>
      <c r="AB21" s="887"/>
      <c r="BZ21" s="196"/>
      <c r="CA21" s="196"/>
    </row>
    <row r="22" spans="1:79" s="198" customFormat="1" ht="32.15" customHeight="1">
      <c r="A22" s="907"/>
      <c r="B22" s="198">
        <f>iCSCtbl!F11</f>
        <v>2</v>
      </c>
      <c r="C22" s="1003" t="str">
        <f>TRIM(iCSCtbl!C11)</f>
        <v>2.3) Transportation</v>
      </c>
      <c r="D22" s="887"/>
      <c r="E22" s="887"/>
      <c r="F22" s="1004"/>
      <c r="G22" s="1005"/>
      <c r="H22" s="887"/>
      <c r="I22" s="1006">
        <f>iCSCtbl!D11</f>
        <v>100</v>
      </c>
      <c r="J22" s="1007" t="str">
        <f ca="1">iCSCtbl!E11</f>
        <v>=1</v>
      </c>
      <c r="K22" s="1008">
        <f ca="1">iCSCtbl!G11</f>
        <v>67.599999999999994</v>
      </c>
      <c r="M22" s="1009"/>
      <c r="U22"/>
      <c r="V22"/>
      <c r="W22" s="69"/>
      <c r="X22" s="69"/>
      <c r="Y22"/>
      <c r="Z22"/>
      <c r="AA22"/>
      <c r="AB22" s="887"/>
      <c r="BZ22" s="196"/>
      <c r="CA22" s="196"/>
    </row>
    <row r="23" spans="1:79" s="198" customFormat="1" ht="32.15" customHeight="1">
      <c r="A23" s="907"/>
      <c r="B23" s="198">
        <f>iCSCtbl!F12</f>
        <v>2</v>
      </c>
      <c r="C23" s="1003" t="str">
        <f>TRIM(iCSCtbl!C12)</f>
        <v>2.4) Healthcare</v>
      </c>
      <c r="D23" s="887"/>
      <c r="E23" s="887"/>
      <c r="F23" s="1004"/>
      <c r="G23" s="1005"/>
      <c r="H23" s="887"/>
      <c r="I23" s="1006">
        <f>iCSCtbl!D12</f>
        <v>91.6</v>
      </c>
      <c r="J23" s="1007" t="str">
        <f ca="1">iCSCtbl!E12</f>
        <v>7</v>
      </c>
      <c r="K23" s="1008">
        <f ca="1">iCSCtbl!G12</f>
        <v>71.599999999999994</v>
      </c>
      <c r="M23" s="1009"/>
      <c r="U23"/>
      <c r="V23"/>
      <c r="W23" s="69"/>
      <c r="X23" s="69"/>
      <c r="Y23"/>
      <c r="Z23"/>
      <c r="AA23"/>
      <c r="AB23" s="887"/>
      <c r="BZ23" s="196"/>
      <c r="CA23" s="196"/>
    </row>
    <row r="24" spans="1:79" s="198" customFormat="1" ht="32.15" customHeight="1">
      <c r="A24" s="907"/>
      <c r="B24" s="198">
        <f>iCSCtbl!F13</f>
        <v>2</v>
      </c>
      <c r="C24" s="1003" t="str">
        <f>TRIM(iCSCtbl!C13)</f>
        <v>2.5) Education</v>
      </c>
      <c r="D24" s="887"/>
      <c r="E24" s="887"/>
      <c r="F24" s="1004"/>
      <c r="G24" s="1005"/>
      <c r="H24" s="887"/>
      <c r="I24" s="1006">
        <f>iCSCtbl!D13</f>
        <v>100</v>
      </c>
      <c r="J24" s="1007" t="str">
        <f ca="1">iCSCtbl!E13</f>
        <v>=1</v>
      </c>
      <c r="K24" s="1008">
        <f ca="1">iCSCtbl!G13</f>
        <v>73.3</v>
      </c>
      <c r="M24" s="1009"/>
      <c r="U24"/>
      <c r="V24"/>
      <c r="W24" s="69"/>
      <c r="X24" s="69"/>
      <c r="Y24"/>
      <c r="Z24"/>
      <c r="AA24"/>
      <c r="AB24" s="887"/>
      <c r="BZ24" s="196"/>
      <c r="CA24" s="196"/>
    </row>
    <row r="25" spans="1:79" s="198" customFormat="1" ht="32.15" customHeight="1">
      <c r="A25" s="907"/>
      <c r="B25" s="198">
        <f>iCSCtbl!F14</f>
        <v>2</v>
      </c>
      <c r="C25" s="1003" t="str">
        <f>TRIM(iCSCtbl!C14)</f>
        <v>2.6) Retail and hospitality</v>
      </c>
      <c r="D25" s="887"/>
      <c r="E25" s="887"/>
      <c r="F25" s="1004"/>
      <c r="G25" s="1005"/>
      <c r="H25" s="887"/>
      <c r="I25" s="1006">
        <f>iCSCtbl!D14</f>
        <v>40.299999999999997</v>
      </c>
      <c r="J25" s="1007" t="str">
        <f ca="1">iCSCtbl!E14</f>
        <v>9</v>
      </c>
      <c r="K25" s="1008">
        <f ca="1">iCSCtbl!G14</f>
        <v>33.9</v>
      </c>
      <c r="M25" s="1009"/>
      <c r="U25"/>
      <c r="V25"/>
      <c r="W25" s="69"/>
      <c r="X25" s="69"/>
      <c r="Y25"/>
      <c r="Z25"/>
      <c r="AA25"/>
      <c r="AB25" s="887"/>
      <c r="BZ25" s="196"/>
      <c r="CA25" s="196"/>
    </row>
    <row r="26" spans="1:79" s="198" customFormat="1" ht="31.5" customHeight="1">
      <c r="A26" s="907"/>
      <c r="B26" s="198">
        <f>iCSCtbl!F15</f>
        <v>1</v>
      </c>
      <c r="C26" s="1010" t="str">
        <f>TRIM(iCSCtbl!C15)</f>
        <v>3) CULTURE</v>
      </c>
      <c r="D26" s="887"/>
      <c r="E26" s="887"/>
      <c r="F26" s="1004"/>
      <c r="G26" s="1005"/>
      <c r="H26" s="887"/>
      <c r="I26" s="1006">
        <f>iCSCtbl!D15</f>
        <v>62.1</v>
      </c>
      <c r="J26" s="1007" t="str">
        <f ca="1">iCSCtbl!E15</f>
        <v>15</v>
      </c>
      <c r="K26" s="1008">
        <f ca="1">iCSCtbl!G15</f>
        <v>59.2</v>
      </c>
      <c r="M26" s="1009"/>
      <c r="U26"/>
      <c r="V26"/>
      <c r="W26" s="69"/>
      <c r="X26" s="69"/>
      <c r="Y26"/>
      <c r="Z26"/>
      <c r="AA26"/>
      <c r="AB26" s="887"/>
      <c r="BZ26" s="196"/>
      <c r="CA26" s="196"/>
    </row>
    <row r="27" spans="1:79" s="198" customFormat="1" ht="32.15" customHeight="1">
      <c r="A27" s="907"/>
      <c r="B27" s="198">
        <f>iCSCtbl!F16</f>
        <v>2</v>
      </c>
      <c r="C27" s="1003" t="str">
        <f>TRIM(iCSCtbl!C16)</f>
        <v>3.1) Digital inclusion</v>
      </c>
      <c r="D27" s="887"/>
      <c r="E27" s="887"/>
      <c r="F27" s="1004"/>
      <c r="G27" s="1005"/>
      <c r="H27" s="887"/>
      <c r="I27" s="1006">
        <f>iCSCtbl!D16</f>
        <v>65.8</v>
      </c>
      <c r="J27" s="1007" t="str">
        <f ca="1">iCSCtbl!E16</f>
        <v>22</v>
      </c>
      <c r="K27" s="1008">
        <f ca="1">iCSCtbl!G16</f>
        <v>69.5</v>
      </c>
      <c r="M27" s="1009"/>
      <c r="U27"/>
      <c r="V27"/>
      <c r="W27" s="69"/>
      <c r="X27" s="69"/>
      <c r="Y27"/>
      <c r="Z27"/>
      <c r="AA27"/>
      <c r="AB27" s="887"/>
      <c r="BZ27" s="196"/>
      <c r="CA27" s="196"/>
    </row>
    <row r="28" spans="1:79" s="198" customFormat="1" ht="32.15" customHeight="1">
      <c r="A28" s="907"/>
      <c r="B28" s="198">
        <f>iCSCtbl!F17</f>
        <v>2</v>
      </c>
      <c r="C28" s="1003" t="str">
        <f>TRIM(iCSCtbl!C17)</f>
        <v>3.2) Government support</v>
      </c>
      <c r="D28" s="887"/>
      <c r="E28" s="887"/>
      <c r="F28" s="1004"/>
      <c r="G28" s="1005"/>
      <c r="H28" s="887"/>
      <c r="I28" s="1006">
        <f>iCSCtbl!D17</f>
        <v>76</v>
      </c>
      <c r="J28" s="1007" t="str">
        <f ca="1">iCSCtbl!E17</f>
        <v>15</v>
      </c>
      <c r="K28" s="1008">
        <f ca="1">iCSCtbl!G17</f>
        <v>71.7</v>
      </c>
      <c r="M28" s="1009"/>
      <c r="U28"/>
      <c r="V28"/>
      <c r="W28" s="69"/>
      <c r="X28" s="69"/>
      <c r="Y28"/>
      <c r="Z28"/>
      <c r="AA28"/>
      <c r="AB28" s="887"/>
      <c r="BZ28" s="196"/>
      <c r="CA28" s="196"/>
    </row>
    <row r="29" spans="1:79" s="198" customFormat="1" ht="32.15" customHeight="1">
      <c r="A29" s="907"/>
      <c r="B29" s="198">
        <f>iCSCtbl!F18</f>
        <v>2</v>
      </c>
      <c r="C29" s="1003" t="str">
        <f>TRIM(iCSCtbl!C18)</f>
        <v>3.3) Innovation ecosystem</v>
      </c>
      <c r="D29" s="887"/>
      <c r="E29" s="887"/>
      <c r="F29" s="1004"/>
      <c r="G29" s="1005"/>
      <c r="H29" s="887"/>
      <c r="I29" s="1006">
        <f>iCSCtbl!D18</f>
        <v>62</v>
      </c>
      <c r="J29" s="1007" t="str">
        <f ca="1">iCSCtbl!E18</f>
        <v>9</v>
      </c>
      <c r="K29" s="1008">
        <f ca="1">iCSCtbl!G18</f>
        <v>49.1</v>
      </c>
      <c r="M29" s="1009"/>
      <c r="U29"/>
      <c r="V29"/>
      <c r="W29" s="69"/>
      <c r="X29" s="69"/>
      <c r="Y29"/>
      <c r="Z29"/>
      <c r="AA29"/>
      <c r="AB29" s="887"/>
      <c r="BZ29" s="196"/>
      <c r="CA29" s="196"/>
    </row>
    <row r="30" spans="1:79" s="198" customFormat="1" ht="32.15" customHeight="1">
      <c r="A30" s="907"/>
      <c r="B30" s="198">
        <f>iCSCtbl!F19</f>
        <v>2</v>
      </c>
      <c r="C30" s="1003" t="str">
        <f>TRIM(iCSCtbl!C19)</f>
        <v>3.4) Public attitude and engagement</v>
      </c>
      <c r="D30" s="887"/>
      <c r="E30" s="887"/>
      <c r="F30" s="1004"/>
      <c r="G30" s="1005"/>
      <c r="H30" s="887"/>
      <c r="I30" s="1006">
        <f>iCSCtbl!D19</f>
        <v>35.1</v>
      </c>
      <c r="J30" s="1007" t="str">
        <f ca="1">iCSCtbl!E19</f>
        <v>20</v>
      </c>
      <c r="K30" s="1008">
        <f ca="1">iCSCtbl!G19</f>
        <v>44.9</v>
      </c>
      <c r="M30" s="1009"/>
      <c r="U30"/>
      <c r="V30"/>
      <c r="W30" s="69"/>
      <c r="X30" s="69"/>
      <c r="Y30"/>
      <c r="Z30"/>
      <c r="AA30"/>
      <c r="AB30" s="887"/>
      <c r="BZ30" s="196"/>
      <c r="CA30" s="196"/>
    </row>
    <row r="31" spans="1:79" s="198" customFormat="1" ht="32.15" customHeight="1">
      <c r="A31" s="907"/>
      <c r="B31" s="198">
        <f>iCSCtbl!F20</f>
        <v>1</v>
      </c>
      <c r="C31" s="1003" t="str">
        <f>TRIM(iCSCtbl!C20)</f>
        <v>4) SUSTAINABILITY</v>
      </c>
      <c r="D31" s="887"/>
      <c r="E31" s="887"/>
      <c r="F31" s="1004"/>
      <c r="G31" s="1005"/>
      <c r="H31" s="887"/>
      <c r="I31" s="1006">
        <f>iCSCtbl!D20</f>
        <v>85.4</v>
      </c>
      <c r="J31" s="1007" t="str">
        <f ca="1">iCSCtbl!E20</f>
        <v>6</v>
      </c>
      <c r="K31" s="1008">
        <f ca="1">iCSCtbl!G20</f>
        <v>66.3</v>
      </c>
      <c r="M31" s="1009"/>
      <c r="U31"/>
      <c r="V31"/>
      <c r="W31" s="69"/>
      <c r="X31" s="69"/>
      <c r="Y31"/>
      <c r="Z31"/>
      <c r="AA31"/>
      <c r="AB31" s="887"/>
      <c r="BZ31" s="196"/>
      <c r="CA31" s="196"/>
    </row>
    <row r="32" spans="1:79" s="198" customFormat="1" ht="32.15" customHeight="1">
      <c r="A32" s="907"/>
      <c r="B32" s="198">
        <f>iCSCtbl!F21</f>
        <v>2</v>
      </c>
      <c r="C32" s="1003" t="str">
        <f>TRIM(iCSCtbl!C21)</f>
        <v>4.1) Efficient resource management</v>
      </c>
      <c r="D32" s="887"/>
      <c r="E32" s="887"/>
      <c r="F32" s="1004"/>
      <c r="G32" s="1005"/>
      <c r="H32" s="887"/>
      <c r="I32" s="1006">
        <f>iCSCtbl!D21</f>
        <v>87.5</v>
      </c>
      <c r="J32" s="1007" t="str">
        <f ca="1">iCSCtbl!E21</f>
        <v>=11</v>
      </c>
      <c r="K32" s="1008">
        <f ca="1">iCSCtbl!G21</f>
        <v>76</v>
      </c>
      <c r="M32" s="1009"/>
      <c r="U32"/>
      <c r="V32"/>
      <c r="W32" s="69"/>
      <c r="X32" s="69"/>
      <c r="Y32"/>
      <c r="Z32"/>
      <c r="AA32"/>
      <c r="AB32" s="887"/>
      <c r="BZ32" s="196"/>
      <c r="CA32" s="196"/>
    </row>
    <row r="33" spans="1:79" s="198" customFormat="1" ht="32.15" customHeight="1">
      <c r="A33" s="907"/>
      <c r="B33" s="198">
        <f>iCSCtbl!F22</f>
        <v>2</v>
      </c>
      <c r="C33" s="1003" t="str">
        <f>TRIM(iCSCtbl!C22)</f>
        <v>4.2) Emissions reduction</v>
      </c>
      <c r="D33" s="887"/>
      <c r="E33" s="887"/>
      <c r="F33" s="1004"/>
      <c r="G33" s="1005"/>
      <c r="H33" s="887"/>
      <c r="I33" s="1006">
        <f>iCSCtbl!D22</f>
        <v>100</v>
      </c>
      <c r="J33" s="1007" t="str">
        <f ca="1">iCSCtbl!E22</f>
        <v>=1</v>
      </c>
      <c r="K33" s="1008">
        <f ca="1">iCSCtbl!G22</f>
        <v>78</v>
      </c>
      <c r="M33" s="1009"/>
      <c r="U33"/>
      <c r="V33"/>
      <c r="W33" s="69"/>
      <c r="X33" s="69"/>
      <c r="Y33"/>
      <c r="Z33"/>
      <c r="AA33"/>
      <c r="AB33" s="887"/>
      <c r="BZ33" s="196"/>
      <c r="CA33" s="196"/>
    </row>
    <row r="34" spans="1:79" s="198" customFormat="1" ht="32.15" customHeight="1">
      <c r="A34" s="907"/>
      <c r="B34" s="198">
        <f>iCSCtbl!F23</f>
        <v>2</v>
      </c>
      <c r="C34" s="1003" t="str">
        <f>TRIM(iCSCtbl!C23)</f>
        <v>4.3) Pollution</v>
      </c>
      <c r="D34" s="887"/>
      <c r="E34" s="887"/>
      <c r="F34" s="1004"/>
      <c r="G34" s="1005"/>
      <c r="H34" s="887"/>
      <c r="I34" s="1006">
        <f>iCSCtbl!D23</f>
        <v>50</v>
      </c>
      <c r="J34" s="1007" t="str">
        <f ca="1">iCSCtbl!E23</f>
        <v>=15</v>
      </c>
      <c r="K34" s="1008">
        <f ca="1">iCSCtbl!G23</f>
        <v>57.8</v>
      </c>
      <c r="M34" s="1009"/>
      <c r="U34"/>
      <c r="V34"/>
      <c r="W34" s="69"/>
      <c r="X34" s="69"/>
      <c r="Y34"/>
      <c r="Z34"/>
      <c r="AA34"/>
      <c r="AB34" s="887"/>
      <c r="BZ34" s="196"/>
      <c r="CA34" s="196"/>
    </row>
    <row r="35" spans="1:79" s="198" customFormat="1" ht="32.15" customHeight="1">
      <c r="A35" s="907"/>
      <c r="B35" s="198">
        <f>iCSCtbl!F24</f>
        <v>2</v>
      </c>
      <c r="C35" s="1003" t="str">
        <f>TRIM(iCSCtbl!C24)</f>
        <v>4.4) Circular economy</v>
      </c>
      <c r="D35" s="887"/>
      <c r="E35" s="887"/>
      <c r="F35" s="1004"/>
      <c r="G35" s="1005"/>
      <c r="H35" s="887"/>
      <c r="I35" s="1006">
        <f>iCSCtbl!D24</f>
        <v>100</v>
      </c>
      <c r="J35" s="1007" t="str">
        <f ca="1">iCSCtbl!E24</f>
        <v>=1</v>
      </c>
      <c r="K35" s="1008">
        <f ca="1">iCSCtbl!G24</f>
        <v>48</v>
      </c>
      <c r="M35" s="1009"/>
      <c r="U35"/>
      <c r="V35"/>
      <c r="W35" s="69"/>
      <c r="X35" s="69"/>
      <c r="Y35"/>
      <c r="Z35"/>
      <c r="AA35"/>
      <c r="AB35" s="887"/>
      <c r="BZ35" s="196"/>
      <c r="CA35" s="196"/>
    </row>
    <row r="36" spans="1:79" s="907" customFormat="1" ht="15.5" hidden="1">
      <c r="B36" s="198"/>
      <c r="C36" s="1011"/>
      <c r="D36" s="881"/>
      <c r="E36" s="881"/>
      <c r="F36" s="1012"/>
      <c r="G36" s="1013"/>
      <c r="H36" s="881"/>
      <c r="I36" s="1014"/>
      <c r="J36" s="1015"/>
      <c r="K36" s="1016"/>
      <c r="U36"/>
      <c r="V36"/>
      <c r="W36" s="69"/>
      <c r="X36" s="69"/>
      <c r="Y36"/>
      <c r="Z36"/>
      <c r="AA36"/>
      <c r="AB36" s="881"/>
      <c r="BZ36" s="196"/>
      <c r="CA36" s="196"/>
    </row>
    <row r="37" spans="1:79" s="195" customFormat="1" ht="15.5">
      <c r="B37" s="196"/>
      <c r="C37" s="1017"/>
      <c r="D37" s="1002"/>
      <c r="E37" s="1002"/>
      <c r="F37" s="1018"/>
      <c r="G37" s="1019"/>
      <c r="H37" s="1002"/>
      <c r="I37" s="1020"/>
      <c r="U37"/>
      <c r="V37"/>
      <c r="W37" s="69"/>
      <c r="X37" s="69"/>
      <c r="Y37"/>
      <c r="Z37"/>
      <c r="AA37"/>
      <c r="AB37" s="1002"/>
      <c r="BZ37" s="196"/>
      <c r="CA37" s="196"/>
    </row>
    <row r="38" spans="1:79" customFormat="1"/>
    <row r="39" spans="1:79" customFormat="1"/>
    <row r="40" spans="1:79" customFormat="1" hidden="1"/>
    <row r="41" spans="1:79" customFormat="1" hidden="1"/>
    <row r="42" spans="1:79" customFormat="1" hidden="1"/>
    <row r="43" spans="1:79" customFormat="1" hidden="1"/>
    <row r="44" spans="1:79" customFormat="1" hidden="1"/>
    <row r="45" spans="1:79" customFormat="1" hidden="1"/>
    <row r="46" spans="1:79" customFormat="1"/>
    <row r="47" spans="1:79" customFormat="1"/>
    <row r="48" spans="1:79" s="163" customFormat="1" ht="15.5">
      <c r="B48" s="192">
        <f t="shared" ref="B48:B105" si="0">IF(C48="",0,1)</f>
        <v>0</v>
      </c>
      <c r="C48" s="256" t="s">
        <v>638</v>
      </c>
      <c r="D48" s="257" t="s">
        <v>638</v>
      </c>
      <c r="F48" s="1021">
        <f t="shared" ref="F48:F105" si="1">IF(G48="",0,1)</f>
        <v>0</v>
      </c>
      <c r="G48" s="256" t="s">
        <v>638</v>
      </c>
      <c r="H48" s="257" t="s">
        <v>638</v>
      </c>
      <c r="I48" s="257" t="s">
        <v>638</v>
      </c>
      <c r="J48" s="157"/>
      <c r="K48" s="157"/>
      <c r="L48" s="157"/>
      <c r="M48" s="157"/>
      <c r="O48" s="255"/>
      <c r="U48"/>
      <c r="V48"/>
      <c r="W48" s="69" t="str">
        <f t="shared" ref="W48:W105" si="2">C48</f>
        <v/>
      </c>
      <c r="X48" s="69" t="str">
        <f t="shared" ref="X48:X105" si="3">G48</f>
        <v/>
      </c>
      <c r="Y48"/>
      <c r="Z48"/>
      <c r="AA48"/>
      <c r="AB48" s="192"/>
      <c r="BZ48" s="254"/>
      <c r="CA48" s="254"/>
    </row>
    <row r="49" spans="2:79" s="163" customFormat="1" ht="15.5">
      <c r="B49" s="192">
        <f t="shared" si="0"/>
        <v>0</v>
      </c>
      <c r="C49" s="256" t="s">
        <v>638</v>
      </c>
      <c r="D49" s="257" t="s">
        <v>638</v>
      </c>
      <c r="F49" s="1021">
        <f t="shared" si="1"/>
        <v>0</v>
      </c>
      <c r="G49" s="256" t="s">
        <v>638</v>
      </c>
      <c r="H49" s="257" t="s">
        <v>638</v>
      </c>
      <c r="I49" s="257" t="s">
        <v>638</v>
      </c>
      <c r="J49" s="157"/>
      <c r="K49" s="157"/>
      <c r="L49" s="157"/>
      <c r="M49" s="157"/>
      <c r="O49" s="255"/>
      <c r="U49"/>
      <c r="V49"/>
      <c r="W49" s="69" t="str">
        <f t="shared" si="2"/>
        <v/>
      </c>
      <c r="X49" s="69" t="str">
        <f t="shared" si="3"/>
        <v/>
      </c>
      <c r="Y49"/>
      <c r="Z49"/>
      <c r="AA49"/>
      <c r="AB49" s="192"/>
      <c r="BZ49" s="254"/>
      <c r="CA49" s="254"/>
    </row>
    <row r="50" spans="2:79" s="163" customFormat="1" ht="15.5">
      <c r="B50" s="192">
        <f t="shared" si="0"/>
        <v>0</v>
      </c>
      <c r="C50" s="256" t="s">
        <v>638</v>
      </c>
      <c r="D50" s="257" t="s">
        <v>638</v>
      </c>
      <c r="F50" s="1021">
        <f t="shared" si="1"/>
        <v>0</v>
      </c>
      <c r="G50" s="256" t="s">
        <v>638</v>
      </c>
      <c r="H50" s="257" t="s">
        <v>638</v>
      </c>
      <c r="I50" s="257" t="s">
        <v>638</v>
      </c>
      <c r="J50" s="157"/>
      <c r="K50" s="157"/>
      <c r="L50" s="157"/>
      <c r="M50" s="157"/>
      <c r="O50" s="255"/>
      <c r="U50"/>
      <c r="V50"/>
      <c r="W50" s="69" t="str">
        <f t="shared" si="2"/>
        <v/>
      </c>
      <c r="X50" s="69" t="str">
        <f t="shared" si="3"/>
        <v/>
      </c>
      <c r="Y50"/>
      <c r="Z50"/>
      <c r="AA50"/>
      <c r="AB50" s="192"/>
      <c r="BZ50" s="254"/>
      <c r="CA50" s="254"/>
    </row>
    <row r="51" spans="2:79" s="163" customFormat="1" ht="15.5">
      <c r="B51" s="192">
        <f t="shared" si="0"/>
        <v>0</v>
      </c>
      <c r="C51" s="256" t="s">
        <v>638</v>
      </c>
      <c r="D51" s="257" t="s">
        <v>638</v>
      </c>
      <c r="F51" s="1021">
        <f t="shared" si="1"/>
        <v>0</v>
      </c>
      <c r="G51" s="256" t="s">
        <v>638</v>
      </c>
      <c r="H51" s="257" t="s">
        <v>638</v>
      </c>
      <c r="I51" s="257" t="s">
        <v>638</v>
      </c>
      <c r="J51" s="157"/>
      <c r="K51" s="157"/>
      <c r="L51" s="157"/>
      <c r="M51" s="157"/>
      <c r="O51" s="255"/>
      <c r="U51"/>
      <c r="V51"/>
      <c r="W51" s="69" t="str">
        <f t="shared" si="2"/>
        <v/>
      </c>
      <c r="X51" s="69" t="str">
        <f t="shared" si="3"/>
        <v/>
      </c>
      <c r="Y51"/>
      <c r="Z51"/>
      <c r="AA51"/>
      <c r="AB51" s="192"/>
      <c r="BZ51" s="254"/>
      <c r="CA51" s="254"/>
    </row>
    <row r="52" spans="2:79" s="163" customFormat="1" ht="15.5">
      <c r="B52" s="192">
        <f t="shared" si="0"/>
        <v>0</v>
      </c>
      <c r="C52" s="256" t="s">
        <v>638</v>
      </c>
      <c r="D52" s="257" t="s">
        <v>638</v>
      </c>
      <c r="F52" s="1021">
        <f t="shared" si="1"/>
        <v>0</v>
      </c>
      <c r="G52" s="256" t="s">
        <v>638</v>
      </c>
      <c r="H52" s="257" t="s">
        <v>638</v>
      </c>
      <c r="I52" s="257" t="s">
        <v>638</v>
      </c>
      <c r="J52" s="157"/>
      <c r="K52" s="157"/>
      <c r="L52" s="157"/>
      <c r="M52" s="157"/>
      <c r="O52" s="255"/>
      <c r="U52"/>
      <c r="V52"/>
      <c r="W52" s="69" t="str">
        <f t="shared" si="2"/>
        <v/>
      </c>
      <c r="X52" s="69" t="str">
        <f t="shared" si="3"/>
        <v/>
      </c>
      <c r="Y52"/>
      <c r="Z52"/>
      <c r="AA52"/>
      <c r="AB52" s="192"/>
      <c r="BZ52" s="254"/>
      <c r="CA52" s="254"/>
    </row>
    <row r="53" spans="2:79" s="163" customFormat="1" ht="15.5">
      <c r="B53" s="192">
        <f t="shared" si="0"/>
        <v>0</v>
      </c>
      <c r="C53" s="256" t="s">
        <v>638</v>
      </c>
      <c r="D53" s="257" t="s">
        <v>638</v>
      </c>
      <c r="F53" s="1021">
        <f t="shared" si="1"/>
        <v>0</v>
      </c>
      <c r="G53" s="256" t="s">
        <v>638</v>
      </c>
      <c r="H53" s="257" t="s">
        <v>638</v>
      </c>
      <c r="I53" s="257" t="s">
        <v>638</v>
      </c>
      <c r="J53" s="157"/>
      <c r="K53" s="157"/>
      <c r="L53" s="157"/>
      <c r="M53" s="157"/>
      <c r="O53" s="255"/>
      <c r="U53"/>
      <c r="V53"/>
      <c r="W53" s="69" t="str">
        <f t="shared" si="2"/>
        <v/>
      </c>
      <c r="X53" s="69" t="str">
        <f t="shared" si="3"/>
        <v/>
      </c>
      <c r="Y53"/>
      <c r="Z53"/>
      <c r="AA53"/>
      <c r="AB53" s="192"/>
      <c r="BZ53" s="254"/>
      <c r="CA53" s="254"/>
    </row>
    <row r="54" spans="2:79" s="163" customFormat="1" ht="15.5">
      <c r="B54" s="192">
        <f t="shared" si="0"/>
        <v>0</v>
      </c>
      <c r="C54" s="256" t="s">
        <v>638</v>
      </c>
      <c r="D54" s="257" t="s">
        <v>638</v>
      </c>
      <c r="F54" s="1021">
        <f t="shared" si="1"/>
        <v>0</v>
      </c>
      <c r="G54" s="256" t="s">
        <v>638</v>
      </c>
      <c r="H54" s="257" t="s">
        <v>638</v>
      </c>
      <c r="I54" s="257" t="s">
        <v>638</v>
      </c>
      <c r="J54" s="157"/>
      <c r="K54" s="157"/>
      <c r="L54" s="157"/>
      <c r="M54" s="157"/>
      <c r="O54" s="255"/>
      <c r="U54"/>
      <c r="V54"/>
      <c r="W54" s="69" t="str">
        <f t="shared" si="2"/>
        <v/>
      </c>
      <c r="X54" s="69" t="str">
        <f t="shared" si="3"/>
        <v/>
      </c>
      <c r="Y54"/>
      <c r="Z54"/>
      <c r="AA54"/>
      <c r="AB54" s="192"/>
      <c r="BZ54" s="254"/>
      <c r="CA54" s="254"/>
    </row>
    <row r="55" spans="2:79" s="163" customFormat="1" ht="15.5">
      <c r="B55" s="192">
        <f t="shared" si="0"/>
        <v>0</v>
      </c>
      <c r="C55" s="256" t="s">
        <v>638</v>
      </c>
      <c r="D55" s="257" t="s">
        <v>638</v>
      </c>
      <c r="F55" s="1021">
        <f t="shared" si="1"/>
        <v>0</v>
      </c>
      <c r="G55" s="256" t="s">
        <v>638</v>
      </c>
      <c r="H55" s="257" t="s">
        <v>638</v>
      </c>
      <c r="I55" s="257" t="s">
        <v>638</v>
      </c>
      <c r="J55" s="157"/>
      <c r="K55" s="157"/>
      <c r="L55" s="157"/>
      <c r="M55" s="157"/>
      <c r="O55" s="255"/>
      <c r="U55"/>
      <c r="V55"/>
      <c r="W55" s="69" t="str">
        <f t="shared" si="2"/>
        <v/>
      </c>
      <c r="X55" s="69" t="str">
        <f t="shared" si="3"/>
        <v/>
      </c>
      <c r="Y55"/>
      <c r="Z55"/>
      <c r="AA55"/>
      <c r="AB55" s="192"/>
      <c r="BZ55" s="254"/>
      <c r="CA55" s="254"/>
    </row>
    <row r="56" spans="2:79" s="163" customFormat="1" ht="15.5">
      <c r="B56" s="192">
        <f t="shared" si="0"/>
        <v>0</v>
      </c>
      <c r="C56" s="256" t="s">
        <v>638</v>
      </c>
      <c r="D56" s="257" t="s">
        <v>638</v>
      </c>
      <c r="F56" s="1021">
        <f t="shared" si="1"/>
        <v>0</v>
      </c>
      <c r="G56" s="256" t="s">
        <v>638</v>
      </c>
      <c r="H56" s="257" t="s">
        <v>638</v>
      </c>
      <c r="I56" s="257" t="s">
        <v>638</v>
      </c>
      <c r="J56" s="157"/>
      <c r="K56" s="157"/>
      <c r="L56" s="157"/>
      <c r="M56" s="157"/>
      <c r="O56" s="255"/>
      <c r="U56"/>
      <c r="V56"/>
      <c r="W56" s="69" t="str">
        <f t="shared" si="2"/>
        <v/>
      </c>
      <c r="X56" s="69" t="str">
        <f t="shared" si="3"/>
        <v/>
      </c>
      <c r="Y56"/>
      <c r="Z56"/>
      <c r="AA56"/>
      <c r="AB56" s="192"/>
      <c r="BZ56" s="254"/>
      <c r="CA56" s="254"/>
    </row>
    <row r="57" spans="2:79" s="163" customFormat="1" ht="15.5">
      <c r="B57" s="192">
        <f t="shared" si="0"/>
        <v>0</v>
      </c>
      <c r="C57" s="256" t="s">
        <v>638</v>
      </c>
      <c r="D57" s="257" t="s">
        <v>638</v>
      </c>
      <c r="F57" s="1021">
        <f t="shared" si="1"/>
        <v>0</v>
      </c>
      <c r="G57" s="256" t="s">
        <v>638</v>
      </c>
      <c r="H57" s="257" t="s">
        <v>638</v>
      </c>
      <c r="I57" s="257" t="s">
        <v>638</v>
      </c>
      <c r="J57" s="157"/>
      <c r="K57" s="157"/>
      <c r="L57" s="157"/>
      <c r="M57" s="157"/>
      <c r="O57" s="255"/>
      <c r="U57"/>
      <c r="V57"/>
      <c r="W57" s="69" t="str">
        <f t="shared" si="2"/>
        <v/>
      </c>
      <c r="X57" s="69" t="str">
        <f t="shared" si="3"/>
        <v/>
      </c>
      <c r="Y57"/>
      <c r="Z57"/>
      <c r="AA57"/>
      <c r="AB57" s="192"/>
      <c r="BZ57" s="254"/>
      <c r="CA57" s="254"/>
    </row>
    <row r="58" spans="2:79" s="163" customFormat="1" ht="15.5">
      <c r="B58" s="192">
        <f t="shared" si="0"/>
        <v>0</v>
      </c>
      <c r="C58" s="256" t="s">
        <v>638</v>
      </c>
      <c r="D58" s="257" t="s">
        <v>638</v>
      </c>
      <c r="F58" s="1021">
        <f t="shared" si="1"/>
        <v>0</v>
      </c>
      <c r="G58" s="256" t="s">
        <v>638</v>
      </c>
      <c r="H58" s="257" t="s">
        <v>638</v>
      </c>
      <c r="I58" s="257" t="s">
        <v>638</v>
      </c>
      <c r="J58" s="157"/>
      <c r="K58" s="157"/>
      <c r="L58" s="157"/>
      <c r="M58" s="157"/>
      <c r="O58" s="255"/>
      <c r="U58"/>
      <c r="V58"/>
      <c r="W58" s="69" t="str">
        <f t="shared" si="2"/>
        <v/>
      </c>
      <c r="X58" s="69" t="str">
        <f t="shared" si="3"/>
        <v/>
      </c>
      <c r="Y58"/>
      <c r="Z58"/>
      <c r="AA58"/>
      <c r="AB58" s="192"/>
      <c r="BZ58" s="254"/>
      <c r="CA58" s="254"/>
    </row>
    <row r="59" spans="2:79" s="163" customFormat="1" ht="15.5">
      <c r="B59" s="192">
        <f t="shared" si="0"/>
        <v>0</v>
      </c>
      <c r="C59" s="256" t="s">
        <v>638</v>
      </c>
      <c r="D59" s="257" t="s">
        <v>638</v>
      </c>
      <c r="F59" s="1021">
        <f t="shared" si="1"/>
        <v>0</v>
      </c>
      <c r="G59" s="256" t="s">
        <v>638</v>
      </c>
      <c r="H59" s="257" t="s">
        <v>638</v>
      </c>
      <c r="I59" s="257" t="s">
        <v>638</v>
      </c>
      <c r="J59" s="157"/>
      <c r="K59" s="157"/>
      <c r="L59" s="157"/>
      <c r="M59" s="157"/>
      <c r="O59" s="255"/>
      <c r="U59"/>
      <c r="V59"/>
      <c r="W59" s="69" t="str">
        <f t="shared" si="2"/>
        <v/>
      </c>
      <c r="X59" s="69" t="str">
        <f t="shared" si="3"/>
        <v/>
      </c>
      <c r="Y59"/>
      <c r="Z59"/>
      <c r="AA59"/>
      <c r="AB59" s="192"/>
      <c r="BZ59" s="254"/>
      <c r="CA59" s="254"/>
    </row>
    <row r="60" spans="2:79" s="163" customFormat="1" ht="15.5">
      <c r="B60" s="192">
        <f t="shared" si="0"/>
        <v>0</v>
      </c>
      <c r="C60" s="256" t="s">
        <v>638</v>
      </c>
      <c r="D60" s="257" t="s">
        <v>638</v>
      </c>
      <c r="F60" s="1021">
        <f t="shared" si="1"/>
        <v>0</v>
      </c>
      <c r="G60" s="256" t="s">
        <v>638</v>
      </c>
      <c r="H60" s="257" t="s">
        <v>638</v>
      </c>
      <c r="I60" s="257" t="s">
        <v>638</v>
      </c>
      <c r="J60" s="157"/>
      <c r="K60" s="157"/>
      <c r="L60" s="157"/>
      <c r="M60" s="157"/>
      <c r="O60" s="255"/>
      <c r="U60"/>
      <c r="V60"/>
      <c r="W60" s="69" t="str">
        <f t="shared" si="2"/>
        <v/>
      </c>
      <c r="X60" s="69" t="str">
        <f t="shared" si="3"/>
        <v/>
      </c>
      <c r="Y60"/>
      <c r="Z60"/>
      <c r="AA60"/>
      <c r="AB60" s="192"/>
      <c r="BZ60" s="254"/>
      <c r="CA60" s="254"/>
    </row>
    <row r="61" spans="2:79" s="163" customFormat="1" ht="15.5">
      <c r="B61" s="192">
        <f t="shared" si="0"/>
        <v>0</v>
      </c>
      <c r="C61" s="256" t="s">
        <v>638</v>
      </c>
      <c r="D61" s="257" t="s">
        <v>638</v>
      </c>
      <c r="F61" s="1021">
        <f t="shared" si="1"/>
        <v>0</v>
      </c>
      <c r="G61" s="256" t="s">
        <v>638</v>
      </c>
      <c r="H61" s="257" t="s">
        <v>638</v>
      </c>
      <c r="I61" s="257" t="s">
        <v>638</v>
      </c>
      <c r="J61" s="157"/>
      <c r="K61" s="157"/>
      <c r="L61" s="157"/>
      <c r="M61" s="157"/>
      <c r="O61" s="255"/>
      <c r="U61"/>
      <c r="V61"/>
      <c r="W61" s="69" t="str">
        <f t="shared" si="2"/>
        <v/>
      </c>
      <c r="X61" s="69" t="str">
        <f t="shared" si="3"/>
        <v/>
      </c>
      <c r="Y61"/>
      <c r="Z61"/>
      <c r="AA61"/>
      <c r="AB61" s="192"/>
      <c r="BZ61" s="254"/>
      <c r="CA61" s="254"/>
    </row>
    <row r="62" spans="2:79" s="163" customFormat="1" ht="15.5">
      <c r="B62" s="192">
        <f t="shared" si="0"/>
        <v>0</v>
      </c>
      <c r="C62" s="256" t="s">
        <v>638</v>
      </c>
      <c r="D62" s="257" t="s">
        <v>638</v>
      </c>
      <c r="F62" s="1021">
        <f t="shared" si="1"/>
        <v>0</v>
      </c>
      <c r="G62" s="256" t="s">
        <v>638</v>
      </c>
      <c r="H62" s="257" t="s">
        <v>638</v>
      </c>
      <c r="I62" s="257" t="s">
        <v>638</v>
      </c>
      <c r="J62" s="157"/>
      <c r="K62" s="157"/>
      <c r="L62" s="157"/>
      <c r="M62" s="157"/>
      <c r="O62" s="255"/>
      <c r="U62"/>
      <c r="V62"/>
      <c r="W62" s="69" t="str">
        <f t="shared" si="2"/>
        <v/>
      </c>
      <c r="X62" s="69" t="str">
        <f t="shared" si="3"/>
        <v/>
      </c>
      <c r="Y62"/>
      <c r="Z62"/>
      <c r="AA62"/>
      <c r="AB62" s="192"/>
      <c r="BZ62" s="254"/>
      <c r="CA62" s="254"/>
    </row>
    <row r="63" spans="2:79" s="163" customFormat="1" ht="15.5">
      <c r="B63" s="192">
        <f t="shared" si="0"/>
        <v>0</v>
      </c>
      <c r="C63" s="256" t="s">
        <v>638</v>
      </c>
      <c r="D63" s="257" t="s">
        <v>638</v>
      </c>
      <c r="F63" s="1021">
        <f t="shared" si="1"/>
        <v>0</v>
      </c>
      <c r="G63" s="256" t="s">
        <v>638</v>
      </c>
      <c r="H63" s="257" t="s">
        <v>638</v>
      </c>
      <c r="I63" s="257" t="s">
        <v>638</v>
      </c>
      <c r="J63" s="157"/>
      <c r="K63" s="157"/>
      <c r="L63" s="157"/>
      <c r="M63" s="157"/>
      <c r="O63" s="255"/>
      <c r="U63"/>
      <c r="V63"/>
      <c r="W63" s="69" t="str">
        <f t="shared" si="2"/>
        <v/>
      </c>
      <c r="X63" s="69" t="str">
        <f t="shared" si="3"/>
        <v/>
      </c>
      <c r="Y63"/>
      <c r="Z63"/>
      <c r="AA63"/>
      <c r="AB63" s="192"/>
      <c r="BZ63" s="254"/>
      <c r="CA63" s="254"/>
    </row>
    <row r="64" spans="2:79" s="163" customFormat="1" ht="15.5">
      <c r="B64" s="192">
        <f t="shared" si="0"/>
        <v>0</v>
      </c>
      <c r="C64" s="256" t="s">
        <v>638</v>
      </c>
      <c r="D64" s="257" t="s">
        <v>638</v>
      </c>
      <c r="F64" s="1021">
        <f t="shared" si="1"/>
        <v>0</v>
      </c>
      <c r="G64" s="256" t="s">
        <v>638</v>
      </c>
      <c r="H64" s="257" t="s">
        <v>638</v>
      </c>
      <c r="I64" s="257" t="s">
        <v>638</v>
      </c>
      <c r="J64" s="157"/>
      <c r="K64" s="157"/>
      <c r="L64" s="157"/>
      <c r="M64" s="157"/>
      <c r="O64" s="255"/>
      <c r="U64"/>
      <c r="V64"/>
      <c r="W64" s="69" t="str">
        <f t="shared" si="2"/>
        <v/>
      </c>
      <c r="X64" s="69" t="str">
        <f t="shared" si="3"/>
        <v/>
      </c>
      <c r="Y64"/>
      <c r="Z64"/>
      <c r="AA64"/>
      <c r="AB64" s="192"/>
      <c r="BZ64" s="254"/>
      <c r="CA64" s="254"/>
    </row>
    <row r="65" spans="2:79" s="163" customFormat="1" ht="15.5">
      <c r="B65" s="192">
        <f t="shared" si="0"/>
        <v>0</v>
      </c>
      <c r="C65" s="256" t="s">
        <v>638</v>
      </c>
      <c r="D65" s="257" t="s">
        <v>638</v>
      </c>
      <c r="F65" s="1021">
        <f t="shared" si="1"/>
        <v>0</v>
      </c>
      <c r="G65" s="256" t="s">
        <v>638</v>
      </c>
      <c r="H65" s="257" t="s">
        <v>638</v>
      </c>
      <c r="I65" s="257" t="s">
        <v>638</v>
      </c>
      <c r="J65" s="157"/>
      <c r="K65" s="157"/>
      <c r="L65" s="157"/>
      <c r="M65" s="157"/>
      <c r="O65" s="255"/>
      <c r="U65"/>
      <c r="V65"/>
      <c r="W65" s="69" t="str">
        <f t="shared" si="2"/>
        <v/>
      </c>
      <c r="X65" s="69" t="str">
        <f t="shared" si="3"/>
        <v/>
      </c>
      <c r="Y65"/>
      <c r="Z65"/>
      <c r="AA65"/>
      <c r="AB65" s="192"/>
      <c r="BZ65" s="254"/>
      <c r="CA65" s="254"/>
    </row>
    <row r="66" spans="2:79" s="163" customFormat="1" ht="15.5">
      <c r="B66" s="192">
        <f t="shared" si="0"/>
        <v>0</v>
      </c>
      <c r="C66" s="256" t="s">
        <v>638</v>
      </c>
      <c r="D66" s="257" t="s">
        <v>638</v>
      </c>
      <c r="F66" s="1021">
        <f t="shared" si="1"/>
        <v>0</v>
      </c>
      <c r="G66" s="256" t="s">
        <v>638</v>
      </c>
      <c r="H66" s="257" t="s">
        <v>638</v>
      </c>
      <c r="I66" s="257" t="s">
        <v>638</v>
      </c>
      <c r="J66" s="157"/>
      <c r="K66" s="157"/>
      <c r="L66" s="157"/>
      <c r="M66" s="157"/>
      <c r="O66" s="255"/>
      <c r="U66"/>
      <c r="V66"/>
      <c r="W66" s="69" t="str">
        <f t="shared" si="2"/>
        <v/>
      </c>
      <c r="X66" s="69" t="str">
        <f t="shared" si="3"/>
        <v/>
      </c>
      <c r="Y66"/>
      <c r="Z66"/>
      <c r="AA66"/>
      <c r="AB66" s="192"/>
      <c r="BZ66" s="254"/>
      <c r="CA66" s="254"/>
    </row>
    <row r="67" spans="2:79" s="163" customFormat="1" ht="15.5">
      <c r="B67" s="192">
        <f t="shared" si="0"/>
        <v>0</v>
      </c>
      <c r="C67" s="256" t="s">
        <v>638</v>
      </c>
      <c r="D67" s="257" t="s">
        <v>638</v>
      </c>
      <c r="F67" s="1021">
        <f t="shared" si="1"/>
        <v>0</v>
      </c>
      <c r="G67" s="256" t="s">
        <v>638</v>
      </c>
      <c r="H67" s="257" t="s">
        <v>638</v>
      </c>
      <c r="I67" s="257" t="s">
        <v>638</v>
      </c>
      <c r="J67" s="157"/>
      <c r="K67" s="157"/>
      <c r="L67" s="157"/>
      <c r="M67" s="157"/>
      <c r="O67" s="255"/>
      <c r="U67"/>
      <c r="V67"/>
      <c r="W67" s="69" t="str">
        <f t="shared" si="2"/>
        <v/>
      </c>
      <c r="X67" s="69" t="str">
        <f t="shared" si="3"/>
        <v/>
      </c>
      <c r="Y67"/>
      <c r="Z67"/>
      <c r="AA67"/>
      <c r="AB67" s="192"/>
      <c r="BZ67" s="254"/>
      <c r="CA67" s="254"/>
    </row>
    <row r="68" spans="2:79" s="163" customFormat="1" ht="15.5">
      <c r="B68" s="192">
        <f t="shared" si="0"/>
        <v>0</v>
      </c>
      <c r="C68" s="256" t="s">
        <v>638</v>
      </c>
      <c r="D68" s="257" t="s">
        <v>638</v>
      </c>
      <c r="F68" s="1021">
        <f t="shared" si="1"/>
        <v>0</v>
      </c>
      <c r="G68" s="256" t="s">
        <v>638</v>
      </c>
      <c r="H68" s="257" t="s">
        <v>638</v>
      </c>
      <c r="I68" s="257" t="s">
        <v>638</v>
      </c>
      <c r="J68" s="157"/>
      <c r="K68" s="157"/>
      <c r="L68" s="157"/>
      <c r="M68" s="157"/>
      <c r="O68" s="255"/>
      <c r="U68"/>
      <c r="V68"/>
      <c r="W68" s="69" t="str">
        <f t="shared" si="2"/>
        <v/>
      </c>
      <c r="X68" s="69" t="str">
        <f t="shared" si="3"/>
        <v/>
      </c>
      <c r="Y68"/>
      <c r="Z68"/>
      <c r="AA68"/>
      <c r="AB68" s="192"/>
      <c r="BZ68" s="254"/>
      <c r="CA68" s="254"/>
    </row>
    <row r="69" spans="2:79" s="163" customFormat="1" ht="15.5">
      <c r="B69" s="192">
        <f t="shared" si="0"/>
        <v>0</v>
      </c>
      <c r="C69" s="256" t="s">
        <v>638</v>
      </c>
      <c r="D69" s="257" t="s">
        <v>638</v>
      </c>
      <c r="F69" s="1021">
        <f t="shared" si="1"/>
        <v>0</v>
      </c>
      <c r="G69" s="256" t="s">
        <v>638</v>
      </c>
      <c r="H69" s="257" t="s">
        <v>638</v>
      </c>
      <c r="I69" s="257" t="s">
        <v>638</v>
      </c>
      <c r="J69" s="157"/>
      <c r="K69" s="157"/>
      <c r="L69" s="157"/>
      <c r="M69" s="157"/>
      <c r="O69" s="255"/>
      <c r="U69"/>
      <c r="V69"/>
      <c r="W69" s="69" t="str">
        <f t="shared" si="2"/>
        <v/>
      </c>
      <c r="X69" s="69" t="str">
        <f t="shared" si="3"/>
        <v/>
      </c>
      <c r="Y69"/>
      <c r="Z69"/>
      <c r="AA69"/>
      <c r="AB69" s="192"/>
      <c r="BZ69" s="254"/>
      <c r="CA69" s="254"/>
    </row>
    <row r="70" spans="2:79" s="163" customFormat="1" ht="15.5">
      <c r="B70" s="192">
        <f t="shared" si="0"/>
        <v>0</v>
      </c>
      <c r="C70" s="256" t="s">
        <v>638</v>
      </c>
      <c r="D70" s="257" t="s">
        <v>638</v>
      </c>
      <c r="F70" s="1021">
        <f t="shared" si="1"/>
        <v>0</v>
      </c>
      <c r="G70" s="256" t="s">
        <v>638</v>
      </c>
      <c r="H70" s="257" t="s">
        <v>638</v>
      </c>
      <c r="I70" s="257" t="s">
        <v>638</v>
      </c>
      <c r="J70" s="157"/>
      <c r="K70" s="157"/>
      <c r="L70" s="157"/>
      <c r="M70" s="157"/>
      <c r="O70" s="255"/>
      <c r="U70"/>
      <c r="V70"/>
      <c r="W70" s="69" t="str">
        <f t="shared" si="2"/>
        <v/>
      </c>
      <c r="X70" s="69" t="str">
        <f t="shared" si="3"/>
        <v/>
      </c>
      <c r="Y70"/>
      <c r="Z70"/>
      <c r="AA70"/>
      <c r="AB70" s="192"/>
      <c r="BZ70" s="254"/>
      <c r="CA70" s="254"/>
    </row>
    <row r="71" spans="2:79" s="163" customFormat="1" ht="15.5">
      <c r="B71" s="192">
        <f t="shared" si="0"/>
        <v>0</v>
      </c>
      <c r="C71" s="256" t="s">
        <v>638</v>
      </c>
      <c r="D71" s="257" t="s">
        <v>638</v>
      </c>
      <c r="F71" s="1021">
        <f t="shared" si="1"/>
        <v>0</v>
      </c>
      <c r="G71" s="256" t="s">
        <v>638</v>
      </c>
      <c r="H71" s="257" t="s">
        <v>638</v>
      </c>
      <c r="I71" s="257" t="s">
        <v>638</v>
      </c>
      <c r="J71" s="157"/>
      <c r="K71" s="157"/>
      <c r="L71" s="157"/>
      <c r="M71" s="157"/>
      <c r="O71" s="255"/>
      <c r="U71"/>
      <c r="V71"/>
      <c r="W71" s="69" t="str">
        <f t="shared" si="2"/>
        <v/>
      </c>
      <c r="X71" s="69" t="str">
        <f t="shared" si="3"/>
        <v/>
      </c>
      <c r="Y71"/>
      <c r="Z71"/>
      <c r="AA71"/>
      <c r="AB71" s="192"/>
      <c r="BZ71" s="254"/>
      <c r="CA71" s="254"/>
    </row>
    <row r="72" spans="2:79" s="163" customFormat="1" ht="15.5">
      <c r="B72" s="192">
        <f t="shared" si="0"/>
        <v>0</v>
      </c>
      <c r="C72" s="256" t="s">
        <v>638</v>
      </c>
      <c r="D72" s="257" t="s">
        <v>638</v>
      </c>
      <c r="F72" s="1021">
        <f t="shared" si="1"/>
        <v>0</v>
      </c>
      <c r="G72" s="256" t="s">
        <v>638</v>
      </c>
      <c r="H72" s="257" t="s">
        <v>638</v>
      </c>
      <c r="I72" s="257" t="s">
        <v>638</v>
      </c>
      <c r="J72" s="157"/>
      <c r="K72" s="157"/>
      <c r="L72" s="157"/>
      <c r="M72" s="157"/>
      <c r="O72" s="255"/>
      <c r="U72"/>
      <c r="V72"/>
      <c r="W72" s="69" t="str">
        <f t="shared" si="2"/>
        <v/>
      </c>
      <c r="X72" s="69" t="str">
        <f t="shared" si="3"/>
        <v/>
      </c>
      <c r="Y72"/>
      <c r="Z72"/>
      <c r="AA72"/>
      <c r="AB72" s="192"/>
      <c r="BZ72" s="254"/>
      <c r="CA72" s="254"/>
    </row>
    <row r="73" spans="2:79" s="163" customFormat="1" ht="15.5">
      <c r="B73" s="192">
        <f t="shared" si="0"/>
        <v>0</v>
      </c>
      <c r="C73" s="256" t="s">
        <v>638</v>
      </c>
      <c r="D73" s="257" t="s">
        <v>638</v>
      </c>
      <c r="F73" s="1021">
        <f t="shared" si="1"/>
        <v>0</v>
      </c>
      <c r="G73" s="256" t="s">
        <v>638</v>
      </c>
      <c r="H73" s="257" t="s">
        <v>638</v>
      </c>
      <c r="I73" s="257" t="s">
        <v>638</v>
      </c>
      <c r="J73" s="157"/>
      <c r="K73" s="157"/>
      <c r="L73" s="157"/>
      <c r="M73" s="157"/>
      <c r="O73" s="255"/>
      <c r="U73"/>
      <c r="V73"/>
      <c r="W73" s="69" t="str">
        <f t="shared" si="2"/>
        <v/>
      </c>
      <c r="X73" s="69" t="str">
        <f t="shared" si="3"/>
        <v/>
      </c>
      <c r="Y73"/>
      <c r="Z73"/>
      <c r="AA73"/>
      <c r="AB73" s="192"/>
      <c r="BZ73" s="254"/>
      <c r="CA73" s="254"/>
    </row>
    <row r="74" spans="2:79" s="163" customFormat="1" ht="15.5">
      <c r="B74" s="192">
        <f t="shared" si="0"/>
        <v>0</v>
      </c>
      <c r="C74" s="256" t="s">
        <v>638</v>
      </c>
      <c r="D74" s="257" t="s">
        <v>638</v>
      </c>
      <c r="F74" s="1021">
        <f t="shared" si="1"/>
        <v>0</v>
      </c>
      <c r="G74" s="256" t="s">
        <v>638</v>
      </c>
      <c r="H74" s="257" t="s">
        <v>638</v>
      </c>
      <c r="I74" s="257" t="s">
        <v>638</v>
      </c>
      <c r="J74" s="157"/>
      <c r="K74" s="157"/>
      <c r="L74" s="157"/>
      <c r="M74" s="157"/>
      <c r="O74" s="255"/>
      <c r="U74"/>
      <c r="V74"/>
      <c r="W74" s="69" t="str">
        <f t="shared" si="2"/>
        <v/>
      </c>
      <c r="X74" s="69" t="str">
        <f t="shared" si="3"/>
        <v/>
      </c>
      <c r="Y74"/>
      <c r="Z74"/>
      <c r="AA74"/>
      <c r="AB74" s="192"/>
      <c r="BZ74" s="254"/>
      <c r="CA74" s="254"/>
    </row>
    <row r="75" spans="2:79" s="163" customFormat="1" ht="15.5">
      <c r="B75" s="192">
        <f t="shared" si="0"/>
        <v>0</v>
      </c>
      <c r="C75" s="256" t="s">
        <v>638</v>
      </c>
      <c r="D75" s="257" t="s">
        <v>638</v>
      </c>
      <c r="F75" s="1021">
        <f t="shared" si="1"/>
        <v>0</v>
      </c>
      <c r="G75" s="256" t="s">
        <v>638</v>
      </c>
      <c r="H75" s="257" t="s">
        <v>638</v>
      </c>
      <c r="I75" s="257" t="s">
        <v>638</v>
      </c>
      <c r="J75" s="157"/>
      <c r="K75" s="157"/>
      <c r="L75" s="157"/>
      <c r="M75" s="157"/>
      <c r="O75" s="255"/>
      <c r="U75"/>
      <c r="V75"/>
      <c r="W75" s="69" t="str">
        <f t="shared" si="2"/>
        <v/>
      </c>
      <c r="X75" s="69" t="str">
        <f t="shared" si="3"/>
        <v/>
      </c>
      <c r="Y75"/>
      <c r="Z75"/>
      <c r="AA75"/>
      <c r="AB75" s="192"/>
      <c r="BZ75" s="254"/>
      <c r="CA75" s="254"/>
    </row>
    <row r="76" spans="2:79" s="163" customFormat="1" ht="15.5">
      <c r="B76" s="192">
        <f t="shared" si="0"/>
        <v>0</v>
      </c>
      <c r="C76" s="256" t="s">
        <v>638</v>
      </c>
      <c r="D76" s="257" t="s">
        <v>638</v>
      </c>
      <c r="F76" s="1021">
        <f t="shared" si="1"/>
        <v>0</v>
      </c>
      <c r="G76" s="256" t="s">
        <v>638</v>
      </c>
      <c r="H76" s="257" t="s">
        <v>638</v>
      </c>
      <c r="I76" s="257" t="s">
        <v>638</v>
      </c>
      <c r="J76" s="157"/>
      <c r="K76" s="157"/>
      <c r="L76" s="157"/>
      <c r="M76" s="157"/>
      <c r="O76" s="255"/>
      <c r="U76"/>
      <c r="V76"/>
      <c r="W76" s="69" t="str">
        <f t="shared" si="2"/>
        <v/>
      </c>
      <c r="X76" s="69" t="str">
        <f t="shared" si="3"/>
        <v/>
      </c>
      <c r="Y76"/>
      <c r="Z76"/>
      <c r="AA76"/>
      <c r="AB76" s="192"/>
      <c r="BZ76" s="254"/>
      <c r="CA76" s="254"/>
    </row>
    <row r="77" spans="2:79" s="163" customFormat="1" ht="15.5">
      <c r="B77" s="192">
        <f t="shared" si="0"/>
        <v>0</v>
      </c>
      <c r="C77" s="256" t="s">
        <v>638</v>
      </c>
      <c r="D77" s="257" t="s">
        <v>638</v>
      </c>
      <c r="F77" s="1021">
        <f t="shared" si="1"/>
        <v>0</v>
      </c>
      <c r="G77" s="256" t="s">
        <v>638</v>
      </c>
      <c r="H77" s="257" t="s">
        <v>638</v>
      </c>
      <c r="I77" s="257" t="s">
        <v>638</v>
      </c>
      <c r="J77" s="157"/>
      <c r="K77" s="157"/>
      <c r="L77" s="157"/>
      <c r="M77" s="157"/>
      <c r="O77" s="255"/>
      <c r="U77"/>
      <c r="V77"/>
      <c r="W77" s="69" t="str">
        <f t="shared" si="2"/>
        <v/>
      </c>
      <c r="X77" s="69" t="str">
        <f t="shared" si="3"/>
        <v/>
      </c>
      <c r="Y77"/>
      <c r="Z77"/>
      <c r="AA77"/>
      <c r="AB77" s="192"/>
      <c r="BZ77" s="254"/>
      <c r="CA77" s="254"/>
    </row>
    <row r="78" spans="2:79" s="163" customFormat="1" ht="15.5">
      <c r="B78" s="192">
        <f t="shared" si="0"/>
        <v>0</v>
      </c>
      <c r="C78" s="256" t="s">
        <v>638</v>
      </c>
      <c r="D78" s="257" t="s">
        <v>638</v>
      </c>
      <c r="F78" s="1021">
        <f t="shared" si="1"/>
        <v>0</v>
      </c>
      <c r="G78" s="256" t="s">
        <v>638</v>
      </c>
      <c r="H78" s="257" t="s">
        <v>638</v>
      </c>
      <c r="I78" s="257" t="s">
        <v>638</v>
      </c>
      <c r="J78" s="157"/>
      <c r="K78" s="157"/>
      <c r="L78" s="157"/>
      <c r="M78" s="157"/>
      <c r="O78" s="255"/>
      <c r="U78"/>
      <c r="V78"/>
      <c r="W78" s="69" t="str">
        <f t="shared" si="2"/>
        <v/>
      </c>
      <c r="X78" s="69" t="str">
        <f t="shared" si="3"/>
        <v/>
      </c>
      <c r="Y78"/>
      <c r="Z78"/>
      <c r="AA78"/>
      <c r="AB78" s="192"/>
      <c r="BZ78" s="254"/>
      <c r="CA78" s="254"/>
    </row>
    <row r="79" spans="2:79" s="163" customFormat="1" ht="15.5">
      <c r="B79" s="192">
        <f t="shared" si="0"/>
        <v>0</v>
      </c>
      <c r="C79" s="256" t="s">
        <v>638</v>
      </c>
      <c r="D79" s="257" t="s">
        <v>638</v>
      </c>
      <c r="F79" s="1021">
        <f t="shared" si="1"/>
        <v>0</v>
      </c>
      <c r="G79" s="256" t="s">
        <v>638</v>
      </c>
      <c r="H79" s="257" t="s">
        <v>638</v>
      </c>
      <c r="I79" s="257" t="s">
        <v>638</v>
      </c>
      <c r="J79" s="157"/>
      <c r="K79" s="157"/>
      <c r="L79" s="157"/>
      <c r="M79" s="157"/>
      <c r="O79" s="255"/>
      <c r="U79"/>
      <c r="V79"/>
      <c r="W79" s="69" t="str">
        <f t="shared" si="2"/>
        <v/>
      </c>
      <c r="X79" s="69" t="str">
        <f t="shared" si="3"/>
        <v/>
      </c>
      <c r="Y79"/>
      <c r="Z79"/>
      <c r="AA79"/>
      <c r="AB79" s="192"/>
      <c r="BZ79" s="254"/>
      <c r="CA79" s="254"/>
    </row>
    <row r="80" spans="2:79" s="163" customFormat="1" ht="15.5">
      <c r="B80" s="192">
        <f t="shared" si="0"/>
        <v>0</v>
      </c>
      <c r="C80" s="256" t="s">
        <v>638</v>
      </c>
      <c r="D80" s="257" t="s">
        <v>638</v>
      </c>
      <c r="F80" s="1021">
        <f t="shared" si="1"/>
        <v>0</v>
      </c>
      <c r="G80" s="256" t="s">
        <v>638</v>
      </c>
      <c r="H80" s="257" t="s">
        <v>638</v>
      </c>
      <c r="I80" s="257" t="s">
        <v>638</v>
      </c>
      <c r="J80" s="157"/>
      <c r="K80" s="157"/>
      <c r="L80" s="157"/>
      <c r="M80" s="157"/>
      <c r="O80" s="255"/>
      <c r="U80"/>
      <c r="V80"/>
      <c r="W80" s="69" t="str">
        <f t="shared" si="2"/>
        <v/>
      </c>
      <c r="X80" s="69" t="str">
        <f t="shared" si="3"/>
        <v/>
      </c>
      <c r="Y80"/>
      <c r="Z80"/>
      <c r="AA80"/>
      <c r="AB80" s="192"/>
      <c r="BZ80" s="254"/>
      <c r="CA80" s="254"/>
    </row>
    <row r="81" spans="2:79" s="163" customFormat="1" ht="15.5">
      <c r="B81" s="192">
        <f t="shared" si="0"/>
        <v>0</v>
      </c>
      <c r="C81" s="256" t="s">
        <v>638</v>
      </c>
      <c r="D81" s="257" t="s">
        <v>638</v>
      </c>
      <c r="F81" s="1021">
        <f t="shared" si="1"/>
        <v>0</v>
      </c>
      <c r="G81" s="256" t="s">
        <v>638</v>
      </c>
      <c r="H81" s="257" t="s">
        <v>638</v>
      </c>
      <c r="I81" s="257" t="s">
        <v>638</v>
      </c>
      <c r="J81" s="157"/>
      <c r="K81" s="157"/>
      <c r="L81" s="157"/>
      <c r="M81" s="157"/>
      <c r="O81" s="255"/>
      <c r="U81"/>
      <c r="V81"/>
      <c r="W81" s="69" t="str">
        <f t="shared" si="2"/>
        <v/>
      </c>
      <c r="X81" s="69" t="str">
        <f t="shared" si="3"/>
        <v/>
      </c>
      <c r="Y81"/>
      <c r="Z81"/>
      <c r="AA81"/>
      <c r="AB81" s="192"/>
      <c r="BZ81" s="254"/>
      <c r="CA81" s="254"/>
    </row>
    <row r="82" spans="2:79" s="163" customFormat="1" ht="15.5">
      <c r="B82" s="192">
        <f t="shared" si="0"/>
        <v>0</v>
      </c>
      <c r="C82" s="256" t="s">
        <v>638</v>
      </c>
      <c r="D82" s="257" t="s">
        <v>638</v>
      </c>
      <c r="F82" s="1021">
        <f t="shared" si="1"/>
        <v>0</v>
      </c>
      <c r="G82" s="256" t="s">
        <v>638</v>
      </c>
      <c r="H82" s="257" t="s">
        <v>638</v>
      </c>
      <c r="I82" s="257" t="s">
        <v>638</v>
      </c>
      <c r="J82" s="157"/>
      <c r="K82" s="157"/>
      <c r="L82" s="157"/>
      <c r="M82" s="157"/>
      <c r="O82" s="255"/>
      <c r="U82"/>
      <c r="V82"/>
      <c r="W82" s="69" t="str">
        <f t="shared" si="2"/>
        <v/>
      </c>
      <c r="X82" s="69" t="str">
        <f t="shared" si="3"/>
        <v/>
      </c>
      <c r="Y82"/>
      <c r="Z82"/>
      <c r="AA82"/>
      <c r="AB82" s="192"/>
      <c r="BZ82" s="254"/>
      <c r="CA82" s="254"/>
    </row>
    <row r="83" spans="2:79" s="163" customFormat="1" ht="15.5">
      <c r="B83" s="192">
        <f t="shared" si="0"/>
        <v>0</v>
      </c>
      <c r="C83" s="256" t="s">
        <v>638</v>
      </c>
      <c r="D83" s="257" t="s">
        <v>638</v>
      </c>
      <c r="F83" s="1021">
        <f t="shared" si="1"/>
        <v>0</v>
      </c>
      <c r="G83" s="256" t="s">
        <v>638</v>
      </c>
      <c r="H83" s="257" t="s">
        <v>638</v>
      </c>
      <c r="I83" s="257" t="s">
        <v>638</v>
      </c>
      <c r="J83" s="157"/>
      <c r="K83" s="157"/>
      <c r="L83" s="157"/>
      <c r="M83" s="157"/>
      <c r="O83" s="255"/>
      <c r="U83"/>
      <c r="V83"/>
      <c r="W83" s="69" t="str">
        <f t="shared" si="2"/>
        <v/>
      </c>
      <c r="X83" s="69" t="str">
        <f t="shared" si="3"/>
        <v/>
      </c>
      <c r="Y83"/>
      <c r="Z83"/>
      <c r="AA83"/>
      <c r="AB83" s="192"/>
      <c r="BZ83" s="254"/>
      <c r="CA83" s="254"/>
    </row>
    <row r="84" spans="2:79" s="163" customFormat="1" ht="15.5">
      <c r="B84" s="192">
        <f t="shared" si="0"/>
        <v>0</v>
      </c>
      <c r="C84" s="256" t="s">
        <v>638</v>
      </c>
      <c r="D84" s="257" t="s">
        <v>638</v>
      </c>
      <c r="F84" s="1021">
        <f t="shared" si="1"/>
        <v>0</v>
      </c>
      <c r="G84" s="256" t="s">
        <v>638</v>
      </c>
      <c r="H84" s="257" t="s">
        <v>638</v>
      </c>
      <c r="I84" s="257" t="s">
        <v>638</v>
      </c>
      <c r="J84" s="157"/>
      <c r="K84" s="157"/>
      <c r="L84" s="157"/>
      <c r="M84" s="157"/>
      <c r="O84" s="255"/>
      <c r="U84"/>
      <c r="V84"/>
      <c r="W84" s="69" t="str">
        <f t="shared" si="2"/>
        <v/>
      </c>
      <c r="X84" s="69" t="str">
        <f t="shared" si="3"/>
        <v/>
      </c>
      <c r="Y84"/>
      <c r="Z84"/>
      <c r="AA84"/>
      <c r="AB84" s="192"/>
      <c r="BZ84" s="254"/>
      <c r="CA84" s="254"/>
    </row>
    <row r="85" spans="2:79" s="163" customFormat="1" ht="15.5">
      <c r="B85" s="192">
        <f t="shared" si="0"/>
        <v>0</v>
      </c>
      <c r="C85" s="256" t="s">
        <v>638</v>
      </c>
      <c r="D85" s="257" t="s">
        <v>638</v>
      </c>
      <c r="F85" s="1021">
        <f t="shared" si="1"/>
        <v>0</v>
      </c>
      <c r="G85" s="256" t="s">
        <v>638</v>
      </c>
      <c r="H85" s="257" t="s">
        <v>638</v>
      </c>
      <c r="I85" s="257" t="s">
        <v>638</v>
      </c>
      <c r="J85" s="157"/>
      <c r="K85" s="157"/>
      <c r="L85" s="157"/>
      <c r="M85" s="157"/>
      <c r="O85" s="255"/>
      <c r="U85"/>
      <c r="V85"/>
      <c r="W85" s="69" t="str">
        <f t="shared" si="2"/>
        <v/>
      </c>
      <c r="X85" s="69" t="str">
        <f t="shared" si="3"/>
        <v/>
      </c>
      <c r="Y85"/>
      <c r="Z85"/>
      <c r="AA85"/>
      <c r="AB85" s="192"/>
      <c r="BZ85" s="254"/>
      <c r="CA85" s="254"/>
    </row>
    <row r="86" spans="2:79" s="163" customFormat="1" ht="15.5">
      <c r="B86" s="192">
        <f t="shared" si="0"/>
        <v>0</v>
      </c>
      <c r="C86" s="256" t="s">
        <v>638</v>
      </c>
      <c r="D86" s="257" t="s">
        <v>638</v>
      </c>
      <c r="F86" s="1021">
        <f t="shared" si="1"/>
        <v>0</v>
      </c>
      <c r="G86" s="256" t="s">
        <v>638</v>
      </c>
      <c r="H86" s="257" t="s">
        <v>638</v>
      </c>
      <c r="I86" s="257" t="s">
        <v>638</v>
      </c>
      <c r="J86" s="157"/>
      <c r="K86" s="157"/>
      <c r="L86" s="157"/>
      <c r="M86" s="157"/>
      <c r="O86" s="255"/>
      <c r="U86"/>
      <c r="V86"/>
      <c r="W86" s="69" t="str">
        <f t="shared" si="2"/>
        <v/>
      </c>
      <c r="X86" s="69" t="str">
        <f t="shared" si="3"/>
        <v/>
      </c>
      <c r="Y86"/>
      <c r="Z86"/>
      <c r="AA86"/>
      <c r="AB86" s="192"/>
      <c r="BZ86" s="254"/>
      <c r="CA86" s="254"/>
    </row>
    <row r="87" spans="2:79" s="163" customFormat="1" ht="15.5">
      <c r="B87" s="192">
        <f t="shared" si="0"/>
        <v>0</v>
      </c>
      <c r="C87" s="256" t="s">
        <v>638</v>
      </c>
      <c r="D87" s="257" t="s">
        <v>638</v>
      </c>
      <c r="F87" s="1021">
        <f t="shared" si="1"/>
        <v>0</v>
      </c>
      <c r="G87" s="256" t="s">
        <v>638</v>
      </c>
      <c r="H87" s="257" t="s">
        <v>638</v>
      </c>
      <c r="I87" s="257" t="s">
        <v>638</v>
      </c>
      <c r="J87" s="157"/>
      <c r="K87" s="157"/>
      <c r="L87" s="157"/>
      <c r="M87" s="157"/>
      <c r="O87" s="255"/>
      <c r="U87"/>
      <c r="V87"/>
      <c r="W87" s="69" t="str">
        <f t="shared" si="2"/>
        <v/>
      </c>
      <c r="X87" s="69" t="str">
        <f t="shared" si="3"/>
        <v/>
      </c>
      <c r="Y87"/>
      <c r="Z87"/>
      <c r="AA87"/>
      <c r="AB87" s="192"/>
      <c r="BZ87" s="254"/>
      <c r="CA87" s="254"/>
    </row>
    <row r="88" spans="2:79" s="163" customFormat="1" ht="15.5">
      <c r="B88" s="192">
        <f t="shared" si="0"/>
        <v>0</v>
      </c>
      <c r="C88" s="256" t="s">
        <v>638</v>
      </c>
      <c r="D88" s="257" t="s">
        <v>638</v>
      </c>
      <c r="F88" s="1021">
        <f t="shared" si="1"/>
        <v>0</v>
      </c>
      <c r="G88" s="256" t="s">
        <v>638</v>
      </c>
      <c r="H88" s="257" t="s">
        <v>638</v>
      </c>
      <c r="I88" s="257" t="s">
        <v>638</v>
      </c>
      <c r="J88" s="157"/>
      <c r="K88" s="157"/>
      <c r="L88" s="157"/>
      <c r="M88" s="157"/>
      <c r="O88" s="255"/>
      <c r="U88"/>
      <c r="V88"/>
      <c r="W88" s="69" t="str">
        <f t="shared" si="2"/>
        <v/>
      </c>
      <c r="X88" s="69" t="str">
        <f t="shared" si="3"/>
        <v/>
      </c>
      <c r="Y88"/>
      <c r="Z88"/>
      <c r="AA88"/>
      <c r="AB88" s="192"/>
      <c r="BZ88" s="254"/>
      <c r="CA88" s="254"/>
    </row>
    <row r="89" spans="2:79" s="163" customFormat="1" ht="15.5">
      <c r="B89" s="192">
        <f t="shared" si="0"/>
        <v>0</v>
      </c>
      <c r="C89" s="256" t="s">
        <v>638</v>
      </c>
      <c r="D89" s="257" t="s">
        <v>638</v>
      </c>
      <c r="F89" s="1021">
        <f t="shared" si="1"/>
        <v>0</v>
      </c>
      <c r="G89" s="256" t="s">
        <v>638</v>
      </c>
      <c r="H89" s="257" t="s">
        <v>638</v>
      </c>
      <c r="I89" s="257" t="s">
        <v>638</v>
      </c>
      <c r="J89" s="157"/>
      <c r="K89" s="157"/>
      <c r="L89" s="157"/>
      <c r="M89" s="157"/>
      <c r="O89" s="255"/>
      <c r="U89"/>
      <c r="V89"/>
      <c r="W89" s="69" t="str">
        <f t="shared" si="2"/>
        <v/>
      </c>
      <c r="X89" s="69" t="str">
        <f t="shared" si="3"/>
        <v/>
      </c>
      <c r="Y89"/>
      <c r="Z89"/>
      <c r="AA89"/>
      <c r="AB89" s="192"/>
      <c r="BZ89" s="254"/>
      <c r="CA89" s="254"/>
    </row>
    <row r="90" spans="2:79" s="163" customFormat="1" ht="15.5">
      <c r="B90" s="192">
        <f t="shared" si="0"/>
        <v>0</v>
      </c>
      <c r="C90" s="256" t="s">
        <v>638</v>
      </c>
      <c r="D90" s="257" t="s">
        <v>638</v>
      </c>
      <c r="F90" s="1021">
        <f t="shared" si="1"/>
        <v>0</v>
      </c>
      <c r="G90" s="256" t="s">
        <v>638</v>
      </c>
      <c r="H90" s="257" t="s">
        <v>638</v>
      </c>
      <c r="I90" s="257" t="s">
        <v>638</v>
      </c>
      <c r="J90" s="157"/>
      <c r="K90" s="157"/>
      <c r="L90" s="157"/>
      <c r="M90" s="157"/>
      <c r="O90" s="255"/>
      <c r="U90"/>
      <c r="V90"/>
      <c r="W90" s="69" t="str">
        <f t="shared" si="2"/>
        <v/>
      </c>
      <c r="X90" s="69" t="str">
        <f t="shared" si="3"/>
        <v/>
      </c>
      <c r="Y90"/>
      <c r="Z90"/>
      <c r="AA90"/>
      <c r="AB90" s="192"/>
      <c r="BZ90" s="254"/>
      <c r="CA90" s="254"/>
    </row>
    <row r="91" spans="2:79" s="163" customFormat="1" ht="15.5">
      <c r="B91" s="192">
        <f t="shared" si="0"/>
        <v>0</v>
      </c>
      <c r="C91" s="256" t="s">
        <v>638</v>
      </c>
      <c r="D91" s="257" t="s">
        <v>638</v>
      </c>
      <c r="F91" s="1021">
        <f t="shared" si="1"/>
        <v>0</v>
      </c>
      <c r="G91" s="256" t="s">
        <v>638</v>
      </c>
      <c r="H91" s="257" t="s">
        <v>638</v>
      </c>
      <c r="I91" s="257" t="s">
        <v>638</v>
      </c>
      <c r="J91" s="157"/>
      <c r="K91" s="157"/>
      <c r="L91" s="157"/>
      <c r="M91" s="157"/>
      <c r="O91" s="255"/>
      <c r="U91"/>
      <c r="V91"/>
      <c r="W91" s="69" t="str">
        <f t="shared" si="2"/>
        <v/>
      </c>
      <c r="X91" s="69" t="str">
        <f t="shared" si="3"/>
        <v/>
      </c>
      <c r="Y91"/>
      <c r="Z91"/>
      <c r="AA91"/>
      <c r="AB91" s="192"/>
      <c r="BZ91" s="254"/>
      <c r="CA91" s="254"/>
    </row>
    <row r="92" spans="2:79" s="163" customFormat="1" ht="15.5">
      <c r="B92" s="192">
        <f t="shared" si="0"/>
        <v>0</v>
      </c>
      <c r="C92" s="256" t="s">
        <v>638</v>
      </c>
      <c r="D92" s="257" t="s">
        <v>638</v>
      </c>
      <c r="F92" s="1021">
        <f t="shared" si="1"/>
        <v>0</v>
      </c>
      <c r="G92" s="256" t="s">
        <v>638</v>
      </c>
      <c r="H92" s="257" t="s">
        <v>638</v>
      </c>
      <c r="I92" s="257" t="s">
        <v>638</v>
      </c>
      <c r="J92" s="157"/>
      <c r="K92" s="157"/>
      <c r="L92" s="157"/>
      <c r="M92" s="157"/>
      <c r="O92" s="255"/>
      <c r="U92"/>
      <c r="V92"/>
      <c r="W92" s="69" t="str">
        <f t="shared" si="2"/>
        <v/>
      </c>
      <c r="X92" s="69" t="str">
        <f t="shared" si="3"/>
        <v/>
      </c>
      <c r="Y92"/>
      <c r="Z92"/>
      <c r="AA92"/>
      <c r="AB92" s="192"/>
      <c r="BZ92" s="254"/>
      <c r="CA92" s="254"/>
    </row>
    <row r="93" spans="2:79" s="163" customFormat="1" ht="15.5">
      <c r="B93" s="192">
        <f t="shared" si="0"/>
        <v>0</v>
      </c>
      <c r="C93" s="256" t="s">
        <v>638</v>
      </c>
      <c r="D93" s="257" t="s">
        <v>638</v>
      </c>
      <c r="F93" s="1021">
        <f t="shared" si="1"/>
        <v>0</v>
      </c>
      <c r="G93" s="256" t="s">
        <v>638</v>
      </c>
      <c r="H93" s="257" t="s">
        <v>638</v>
      </c>
      <c r="I93" s="257" t="s">
        <v>638</v>
      </c>
      <c r="J93" s="157"/>
      <c r="K93" s="157"/>
      <c r="L93" s="157"/>
      <c r="M93" s="157"/>
      <c r="O93" s="255"/>
      <c r="U93"/>
      <c r="V93"/>
      <c r="W93" s="69" t="str">
        <f t="shared" si="2"/>
        <v/>
      </c>
      <c r="X93" s="69" t="str">
        <f t="shared" si="3"/>
        <v/>
      </c>
      <c r="Y93"/>
      <c r="Z93"/>
      <c r="AA93"/>
      <c r="AB93" s="192"/>
      <c r="BZ93" s="254"/>
      <c r="CA93" s="254"/>
    </row>
    <row r="94" spans="2:79" s="163" customFormat="1" ht="15.5">
      <c r="B94" s="192">
        <f t="shared" si="0"/>
        <v>0</v>
      </c>
      <c r="C94" s="256" t="s">
        <v>638</v>
      </c>
      <c r="D94" s="257" t="s">
        <v>638</v>
      </c>
      <c r="F94" s="1021">
        <f t="shared" si="1"/>
        <v>0</v>
      </c>
      <c r="G94" s="256" t="s">
        <v>638</v>
      </c>
      <c r="H94" s="257" t="s">
        <v>638</v>
      </c>
      <c r="I94" s="257" t="s">
        <v>638</v>
      </c>
      <c r="J94" s="157"/>
      <c r="K94" s="157"/>
      <c r="L94" s="157"/>
      <c r="M94" s="157"/>
      <c r="O94" s="255"/>
      <c r="U94"/>
      <c r="V94"/>
      <c r="W94" s="69" t="str">
        <f t="shared" si="2"/>
        <v/>
      </c>
      <c r="X94" s="69" t="str">
        <f t="shared" si="3"/>
        <v/>
      </c>
      <c r="Y94"/>
      <c r="Z94"/>
      <c r="AA94"/>
      <c r="AB94" s="192"/>
      <c r="BZ94" s="254"/>
      <c r="CA94" s="254"/>
    </row>
    <row r="95" spans="2:79" s="163" customFormat="1" ht="15.5">
      <c r="B95" s="192">
        <f t="shared" si="0"/>
        <v>0</v>
      </c>
      <c r="C95" s="256" t="s">
        <v>638</v>
      </c>
      <c r="D95" s="257" t="s">
        <v>638</v>
      </c>
      <c r="F95" s="1021">
        <f t="shared" si="1"/>
        <v>0</v>
      </c>
      <c r="G95" s="256" t="s">
        <v>638</v>
      </c>
      <c r="H95" s="257" t="s">
        <v>638</v>
      </c>
      <c r="I95" s="257" t="s">
        <v>638</v>
      </c>
      <c r="J95" s="157"/>
      <c r="K95" s="157"/>
      <c r="L95" s="157"/>
      <c r="M95" s="157"/>
      <c r="O95" s="255"/>
      <c r="U95"/>
      <c r="V95"/>
      <c r="W95" s="69" t="str">
        <f t="shared" si="2"/>
        <v/>
      </c>
      <c r="X95" s="69" t="str">
        <f t="shared" si="3"/>
        <v/>
      </c>
      <c r="Y95"/>
      <c r="Z95"/>
      <c r="AA95"/>
      <c r="AB95" s="192"/>
      <c r="BZ95" s="254"/>
      <c r="CA95" s="254"/>
    </row>
    <row r="96" spans="2:79" s="163" customFormat="1" ht="15.5">
      <c r="B96" s="192">
        <f t="shared" si="0"/>
        <v>0</v>
      </c>
      <c r="C96" s="256" t="s">
        <v>638</v>
      </c>
      <c r="D96" s="257" t="s">
        <v>638</v>
      </c>
      <c r="F96" s="1021">
        <f t="shared" si="1"/>
        <v>0</v>
      </c>
      <c r="G96" s="256" t="s">
        <v>638</v>
      </c>
      <c r="H96" s="257" t="s">
        <v>638</v>
      </c>
      <c r="I96" s="257" t="s">
        <v>638</v>
      </c>
      <c r="J96" s="157"/>
      <c r="K96" s="157"/>
      <c r="L96" s="157"/>
      <c r="M96" s="157"/>
      <c r="O96" s="255"/>
      <c r="U96"/>
      <c r="V96"/>
      <c r="W96" s="69" t="str">
        <f t="shared" si="2"/>
        <v/>
      </c>
      <c r="X96" s="69" t="str">
        <f t="shared" si="3"/>
        <v/>
      </c>
      <c r="Y96"/>
      <c r="Z96"/>
      <c r="AA96"/>
      <c r="AB96" s="192"/>
      <c r="BZ96" s="254"/>
      <c r="CA96" s="254"/>
    </row>
    <row r="97" spans="2:79" s="163" customFormat="1" ht="15.5">
      <c r="B97" s="192">
        <f t="shared" si="0"/>
        <v>0</v>
      </c>
      <c r="C97" s="256" t="s">
        <v>638</v>
      </c>
      <c r="D97" s="257" t="s">
        <v>638</v>
      </c>
      <c r="F97" s="1021">
        <f t="shared" si="1"/>
        <v>0</v>
      </c>
      <c r="G97" s="256" t="s">
        <v>638</v>
      </c>
      <c r="H97" s="257" t="s">
        <v>638</v>
      </c>
      <c r="I97" s="257" t="s">
        <v>638</v>
      </c>
      <c r="J97" s="157"/>
      <c r="K97" s="157"/>
      <c r="L97" s="157"/>
      <c r="M97" s="157"/>
      <c r="O97" s="255"/>
      <c r="U97"/>
      <c r="V97"/>
      <c r="W97" s="69" t="str">
        <f t="shared" si="2"/>
        <v/>
      </c>
      <c r="X97" s="69" t="str">
        <f t="shared" si="3"/>
        <v/>
      </c>
      <c r="Y97"/>
      <c r="Z97"/>
      <c r="AA97"/>
      <c r="AB97" s="192"/>
      <c r="BZ97" s="254"/>
      <c r="CA97" s="254"/>
    </row>
    <row r="98" spans="2:79" s="163" customFormat="1" ht="15.5">
      <c r="B98" s="192">
        <f t="shared" si="0"/>
        <v>0</v>
      </c>
      <c r="C98" s="256" t="s">
        <v>638</v>
      </c>
      <c r="D98" s="257" t="s">
        <v>638</v>
      </c>
      <c r="F98" s="1021">
        <f t="shared" si="1"/>
        <v>0</v>
      </c>
      <c r="G98" s="256" t="s">
        <v>638</v>
      </c>
      <c r="H98" s="257" t="s">
        <v>638</v>
      </c>
      <c r="I98" s="257" t="s">
        <v>638</v>
      </c>
      <c r="J98" s="157"/>
      <c r="K98" s="157"/>
      <c r="L98" s="157"/>
      <c r="M98" s="157"/>
      <c r="O98" s="255"/>
      <c r="U98"/>
      <c r="V98"/>
      <c r="W98" s="69" t="str">
        <f t="shared" si="2"/>
        <v/>
      </c>
      <c r="X98" s="69" t="str">
        <f t="shared" si="3"/>
        <v/>
      </c>
      <c r="Y98"/>
      <c r="Z98"/>
      <c r="AA98"/>
      <c r="AB98" s="192"/>
      <c r="BZ98" s="254"/>
      <c r="CA98" s="254"/>
    </row>
    <row r="99" spans="2:79" s="163" customFormat="1" ht="15.5">
      <c r="B99" s="192">
        <f t="shared" si="0"/>
        <v>0</v>
      </c>
      <c r="C99" s="256" t="s">
        <v>638</v>
      </c>
      <c r="D99" s="257" t="s">
        <v>638</v>
      </c>
      <c r="F99" s="1021">
        <f t="shared" si="1"/>
        <v>0</v>
      </c>
      <c r="G99" s="256" t="s">
        <v>638</v>
      </c>
      <c r="H99" s="257" t="s">
        <v>638</v>
      </c>
      <c r="I99" s="257" t="s">
        <v>638</v>
      </c>
      <c r="J99" s="157"/>
      <c r="K99" s="157"/>
      <c r="L99" s="157"/>
      <c r="M99" s="157"/>
      <c r="O99" s="255"/>
      <c r="U99"/>
      <c r="V99"/>
      <c r="W99" s="69" t="str">
        <f t="shared" si="2"/>
        <v/>
      </c>
      <c r="X99" s="69" t="str">
        <f t="shared" si="3"/>
        <v/>
      </c>
      <c r="Y99"/>
      <c r="Z99"/>
      <c r="AA99"/>
      <c r="AB99" s="192"/>
      <c r="BZ99" s="254"/>
      <c r="CA99" s="254"/>
    </row>
    <row r="100" spans="2:79" s="163" customFormat="1" ht="15.5">
      <c r="B100" s="192">
        <f t="shared" si="0"/>
        <v>0</v>
      </c>
      <c r="C100" s="256" t="s">
        <v>638</v>
      </c>
      <c r="D100" s="257" t="s">
        <v>638</v>
      </c>
      <c r="F100" s="1021">
        <f t="shared" si="1"/>
        <v>0</v>
      </c>
      <c r="G100" s="256" t="s">
        <v>638</v>
      </c>
      <c r="H100" s="257" t="s">
        <v>638</v>
      </c>
      <c r="I100" s="257" t="s">
        <v>638</v>
      </c>
      <c r="J100" s="157"/>
      <c r="K100" s="157"/>
      <c r="L100" s="157"/>
      <c r="M100" s="157"/>
      <c r="O100" s="255"/>
      <c r="U100"/>
      <c r="V100"/>
      <c r="W100" s="69" t="str">
        <f t="shared" si="2"/>
        <v/>
      </c>
      <c r="X100" s="69" t="str">
        <f t="shared" si="3"/>
        <v/>
      </c>
      <c r="Y100"/>
      <c r="Z100"/>
      <c r="AA100"/>
      <c r="AB100" s="192"/>
      <c r="BZ100" s="254"/>
      <c r="CA100" s="254"/>
    </row>
    <row r="101" spans="2:79" s="163" customFormat="1" ht="15.5">
      <c r="B101" s="192">
        <f t="shared" si="0"/>
        <v>0</v>
      </c>
      <c r="C101" s="256" t="s">
        <v>638</v>
      </c>
      <c r="D101" s="257" t="s">
        <v>638</v>
      </c>
      <c r="F101" s="1021">
        <f t="shared" si="1"/>
        <v>0</v>
      </c>
      <c r="G101" s="256" t="s">
        <v>638</v>
      </c>
      <c r="H101" s="257" t="s">
        <v>638</v>
      </c>
      <c r="I101" s="257" t="s">
        <v>638</v>
      </c>
      <c r="J101" s="157"/>
      <c r="K101" s="157"/>
      <c r="L101" s="157"/>
      <c r="M101" s="157"/>
      <c r="O101" s="255"/>
      <c r="U101"/>
      <c r="V101"/>
      <c r="W101" s="69" t="str">
        <f t="shared" si="2"/>
        <v/>
      </c>
      <c r="X101" s="69" t="str">
        <f t="shared" si="3"/>
        <v/>
      </c>
      <c r="Y101"/>
      <c r="Z101"/>
      <c r="AA101"/>
      <c r="AB101" s="192"/>
      <c r="BZ101" s="254"/>
      <c r="CA101" s="254"/>
    </row>
    <row r="102" spans="2:79" s="163" customFormat="1" ht="15.5">
      <c r="B102" s="192">
        <f t="shared" si="0"/>
        <v>0</v>
      </c>
      <c r="C102" s="256" t="s">
        <v>638</v>
      </c>
      <c r="D102" s="257" t="s">
        <v>638</v>
      </c>
      <c r="F102" s="1021">
        <f t="shared" si="1"/>
        <v>0</v>
      </c>
      <c r="G102" s="256" t="s">
        <v>638</v>
      </c>
      <c r="H102" s="257" t="s">
        <v>638</v>
      </c>
      <c r="I102" s="257" t="s">
        <v>638</v>
      </c>
      <c r="J102" s="157"/>
      <c r="K102" s="157"/>
      <c r="L102" s="157"/>
      <c r="M102" s="157"/>
      <c r="O102" s="255"/>
      <c r="U102"/>
      <c r="V102"/>
      <c r="W102" s="69" t="str">
        <f t="shared" si="2"/>
        <v/>
      </c>
      <c r="X102" s="69" t="str">
        <f t="shared" si="3"/>
        <v/>
      </c>
      <c r="Y102"/>
      <c r="Z102"/>
      <c r="AA102"/>
      <c r="AB102" s="192"/>
      <c r="BZ102" s="254"/>
      <c r="CA102" s="254"/>
    </row>
    <row r="103" spans="2:79" s="163" customFormat="1" ht="15.5">
      <c r="B103" s="192">
        <f t="shared" si="0"/>
        <v>0</v>
      </c>
      <c r="C103" s="256" t="s">
        <v>638</v>
      </c>
      <c r="D103" s="257" t="s">
        <v>638</v>
      </c>
      <c r="F103" s="1021">
        <f t="shared" si="1"/>
        <v>0</v>
      </c>
      <c r="G103" s="256" t="s">
        <v>638</v>
      </c>
      <c r="H103" s="257" t="s">
        <v>638</v>
      </c>
      <c r="I103" s="257" t="s">
        <v>638</v>
      </c>
      <c r="J103" s="157"/>
      <c r="K103" s="157"/>
      <c r="L103" s="157"/>
      <c r="M103" s="157"/>
      <c r="O103" s="255"/>
      <c r="U103"/>
      <c r="V103"/>
      <c r="W103" s="69" t="str">
        <f t="shared" si="2"/>
        <v/>
      </c>
      <c r="X103" s="69" t="str">
        <f t="shared" si="3"/>
        <v/>
      </c>
      <c r="Y103"/>
      <c r="Z103"/>
      <c r="AA103"/>
      <c r="AB103" s="192"/>
      <c r="BZ103" s="254"/>
      <c r="CA103" s="254"/>
    </row>
    <row r="104" spans="2:79" s="163" customFormat="1" ht="15.5">
      <c r="B104" s="192">
        <f t="shared" si="0"/>
        <v>0</v>
      </c>
      <c r="C104" s="256" t="s">
        <v>638</v>
      </c>
      <c r="D104" s="257" t="s">
        <v>638</v>
      </c>
      <c r="F104" s="1021">
        <f t="shared" si="1"/>
        <v>0</v>
      </c>
      <c r="G104" s="256" t="s">
        <v>638</v>
      </c>
      <c r="H104" s="257" t="s">
        <v>638</v>
      </c>
      <c r="I104" s="257" t="s">
        <v>638</v>
      </c>
      <c r="J104" s="157"/>
      <c r="K104" s="157"/>
      <c r="L104" s="157"/>
      <c r="M104" s="157"/>
      <c r="O104" s="255"/>
      <c r="U104"/>
      <c r="V104"/>
      <c r="W104" s="69" t="str">
        <f t="shared" si="2"/>
        <v/>
      </c>
      <c r="X104" s="69" t="str">
        <f t="shared" si="3"/>
        <v/>
      </c>
      <c r="Y104"/>
      <c r="Z104"/>
      <c r="AA104"/>
      <c r="AB104" s="192"/>
      <c r="BZ104" s="254"/>
      <c r="CA104" s="254"/>
    </row>
    <row r="105" spans="2:79" s="163" customFormat="1" ht="15.5">
      <c r="B105" s="192">
        <f t="shared" si="0"/>
        <v>0</v>
      </c>
      <c r="C105" s="256" t="s">
        <v>638</v>
      </c>
      <c r="D105" s="257" t="s">
        <v>638</v>
      </c>
      <c r="F105" s="1021">
        <f t="shared" si="1"/>
        <v>0</v>
      </c>
      <c r="G105" s="256" t="s">
        <v>638</v>
      </c>
      <c r="H105" s="257" t="s">
        <v>638</v>
      </c>
      <c r="I105" s="257" t="s">
        <v>638</v>
      </c>
      <c r="J105" s="157"/>
      <c r="K105" s="157"/>
      <c r="L105" s="157"/>
      <c r="M105" s="157"/>
      <c r="O105" s="255"/>
      <c r="U105"/>
      <c r="V105"/>
      <c r="W105" s="69" t="str">
        <f t="shared" si="2"/>
        <v/>
      </c>
      <c r="X105" s="69" t="str">
        <f t="shared" si="3"/>
        <v/>
      </c>
      <c r="Y105"/>
      <c r="Z105"/>
      <c r="AA105"/>
      <c r="AB105" s="192"/>
      <c r="BZ105" s="254"/>
      <c r="CA105" s="254"/>
    </row>
    <row r="106" spans="2:79" s="163" customFormat="1" ht="15.5">
      <c r="B106" s="192">
        <f t="shared" ref="B106:B144" si="4">IF(C106="",0,1)</f>
        <v>0</v>
      </c>
      <c r="C106" s="256" t="s">
        <v>638</v>
      </c>
      <c r="D106" s="257" t="s">
        <v>638</v>
      </c>
      <c r="F106" s="1021">
        <f t="shared" ref="F106:F144" si="5">IF(G106="",0,1)</f>
        <v>0</v>
      </c>
      <c r="G106" s="256" t="s">
        <v>638</v>
      </c>
      <c r="H106" s="257" t="s">
        <v>638</v>
      </c>
      <c r="I106" s="257" t="s">
        <v>638</v>
      </c>
      <c r="J106" s="157"/>
      <c r="K106" s="157"/>
      <c r="L106" s="157"/>
      <c r="M106" s="157"/>
      <c r="O106" s="255"/>
      <c r="U106"/>
      <c r="V106"/>
      <c r="W106" s="69" t="str">
        <f t="shared" ref="W106:W144" si="6">C106</f>
        <v/>
      </c>
      <c r="X106" s="69" t="str">
        <f t="shared" ref="X106:X144" si="7">G106</f>
        <v/>
      </c>
      <c r="Y106"/>
      <c r="Z106"/>
      <c r="AA106"/>
      <c r="AB106" s="192"/>
      <c r="BZ106" s="254"/>
      <c r="CA106" s="254"/>
    </row>
    <row r="107" spans="2:79" s="163" customFormat="1" ht="15.5">
      <c r="B107" s="192">
        <f t="shared" si="4"/>
        <v>0</v>
      </c>
      <c r="C107" s="256" t="s">
        <v>638</v>
      </c>
      <c r="D107" s="257" t="s">
        <v>638</v>
      </c>
      <c r="F107" s="1021">
        <f t="shared" si="5"/>
        <v>0</v>
      </c>
      <c r="G107" s="256" t="s">
        <v>638</v>
      </c>
      <c r="H107" s="257" t="s">
        <v>638</v>
      </c>
      <c r="I107" s="257" t="s">
        <v>638</v>
      </c>
      <c r="J107" s="157"/>
      <c r="K107" s="157"/>
      <c r="L107" s="157"/>
      <c r="M107" s="157"/>
      <c r="O107" s="255"/>
      <c r="U107"/>
      <c r="V107"/>
      <c r="W107" s="69" t="str">
        <f t="shared" si="6"/>
        <v/>
      </c>
      <c r="X107" s="69" t="str">
        <f t="shared" si="7"/>
        <v/>
      </c>
      <c r="Y107"/>
      <c r="Z107"/>
      <c r="AA107"/>
      <c r="AB107" s="192"/>
      <c r="BZ107" s="254"/>
      <c r="CA107" s="254"/>
    </row>
    <row r="108" spans="2:79" s="163" customFormat="1" ht="15.5">
      <c r="B108" s="192">
        <f t="shared" si="4"/>
        <v>0</v>
      </c>
      <c r="C108" s="256" t="s">
        <v>638</v>
      </c>
      <c r="D108" s="257" t="s">
        <v>638</v>
      </c>
      <c r="F108" s="1021">
        <f t="shared" si="5"/>
        <v>0</v>
      </c>
      <c r="G108" s="256" t="s">
        <v>638</v>
      </c>
      <c r="H108" s="257" t="s">
        <v>638</v>
      </c>
      <c r="I108" s="257" t="s">
        <v>638</v>
      </c>
      <c r="J108" s="157"/>
      <c r="K108" s="157"/>
      <c r="L108" s="157"/>
      <c r="M108" s="157"/>
      <c r="O108" s="255"/>
      <c r="U108"/>
      <c r="V108"/>
      <c r="W108" s="69" t="str">
        <f t="shared" si="6"/>
        <v/>
      </c>
      <c r="X108" s="69" t="str">
        <f t="shared" si="7"/>
        <v/>
      </c>
      <c r="Y108"/>
      <c r="Z108"/>
      <c r="AA108"/>
      <c r="AB108" s="192"/>
      <c r="BZ108" s="254"/>
      <c r="CA108" s="254"/>
    </row>
    <row r="109" spans="2:79" s="163" customFormat="1" ht="15.5">
      <c r="B109" s="192">
        <f t="shared" si="4"/>
        <v>0</v>
      </c>
      <c r="C109" s="256" t="s">
        <v>638</v>
      </c>
      <c r="D109" s="257" t="s">
        <v>638</v>
      </c>
      <c r="F109" s="1021">
        <f t="shared" si="5"/>
        <v>0</v>
      </c>
      <c r="G109" s="256" t="s">
        <v>638</v>
      </c>
      <c r="H109" s="257" t="s">
        <v>638</v>
      </c>
      <c r="I109" s="257" t="s">
        <v>638</v>
      </c>
      <c r="J109" s="157"/>
      <c r="K109" s="157"/>
      <c r="L109" s="157"/>
      <c r="M109" s="157"/>
      <c r="O109" s="255"/>
      <c r="U109"/>
      <c r="V109"/>
      <c r="W109" s="69" t="str">
        <f t="shared" si="6"/>
        <v/>
      </c>
      <c r="X109" s="69" t="str">
        <f t="shared" si="7"/>
        <v/>
      </c>
      <c r="Y109"/>
      <c r="Z109"/>
      <c r="AA109"/>
      <c r="AB109" s="192"/>
      <c r="BZ109" s="254"/>
      <c r="CA109" s="254"/>
    </row>
    <row r="110" spans="2:79" s="163" customFormat="1" ht="15.5">
      <c r="B110" s="192">
        <f t="shared" si="4"/>
        <v>0</v>
      </c>
      <c r="C110" s="256" t="s">
        <v>638</v>
      </c>
      <c r="D110" s="257" t="s">
        <v>638</v>
      </c>
      <c r="F110" s="1021">
        <f t="shared" si="5"/>
        <v>0</v>
      </c>
      <c r="G110" s="256" t="s">
        <v>638</v>
      </c>
      <c r="H110" s="257" t="s">
        <v>638</v>
      </c>
      <c r="I110" s="257" t="s">
        <v>638</v>
      </c>
      <c r="J110" s="157"/>
      <c r="K110" s="157"/>
      <c r="L110" s="157"/>
      <c r="M110" s="157"/>
      <c r="O110" s="255"/>
      <c r="U110"/>
      <c r="V110"/>
      <c r="W110" s="69" t="str">
        <f t="shared" si="6"/>
        <v/>
      </c>
      <c r="X110" s="69" t="str">
        <f t="shared" si="7"/>
        <v/>
      </c>
      <c r="Y110"/>
      <c r="Z110"/>
      <c r="AA110"/>
      <c r="AB110" s="192"/>
      <c r="BZ110" s="254"/>
      <c r="CA110" s="254"/>
    </row>
    <row r="111" spans="2:79" s="163" customFormat="1" ht="15.5">
      <c r="B111" s="192">
        <f t="shared" si="4"/>
        <v>0</v>
      </c>
      <c r="C111" s="256" t="s">
        <v>638</v>
      </c>
      <c r="D111" s="257" t="s">
        <v>638</v>
      </c>
      <c r="F111" s="1021">
        <f t="shared" si="5"/>
        <v>0</v>
      </c>
      <c r="G111" s="256" t="s">
        <v>638</v>
      </c>
      <c r="H111" s="257" t="s">
        <v>638</v>
      </c>
      <c r="I111" s="257" t="s">
        <v>638</v>
      </c>
      <c r="J111" s="157"/>
      <c r="K111" s="157"/>
      <c r="L111" s="157"/>
      <c r="M111" s="157"/>
      <c r="O111" s="255"/>
      <c r="U111"/>
      <c r="V111"/>
      <c r="W111" s="69" t="str">
        <f t="shared" si="6"/>
        <v/>
      </c>
      <c r="X111" s="69" t="str">
        <f t="shared" si="7"/>
        <v/>
      </c>
      <c r="Y111"/>
      <c r="Z111"/>
      <c r="AA111"/>
      <c r="AB111" s="192"/>
      <c r="BZ111" s="254"/>
      <c r="CA111" s="254"/>
    </row>
    <row r="112" spans="2:79" s="163" customFormat="1" ht="15.5">
      <c r="B112" s="192">
        <f t="shared" si="4"/>
        <v>0</v>
      </c>
      <c r="C112" s="256" t="s">
        <v>638</v>
      </c>
      <c r="D112" s="257" t="s">
        <v>638</v>
      </c>
      <c r="F112" s="1021">
        <f t="shared" si="5"/>
        <v>0</v>
      </c>
      <c r="G112" s="256" t="s">
        <v>638</v>
      </c>
      <c r="H112" s="257" t="s">
        <v>638</v>
      </c>
      <c r="I112" s="257" t="s">
        <v>638</v>
      </c>
      <c r="J112" s="157"/>
      <c r="K112" s="157"/>
      <c r="L112" s="157"/>
      <c r="M112" s="157"/>
      <c r="O112" s="255"/>
      <c r="U112"/>
      <c r="V112"/>
      <c r="W112" s="69" t="str">
        <f t="shared" si="6"/>
        <v/>
      </c>
      <c r="X112" s="69" t="str">
        <f t="shared" si="7"/>
        <v/>
      </c>
      <c r="Y112"/>
      <c r="Z112"/>
      <c r="AA112"/>
      <c r="AB112" s="192"/>
      <c r="BZ112" s="254"/>
      <c r="CA112" s="254"/>
    </row>
    <row r="113" spans="2:79" s="163" customFormat="1" ht="15.5">
      <c r="B113" s="192">
        <f t="shared" si="4"/>
        <v>0</v>
      </c>
      <c r="C113" s="256" t="s">
        <v>638</v>
      </c>
      <c r="D113" s="257" t="s">
        <v>638</v>
      </c>
      <c r="F113" s="1021">
        <f t="shared" si="5"/>
        <v>0</v>
      </c>
      <c r="G113" s="256" t="s">
        <v>638</v>
      </c>
      <c r="H113" s="257" t="s">
        <v>638</v>
      </c>
      <c r="I113" s="257" t="s">
        <v>638</v>
      </c>
      <c r="J113" s="157"/>
      <c r="K113" s="157"/>
      <c r="L113" s="157"/>
      <c r="M113" s="157"/>
      <c r="O113" s="255"/>
      <c r="U113"/>
      <c r="V113"/>
      <c r="W113" s="69" t="str">
        <f t="shared" si="6"/>
        <v/>
      </c>
      <c r="X113" s="69" t="str">
        <f t="shared" si="7"/>
        <v/>
      </c>
      <c r="Y113"/>
      <c r="Z113"/>
      <c r="AA113"/>
      <c r="AB113" s="192"/>
      <c r="BZ113" s="254"/>
      <c r="CA113" s="254"/>
    </row>
    <row r="114" spans="2:79" s="163" customFormat="1" ht="15.5">
      <c r="B114" s="192">
        <f t="shared" si="4"/>
        <v>0</v>
      </c>
      <c r="C114" s="256" t="s">
        <v>638</v>
      </c>
      <c r="D114" s="257" t="s">
        <v>638</v>
      </c>
      <c r="F114" s="1021">
        <f t="shared" si="5"/>
        <v>0</v>
      </c>
      <c r="G114" s="256" t="s">
        <v>638</v>
      </c>
      <c r="H114" s="257" t="s">
        <v>638</v>
      </c>
      <c r="I114" s="257" t="s">
        <v>638</v>
      </c>
      <c r="J114" s="157"/>
      <c r="K114" s="157"/>
      <c r="L114" s="157"/>
      <c r="M114" s="157"/>
      <c r="O114" s="255"/>
      <c r="U114"/>
      <c r="V114"/>
      <c r="W114" s="69" t="str">
        <f t="shared" si="6"/>
        <v/>
      </c>
      <c r="X114" s="69" t="str">
        <f t="shared" si="7"/>
        <v/>
      </c>
      <c r="Y114"/>
      <c r="Z114"/>
      <c r="AA114"/>
      <c r="AB114" s="192"/>
      <c r="BZ114" s="254"/>
      <c r="CA114" s="254"/>
    </row>
    <row r="115" spans="2:79" s="163" customFormat="1" ht="15.5">
      <c r="B115" s="192">
        <f t="shared" si="4"/>
        <v>0</v>
      </c>
      <c r="C115" s="256" t="s">
        <v>638</v>
      </c>
      <c r="D115" s="257" t="s">
        <v>638</v>
      </c>
      <c r="F115" s="1021">
        <f t="shared" si="5"/>
        <v>0</v>
      </c>
      <c r="G115" s="256" t="s">
        <v>638</v>
      </c>
      <c r="H115" s="257" t="s">
        <v>638</v>
      </c>
      <c r="I115" s="257" t="s">
        <v>638</v>
      </c>
      <c r="J115" s="157"/>
      <c r="K115" s="157"/>
      <c r="L115" s="157"/>
      <c r="M115" s="157"/>
      <c r="O115" s="255"/>
      <c r="U115"/>
      <c r="V115"/>
      <c r="W115" s="69" t="str">
        <f t="shared" si="6"/>
        <v/>
      </c>
      <c r="X115" s="69" t="str">
        <f t="shared" si="7"/>
        <v/>
      </c>
      <c r="Y115"/>
      <c r="Z115"/>
      <c r="AA115"/>
      <c r="AB115" s="192"/>
      <c r="BZ115" s="254"/>
      <c r="CA115" s="254"/>
    </row>
    <row r="116" spans="2:79" s="163" customFormat="1" ht="15.5">
      <c r="B116" s="192">
        <f t="shared" si="4"/>
        <v>0</v>
      </c>
      <c r="C116" s="256" t="s">
        <v>638</v>
      </c>
      <c r="D116" s="257" t="s">
        <v>638</v>
      </c>
      <c r="F116" s="1021">
        <f t="shared" si="5"/>
        <v>0</v>
      </c>
      <c r="G116" s="256" t="s">
        <v>638</v>
      </c>
      <c r="H116" s="257" t="s">
        <v>638</v>
      </c>
      <c r="I116" s="257" t="s">
        <v>638</v>
      </c>
      <c r="J116" s="157"/>
      <c r="K116" s="157"/>
      <c r="L116" s="157"/>
      <c r="M116" s="157"/>
      <c r="O116" s="255"/>
      <c r="U116"/>
      <c r="V116"/>
      <c r="W116" s="69" t="str">
        <f t="shared" si="6"/>
        <v/>
      </c>
      <c r="X116" s="69" t="str">
        <f t="shared" si="7"/>
        <v/>
      </c>
      <c r="Y116"/>
      <c r="Z116"/>
      <c r="AA116"/>
      <c r="AB116" s="192"/>
      <c r="BZ116" s="254"/>
      <c r="CA116" s="254"/>
    </row>
    <row r="117" spans="2:79" s="163" customFormat="1" ht="15.5">
      <c r="B117" s="192">
        <f t="shared" si="4"/>
        <v>0</v>
      </c>
      <c r="C117" s="256" t="s">
        <v>638</v>
      </c>
      <c r="D117" s="257" t="s">
        <v>638</v>
      </c>
      <c r="F117" s="1021">
        <f t="shared" si="5"/>
        <v>0</v>
      </c>
      <c r="G117" s="256" t="s">
        <v>638</v>
      </c>
      <c r="H117" s="257" t="s">
        <v>638</v>
      </c>
      <c r="I117" s="257" t="s">
        <v>638</v>
      </c>
      <c r="J117" s="157"/>
      <c r="K117" s="157"/>
      <c r="L117" s="157"/>
      <c r="M117" s="157"/>
      <c r="O117" s="255"/>
      <c r="U117"/>
      <c r="V117"/>
      <c r="W117" s="69" t="str">
        <f t="shared" si="6"/>
        <v/>
      </c>
      <c r="X117" s="69" t="str">
        <f t="shared" si="7"/>
        <v/>
      </c>
      <c r="Y117"/>
      <c r="Z117"/>
      <c r="AA117"/>
      <c r="AB117" s="192"/>
      <c r="BZ117" s="254"/>
      <c r="CA117" s="254"/>
    </row>
    <row r="118" spans="2:79" s="163" customFormat="1" ht="15.5">
      <c r="B118" s="192">
        <f t="shared" si="4"/>
        <v>0</v>
      </c>
      <c r="C118" s="256" t="s">
        <v>638</v>
      </c>
      <c r="D118" s="257" t="s">
        <v>638</v>
      </c>
      <c r="F118" s="1021">
        <f t="shared" si="5"/>
        <v>0</v>
      </c>
      <c r="G118" s="256" t="s">
        <v>638</v>
      </c>
      <c r="H118" s="257" t="s">
        <v>638</v>
      </c>
      <c r="I118" s="257" t="s">
        <v>638</v>
      </c>
      <c r="J118" s="157"/>
      <c r="K118" s="157"/>
      <c r="L118" s="157"/>
      <c r="M118" s="157"/>
      <c r="O118" s="255"/>
      <c r="U118"/>
      <c r="V118"/>
      <c r="W118" s="69" t="str">
        <f t="shared" si="6"/>
        <v/>
      </c>
      <c r="X118" s="69" t="str">
        <f t="shared" si="7"/>
        <v/>
      </c>
      <c r="Y118"/>
      <c r="Z118"/>
      <c r="AA118"/>
      <c r="AB118" s="192"/>
      <c r="BZ118" s="254"/>
      <c r="CA118" s="254"/>
    </row>
    <row r="119" spans="2:79" s="163" customFormat="1" ht="15.5">
      <c r="B119" s="192">
        <f t="shared" si="4"/>
        <v>0</v>
      </c>
      <c r="C119" s="256" t="s">
        <v>638</v>
      </c>
      <c r="D119" s="257" t="s">
        <v>638</v>
      </c>
      <c r="F119" s="1021">
        <f t="shared" si="5"/>
        <v>0</v>
      </c>
      <c r="G119" s="256" t="s">
        <v>638</v>
      </c>
      <c r="H119" s="257" t="s">
        <v>638</v>
      </c>
      <c r="I119" s="257" t="s">
        <v>638</v>
      </c>
      <c r="J119" s="157"/>
      <c r="K119" s="157"/>
      <c r="L119" s="157"/>
      <c r="M119" s="157"/>
      <c r="O119" s="255"/>
      <c r="U119"/>
      <c r="V119"/>
      <c r="W119" s="69" t="str">
        <f t="shared" si="6"/>
        <v/>
      </c>
      <c r="X119" s="69" t="str">
        <f t="shared" si="7"/>
        <v/>
      </c>
      <c r="Y119"/>
      <c r="Z119"/>
      <c r="AA119"/>
      <c r="AB119" s="192"/>
      <c r="BZ119" s="254"/>
      <c r="CA119" s="254"/>
    </row>
    <row r="120" spans="2:79" s="163" customFormat="1" ht="15.5">
      <c r="B120" s="192">
        <f t="shared" si="4"/>
        <v>0</v>
      </c>
      <c r="C120" s="256" t="s">
        <v>638</v>
      </c>
      <c r="D120" s="257" t="s">
        <v>638</v>
      </c>
      <c r="F120" s="1021">
        <f t="shared" si="5"/>
        <v>0</v>
      </c>
      <c r="G120" s="256" t="s">
        <v>638</v>
      </c>
      <c r="H120" s="257" t="s">
        <v>638</v>
      </c>
      <c r="I120" s="257" t="s">
        <v>638</v>
      </c>
      <c r="J120" s="157"/>
      <c r="K120" s="157"/>
      <c r="L120" s="157"/>
      <c r="M120" s="157"/>
      <c r="O120" s="255"/>
      <c r="U120"/>
      <c r="V120"/>
      <c r="W120" s="69" t="str">
        <f t="shared" si="6"/>
        <v/>
      </c>
      <c r="X120" s="69" t="str">
        <f t="shared" si="7"/>
        <v/>
      </c>
      <c r="Y120"/>
      <c r="Z120"/>
      <c r="AA120"/>
      <c r="AB120" s="192"/>
      <c r="BZ120" s="254"/>
      <c r="CA120" s="254"/>
    </row>
    <row r="121" spans="2:79" s="163" customFormat="1" ht="15.5">
      <c r="B121" s="192">
        <f t="shared" si="4"/>
        <v>0</v>
      </c>
      <c r="C121" s="256" t="s">
        <v>638</v>
      </c>
      <c r="D121" s="257" t="s">
        <v>638</v>
      </c>
      <c r="F121" s="1021">
        <f t="shared" si="5"/>
        <v>0</v>
      </c>
      <c r="G121" s="256" t="s">
        <v>638</v>
      </c>
      <c r="H121" s="257" t="s">
        <v>638</v>
      </c>
      <c r="I121" s="257" t="s">
        <v>638</v>
      </c>
      <c r="J121" s="157"/>
      <c r="K121" s="157"/>
      <c r="L121" s="157"/>
      <c r="M121" s="157"/>
      <c r="O121" s="255"/>
      <c r="U121"/>
      <c r="V121"/>
      <c r="W121" s="69" t="str">
        <f t="shared" si="6"/>
        <v/>
      </c>
      <c r="X121" s="69" t="str">
        <f t="shared" si="7"/>
        <v/>
      </c>
      <c r="Y121"/>
      <c r="Z121"/>
      <c r="AA121"/>
      <c r="AB121" s="192"/>
      <c r="BZ121" s="254"/>
      <c r="CA121" s="254"/>
    </row>
    <row r="122" spans="2:79" s="163" customFormat="1" ht="15.5">
      <c r="B122" s="192">
        <f t="shared" si="4"/>
        <v>0</v>
      </c>
      <c r="C122" s="256" t="s">
        <v>638</v>
      </c>
      <c r="D122" s="257" t="s">
        <v>638</v>
      </c>
      <c r="F122" s="1021">
        <f t="shared" si="5"/>
        <v>0</v>
      </c>
      <c r="G122" s="256" t="s">
        <v>638</v>
      </c>
      <c r="H122" s="257" t="s">
        <v>638</v>
      </c>
      <c r="I122" s="257" t="s">
        <v>638</v>
      </c>
      <c r="J122" s="157"/>
      <c r="K122" s="157"/>
      <c r="L122" s="157"/>
      <c r="M122" s="157"/>
      <c r="O122" s="255"/>
      <c r="U122"/>
      <c r="V122"/>
      <c r="W122" s="69" t="str">
        <f t="shared" si="6"/>
        <v/>
      </c>
      <c r="X122" s="69" t="str">
        <f t="shared" si="7"/>
        <v/>
      </c>
      <c r="Y122"/>
      <c r="Z122"/>
      <c r="AA122"/>
      <c r="AB122" s="192"/>
      <c r="BZ122" s="254"/>
      <c r="CA122" s="254"/>
    </row>
    <row r="123" spans="2:79" s="163" customFormat="1" ht="15.5">
      <c r="B123" s="192">
        <f t="shared" si="4"/>
        <v>0</v>
      </c>
      <c r="C123" s="256" t="s">
        <v>638</v>
      </c>
      <c r="D123" s="257" t="s">
        <v>638</v>
      </c>
      <c r="F123" s="1021">
        <f t="shared" si="5"/>
        <v>0</v>
      </c>
      <c r="G123" s="256" t="s">
        <v>638</v>
      </c>
      <c r="H123" s="257" t="s">
        <v>638</v>
      </c>
      <c r="I123" s="257" t="s">
        <v>638</v>
      </c>
      <c r="J123" s="157"/>
      <c r="K123" s="157"/>
      <c r="L123" s="157"/>
      <c r="M123" s="157"/>
      <c r="O123" s="255"/>
      <c r="U123"/>
      <c r="V123"/>
      <c r="W123" s="69" t="str">
        <f t="shared" si="6"/>
        <v/>
      </c>
      <c r="X123" s="69" t="str">
        <f t="shared" si="7"/>
        <v/>
      </c>
      <c r="Y123"/>
      <c r="Z123"/>
      <c r="AA123"/>
      <c r="AB123" s="192"/>
      <c r="BZ123" s="254"/>
      <c r="CA123" s="254"/>
    </row>
    <row r="124" spans="2:79" s="163" customFormat="1" ht="15.5">
      <c r="B124" s="192">
        <f t="shared" si="4"/>
        <v>0</v>
      </c>
      <c r="C124" s="256" t="s">
        <v>638</v>
      </c>
      <c r="D124" s="257" t="s">
        <v>638</v>
      </c>
      <c r="F124" s="1021">
        <f t="shared" si="5"/>
        <v>0</v>
      </c>
      <c r="G124" s="256" t="s">
        <v>638</v>
      </c>
      <c r="H124" s="257" t="s">
        <v>638</v>
      </c>
      <c r="I124" s="257" t="s">
        <v>638</v>
      </c>
      <c r="J124" s="157"/>
      <c r="K124" s="157"/>
      <c r="L124" s="157"/>
      <c r="M124" s="157"/>
      <c r="O124" s="255"/>
      <c r="U124"/>
      <c r="V124"/>
      <c r="W124" s="69" t="str">
        <f t="shared" si="6"/>
        <v/>
      </c>
      <c r="X124" s="69" t="str">
        <f t="shared" si="7"/>
        <v/>
      </c>
      <c r="Y124"/>
      <c r="Z124"/>
      <c r="AA124"/>
      <c r="AB124" s="192"/>
      <c r="BZ124" s="254"/>
      <c r="CA124" s="254"/>
    </row>
    <row r="125" spans="2:79" s="163" customFormat="1" ht="15.5">
      <c r="B125" s="192">
        <f t="shared" si="4"/>
        <v>0</v>
      </c>
      <c r="C125" s="256" t="s">
        <v>638</v>
      </c>
      <c r="D125" s="257" t="s">
        <v>638</v>
      </c>
      <c r="F125" s="1021">
        <f t="shared" si="5"/>
        <v>0</v>
      </c>
      <c r="G125" s="256" t="s">
        <v>638</v>
      </c>
      <c r="H125" s="257" t="s">
        <v>638</v>
      </c>
      <c r="I125" s="257" t="s">
        <v>638</v>
      </c>
      <c r="J125" s="157"/>
      <c r="K125" s="157"/>
      <c r="L125" s="157"/>
      <c r="M125" s="157"/>
      <c r="O125" s="255"/>
      <c r="U125"/>
      <c r="V125"/>
      <c r="W125" s="69" t="str">
        <f t="shared" si="6"/>
        <v/>
      </c>
      <c r="X125" s="69" t="str">
        <f t="shared" si="7"/>
        <v/>
      </c>
      <c r="Y125"/>
      <c r="Z125"/>
      <c r="AA125"/>
      <c r="AB125" s="192"/>
      <c r="BZ125" s="254"/>
      <c r="CA125" s="254"/>
    </row>
    <row r="126" spans="2:79" s="163" customFormat="1" ht="15.5">
      <c r="B126" s="192">
        <f t="shared" si="4"/>
        <v>0</v>
      </c>
      <c r="C126" s="256" t="s">
        <v>638</v>
      </c>
      <c r="D126" s="257" t="s">
        <v>638</v>
      </c>
      <c r="F126" s="1021">
        <f t="shared" si="5"/>
        <v>0</v>
      </c>
      <c r="G126" s="256" t="s">
        <v>638</v>
      </c>
      <c r="H126" s="257" t="s">
        <v>638</v>
      </c>
      <c r="I126" s="257" t="s">
        <v>638</v>
      </c>
      <c r="J126" s="157"/>
      <c r="K126" s="157"/>
      <c r="L126" s="157"/>
      <c r="M126" s="157"/>
      <c r="O126" s="255"/>
      <c r="U126"/>
      <c r="V126"/>
      <c r="W126" s="69" t="str">
        <f t="shared" si="6"/>
        <v/>
      </c>
      <c r="X126" s="69" t="str">
        <f t="shared" si="7"/>
        <v/>
      </c>
      <c r="Y126"/>
      <c r="Z126"/>
      <c r="AA126"/>
      <c r="AB126" s="192"/>
      <c r="BZ126" s="254"/>
      <c r="CA126" s="254"/>
    </row>
    <row r="127" spans="2:79" s="163" customFormat="1" ht="15.5">
      <c r="B127" s="192">
        <f t="shared" si="4"/>
        <v>0</v>
      </c>
      <c r="C127" s="256" t="s">
        <v>638</v>
      </c>
      <c r="D127" s="257" t="s">
        <v>638</v>
      </c>
      <c r="F127" s="1021">
        <f t="shared" si="5"/>
        <v>0</v>
      </c>
      <c r="G127" s="256" t="s">
        <v>638</v>
      </c>
      <c r="H127" s="257" t="s">
        <v>638</v>
      </c>
      <c r="I127" s="257" t="s">
        <v>638</v>
      </c>
      <c r="J127" s="157"/>
      <c r="K127" s="157"/>
      <c r="L127" s="157"/>
      <c r="M127" s="157"/>
      <c r="O127" s="255"/>
      <c r="U127"/>
      <c r="V127"/>
      <c r="W127" s="69" t="str">
        <f t="shared" si="6"/>
        <v/>
      </c>
      <c r="X127" s="69" t="str">
        <f t="shared" si="7"/>
        <v/>
      </c>
      <c r="Y127"/>
      <c r="Z127"/>
      <c r="AA127"/>
      <c r="AB127" s="192"/>
      <c r="BZ127" s="254"/>
      <c r="CA127" s="254"/>
    </row>
    <row r="128" spans="2:79" s="163" customFormat="1" ht="15.5">
      <c r="B128" s="192">
        <f t="shared" si="4"/>
        <v>0</v>
      </c>
      <c r="C128" s="256" t="s">
        <v>638</v>
      </c>
      <c r="D128" s="257" t="s">
        <v>638</v>
      </c>
      <c r="F128" s="1021">
        <f t="shared" si="5"/>
        <v>0</v>
      </c>
      <c r="G128" s="256" t="s">
        <v>638</v>
      </c>
      <c r="H128" s="257" t="s">
        <v>638</v>
      </c>
      <c r="I128" s="257" t="s">
        <v>638</v>
      </c>
      <c r="J128" s="157"/>
      <c r="K128" s="157"/>
      <c r="L128" s="157"/>
      <c r="M128" s="157"/>
      <c r="O128" s="255"/>
      <c r="U128"/>
      <c r="V128"/>
      <c r="W128" s="69" t="str">
        <f t="shared" si="6"/>
        <v/>
      </c>
      <c r="X128" s="69" t="str">
        <f t="shared" si="7"/>
        <v/>
      </c>
      <c r="Y128"/>
      <c r="Z128"/>
      <c r="AA128"/>
      <c r="AB128" s="192"/>
      <c r="BZ128" s="254"/>
      <c r="CA128" s="254"/>
    </row>
    <row r="129" spans="2:79" s="163" customFormat="1" ht="15.5">
      <c r="B129" s="192">
        <f t="shared" si="4"/>
        <v>0</v>
      </c>
      <c r="C129" s="256" t="s">
        <v>638</v>
      </c>
      <c r="D129" s="257" t="s">
        <v>638</v>
      </c>
      <c r="F129" s="1021">
        <f t="shared" si="5"/>
        <v>0</v>
      </c>
      <c r="G129" s="256" t="s">
        <v>638</v>
      </c>
      <c r="H129" s="257" t="s">
        <v>638</v>
      </c>
      <c r="I129" s="257" t="s">
        <v>638</v>
      </c>
      <c r="J129" s="157"/>
      <c r="K129" s="157"/>
      <c r="L129" s="157"/>
      <c r="M129" s="157"/>
      <c r="O129" s="255"/>
      <c r="U129"/>
      <c r="V129"/>
      <c r="W129" s="69" t="str">
        <f t="shared" si="6"/>
        <v/>
      </c>
      <c r="X129" s="69" t="str">
        <f t="shared" si="7"/>
        <v/>
      </c>
      <c r="Y129"/>
      <c r="Z129"/>
      <c r="AA129"/>
      <c r="AB129" s="192"/>
      <c r="BZ129" s="254"/>
      <c r="CA129" s="254"/>
    </row>
    <row r="130" spans="2:79" s="163" customFormat="1" ht="15.5">
      <c r="B130" s="192">
        <f t="shared" si="4"/>
        <v>0</v>
      </c>
      <c r="C130" s="256" t="s">
        <v>638</v>
      </c>
      <c r="D130" s="257" t="s">
        <v>638</v>
      </c>
      <c r="F130" s="1021">
        <f t="shared" si="5"/>
        <v>0</v>
      </c>
      <c r="G130" s="256" t="s">
        <v>638</v>
      </c>
      <c r="H130" s="257" t="s">
        <v>638</v>
      </c>
      <c r="I130" s="257" t="s">
        <v>638</v>
      </c>
      <c r="J130" s="157"/>
      <c r="K130" s="157"/>
      <c r="L130" s="157"/>
      <c r="M130" s="157"/>
      <c r="O130" s="255"/>
      <c r="U130"/>
      <c r="V130"/>
      <c r="W130" s="69" t="str">
        <f t="shared" si="6"/>
        <v/>
      </c>
      <c r="X130" s="69" t="str">
        <f t="shared" si="7"/>
        <v/>
      </c>
      <c r="Y130"/>
      <c r="Z130"/>
      <c r="AA130"/>
      <c r="AB130" s="192"/>
      <c r="BZ130" s="254"/>
      <c r="CA130" s="254"/>
    </row>
    <row r="131" spans="2:79" s="163" customFormat="1" ht="15.5">
      <c r="B131" s="192">
        <f t="shared" si="4"/>
        <v>0</v>
      </c>
      <c r="C131" s="256" t="s">
        <v>638</v>
      </c>
      <c r="D131" s="257" t="s">
        <v>638</v>
      </c>
      <c r="F131" s="1021">
        <f t="shared" si="5"/>
        <v>0</v>
      </c>
      <c r="G131" s="256" t="s">
        <v>638</v>
      </c>
      <c r="H131" s="257" t="s">
        <v>638</v>
      </c>
      <c r="I131" s="257" t="s">
        <v>638</v>
      </c>
      <c r="J131" s="157"/>
      <c r="K131" s="157"/>
      <c r="L131" s="157"/>
      <c r="M131" s="157"/>
      <c r="O131" s="255"/>
      <c r="U131"/>
      <c r="V131"/>
      <c r="W131" s="69" t="str">
        <f t="shared" si="6"/>
        <v/>
      </c>
      <c r="X131" s="69" t="str">
        <f t="shared" si="7"/>
        <v/>
      </c>
      <c r="Y131"/>
      <c r="Z131"/>
      <c r="AA131"/>
      <c r="AB131" s="192"/>
      <c r="BZ131" s="254"/>
      <c r="CA131" s="254"/>
    </row>
    <row r="132" spans="2:79" s="163" customFormat="1" ht="15.5">
      <c r="B132" s="192">
        <f t="shared" si="4"/>
        <v>0</v>
      </c>
      <c r="C132" s="256" t="s">
        <v>638</v>
      </c>
      <c r="D132" s="257" t="s">
        <v>638</v>
      </c>
      <c r="F132" s="1021">
        <f t="shared" si="5"/>
        <v>0</v>
      </c>
      <c r="G132" s="256" t="s">
        <v>638</v>
      </c>
      <c r="H132" s="257" t="s">
        <v>638</v>
      </c>
      <c r="I132" s="257" t="s">
        <v>638</v>
      </c>
      <c r="J132" s="157"/>
      <c r="K132" s="157"/>
      <c r="L132" s="157"/>
      <c r="M132" s="157"/>
      <c r="O132" s="255"/>
      <c r="U132"/>
      <c r="V132"/>
      <c r="W132" s="69" t="str">
        <f t="shared" si="6"/>
        <v/>
      </c>
      <c r="X132" s="69" t="str">
        <f t="shared" si="7"/>
        <v/>
      </c>
      <c r="Y132"/>
      <c r="Z132"/>
      <c r="AA132"/>
      <c r="AB132" s="192"/>
      <c r="BZ132" s="254"/>
      <c r="CA132" s="254"/>
    </row>
    <row r="133" spans="2:79" s="163" customFormat="1" ht="15.5">
      <c r="B133" s="192">
        <f t="shared" si="4"/>
        <v>0</v>
      </c>
      <c r="C133" s="256" t="s">
        <v>638</v>
      </c>
      <c r="D133" s="257" t="s">
        <v>638</v>
      </c>
      <c r="F133" s="1021">
        <f t="shared" si="5"/>
        <v>0</v>
      </c>
      <c r="G133" s="256" t="s">
        <v>638</v>
      </c>
      <c r="H133" s="257" t="s">
        <v>638</v>
      </c>
      <c r="I133" s="257" t="s">
        <v>638</v>
      </c>
      <c r="J133" s="157"/>
      <c r="K133" s="157"/>
      <c r="L133" s="157"/>
      <c r="M133" s="157"/>
      <c r="O133" s="255"/>
      <c r="U133"/>
      <c r="V133"/>
      <c r="W133" s="69" t="str">
        <f t="shared" si="6"/>
        <v/>
      </c>
      <c r="X133" s="69" t="str">
        <f t="shared" si="7"/>
        <v/>
      </c>
      <c r="Y133"/>
      <c r="Z133"/>
      <c r="AA133"/>
      <c r="AB133" s="192"/>
      <c r="BZ133" s="254"/>
      <c r="CA133" s="254"/>
    </row>
    <row r="134" spans="2:79" s="163" customFormat="1" ht="15.5">
      <c r="B134" s="192">
        <f t="shared" si="4"/>
        <v>0</v>
      </c>
      <c r="C134" s="256" t="s">
        <v>638</v>
      </c>
      <c r="D134" s="257" t="s">
        <v>638</v>
      </c>
      <c r="F134" s="1021">
        <f t="shared" si="5"/>
        <v>0</v>
      </c>
      <c r="G134" s="256" t="s">
        <v>638</v>
      </c>
      <c r="H134" s="257" t="s">
        <v>638</v>
      </c>
      <c r="I134" s="257" t="s">
        <v>638</v>
      </c>
      <c r="J134" s="157"/>
      <c r="K134" s="157"/>
      <c r="L134" s="157"/>
      <c r="M134" s="157"/>
      <c r="O134" s="255"/>
      <c r="U134"/>
      <c r="V134"/>
      <c r="W134" s="69" t="str">
        <f t="shared" si="6"/>
        <v/>
      </c>
      <c r="X134" s="69" t="str">
        <f t="shared" si="7"/>
        <v/>
      </c>
      <c r="Y134"/>
      <c r="Z134"/>
      <c r="AA134"/>
      <c r="AB134" s="192"/>
      <c r="BZ134" s="254"/>
      <c r="CA134" s="254"/>
    </row>
    <row r="135" spans="2:79" s="163" customFormat="1" ht="15.5">
      <c r="B135" s="192">
        <f t="shared" si="4"/>
        <v>0</v>
      </c>
      <c r="C135" s="256" t="s">
        <v>638</v>
      </c>
      <c r="D135" s="257" t="s">
        <v>638</v>
      </c>
      <c r="F135" s="1021">
        <f t="shared" si="5"/>
        <v>0</v>
      </c>
      <c r="G135" s="256" t="s">
        <v>638</v>
      </c>
      <c r="H135" s="257" t="s">
        <v>638</v>
      </c>
      <c r="I135" s="257" t="s">
        <v>638</v>
      </c>
      <c r="J135" s="157"/>
      <c r="K135" s="157"/>
      <c r="L135" s="157"/>
      <c r="M135" s="157"/>
      <c r="O135" s="255"/>
      <c r="U135"/>
      <c r="V135"/>
      <c r="W135" s="69" t="str">
        <f t="shared" si="6"/>
        <v/>
      </c>
      <c r="X135" s="69" t="str">
        <f t="shared" si="7"/>
        <v/>
      </c>
      <c r="Y135"/>
      <c r="Z135"/>
      <c r="AA135"/>
      <c r="AB135" s="192"/>
      <c r="BZ135" s="254"/>
      <c r="CA135" s="254"/>
    </row>
    <row r="136" spans="2:79" s="163" customFormat="1" ht="15.5">
      <c r="B136" s="192">
        <f t="shared" si="4"/>
        <v>0</v>
      </c>
      <c r="C136" s="256" t="s">
        <v>638</v>
      </c>
      <c r="D136" s="257" t="s">
        <v>638</v>
      </c>
      <c r="F136" s="1021">
        <f t="shared" si="5"/>
        <v>0</v>
      </c>
      <c r="G136" s="256" t="s">
        <v>638</v>
      </c>
      <c r="H136" s="257" t="s">
        <v>638</v>
      </c>
      <c r="I136" s="257" t="s">
        <v>638</v>
      </c>
      <c r="J136" s="157"/>
      <c r="K136" s="157"/>
      <c r="L136" s="157"/>
      <c r="M136" s="157"/>
      <c r="O136" s="255"/>
      <c r="U136"/>
      <c r="V136"/>
      <c r="W136" s="69" t="str">
        <f t="shared" si="6"/>
        <v/>
      </c>
      <c r="X136" s="69" t="str">
        <f t="shared" si="7"/>
        <v/>
      </c>
      <c r="Y136"/>
      <c r="Z136"/>
      <c r="AA136"/>
      <c r="AB136" s="192"/>
      <c r="BZ136" s="254"/>
      <c r="CA136" s="254"/>
    </row>
    <row r="137" spans="2:79" s="163" customFormat="1" ht="15.5">
      <c r="B137" s="192">
        <f t="shared" si="4"/>
        <v>0</v>
      </c>
      <c r="C137" s="256" t="s">
        <v>638</v>
      </c>
      <c r="D137" s="257" t="s">
        <v>638</v>
      </c>
      <c r="F137" s="1021">
        <f t="shared" si="5"/>
        <v>0</v>
      </c>
      <c r="G137" s="256" t="s">
        <v>638</v>
      </c>
      <c r="H137" s="257" t="s">
        <v>638</v>
      </c>
      <c r="I137" s="257" t="s">
        <v>638</v>
      </c>
      <c r="J137" s="157"/>
      <c r="K137" s="157"/>
      <c r="L137" s="157"/>
      <c r="M137" s="157"/>
      <c r="O137" s="255"/>
      <c r="U137"/>
      <c r="V137"/>
      <c r="W137" s="69" t="str">
        <f t="shared" si="6"/>
        <v/>
      </c>
      <c r="X137" s="69" t="str">
        <f t="shared" si="7"/>
        <v/>
      </c>
      <c r="Y137"/>
      <c r="Z137"/>
      <c r="AA137"/>
      <c r="AB137" s="192"/>
      <c r="BZ137" s="254"/>
      <c r="CA137" s="254"/>
    </row>
    <row r="138" spans="2:79" s="163" customFormat="1" ht="15.5">
      <c r="B138" s="192">
        <f t="shared" si="4"/>
        <v>0</v>
      </c>
      <c r="C138" s="256" t="s">
        <v>638</v>
      </c>
      <c r="D138" s="257" t="s">
        <v>638</v>
      </c>
      <c r="F138" s="1021">
        <f t="shared" si="5"/>
        <v>0</v>
      </c>
      <c r="G138" s="256" t="s">
        <v>638</v>
      </c>
      <c r="H138" s="257" t="s">
        <v>638</v>
      </c>
      <c r="I138" s="257" t="s">
        <v>638</v>
      </c>
      <c r="J138" s="157"/>
      <c r="K138" s="157"/>
      <c r="L138" s="157"/>
      <c r="M138" s="157"/>
      <c r="O138" s="255"/>
      <c r="U138"/>
      <c r="V138"/>
      <c r="W138" s="69" t="str">
        <f t="shared" si="6"/>
        <v/>
      </c>
      <c r="X138" s="69" t="str">
        <f t="shared" si="7"/>
        <v/>
      </c>
      <c r="Y138"/>
      <c r="Z138"/>
      <c r="AA138"/>
      <c r="AB138" s="192"/>
      <c r="BZ138" s="254"/>
      <c r="CA138" s="254"/>
    </row>
    <row r="139" spans="2:79" s="163" customFormat="1" ht="15.5">
      <c r="B139" s="192">
        <f t="shared" si="4"/>
        <v>0</v>
      </c>
      <c r="C139" s="256" t="s">
        <v>638</v>
      </c>
      <c r="D139" s="257" t="s">
        <v>638</v>
      </c>
      <c r="F139" s="1021">
        <f t="shared" si="5"/>
        <v>0</v>
      </c>
      <c r="G139" s="256" t="s">
        <v>638</v>
      </c>
      <c r="H139" s="257" t="s">
        <v>638</v>
      </c>
      <c r="I139" s="257" t="s">
        <v>638</v>
      </c>
      <c r="J139" s="157"/>
      <c r="K139" s="157"/>
      <c r="L139" s="157"/>
      <c r="M139" s="157"/>
      <c r="O139" s="255"/>
      <c r="U139"/>
      <c r="V139"/>
      <c r="W139" s="69" t="str">
        <f t="shared" si="6"/>
        <v/>
      </c>
      <c r="X139" s="69" t="str">
        <f t="shared" si="7"/>
        <v/>
      </c>
      <c r="Y139"/>
      <c r="Z139"/>
      <c r="AA139"/>
      <c r="AB139" s="192"/>
      <c r="BZ139" s="254"/>
      <c r="CA139" s="254"/>
    </row>
    <row r="140" spans="2:79" s="163" customFormat="1" ht="15.5">
      <c r="B140" s="192">
        <f t="shared" si="4"/>
        <v>0</v>
      </c>
      <c r="C140" s="256" t="s">
        <v>638</v>
      </c>
      <c r="D140" s="257" t="s">
        <v>638</v>
      </c>
      <c r="F140" s="1021">
        <f t="shared" si="5"/>
        <v>0</v>
      </c>
      <c r="G140" s="256" t="s">
        <v>638</v>
      </c>
      <c r="H140" s="257" t="s">
        <v>638</v>
      </c>
      <c r="I140" s="257" t="s">
        <v>638</v>
      </c>
      <c r="J140" s="157"/>
      <c r="K140" s="157"/>
      <c r="L140" s="157"/>
      <c r="M140" s="157"/>
      <c r="O140" s="255"/>
      <c r="U140"/>
      <c r="V140"/>
      <c r="W140" s="69" t="str">
        <f t="shared" si="6"/>
        <v/>
      </c>
      <c r="X140" s="69" t="str">
        <f t="shared" si="7"/>
        <v/>
      </c>
      <c r="Y140"/>
      <c r="Z140"/>
      <c r="AA140"/>
      <c r="AB140" s="192"/>
      <c r="BZ140" s="254"/>
      <c r="CA140" s="254"/>
    </row>
    <row r="141" spans="2:79" s="163" customFormat="1" ht="15.5">
      <c r="B141" s="192">
        <f t="shared" si="4"/>
        <v>0</v>
      </c>
      <c r="C141" s="256" t="s">
        <v>638</v>
      </c>
      <c r="D141" s="257" t="s">
        <v>638</v>
      </c>
      <c r="F141" s="1021">
        <f t="shared" si="5"/>
        <v>0</v>
      </c>
      <c r="G141" s="256" t="s">
        <v>638</v>
      </c>
      <c r="H141" s="257" t="s">
        <v>638</v>
      </c>
      <c r="I141" s="257" t="s">
        <v>638</v>
      </c>
      <c r="J141" s="157"/>
      <c r="K141" s="157"/>
      <c r="L141" s="157"/>
      <c r="M141" s="157"/>
      <c r="O141" s="255"/>
      <c r="U141"/>
      <c r="V141"/>
      <c r="W141" s="69" t="str">
        <f t="shared" si="6"/>
        <v/>
      </c>
      <c r="X141" s="69" t="str">
        <f t="shared" si="7"/>
        <v/>
      </c>
      <c r="Y141"/>
      <c r="Z141"/>
      <c r="AA141"/>
      <c r="AB141" s="192"/>
      <c r="BZ141" s="254"/>
      <c r="CA141" s="254"/>
    </row>
    <row r="142" spans="2:79" s="163" customFormat="1" ht="15.5">
      <c r="B142" s="192">
        <f t="shared" si="4"/>
        <v>0</v>
      </c>
      <c r="C142" s="256" t="s">
        <v>638</v>
      </c>
      <c r="D142" s="257" t="s">
        <v>638</v>
      </c>
      <c r="F142" s="1021">
        <f t="shared" si="5"/>
        <v>0</v>
      </c>
      <c r="G142" s="256" t="s">
        <v>638</v>
      </c>
      <c r="H142" s="257" t="s">
        <v>638</v>
      </c>
      <c r="I142" s="257" t="s">
        <v>638</v>
      </c>
      <c r="J142" s="157"/>
      <c r="K142" s="157"/>
      <c r="L142" s="157"/>
      <c r="M142" s="157"/>
      <c r="O142" s="255"/>
      <c r="U142"/>
      <c r="V142"/>
      <c r="W142" s="69" t="str">
        <f t="shared" si="6"/>
        <v/>
      </c>
      <c r="X142" s="69" t="str">
        <f t="shared" si="7"/>
        <v/>
      </c>
      <c r="Y142"/>
      <c r="Z142"/>
      <c r="AA142"/>
      <c r="AB142" s="192"/>
      <c r="BZ142" s="254"/>
      <c r="CA142" s="254"/>
    </row>
    <row r="143" spans="2:79" s="163" customFormat="1" ht="15.5">
      <c r="B143" s="192">
        <f t="shared" si="4"/>
        <v>0</v>
      </c>
      <c r="C143" s="256" t="s">
        <v>638</v>
      </c>
      <c r="D143" s="257" t="s">
        <v>638</v>
      </c>
      <c r="F143" s="1021">
        <f t="shared" si="5"/>
        <v>0</v>
      </c>
      <c r="G143" s="256" t="s">
        <v>638</v>
      </c>
      <c r="H143" s="257" t="s">
        <v>638</v>
      </c>
      <c r="I143" s="257" t="s">
        <v>638</v>
      </c>
      <c r="J143" s="157"/>
      <c r="K143" s="157"/>
      <c r="L143" s="157"/>
      <c r="M143" s="157"/>
      <c r="O143" s="255"/>
      <c r="U143"/>
      <c r="V143"/>
      <c r="W143" s="69" t="str">
        <f t="shared" si="6"/>
        <v/>
      </c>
      <c r="X143" s="69" t="str">
        <f t="shared" si="7"/>
        <v/>
      </c>
      <c r="Y143"/>
      <c r="Z143"/>
      <c r="AA143"/>
      <c r="AB143" s="192"/>
      <c r="BZ143" s="254"/>
      <c r="CA143" s="254"/>
    </row>
    <row r="144" spans="2:79" s="163" customFormat="1" ht="15.5">
      <c r="B144" s="192" t="e">
        <f t="shared" si="4"/>
        <v>#REF!</v>
      </c>
      <c r="C144" s="256" t="e">
        <v>#REF!</v>
      </c>
      <c r="D144" s="257" t="e">
        <v>#REF!</v>
      </c>
      <c r="F144" s="1021" t="e">
        <f t="shared" si="5"/>
        <v>#REF!</v>
      </c>
      <c r="G144" s="256" t="e">
        <v>#REF!</v>
      </c>
      <c r="H144" s="257" t="e">
        <v>#REF!</v>
      </c>
      <c r="I144" s="257" t="e">
        <v>#REF!</v>
      </c>
      <c r="J144" s="157"/>
      <c r="K144" s="157"/>
      <c r="L144" s="157"/>
      <c r="M144" s="157"/>
      <c r="O144" s="255"/>
      <c r="U144"/>
      <c r="V144"/>
      <c r="W144" s="69" t="e">
        <f t="shared" si="6"/>
        <v>#REF!</v>
      </c>
      <c r="X144" s="69" t="e">
        <f t="shared" si="7"/>
        <v>#REF!</v>
      </c>
      <c r="Y144"/>
      <c r="Z144"/>
      <c r="AA144"/>
      <c r="AB144" s="192"/>
      <c r="BZ144" s="254"/>
      <c r="CA144" s="254"/>
    </row>
  </sheetData>
  <conditionalFormatting sqref="C15:K17 C19:K19 C26:K26 C28:K35">
    <cfRule type="expression" dxfId="216" priority="17">
      <formula>$B15=2</formula>
    </cfRule>
    <cfRule type="expression" dxfId="215" priority="18">
      <formula>$B15=1</formula>
    </cfRule>
  </conditionalFormatting>
  <conditionalFormatting sqref="C48:D144">
    <cfRule type="expression" dxfId="214" priority="16">
      <formula>$B48=0</formula>
    </cfRule>
  </conditionalFormatting>
  <conditionalFormatting sqref="G48:I144">
    <cfRule type="expression" dxfId="213" priority="15">
      <formula>$F48=0</formula>
    </cfRule>
  </conditionalFormatting>
  <conditionalFormatting sqref="C18:K18">
    <cfRule type="expression" dxfId="212" priority="5">
      <formula>$B18=2</formula>
    </cfRule>
    <cfRule type="expression" dxfId="211" priority="6">
      <formula>$B18=1</formula>
    </cfRule>
  </conditionalFormatting>
  <conditionalFormatting sqref="C20:K25">
    <cfRule type="expression" dxfId="210" priority="3">
      <formula>$B20=2</formula>
    </cfRule>
    <cfRule type="expression" dxfId="209" priority="4">
      <formula>$B20=1</formula>
    </cfRule>
  </conditionalFormatting>
  <conditionalFormatting sqref="C27:K27">
    <cfRule type="expression" dxfId="208" priority="1">
      <formula>$B27=2</formula>
    </cfRule>
    <cfRule type="expression" dxfId="207" priority="2">
      <formula>$B27=1</formula>
    </cfRule>
  </conditionalFormatting>
  <pageMargins left="0.55118110236220474" right="0.55118110236220474" top="0.59055118110236227" bottom="0.78740157480314965" header="0.51181102362204722" footer="0.51181102362204722"/>
  <pageSetup paperSize="9" scale="20" orientation="landscape" r:id="rId1"/>
  <headerFooter alignWithMargins="0">
    <oddHeader>&amp;RNEC SAFE CITIES INDEX: 2021</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576647" r:id="rId4" name="INCOME_FILTER">
              <controlPr defaultSize="0" print="0" autoLine="0" autoPict="0" macro="[0]!UniversalChanger">
                <anchor>
                  <from>
                    <xdr:col>2</xdr:col>
                    <xdr:colOff>2876550</xdr:colOff>
                    <xdr:row>12</xdr:row>
                    <xdr:rowOff>222250</xdr:rowOff>
                  </from>
                  <to>
                    <xdr:col>3</xdr:col>
                    <xdr:colOff>647700</xdr:colOff>
                    <xdr:row>12</xdr:row>
                    <xdr:rowOff>438150</xdr:rowOff>
                  </to>
                </anchor>
              </controlPr>
            </control>
          </mc:Choice>
        </mc:AlternateContent>
        <mc:AlternateContent xmlns:mc="http://schemas.openxmlformats.org/markup-compatibility/2006">
          <mc:Choice Requires="x14">
            <control shapeId="14576648" r:id="rId5" name="R_FILTER">
              <controlPr defaultSize="0" print="0" autoLine="0" autoPict="0" macro="[0]!UniversalChanger">
                <anchor>
                  <from>
                    <xdr:col>2</xdr:col>
                    <xdr:colOff>704850</xdr:colOff>
                    <xdr:row>12</xdr:row>
                    <xdr:rowOff>209550</xdr:rowOff>
                  </from>
                  <to>
                    <xdr:col>2</xdr:col>
                    <xdr:colOff>2508250</xdr:colOff>
                    <xdr:row>12</xdr:row>
                    <xdr:rowOff>431800</xdr:rowOff>
                  </to>
                </anchor>
              </controlPr>
            </control>
          </mc:Choice>
        </mc:AlternateContent>
        <mc:AlternateContent xmlns:mc="http://schemas.openxmlformats.org/markup-compatibility/2006">
          <mc:Choice Requires="x14">
            <control shapeId="14576649" r:id="rId6" name="L_Weights">
              <controlPr defaultSize="0" print="0" autoLine="0" autoPict="0" macro="[0]!UniversalChanger">
                <anchor>
                  <from>
                    <xdr:col>8</xdr:col>
                    <xdr:colOff>565150</xdr:colOff>
                    <xdr:row>12</xdr:row>
                    <xdr:rowOff>209550</xdr:rowOff>
                  </from>
                  <to>
                    <xdr:col>11</xdr:col>
                    <xdr:colOff>57150</xdr:colOff>
                    <xdr:row>12</xdr:row>
                    <xdr:rowOff>431800</xdr:rowOff>
                  </to>
                </anchor>
              </controlPr>
            </control>
          </mc:Choice>
        </mc:AlternateContent>
        <mc:AlternateContent xmlns:mc="http://schemas.openxmlformats.org/markup-compatibility/2006">
          <mc:Choice Requires="x14">
            <control shapeId="14576650" r:id="rId7" name="POP_DD">
              <controlPr defaultSize="0" print="0" autoLine="0" autoPict="0" macro="[0]!UniversalChanger">
                <anchor>
                  <from>
                    <xdr:col>5</xdr:col>
                    <xdr:colOff>317500</xdr:colOff>
                    <xdr:row>12</xdr:row>
                    <xdr:rowOff>209550</xdr:rowOff>
                  </from>
                  <to>
                    <xdr:col>6</xdr:col>
                    <xdr:colOff>1752600</xdr:colOff>
                    <xdr:row>12</xdr:row>
                    <xdr:rowOff>431800</xdr:rowOff>
                  </to>
                </anchor>
              </controlPr>
            </control>
          </mc:Choice>
        </mc:AlternateContent>
        <mc:AlternateContent xmlns:mc="http://schemas.openxmlformats.org/markup-compatibility/2006">
          <mc:Choice Requires="x14">
            <control shapeId="14576651" r:id="rId8" name="Cnt_Select">
              <controlPr defaultSize="0" autoLine="0" autoPict="0" macro="[0]!UniversalChanger">
                <anchor>
                  <from>
                    <xdr:col>0</xdr:col>
                    <xdr:colOff>127000</xdr:colOff>
                    <xdr:row>1</xdr:row>
                    <xdr:rowOff>495300</xdr:rowOff>
                  </from>
                  <to>
                    <xdr:col>2</xdr:col>
                    <xdr:colOff>1219200</xdr:colOff>
                    <xdr:row>1</xdr:row>
                    <xdr:rowOff>704850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pageSetUpPr fitToPage="1"/>
  </sheetPr>
  <dimension ref="A1:BB52"/>
  <sheetViews>
    <sheetView showGridLines="0" showRowColHeaders="0" zoomScaleNormal="100" zoomScaleSheetLayoutView="50" workbookViewId="0">
      <pane ySplit="9" topLeftCell="A10" activePane="bottomLeft" state="frozen"/>
      <selection activeCell="X1" sqref="X1"/>
      <selection pane="bottomLeft"/>
    </sheetView>
  </sheetViews>
  <sheetFormatPr defaultColWidth="9.1796875" defaultRowHeight="15" customHeight="1"/>
  <cols>
    <col min="1" max="1" width="2.453125" style="156" customWidth="1"/>
    <col min="2" max="2" width="7.453125" style="156" hidden="1" customWidth="1"/>
    <col min="3" max="3" width="22.453125" style="156" customWidth="1"/>
    <col min="4" max="11" width="2.7265625" style="156" customWidth="1"/>
    <col min="12" max="12" width="9.453125" style="156" customWidth="1"/>
    <col min="13" max="13" width="7" style="156" customWidth="1"/>
    <col min="14" max="14" width="3" style="156" customWidth="1"/>
    <col min="15" max="15" width="7.1796875" style="483" customWidth="1"/>
    <col min="16" max="16" width="13" style="156" hidden="1" customWidth="1"/>
    <col min="17" max="17" width="4.7265625" style="156" hidden="1" customWidth="1"/>
    <col min="18" max="18" width="3.26953125" style="156" customWidth="1"/>
    <col min="19" max="19" width="5.7265625" style="194" hidden="1" customWidth="1"/>
    <col min="20" max="20" width="3.26953125" style="194" hidden="1" customWidth="1"/>
    <col min="21" max="21" width="2.26953125" style="194" customWidth="1"/>
    <col min="22" max="22" width="45.7265625" style="194" customWidth="1"/>
    <col min="23" max="23" width="1.1796875" style="157" customWidth="1"/>
    <col min="24" max="24" width="14.26953125" style="806" customWidth="1"/>
    <col min="25" max="25" width="9.7265625" style="616" customWidth="1"/>
    <col min="26" max="26" width="0.81640625" style="157" customWidth="1"/>
    <col min="27" max="27" width="14.26953125" style="616" customWidth="1"/>
    <col min="28" max="28" width="9.7265625" style="616" customWidth="1"/>
    <col min="29" max="29" width="0.81640625" style="157" customWidth="1"/>
    <col min="30" max="30" width="9" style="808" hidden="1" customWidth="1"/>
    <col min="31" max="31" width="6.7265625" style="194" hidden="1" customWidth="1"/>
    <col min="32" max="32" width="0.81640625" style="157" hidden="1" customWidth="1"/>
    <col min="33" max="33" width="9" style="194" hidden="1" customWidth="1"/>
    <col min="34" max="34" width="6.7265625" style="194" hidden="1" customWidth="1"/>
    <col min="35" max="35" width="0.7265625" style="194" customWidth="1"/>
    <col min="36" max="36" width="1.453125" style="194" customWidth="1"/>
    <col min="37" max="37" width="14.26953125" style="194" hidden="1" customWidth="1"/>
    <col min="38" max="38" width="13.26953125" style="194" hidden="1" customWidth="1"/>
    <col min="39" max="39" width="14.26953125" style="194" customWidth="1"/>
    <col min="40" max="40" width="46.7265625" style="253" customWidth="1"/>
    <col min="41" max="48" width="14.26953125" style="194" customWidth="1"/>
    <col min="49" max="49" width="8" style="194" customWidth="1"/>
    <col min="50" max="53" width="10.1796875" style="194" hidden="1" customWidth="1"/>
    <col min="54" max="54" width="4.453125" style="194" hidden="1" customWidth="1"/>
    <col min="55" max="55" width="10.1796875" style="367" customWidth="1"/>
    <col min="56" max="16384" width="9.1796875" style="367"/>
  </cols>
  <sheetData>
    <row r="1" spans="1:54" ht="22.5" customHeight="1">
      <c r="A1" s="599"/>
      <c r="B1" s="599" t="s">
        <v>460</v>
      </c>
      <c r="C1" s="599" t="str">
        <f>uxb_works!$B$92</f>
        <v>Digital Cities Index</v>
      </c>
      <c r="D1" s="599"/>
      <c r="E1" s="599"/>
      <c r="F1" s="599"/>
      <c r="G1" s="599"/>
      <c r="H1" s="599"/>
      <c r="I1" s="599"/>
      <c r="J1" s="599"/>
      <c r="K1" s="599"/>
      <c r="L1" s="599"/>
      <c r="M1" s="599"/>
      <c r="N1" s="599"/>
      <c r="O1" s="599"/>
      <c r="P1" s="599"/>
      <c r="Q1" s="599"/>
      <c r="R1" s="599"/>
      <c r="S1" s="599"/>
      <c r="T1" s="599"/>
      <c r="U1" s="599"/>
      <c r="V1" s="599"/>
      <c r="W1" s="599"/>
      <c r="X1" s="798"/>
      <c r="Y1" s="798"/>
      <c r="Z1" s="599">
        <v>1</v>
      </c>
      <c r="AA1" s="798"/>
      <c r="AB1" s="798"/>
      <c r="AC1" s="798"/>
      <c r="AD1" s="798"/>
      <c r="AE1" s="798"/>
      <c r="AF1" s="798"/>
      <c r="AG1" s="798"/>
      <c r="AH1" s="798"/>
      <c r="AI1" s="798"/>
      <c r="AJ1" s="798"/>
      <c r="AK1" s="473"/>
      <c r="AL1" s="473"/>
      <c r="AM1" s="473"/>
      <c r="AN1" s="286"/>
      <c r="AO1" s="473"/>
      <c r="AP1" s="473"/>
      <c r="AQ1" s="473"/>
      <c r="AR1" s="473"/>
      <c r="AS1" s="473"/>
      <c r="AT1" s="473"/>
      <c r="AU1" s="473"/>
      <c r="AV1" s="473"/>
      <c r="AW1" s="473"/>
      <c r="AX1" s="473" t="s">
        <v>461</v>
      </c>
      <c r="AY1" s="473" t="e">
        <f ca="1">INDEX(tblIndicators!$AL$2:$AL$60,MATCH($AX$2,tblIndiSets!$F$13:$F$81,0))</f>
        <v>#N/A</v>
      </c>
      <c r="AZ1" s="473"/>
      <c r="BA1" s="133">
        <v>1</v>
      </c>
      <c r="BB1" s="133">
        <v>5</v>
      </c>
    </row>
    <row r="2" spans="1:54" ht="63" customHeight="1">
      <c r="A2" s="155"/>
      <c r="B2" s="155"/>
      <c r="C2" s="155"/>
      <c r="D2" s="155"/>
      <c r="E2" s="155"/>
      <c r="F2" s="155"/>
      <c r="G2" s="155"/>
      <c r="H2" s="155"/>
      <c r="I2" s="155"/>
      <c r="J2" s="155"/>
      <c r="K2" s="155"/>
      <c r="L2" s="155"/>
      <c r="M2" s="155"/>
      <c r="N2" s="155"/>
      <c r="O2" s="155"/>
      <c r="P2" s="155"/>
      <c r="Q2" s="155"/>
      <c r="R2" s="155"/>
      <c r="S2" s="155"/>
      <c r="T2" s="155"/>
      <c r="U2" s="155"/>
      <c r="V2" s="155"/>
      <c r="W2" s="155"/>
      <c r="X2" s="799"/>
      <c r="Y2" s="809"/>
      <c r="Z2" s="155"/>
      <c r="AA2" s="809"/>
      <c r="AB2" s="809"/>
      <c r="AC2" s="155"/>
      <c r="AD2" s="807"/>
      <c r="AE2" s="155"/>
      <c r="AF2" s="155"/>
      <c r="AG2" s="155"/>
      <c r="AH2" s="155"/>
      <c r="AI2" s="155"/>
      <c r="AJ2" s="156"/>
      <c r="AK2" s="156"/>
      <c r="AL2" s="156"/>
      <c r="AM2" s="156"/>
      <c r="AO2" s="156"/>
      <c r="AP2" s="156"/>
      <c r="AQ2" s="156"/>
      <c r="AR2" s="156"/>
      <c r="AS2" s="156"/>
      <c r="AT2" s="156"/>
      <c r="AU2" s="156"/>
      <c r="AV2" s="156"/>
      <c r="AW2" s="156"/>
      <c r="AX2" s="156" t="str">
        <f ca="1">TRIM(INDIRECT(AX1))</f>
        <v>OVERALL SCORE</v>
      </c>
      <c r="AY2" s="156" t="e">
        <f ca="1">INDEX(tblIndicators!$O$2:$O$60,MATCH($AX$2,tblIndiSets!$F$13:$F$81,0))</f>
        <v>#N/A</v>
      </c>
      <c r="AZ2" s="156"/>
      <c r="BA2" s="156"/>
      <c r="BB2" s="156"/>
    </row>
    <row r="3" spans="1:54" ht="3" customHeight="1">
      <c r="A3" s="369"/>
      <c r="B3" s="369"/>
      <c r="C3" s="369"/>
      <c r="D3" s="369"/>
      <c r="E3" s="369"/>
      <c r="F3" s="369"/>
      <c r="G3" s="369"/>
      <c r="H3" s="369"/>
      <c r="I3" s="369"/>
      <c r="J3" s="369"/>
      <c r="K3" s="369"/>
      <c r="L3" s="369"/>
      <c r="M3" s="369"/>
      <c r="N3" s="369"/>
      <c r="O3" s="369"/>
      <c r="P3" s="369"/>
      <c r="Q3" s="369"/>
      <c r="R3" s="369"/>
      <c r="S3" s="369"/>
      <c r="T3" s="369"/>
      <c r="U3" s="369"/>
      <c r="V3" s="369"/>
      <c r="W3" s="369"/>
      <c r="X3" s="800"/>
      <c r="Y3" s="800"/>
      <c r="Z3" s="369"/>
      <c r="AA3" s="800"/>
      <c r="AB3" s="800"/>
      <c r="AC3" s="369"/>
      <c r="AD3" s="790"/>
      <c r="AE3" s="369"/>
      <c r="AF3" s="369"/>
      <c r="AG3" s="369"/>
      <c r="AH3" s="369"/>
      <c r="AI3" s="369"/>
      <c r="AJ3" s="369"/>
      <c r="AK3" s="156"/>
      <c r="AL3" s="156"/>
      <c r="AM3" s="156"/>
      <c r="AO3" s="156"/>
      <c r="AP3" s="156"/>
      <c r="AQ3" s="156"/>
      <c r="AR3" s="156"/>
      <c r="AS3" s="156"/>
      <c r="AT3" s="156"/>
      <c r="AU3" s="156"/>
      <c r="AV3" s="156"/>
      <c r="AW3" s="156"/>
      <c r="AX3" s="156"/>
      <c r="AY3" s="156"/>
      <c r="AZ3" s="156"/>
      <c r="BA3" s="156"/>
      <c r="BB3" s="156"/>
    </row>
    <row r="4" spans="1:54" ht="50.15" customHeight="1">
      <c r="A4" s="370"/>
      <c r="B4" s="370"/>
      <c r="C4" s="370"/>
      <c r="D4" s="370"/>
      <c r="E4" s="370"/>
      <c r="F4" s="370"/>
      <c r="G4" s="370"/>
      <c r="H4" s="370"/>
      <c r="I4" s="370"/>
      <c r="J4" s="370"/>
      <c r="K4" s="370"/>
      <c r="L4" s="370"/>
      <c r="M4" s="370"/>
      <c r="N4" s="370"/>
      <c r="O4" s="370"/>
      <c r="P4" s="370"/>
      <c r="Q4" s="370"/>
      <c r="R4" s="370"/>
      <c r="S4" s="370"/>
      <c r="T4" s="370"/>
      <c r="U4" s="370"/>
      <c r="V4" s="370"/>
      <c r="W4" s="370"/>
      <c r="X4" s="801"/>
      <c r="Y4" s="801"/>
      <c r="Z4" s="370"/>
      <c r="AA4" s="801"/>
      <c r="AB4" s="801"/>
      <c r="AC4" s="370"/>
      <c r="AD4" s="791"/>
      <c r="AE4" s="370"/>
      <c r="AF4" s="370"/>
      <c r="AG4" s="370"/>
      <c r="AH4" s="370"/>
      <c r="AI4" s="370"/>
      <c r="AJ4" s="370"/>
      <c r="AK4" s="156"/>
      <c r="AL4" s="156"/>
      <c r="AM4" s="156"/>
      <c r="AO4" s="156"/>
      <c r="AP4" s="156"/>
      <c r="AQ4" s="156"/>
      <c r="AR4" s="156"/>
      <c r="AS4" s="156"/>
      <c r="AT4" s="156"/>
      <c r="AU4" s="156"/>
      <c r="AV4" s="156"/>
      <c r="AW4" s="156"/>
      <c r="AX4" s="156" t="e">
        <f ca="1">AY1&amp;"
"&amp;AY2</f>
        <v>#N/A</v>
      </c>
      <c r="AY4" s="156"/>
      <c r="AZ4" s="156"/>
      <c r="BA4" s="156"/>
      <c r="BB4" s="156"/>
    </row>
    <row r="5" spans="1:54" ht="3" customHeight="1">
      <c r="A5" s="369"/>
      <c r="B5" s="369"/>
      <c r="C5" s="369"/>
      <c r="D5" s="369"/>
      <c r="E5" s="369"/>
      <c r="F5" s="369"/>
      <c r="G5" s="369"/>
      <c r="H5" s="369"/>
      <c r="I5" s="369"/>
      <c r="J5" s="369"/>
      <c r="K5" s="369"/>
      <c r="L5" s="369"/>
      <c r="M5" s="369"/>
      <c r="N5" s="369"/>
      <c r="O5" s="369"/>
      <c r="P5" s="369"/>
      <c r="Q5" s="369"/>
      <c r="R5" s="369"/>
      <c r="S5" s="369"/>
      <c r="T5" s="369"/>
      <c r="U5" s="369"/>
      <c r="V5" s="369"/>
      <c r="W5" s="369"/>
      <c r="X5" s="800"/>
      <c r="Y5" s="800"/>
      <c r="Z5" s="369"/>
      <c r="AA5" s="800"/>
      <c r="AB5" s="800"/>
      <c r="AC5" s="369"/>
      <c r="AD5" s="790"/>
      <c r="AE5" s="369"/>
      <c r="AF5" s="369"/>
      <c r="AG5" s="369"/>
      <c r="AH5" s="369"/>
      <c r="AI5" s="369"/>
      <c r="AJ5" s="369"/>
      <c r="AK5" s="156"/>
      <c r="AL5" s="156"/>
      <c r="AM5" s="156"/>
      <c r="AO5" s="156"/>
      <c r="AP5" s="156"/>
      <c r="AQ5" s="156"/>
      <c r="AR5" s="156"/>
      <c r="AS5" s="156"/>
      <c r="AT5" s="156"/>
      <c r="AU5" s="156"/>
      <c r="AV5" s="156"/>
      <c r="AW5" s="156"/>
      <c r="AX5" s="156"/>
      <c r="AY5" s="156"/>
      <c r="AZ5" s="156"/>
      <c r="BA5" s="156"/>
      <c r="BB5" s="156"/>
    </row>
    <row r="6" spans="1:54" ht="15" hidden="1" customHeight="1">
      <c r="A6" s="405"/>
      <c r="B6" s="405"/>
      <c r="C6" s="514" t="str">
        <f>uxb_works!$C$5</f>
        <v>The active weight profile has been changed from its default setting</v>
      </c>
      <c r="D6" s="405"/>
      <c r="E6" s="405"/>
      <c r="F6" s="405"/>
      <c r="G6" s="405"/>
      <c r="H6" s="405"/>
      <c r="I6" s="405"/>
      <c r="J6" s="405"/>
      <c r="K6" s="405"/>
      <c r="L6" s="405"/>
      <c r="M6" s="405"/>
      <c r="N6" s="405"/>
      <c r="O6" s="405"/>
      <c r="P6" s="405"/>
      <c r="Q6" s="405"/>
      <c r="R6" s="405"/>
      <c r="S6" s="405"/>
      <c r="T6" s="405"/>
      <c r="U6" s="405"/>
      <c r="V6" s="405"/>
      <c r="W6" s="405"/>
      <c r="X6" s="713"/>
      <c r="Y6" s="713"/>
      <c r="Z6" s="405"/>
      <c r="AA6" s="713"/>
      <c r="AB6" s="713"/>
      <c r="AC6" s="405"/>
      <c r="AD6" s="792"/>
      <c r="AE6" s="405"/>
      <c r="AF6" s="405"/>
      <c r="AG6" s="405"/>
      <c r="AH6" s="405"/>
      <c r="AI6" s="405"/>
      <c r="AJ6" s="157"/>
      <c r="AK6" s="197"/>
      <c r="AL6" s="197"/>
      <c r="AM6" s="197"/>
      <c r="AN6" s="286"/>
      <c r="AO6" s="197"/>
      <c r="AP6" s="197"/>
      <c r="AQ6" s="197"/>
      <c r="AR6" s="197"/>
      <c r="AS6" s="197"/>
      <c r="AT6" s="197"/>
      <c r="AU6" s="197"/>
      <c r="AV6" s="197"/>
      <c r="AW6" s="197"/>
      <c r="AX6" s="197"/>
      <c r="AY6" s="197"/>
      <c r="AZ6" s="197"/>
      <c r="BA6" s="197"/>
      <c r="BB6" s="197"/>
    </row>
    <row r="7" spans="1:54" ht="27.75" hidden="1" customHeight="1">
      <c r="A7" s="171"/>
      <c r="B7" s="171"/>
      <c r="C7" s="171"/>
      <c r="D7" s="171"/>
      <c r="E7" s="171"/>
      <c r="F7" s="171"/>
      <c r="G7" s="171"/>
      <c r="H7" s="171"/>
      <c r="I7" s="171"/>
      <c r="J7" s="171"/>
      <c r="K7" s="171"/>
      <c r="L7" s="171"/>
      <c r="M7" s="171"/>
      <c r="N7" s="171"/>
      <c r="O7" s="171"/>
      <c r="P7" s="171"/>
      <c r="Q7" s="171"/>
      <c r="R7" s="171"/>
      <c r="S7" s="171"/>
      <c r="T7" s="171"/>
      <c r="U7" s="171"/>
      <c r="V7" s="171"/>
      <c r="W7" s="171"/>
      <c r="X7" s="258"/>
      <c r="Y7" s="258"/>
      <c r="Z7" s="171"/>
      <c r="AA7" s="258"/>
      <c r="AB7" s="258"/>
      <c r="AC7" s="171"/>
      <c r="AD7" s="793"/>
      <c r="AE7" s="171"/>
      <c r="AF7" s="171"/>
      <c r="AG7" s="158"/>
      <c r="AH7" s="158"/>
      <c r="AI7" s="197"/>
      <c r="AJ7" s="197"/>
      <c r="AK7" s="197"/>
      <c r="AL7" s="197"/>
      <c r="AM7" s="197"/>
      <c r="AN7" s="286"/>
      <c r="AO7" s="197"/>
      <c r="AP7" s="197"/>
      <c r="AQ7" s="197"/>
      <c r="AR7" s="197"/>
      <c r="AS7" s="197"/>
      <c r="AT7" s="197"/>
      <c r="AU7" s="197"/>
      <c r="AV7" s="197"/>
      <c r="AW7" s="197"/>
      <c r="AX7" s="197"/>
      <c r="AY7" s="197"/>
      <c r="AZ7" s="197"/>
      <c r="BA7" s="197"/>
      <c r="BB7" s="197"/>
    </row>
    <row r="8" spans="1:54" ht="15" hidden="1" customHeight="1">
      <c r="A8" s="348"/>
      <c r="B8" s="348"/>
      <c r="C8" s="348" t="str">
        <f>uxb_works!$D$67</f>
        <v>There are 30 cities in the active filter set</v>
      </c>
      <c r="D8" s="348"/>
      <c r="E8" s="348"/>
      <c r="F8" s="348"/>
      <c r="G8" s="348"/>
      <c r="H8" s="348"/>
      <c r="I8" s="348"/>
      <c r="J8" s="348"/>
      <c r="K8" s="348"/>
      <c r="L8" s="348"/>
      <c r="M8" s="348"/>
      <c r="N8" s="348"/>
      <c r="O8" s="348"/>
      <c r="P8" s="348"/>
      <c r="Q8" s="348"/>
      <c r="R8" s="348"/>
      <c r="S8" s="348"/>
      <c r="T8" s="348"/>
      <c r="U8" s="348"/>
      <c r="V8" s="348"/>
      <c r="W8" s="348"/>
      <c r="X8" s="794"/>
      <c r="Y8" s="794"/>
      <c r="Z8" s="348"/>
      <c r="AA8" s="794"/>
      <c r="AB8" s="794"/>
      <c r="AC8" s="348"/>
      <c r="AD8" s="795"/>
      <c r="AE8" s="348"/>
      <c r="AF8" s="348"/>
      <c r="AG8" s="348"/>
      <c r="AH8" s="348"/>
      <c r="AI8" s="348"/>
      <c r="AJ8" s="348"/>
      <c r="AK8" s="197"/>
      <c r="AL8" s="197"/>
      <c r="AM8" s="197"/>
      <c r="AN8" s="286"/>
      <c r="AO8" s="197"/>
      <c r="AP8" s="197"/>
      <c r="AQ8" s="197"/>
      <c r="AR8" s="197"/>
      <c r="AS8" s="197"/>
      <c r="AT8" s="197"/>
      <c r="AU8" s="197"/>
      <c r="AV8" s="197"/>
      <c r="AW8" s="197"/>
      <c r="AX8" s="197"/>
      <c r="AY8" s="197"/>
      <c r="AZ8" s="197"/>
      <c r="BA8" s="197"/>
      <c r="BB8" s="197"/>
    </row>
    <row r="9" spans="1:54" ht="18" hidden="1" customHeight="1">
      <c r="A9" s="171"/>
      <c r="B9" s="171"/>
      <c r="C9" s="171"/>
      <c r="D9" s="171"/>
      <c r="E9" s="171"/>
      <c r="F9" s="171"/>
      <c r="G9" s="171"/>
      <c r="H9" s="171"/>
      <c r="I9" s="171"/>
      <c r="J9" s="171"/>
      <c r="K9" s="171"/>
      <c r="L9" s="171"/>
      <c r="M9" s="171"/>
      <c r="N9" s="171"/>
      <c r="O9" s="171"/>
      <c r="P9" s="171"/>
      <c r="Q9" s="171"/>
      <c r="R9" s="171"/>
      <c r="S9" s="171"/>
      <c r="T9" s="171"/>
      <c r="U9" s="171"/>
      <c r="V9" s="171"/>
      <c r="W9" s="171"/>
      <c r="X9" s="258"/>
      <c r="Y9" s="258"/>
      <c r="Z9" s="171"/>
      <c r="AA9" s="258"/>
      <c r="AB9" s="258"/>
      <c r="AC9" s="171"/>
      <c r="AD9" s="793"/>
      <c r="AE9" s="171"/>
      <c r="AF9" s="171"/>
      <c r="AG9" s="158"/>
      <c r="AH9" s="158"/>
      <c r="AI9" s="197"/>
      <c r="AJ9" s="197"/>
      <c r="AK9" s="197"/>
      <c r="AL9" s="197"/>
      <c r="AM9" s="197"/>
      <c r="AN9" s="286"/>
      <c r="AO9" s="197"/>
      <c r="AP9" s="197"/>
      <c r="AQ9" s="197"/>
      <c r="AR9" s="197"/>
      <c r="AS9" s="197"/>
      <c r="AT9" s="197"/>
      <c r="AU9" s="197"/>
      <c r="AV9" s="197"/>
      <c r="AW9" s="197"/>
      <c r="AX9" s="197"/>
      <c r="AY9" s="197"/>
      <c r="AZ9" s="197"/>
      <c r="BA9" s="197"/>
      <c r="BB9" s="197"/>
    </row>
    <row r="10" spans="1:54" ht="28.5" customHeight="1">
      <c r="C10" s="474" t="str">
        <f>TRIM(uxb_works!D32)</f>
        <v>OVERALL SCORE</v>
      </c>
      <c r="D10" s="475"/>
      <c r="E10" s="475"/>
      <c r="F10" s="475"/>
      <c r="G10" s="475"/>
      <c r="H10" s="475"/>
      <c r="I10" s="475"/>
      <c r="J10" s="475"/>
      <c r="K10" s="475"/>
      <c r="L10" s="198"/>
      <c r="M10" s="194"/>
      <c r="N10" s="205"/>
      <c r="O10" s="194"/>
      <c r="P10" s="194"/>
      <c r="Q10" s="476"/>
      <c r="R10" s="194"/>
      <c r="S10" s="156"/>
      <c r="T10" s="156"/>
      <c r="U10" s="1121"/>
      <c r="V10" s="1121"/>
      <c r="W10" s="1121"/>
      <c r="X10" s="1121"/>
      <c r="Y10" s="1121"/>
      <c r="Z10" s="1121"/>
      <c r="AA10" s="1121"/>
      <c r="AB10" s="1121"/>
      <c r="AC10" s="1121"/>
      <c r="AD10" s="1121"/>
      <c r="AE10" s="1121"/>
    </row>
    <row r="11" spans="1:54" ht="11.25" customHeight="1">
      <c r="A11" s="197"/>
      <c r="B11" s="197"/>
      <c r="C11" s="477"/>
      <c r="D11" s="477"/>
      <c r="E11" s="477"/>
      <c r="F11" s="477"/>
      <c r="G11" s="477"/>
      <c r="H11" s="477"/>
      <c r="I11" s="477"/>
      <c r="J11" s="477"/>
      <c r="K11" s="477"/>
      <c r="L11" s="198"/>
      <c r="M11" s="198"/>
      <c r="N11" s="478"/>
      <c r="O11" s="198"/>
      <c r="P11" s="198"/>
      <c r="Q11" s="394"/>
      <c r="R11" s="198"/>
      <c r="S11" s="197"/>
      <c r="T11" s="197"/>
      <c r="U11" s="1122"/>
      <c r="V11" s="1122"/>
      <c r="W11" s="1122"/>
      <c r="X11" s="1122"/>
      <c r="Y11" s="1122"/>
      <c r="Z11" s="1122"/>
      <c r="AA11" s="1122"/>
      <c r="AB11" s="1122"/>
      <c r="AC11" s="1122"/>
      <c r="AD11" s="1122"/>
      <c r="AE11" s="1122"/>
      <c r="AF11" s="1122"/>
      <c r="AG11" s="1122"/>
      <c r="AH11" s="199"/>
      <c r="AI11" s="198"/>
      <c r="AJ11" s="198"/>
      <c r="AK11" s="198"/>
      <c r="AL11" s="198"/>
      <c r="AM11" s="198"/>
      <c r="AN11" s="286"/>
      <c r="AO11" s="198"/>
      <c r="AP11" s="198"/>
      <c r="AQ11" s="198"/>
      <c r="AR11" s="198"/>
      <c r="AS11" s="198"/>
      <c r="AT11" s="198"/>
      <c r="AU11" s="198"/>
      <c r="AV11" s="198"/>
      <c r="AW11" s="198"/>
      <c r="AX11" s="198"/>
      <c r="AY11" s="198"/>
      <c r="AZ11" s="198"/>
      <c r="BA11" s="198"/>
      <c r="BB11" s="198"/>
    </row>
    <row r="12" spans="1:54" s="21" customFormat="1" ht="28.5" customHeight="1">
      <c r="A12" s="166"/>
      <c r="B12" s="166"/>
      <c r="C12" s="521" t="s">
        <v>613</v>
      </c>
      <c r="D12" s="522"/>
      <c r="E12" s="522"/>
      <c r="F12" s="522"/>
      <c r="G12" s="522"/>
      <c r="H12" s="522"/>
      <c r="I12" s="522"/>
      <c r="J12" s="522"/>
      <c r="K12" s="522"/>
      <c r="L12" s="522"/>
      <c r="M12" s="522"/>
      <c r="N12" s="522"/>
      <c r="O12" s="523"/>
      <c r="P12" s="166"/>
      <c r="Q12" s="166"/>
      <c r="R12" s="166"/>
      <c r="S12" s="166"/>
      <c r="T12" s="166"/>
      <c r="U12" s="174"/>
      <c r="V12" s="174"/>
      <c r="W12" s="166"/>
      <c r="X12" s="802">
        <v>1</v>
      </c>
      <c r="Y12" s="813">
        <v>2</v>
      </c>
      <c r="Z12" s="263">
        <f>iCComp!AG17</f>
        <v>3</v>
      </c>
      <c r="AA12" s="810">
        <f>iCComp!AH17</f>
        <v>1</v>
      </c>
      <c r="AB12" s="810">
        <f>iCComp!AI17</f>
        <v>2</v>
      </c>
      <c r="AC12" s="263">
        <f>iCComp!AJ17</f>
        <v>3</v>
      </c>
      <c r="AD12" s="812">
        <f>iCComp!AK17</f>
        <v>0</v>
      </c>
      <c r="AE12" s="253">
        <f>iCComp!AL17</f>
        <v>0</v>
      </c>
      <c r="AF12" s="253">
        <f>iCComp!AM17</f>
        <v>0</v>
      </c>
      <c r="AG12" s="253">
        <f>iCComp!AN17</f>
        <v>0</v>
      </c>
      <c r="AH12" s="253">
        <f>iCComp!AO17</f>
        <v>0</v>
      </c>
      <c r="AI12" s="155"/>
      <c r="AJ12" s="253"/>
      <c r="AK12" s="253"/>
      <c r="AL12" s="275"/>
      <c r="AM12" s="253"/>
      <c r="AN12" s="174"/>
      <c r="AO12" s="174"/>
      <c r="AP12" s="174"/>
      <c r="AQ12" s="174"/>
      <c r="AR12" s="174"/>
      <c r="AS12" s="174"/>
      <c r="AT12" s="174"/>
      <c r="AU12" s="174"/>
      <c r="AV12" s="174"/>
      <c r="AW12" s="174"/>
      <c r="AX12" s="174"/>
      <c r="AY12" s="174"/>
      <c r="AZ12" s="174"/>
      <c r="BA12" s="174"/>
      <c r="BB12" s="174"/>
    </row>
    <row r="13" spans="1:54" ht="117" customHeight="1">
      <c r="A13" s="367"/>
      <c r="B13" s="367"/>
      <c r="C13" s="367"/>
      <c r="D13" s="367"/>
      <c r="E13" s="367"/>
      <c r="F13" s="367"/>
      <c r="G13" s="367"/>
      <c r="H13" s="367"/>
      <c r="I13" s="367"/>
      <c r="J13" s="367"/>
      <c r="K13" s="367"/>
      <c r="L13" s="367"/>
      <c r="M13" s="367"/>
      <c r="N13" s="367"/>
      <c r="O13" s="367"/>
      <c r="P13" s="367"/>
      <c r="Q13" s="367"/>
      <c r="R13" s="367"/>
      <c r="S13" s="367"/>
      <c r="T13" s="367"/>
      <c r="U13" s="367"/>
      <c r="V13" s="367"/>
      <c r="W13" s="367"/>
      <c r="X13" s="729"/>
      <c r="Y13" s="729"/>
      <c r="Z13" s="367"/>
      <c r="AA13" s="729"/>
      <c r="AB13" s="729"/>
      <c r="AC13" s="367"/>
      <c r="AD13" s="13"/>
      <c r="AE13" s="367"/>
      <c r="AF13" s="367"/>
      <c r="AG13" s="367"/>
      <c r="AH13" s="367"/>
      <c r="AI13" s="367"/>
      <c r="AJ13" s="367"/>
      <c r="AK13" s="367"/>
      <c r="AL13" s="367"/>
      <c r="AM13" s="367"/>
      <c r="AN13" s="485"/>
      <c r="AO13" s="367"/>
      <c r="AP13" s="367"/>
      <c r="AQ13" s="367"/>
      <c r="AR13" s="367"/>
      <c r="AS13" s="367"/>
      <c r="AT13" s="367"/>
      <c r="AU13" s="367"/>
      <c r="AV13" s="367"/>
      <c r="AW13" s="367"/>
      <c r="AX13" s="367"/>
      <c r="AY13" s="367"/>
      <c r="AZ13" s="367"/>
      <c r="BA13" s="367"/>
      <c r="BB13" s="367"/>
    </row>
    <row r="14" spans="1:54" ht="30.75" customHeight="1">
      <c r="A14" s="195"/>
      <c r="B14" s="195">
        <f ca="1">MAX(COUNTIF(S16:S51,"&lt;&gt;0"),11)</f>
        <v>22</v>
      </c>
      <c r="C14" s="367"/>
      <c r="D14" s="367"/>
      <c r="E14" s="367"/>
      <c r="F14" s="367"/>
      <c r="G14" s="367"/>
      <c r="H14" s="367"/>
      <c r="I14" s="367"/>
      <c r="J14" s="367"/>
      <c r="K14" s="367"/>
      <c r="L14" s="367"/>
      <c r="M14" s="367"/>
      <c r="N14" s="367"/>
      <c r="O14" s="367"/>
      <c r="P14" s="195"/>
      <c r="Q14" s="195"/>
      <c r="R14" s="195"/>
      <c r="S14" s="196">
        <f ca="1">COUNTIF(S16:S51,"&lt;&gt;0")</f>
        <v>22</v>
      </c>
      <c r="T14" s="196">
        <f>uxb_works!$B$130</f>
        <v>1</v>
      </c>
      <c r="U14" s="487"/>
      <c r="V14" s="1123" t="s">
        <v>45</v>
      </c>
      <c r="W14" s="259"/>
      <c r="X14" s="1125" t="str">
        <f>iCComp!C2</f>
        <v>Amsterdam</v>
      </c>
      <c r="Y14" s="1126"/>
      <c r="AA14" s="1127" t="str">
        <f ca="1">iCComp!C3</f>
        <v>Auckland</v>
      </c>
      <c r="AB14" s="1128"/>
      <c r="AD14" s="1129" t="str">
        <f>iCComp!C4</f>
        <v>See Filter Selection</v>
      </c>
      <c r="AE14" s="1130"/>
      <c r="AG14" s="1131" t="s">
        <v>709</v>
      </c>
      <c r="AH14" s="1132"/>
      <c r="AI14" s="200"/>
      <c r="AJ14" s="200"/>
      <c r="AK14" s="200"/>
      <c r="AL14" s="200"/>
      <c r="AM14" s="200"/>
      <c r="AN14" s="286"/>
      <c r="AO14" s="196"/>
      <c r="AP14" s="196"/>
      <c r="AQ14" s="196"/>
      <c r="AR14" s="196"/>
      <c r="AS14" s="196"/>
      <c r="AT14" s="196"/>
      <c r="AU14" s="196"/>
      <c r="AV14" s="196"/>
      <c r="AW14" s="196"/>
      <c r="AX14" s="196"/>
      <c r="AY14" s="196"/>
      <c r="AZ14" s="196"/>
      <c r="BA14" s="196"/>
      <c r="BB14" s="196"/>
    </row>
    <row r="15" spans="1:54" ht="18" customHeight="1">
      <c r="A15" s="201"/>
      <c r="B15" s="201"/>
      <c r="C15" s="367"/>
      <c r="D15" s="367"/>
      <c r="E15" s="367"/>
      <c r="F15" s="367"/>
      <c r="G15" s="367"/>
      <c r="H15" s="367"/>
      <c r="I15" s="367"/>
      <c r="J15" s="367"/>
      <c r="K15" s="367"/>
      <c r="L15" s="367"/>
      <c r="M15" s="367"/>
      <c r="N15" s="367"/>
      <c r="O15" s="367"/>
      <c r="P15" s="201"/>
      <c r="Q15" s="201"/>
      <c r="R15" s="201"/>
      <c r="S15" s="198"/>
      <c r="T15" s="198"/>
      <c r="U15" s="488"/>
      <c r="V15" s="1124"/>
      <c r="W15" s="259"/>
      <c r="X15" s="489" t="s">
        <v>31</v>
      </c>
      <c r="Y15" s="814" t="s">
        <v>35</v>
      </c>
      <c r="Z15" s="164"/>
      <c r="AA15" s="489" t="s">
        <v>31</v>
      </c>
      <c r="AB15" s="814" t="s">
        <v>35</v>
      </c>
      <c r="AC15" s="164"/>
      <c r="AD15" s="796" t="s">
        <v>31</v>
      </c>
      <c r="AE15" s="490"/>
      <c r="AF15" s="164"/>
      <c r="AG15" s="489" t="s">
        <v>31</v>
      </c>
      <c r="AH15" s="490" t="s">
        <v>35</v>
      </c>
      <c r="AI15" s="200"/>
      <c r="AJ15" s="200"/>
      <c r="AK15" s="200"/>
      <c r="AL15" s="200"/>
      <c r="AM15" s="200"/>
      <c r="AN15" s="286"/>
      <c r="AO15" s="198"/>
      <c r="AP15" s="198"/>
      <c r="AQ15" s="198"/>
      <c r="AR15" s="198"/>
      <c r="AS15" s="198"/>
      <c r="AT15" s="198"/>
      <c r="AU15" s="198"/>
      <c r="AV15" s="198"/>
      <c r="AW15" s="198"/>
      <c r="AX15" s="198"/>
      <c r="AY15" s="198"/>
      <c r="AZ15" s="198"/>
      <c r="BA15" s="198"/>
      <c r="BB15" s="198"/>
    </row>
    <row r="16" spans="1:54" ht="29.25" customHeight="1">
      <c r="A16" s="201"/>
      <c r="B16" s="201"/>
      <c r="C16" s="201"/>
      <c r="D16" s="201"/>
      <c r="E16" s="201"/>
      <c r="F16" s="201"/>
      <c r="G16" s="201"/>
      <c r="H16" s="201"/>
      <c r="I16" s="201"/>
      <c r="J16" s="201"/>
      <c r="K16" s="201"/>
      <c r="L16" s="201"/>
      <c r="M16" s="201"/>
      <c r="N16" s="201"/>
      <c r="O16" s="201"/>
      <c r="P16" s="201"/>
      <c r="Q16" s="201"/>
      <c r="R16" s="201"/>
      <c r="S16" s="201">
        <f>iCComp!AB22</f>
        <v>2</v>
      </c>
      <c r="T16" s="201">
        <f ca="1">iCComp!AC22</f>
        <v>2</v>
      </c>
      <c r="U16" s="389"/>
      <c r="V16" s="615" t="str">
        <f ca="1">iCComp!AD22</f>
        <v>OVERALL SCORE</v>
      </c>
      <c r="W16" s="201"/>
      <c r="X16" s="803">
        <f ca="1">iCComp!AE22</f>
        <v>74.599999999999994</v>
      </c>
      <c r="Y16" s="815" t="str">
        <f ca="1">iCComp!AF22</f>
        <v>2</v>
      </c>
      <c r="Z16" s="202"/>
      <c r="AA16" s="811">
        <f ca="1">iCComp!AH22</f>
        <v>60.1</v>
      </c>
      <c r="AB16" s="818" t="str">
        <f ca="1">iCComp!AI22</f>
        <v>22</v>
      </c>
      <c r="AC16" s="202"/>
      <c r="AD16" s="819">
        <f ca="1">iCComp!AK22</f>
        <v>63.3</v>
      </c>
      <c r="AE16" s="391"/>
      <c r="AF16" s="202"/>
      <c r="AG16" s="390">
        <f ca="1">iCComp!AN22</f>
        <v>0</v>
      </c>
      <c r="AH16" s="391">
        <f ca="1">iCComp!AO22</f>
        <v>0</v>
      </c>
      <c r="AI16" s="203"/>
      <c r="AJ16" s="203"/>
      <c r="AK16" s="204">
        <f ca="1">MIN(X16,AA16)</f>
        <v>60.1</v>
      </c>
      <c r="AL16" s="204">
        <f ca="1">MAX(X16,AA16)</f>
        <v>74.599999999999994</v>
      </c>
      <c r="AM16" s="203"/>
      <c r="AN16" s="342" t="str">
        <f ca="1">V16</f>
        <v>OVERALL SCORE</v>
      </c>
      <c r="AO16" s="198"/>
      <c r="AP16" s="198"/>
      <c r="AQ16" s="198"/>
      <c r="AR16" s="198"/>
      <c r="AS16" s="198"/>
      <c r="AT16" s="198"/>
      <c r="AU16" s="198"/>
      <c r="AV16" s="198"/>
      <c r="AW16" s="198"/>
      <c r="AX16" s="198"/>
      <c r="AY16" s="198"/>
      <c r="AZ16" s="198"/>
      <c r="BA16" s="198"/>
      <c r="BB16" s="198"/>
    </row>
    <row r="17" spans="3:40" ht="14.5">
      <c r="C17" s="157"/>
      <c r="D17" s="157"/>
      <c r="E17" s="157"/>
      <c r="F17" s="157"/>
      <c r="G17" s="157"/>
      <c r="H17" s="157"/>
      <c r="I17" s="157"/>
      <c r="J17" s="157"/>
      <c r="K17" s="157"/>
      <c r="L17" s="157"/>
      <c r="M17" s="157"/>
      <c r="N17" s="157"/>
      <c r="O17" s="157"/>
      <c r="S17" s="156">
        <f ca="1">iCComp!AB23</f>
        <v>1</v>
      </c>
      <c r="T17" s="201">
        <f ca="1">iCComp!AC23</f>
        <v>1</v>
      </c>
      <c r="U17" s="479"/>
      <c r="V17" s="614" t="str">
        <f ca="1">iCComp!AD23</f>
        <v xml:space="preserve"> 1) CONNECTIVITY</v>
      </c>
      <c r="X17" s="804">
        <f ca="1">iCComp!AE23</f>
        <v>77</v>
      </c>
      <c r="Y17" s="816" t="str">
        <f ca="1">iCComp!AF23</f>
        <v>6</v>
      </c>
      <c r="AA17" s="805">
        <f ca="1">iCComp!AH23</f>
        <v>59.7</v>
      </c>
      <c r="AB17" s="817" t="str">
        <f ca="1">iCComp!AI23</f>
        <v>22</v>
      </c>
      <c r="AD17" s="797">
        <f ca="1">iCComp!AK23</f>
        <v>65.900000000000006</v>
      </c>
      <c r="AE17" s="482"/>
      <c r="AG17" s="481">
        <f ca="1">iCComp!AN23</f>
        <v>0</v>
      </c>
      <c r="AH17" s="482">
        <f ca="1">iCComp!AO23</f>
        <v>0</v>
      </c>
      <c r="AI17" s="200"/>
      <c r="AJ17" s="200"/>
      <c r="AK17" s="204">
        <f t="shared" ref="AK17:AK52" ca="1" si="0">MIN(X17,AA17)</f>
        <v>59.7</v>
      </c>
      <c r="AL17" s="204">
        <f t="shared" ref="AL17:AL52" ca="1" si="1">MAX(X17,AA17)</f>
        <v>77</v>
      </c>
      <c r="AM17" s="200"/>
      <c r="AN17" s="486" t="str">
        <f t="shared" ref="AN17" ca="1" si="2">V17</f>
        <v xml:space="preserve"> 1) CONNECTIVITY</v>
      </c>
    </row>
    <row r="18" spans="3:40" ht="14.5">
      <c r="C18" s="157"/>
      <c r="D18" s="157"/>
      <c r="E18" s="157"/>
      <c r="F18" s="157"/>
      <c r="G18" s="157"/>
      <c r="H18" s="157"/>
      <c r="I18" s="157"/>
      <c r="J18" s="157"/>
      <c r="K18" s="157"/>
      <c r="L18" s="157"/>
      <c r="M18" s="157"/>
      <c r="N18" s="157"/>
      <c r="O18" s="157"/>
      <c r="S18" s="156">
        <f ca="1">iCComp!AB24</f>
        <v>1</v>
      </c>
      <c r="T18" s="201">
        <f ca="1">iCComp!AC24</f>
        <v>1</v>
      </c>
      <c r="U18" s="479"/>
      <c r="V18" s="480" t="str">
        <f ca="1">iCComp!AD24</f>
        <v xml:space="preserve">  1.1) Digital infrastructure</v>
      </c>
      <c r="X18" s="805">
        <f ca="1">iCComp!AE24</f>
        <v>84</v>
      </c>
      <c r="Y18" s="817" t="str">
        <f ca="1">iCComp!AF24</f>
        <v>8</v>
      </c>
      <c r="AA18" s="805">
        <f ca="1">iCComp!AH24</f>
        <v>77.3</v>
      </c>
      <c r="AB18" s="817" t="str">
        <f ca="1">iCComp!AI24</f>
        <v>15</v>
      </c>
      <c r="AD18" s="797">
        <f ca="1">iCComp!AK24</f>
        <v>74.5</v>
      </c>
      <c r="AE18" s="482"/>
      <c r="AG18" s="481">
        <f ca="1">iCComp!AN24</f>
        <v>0</v>
      </c>
      <c r="AH18" s="482">
        <f ca="1">iCComp!AO24</f>
        <v>0</v>
      </c>
      <c r="AI18" s="200"/>
      <c r="AJ18" s="200"/>
      <c r="AK18" s="204">
        <f t="shared" ca="1" si="0"/>
        <v>77.3</v>
      </c>
      <c r="AL18" s="204">
        <f t="shared" ca="1" si="1"/>
        <v>84</v>
      </c>
      <c r="AM18" s="200"/>
      <c r="AN18" s="486" t="str">
        <f t="shared" ref="AN18:AN51" ca="1" si="3">V18</f>
        <v xml:space="preserve">  1.1) Digital infrastructure</v>
      </c>
    </row>
    <row r="19" spans="3:40" ht="14.5">
      <c r="C19" s="157"/>
      <c r="D19" s="157"/>
      <c r="E19" s="157"/>
      <c r="F19" s="157"/>
      <c r="G19" s="157"/>
      <c r="H19" s="157"/>
      <c r="I19" s="157"/>
      <c r="J19" s="157"/>
      <c r="K19" s="157"/>
      <c r="L19" s="157"/>
      <c r="M19" s="157"/>
      <c r="N19" s="157"/>
      <c r="O19" s="157"/>
      <c r="S19" s="156">
        <f ca="1">iCComp!AB25</f>
        <v>1</v>
      </c>
      <c r="T19" s="201">
        <f ca="1">iCComp!AC25</f>
        <v>1</v>
      </c>
      <c r="U19" s="479"/>
      <c r="V19" s="480" t="str">
        <f ca="1">iCComp!AD25</f>
        <v xml:space="preserve">  1.2) Quality</v>
      </c>
      <c r="X19" s="805">
        <f ca="1">iCComp!AE25</f>
        <v>66.7</v>
      </c>
      <c r="Y19" s="817" t="str">
        <f ca="1">iCComp!AF25</f>
        <v>7</v>
      </c>
      <c r="AA19" s="805">
        <f ca="1">iCComp!AH25</f>
        <v>44.1</v>
      </c>
      <c r="AB19" s="817" t="str">
        <f ca="1">iCComp!AI25</f>
        <v>12</v>
      </c>
      <c r="AD19" s="797">
        <f ca="1">iCComp!AK25</f>
        <v>43.5</v>
      </c>
      <c r="AE19" s="482"/>
      <c r="AG19" s="481">
        <f ca="1">iCComp!AN25</f>
        <v>0</v>
      </c>
      <c r="AH19" s="482">
        <f ca="1">iCComp!AO25</f>
        <v>0</v>
      </c>
      <c r="AI19" s="200"/>
      <c r="AJ19" s="200"/>
      <c r="AK19" s="204">
        <f t="shared" ca="1" si="0"/>
        <v>44.1</v>
      </c>
      <c r="AL19" s="204">
        <f t="shared" ca="1" si="1"/>
        <v>66.7</v>
      </c>
      <c r="AM19" s="200"/>
      <c r="AN19" s="486" t="str">
        <f t="shared" ca="1" si="3"/>
        <v xml:space="preserve">  1.2) Quality</v>
      </c>
    </row>
    <row r="20" spans="3:40" ht="14.5">
      <c r="C20" s="157"/>
      <c r="D20" s="157"/>
      <c r="E20" s="157"/>
      <c r="F20" s="157"/>
      <c r="G20" s="157"/>
      <c r="H20" s="157"/>
      <c r="I20" s="157"/>
      <c r="J20" s="157"/>
      <c r="K20" s="157"/>
      <c r="L20" s="157"/>
      <c r="M20" s="157"/>
      <c r="N20" s="157"/>
      <c r="O20" s="157"/>
      <c r="S20" s="156">
        <f ca="1">iCComp!AB26</f>
        <v>1</v>
      </c>
      <c r="T20" s="201">
        <f ca="1">iCComp!AC26</f>
        <v>1</v>
      </c>
      <c r="U20" s="479"/>
      <c r="V20" s="480" t="str">
        <f ca="1">iCComp!AD26</f>
        <v xml:space="preserve">  1.3) Affordability</v>
      </c>
      <c r="X20" s="805">
        <f ca="1">iCComp!AE26</f>
        <v>74.599999999999994</v>
      </c>
      <c r="Y20" s="817" t="str">
        <f ca="1">iCComp!AF26</f>
        <v>15</v>
      </c>
      <c r="AA20" s="805">
        <f ca="1">iCComp!AH26</f>
        <v>46.8</v>
      </c>
      <c r="AB20" s="817" t="str">
        <f ca="1">iCComp!AI26</f>
        <v>25</v>
      </c>
      <c r="AD20" s="797">
        <f ca="1">iCComp!AK26</f>
        <v>69.3</v>
      </c>
      <c r="AE20" s="482"/>
      <c r="AG20" s="481">
        <f ca="1">iCComp!AN26</f>
        <v>0</v>
      </c>
      <c r="AH20" s="482">
        <f ca="1">iCComp!AO26</f>
        <v>0</v>
      </c>
      <c r="AI20" s="200"/>
      <c r="AJ20" s="200"/>
      <c r="AK20" s="204">
        <f t="shared" ca="1" si="0"/>
        <v>46.8</v>
      </c>
      <c r="AL20" s="204">
        <f t="shared" ca="1" si="1"/>
        <v>74.599999999999994</v>
      </c>
      <c r="AM20" s="200"/>
      <c r="AN20" s="486" t="str">
        <f t="shared" ca="1" si="3"/>
        <v xml:space="preserve">  1.3) Affordability</v>
      </c>
    </row>
    <row r="21" spans="3:40" ht="14.5">
      <c r="C21" s="157"/>
      <c r="D21" s="157"/>
      <c r="E21" s="157"/>
      <c r="F21" s="157"/>
      <c r="G21" s="157"/>
      <c r="H21" s="157"/>
      <c r="I21" s="157"/>
      <c r="J21" s="157"/>
      <c r="K21" s="157"/>
      <c r="L21" s="157"/>
      <c r="M21" s="157"/>
      <c r="N21" s="157"/>
      <c r="O21" s="157"/>
      <c r="S21" s="156">
        <f ca="1">iCComp!AB27</f>
        <v>2</v>
      </c>
      <c r="T21" s="201">
        <f ca="1">iCComp!AC27</f>
        <v>1</v>
      </c>
      <c r="U21" s="479"/>
      <c r="V21" s="480" t="str">
        <f ca="1">iCComp!AD27</f>
        <v xml:space="preserve"> 2) SERVICES</v>
      </c>
      <c r="X21" s="805">
        <f ca="1">iCComp!AE27</f>
        <v>73.2</v>
      </c>
      <c r="Y21" s="817" t="str">
        <f ca="1">iCComp!AF27</f>
        <v>4</v>
      </c>
      <c r="AA21" s="805">
        <f ca="1">iCComp!AH27</f>
        <v>49.5</v>
      </c>
      <c r="AB21" s="817" t="str">
        <f ca="1">iCComp!AI27</f>
        <v>25</v>
      </c>
      <c r="AD21" s="797">
        <f ca="1">iCComp!AK27</f>
        <v>61.4</v>
      </c>
      <c r="AE21" s="482"/>
      <c r="AG21" s="481">
        <f ca="1">iCComp!AN27</f>
        <v>0</v>
      </c>
      <c r="AH21" s="482">
        <f ca="1">iCComp!AO27</f>
        <v>0</v>
      </c>
      <c r="AI21" s="200"/>
      <c r="AJ21" s="200"/>
      <c r="AK21" s="204">
        <f t="shared" ca="1" si="0"/>
        <v>49.5</v>
      </c>
      <c r="AL21" s="204">
        <f t="shared" ca="1" si="1"/>
        <v>73.2</v>
      </c>
      <c r="AM21" s="200"/>
      <c r="AN21" s="486" t="str">
        <f t="shared" ca="1" si="3"/>
        <v xml:space="preserve"> 2) SERVICES</v>
      </c>
    </row>
    <row r="22" spans="3:40" ht="14.5">
      <c r="C22" s="157"/>
      <c r="D22" s="157"/>
      <c r="E22" s="157"/>
      <c r="F22" s="157"/>
      <c r="G22" s="157"/>
      <c r="H22" s="157"/>
      <c r="I22" s="157"/>
      <c r="J22" s="157"/>
      <c r="K22" s="157"/>
      <c r="L22" s="157"/>
      <c r="M22" s="157"/>
      <c r="N22" s="157"/>
      <c r="O22" s="157"/>
      <c r="S22" s="156">
        <f ca="1">iCComp!AB28</f>
        <v>2</v>
      </c>
      <c r="T22" s="201">
        <f ca="1">iCComp!AC28</f>
        <v>1</v>
      </c>
      <c r="U22" s="479"/>
      <c r="V22" s="480" t="str">
        <f ca="1">iCComp!AD28</f>
        <v xml:space="preserve">  2.1) E-gov services for residents &amp; businesses</v>
      </c>
      <c r="X22" s="805">
        <f ca="1">iCComp!AE28</f>
        <v>48.6</v>
      </c>
      <c r="Y22" s="817" t="str">
        <f ca="1">iCComp!AF28</f>
        <v>29</v>
      </c>
      <c r="AA22" s="805">
        <f ca="1">iCComp!AH28</f>
        <v>65.400000000000006</v>
      </c>
      <c r="AB22" s="817" t="str">
        <f ca="1">iCComp!AI28</f>
        <v>14</v>
      </c>
      <c r="AD22" s="797">
        <f ca="1">iCComp!AK28</f>
        <v>68.2</v>
      </c>
      <c r="AE22" s="482"/>
      <c r="AG22" s="481">
        <f ca="1">iCComp!AN28</f>
        <v>0</v>
      </c>
      <c r="AH22" s="482">
        <f ca="1">iCComp!AO28</f>
        <v>0</v>
      </c>
      <c r="AI22" s="200"/>
      <c r="AJ22" s="200"/>
      <c r="AK22" s="204">
        <f t="shared" ca="1" si="0"/>
        <v>48.6</v>
      </c>
      <c r="AL22" s="204">
        <f t="shared" ca="1" si="1"/>
        <v>65.400000000000006</v>
      </c>
      <c r="AM22" s="200"/>
      <c r="AN22" s="486" t="str">
        <f t="shared" ca="1" si="3"/>
        <v xml:space="preserve">  2.1) E-gov services for residents &amp; businesses</v>
      </c>
    </row>
    <row r="23" spans="3:40" ht="14.5">
      <c r="C23" s="157"/>
      <c r="D23" s="157"/>
      <c r="E23" s="157"/>
      <c r="F23" s="157"/>
      <c r="G23" s="157"/>
      <c r="H23" s="157"/>
      <c r="I23" s="157"/>
      <c r="J23" s="157"/>
      <c r="K23" s="157"/>
      <c r="L23" s="157"/>
      <c r="M23" s="157"/>
      <c r="N23" s="157"/>
      <c r="O23" s="157"/>
      <c r="S23" s="156">
        <f ca="1">iCComp!AB29</f>
        <v>2</v>
      </c>
      <c r="T23" s="201">
        <f ca="1">iCComp!AC29</f>
        <v>1</v>
      </c>
      <c r="U23" s="479"/>
      <c r="V23" s="480" t="str">
        <f ca="1">iCComp!AD29</f>
        <v xml:space="preserve">  2.2) Digital finance</v>
      </c>
      <c r="X23" s="805">
        <f ca="1">iCComp!AE29</f>
        <v>58.5</v>
      </c>
      <c r="Y23" s="817" t="str">
        <f ca="1">iCComp!AF29</f>
        <v>13</v>
      </c>
      <c r="AA23" s="805">
        <f ca="1">iCComp!AH29</f>
        <v>65.599999999999994</v>
      </c>
      <c r="AB23" s="817" t="str">
        <f ca="1">iCComp!AI29</f>
        <v>5</v>
      </c>
      <c r="AD23" s="797">
        <f ca="1">iCComp!AK29</f>
        <v>50.8</v>
      </c>
      <c r="AE23" s="482"/>
      <c r="AG23" s="481">
        <f ca="1">iCComp!AN29</f>
        <v>0</v>
      </c>
      <c r="AH23" s="482">
        <f ca="1">iCComp!AO29</f>
        <v>0</v>
      </c>
      <c r="AI23" s="200"/>
      <c r="AJ23" s="200"/>
      <c r="AK23" s="204">
        <f t="shared" ca="1" si="0"/>
        <v>58.5</v>
      </c>
      <c r="AL23" s="204">
        <f t="shared" ca="1" si="1"/>
        <v>65.599999999999994</v>
      </c>
      <c r="AM23" s="200"/>
      <c r="AN23" s="486" t="str">
        <f t="shared" ca="1" si="3"/>
        <v xml:space="preserve">  2.2) Digital finance</v>
      </c>
    </row>
    <row r="24" spans="3:40" ht="14.5">
      <c r="C24" s="157"/>
      <c r="D24" s="157"/>
      <c r="E24" s="157"/>
      <c r="F24" s="157"/>
      <c r="G24" s="157"/>
      <c r="H24" s="157"/>
      <c r="I24" s="157"/>
      <c r="J24" s="157"/>
      <c r="K24" s="157"/>
      <c r="L24" s="157"/>
      <c r="M24" s="157"/>
      <c r="N24" s="157"/>
      <c r="O24" s="157"/>
      <c r="S24" s="156">
        <f ca="1">iCComp!AB30</f>
        <v>2</v>
      </c>
      <c r="T24" s="201">
        <f ca="1">iCComp!AC30</f>
        <v>1</v>
      </c>
      <c r="U24" s="479"/>
      <c r="V24" s="480" t="str">
        <f ca="1">iCComp!AD30</f>
        <v xml:space="preserve">  2.3) Transportation</v>
      </c>
      <c r="X24" s="805">
        <f ca="1">iCComp!AE30</f>
        <v>100</v>
      </c>
      <c r="Y24" s="817" t="str">
        <f ca="1">iCComp!AF30</f>
        <v>=1</v>
      </c>
      <c r="AA24" s="805">
        <f ca="1">iCComp!AH30</f>
        <v>41</v>
      </c>
      <c r="AB24" s="817" t="str">
        <f ca="1">iCComp!AI30</f>
        <v>24</v>
      </c>
      <c r="AD24" s="797">
        <f ca="1">iCComp!AK30</f>
        <v>67.599999999999994</v>
      </c>
      <c r="AE24" s="482"/>
      <c r="AG24" s="481">
        <f ca="1">iCComp!AN30</f>
        <v>0</v>
      </c>
      <c r="AH24" s="482">
        <f ca="1">iCComp!AO30</f>
        <v>0</v>
      </c>
      <c r="AI24" s="200"/>
      <c r="AJ24" s="200"/>
      <c r="AK24" s="204">
        <f t="shared" ca="1" si="0"/>
        <v>41</v>
      </c>
      <c r="AL24" s="204">
        <f t="shared" ca="1" si="1"/>
        <v>100</v>
      </c>
      <c r="AM24" s="200"/>
      <c r="AN24" s="486" t="str">
        <f t="shared" ca="1" si="3"/>
        <v xml:space="preserve">  2.3) Transportation</v>
      </c>
    </row>
    <row r="25" spans="3:40" ht="14.5">
      <c r="C25" s="157"/>
      <c r="D25" s="157"/>
      <c r="E25" s="157"/>
      <c r="F25" s="157"/>
      <c r="G25" s="157"/>
      <c r="H25" s="157"/>
      <c r="I25" s="157"/>
      <c r="J25" s="157"/>
      <c r="K25" s="157"/>
      <c r="L25" s="157"/>
      <c r="M25" s="157"/>
      <c r="N25" s="157"/>
      <c r="O25" s="157"/>
      <c r="S25" s="156">
        <f ca="1">iCComp!AB31</f>
        <v>2</v>
      </c>
      <c r="T25" s="201">
        <f ca="1">iCComp!AC31</f>
        <v>1</v>
      </c>
      <c r="U25" s="479"/>
      <c r="V25" s="480" t="str">
        <f ca="1">iCComp!AD31</f>
        <v xml:space="preserve">  2.4) Healthcare</v>
      </c>
      <c r="X25" s="805">
        <f ca="1">iCComp!AE31</f>
        <v>91.6</v>
      </c>
      <c r="Y25" s="817" t="str">
        <f ca="1">iCComp!AF31</f>
        <v>7</v>
      </c>
      <c r="AA25" s="805">
        <f ca="1">iCComp!AH31</f>
        <v>54.1</v>
      </c>
      <c r="AB25" s="817" t="str">
        <f ca="1">iCComp!AI31</f>
        <v>24</v>
      </c>
      <c r="AD25" s="797">
        <f ca="1">iCComp!AK31</f>
        <v>71.599999999999994</v>
      </c>
      <c r="AE25" s="482"/>
      <c r="AG25" s="481">
        <f ca="1">iCComp!AN31</f>
        <v>0</v>
      </c>
      <c r="AH25" s="482">
        <f ca="1">iCComp!AO31</f>
        <v>0</v>
      </c>
      <c r="AI25" s="200"/>
      <c r="AJ25" s="200"/>
      <c r="AK25" s="204">
        <f t="shared" ca="1" si="0"/>
        <v>54.1</v>
      </c>
      <c r="AL25" s="204">
        <f t="shared" ca="1" si="1"/>
        <v>91.6</v>
      </c>
      <c r="AM25" s="200"/>
      <c r="AN25" s="486" t="str">
        <f t="shared" ca="1" si="3"/>
        <v xml:space="preserve">  2.4) Healthcare</v>
      </c>
    </row>
    <row r="26" spans="3:40" ht="14.5">
      <c r="C26" s="157"/>
      <c r="D26" s="157"/>
      <c r="E26" s="157"/>
      <c r="F26" s="157"/>
      <c r="G26" s="157"/>
      <c r="H26" s="157"/>
      <c r="I26" s="157"/>
      <c r="J26" s="157"/>
      <c r="K26" s="157"/>
      <c r="L26" s="157"/>
      <c r="M26" s="157"/>
      <c r="N26" s="157"/>
      <c r="O26" s="157"/>
      <c r="S26" s="156">
        <f ca="1">iCComp!AB32</f>
        <v>2</v>
      </c>
      <c r="T26" s="201">
        <f ca="1">iCComp!AC32</f>
        <v>1</v>
      </c>
      <c r="U26" s="479"/>
      <c r="V26" s="480" t="str">
        <f ca="1">iCComp!AD32</f>
        <v xml:space="preserve">  2.5) Education</v>
      </c>
      <c r="X26" s="805">
        <f ca="1">iCComp!AE32</f>
        <v>100</v>
      </c>
      <c r="Y26" s="817" t="str">
        <f ca="1">iCComp!AF32</f>
        <v>=1</v>
      </c>
      <c r="AA26" s="805">
        <f ca="1">iCComp!AH32</f>
        <v>50</v>
      </c>
      <c r="AB26" s="817" t="str">
        <f ca="1">iCComp!AI32</f>
        <v>=17</v>
      </c>
      <c r="AD26" s="797">
        <f ca="1">iCComp!AK32</f>
        <v>73.3</v>
      </c>
      <c r="AE26" s="482"/>
      <c r="AG26" s="481">
        <f ca="1">iCComp!AN32</f>
        <v>0</v>
      </c>
      <c r="AH26" s="482">
        <f ca="1">iCComp!AO32</f>
        <v>0</v>
      </c>
      <c r="AI26" s="200"/>
      <c r="AJ26" s="200"/>
      <c r="AK26" s="204">
        <f t="shared" ca="1" si="0"/>
        <v>50</v>
      </c>
      <c r="AL26" s="204">
        <f t="shared" ca="1" si="1"/>
        <v>100</v>
      </c>
      <c r="AM26" s="200"/>
      <c r="AN26" s="486" t="str">
        <f t="shared" ca="1" si="3"/>
        <v xml:space="preserve">  2.5) Education</v>
      </c>
    </row>
    <row r="27" spans="3:40" ht="14.5">
      <c r="C27" s="157"/>
      <c r="D27" s="157"/>
      <c r="E27" s="157"/>
      <c r="F27" s="157"/>
      <c r="G27" s="157"/>
      <c r="H27" s="157"/>
      <c r="I27" s="157"/>
      <c r="J27" s="157"/>
      <c r="K27" s="157"/>
      <c r="L27" s="157"/>
      <c r="M27" s="157"/>
      <c r="N27" s="157"/>
      <c r="O27" s="157"/>
      <c r="S27" s="156">
        <f ca="1">iCComp!AB33</f>
        <v>2</v>
      </c>
      <c r="T27" s="201">
        <f ca="1">iCComp!AC33</f>
        <v>1</v>
      </c>
      <c r="U27" s="479"/>
      <c r="V27" s="480" t="str">
        <f ca="1">iCComp!AD33</f>
        <v xml:space="preserve">  2.6) Retail and hospitality</v>
      </c>
      <c r="X27" s="805">
        <f ca="1">iCComp!AE33</f>
        <v>40.299999999999997</v>
      </c>
      <c r="Y27" s="817" t="str">
        <f ca="1">iCComp!AF33</f>
        <v>9</v>
      </c>
      <c r="AA27" s="805">
        <f ca="1">iCComp!AH33</f>
        <v>19.2</v>
      </c>
      <c r="AB27" s="817" t="str">
        <f ca="1">iCComp!AI33</f>
        <v>21</v>
      </c>
      <c r="AD27" s="797">
        <f ca="1">iCComp!AK33</f>
        <v>33.9</v>
      </c>
      <c r="AE27" s="482"/>
      <c r="AG27" s="481">
        <f ca="1">iCComp!AN33</f>
        <v>0</v>
      </c>
      <c r="AH27" s="482">
        <f ca="1">iCComp!AO33</f>
        <v>0</v>
      </c>
      <c r="AI27" s="200"/>
      <c r="AJ27" s="200"/>
      <c r="AK27" s="204">
        <f t="shared" ca="1" si="0"/>
        <v>19.2</v>
      </c>
      <c r="AL27" s="204">
        <f t="shared" ca="1" si="1"/>
        <v>40.299999999999997</v>
      </c>
      <c r="AM27" s="200"/>
      <c r="AN27" s="486" t="str">
        <f t="shared" ca="1" si="3"/>
        <v xml:space="preserve">  2.6) Retail and hospitality</v>
      </c>
    </row>
    <row r="28" spans="3:40" ht="14.5">
      <c r="C28" s="157"/>
      <c r="D28" s="157"/>
      <c r="E28" s="157"/>
      <c r="F28" s="157"/>
      <c r="G28" s="157"/>
      <c r="H28" s="157"/>
      <c r="I28" s="157"/>
      <c r="J28" s="157"/>
      <c r="K28" s="157"/>
      <c r="L28" s="157"/>
      <c r="M28" s="157"/>
      <c r="N28" s="157"/>
      <c r="O28" s="157"/>
      <c r="S28" s="156">
        <f ca="1">iCComp!AB34</f>
        <v>1</v>
      </c>
      <c r="T28" s="201">
        <f ca="1">iCComp!AC34</f>
        <v>1</v>
      </c>
      <c r="U28" s="479"/>
      <c r="V28" s="480" t="str">
        <f ca="1">iCComp!AD34</f>
        <v xml:space="preserve"> 3) CULTURE</v>
      </c>
      <c r="X28" s="805">
        <f ca="1">iCComp!AE34</f>
        <v>62.1</v>
      </c>
      <c r="Y28" s="817" t="str">
        <f ca="1">iCComp!AF34</f>
        <v>15</v>
      </c>
      <c r="AA28" s="805">
        <f ca="1">iCComp!AH34</f>
        <v>67</v>
      </c>
      <c r="AB28" s="817" t="str">
        <f ca="1">iCComp!AI34</f>
        <v>7</v>
      </c>
      <c r="AD28" s="797">
        <f ca="1">iCComp!AK34</f>
        <v>59.2</v>
      </c>
      <c r="AE28" s="482"/>
      <c r="AG28" s="481">
        <f ca="1">iCComp!AN34</f>
        <v>0</v>
      </c>
      <c r="AH28" s="482">
        <f ca="1">iCComp!AO34</f>
        <v>0</v>
      </c>
      <c r="AI28" s="200"/>
      <c r="AJ28" s="200"/>
      <c r="AK28" s="204">
        <f t="shared" ca="1" si="0"/>
        <v>62.1</v>
      </c>
      <c r="AL28" s="204">
        <f t="shared" ca="1" si="1"/>
        <v>67</v>
      </c>
      <c r="AM28" s="200"/>
      <c r="AN28" s="486" t="str">
        <f t="shared" ca="1" si="3"/>
        <v xml:space="preserve"> 3) CULTURE</v>
      </c>
    </row>
    <row r="29" spans="3:40" ht="14.5">
      <c r="C29" s="157"/>
      <c r="D29" s="157"/>
      <c r="E29" s="157"/>
      <c r="F29" s="157"/>
      <c r="G29" s="157"/>
      <c r="H29" s="157"/>
      <c r="I29" s="157"/>
      <c r="J29" s="157"/>
      <c r="K29" s="157"/>
      <c r="L29" s="157"/>
      <c r="M29" s="157"/>
      <c r="N29" s="157"/>
      <c r="O29" s="157"/>
      <c r="S29" s="156">
        <f ca="1">iCComp!AB35</f>
        <v>1</v>
      </c>
      <c r="T29" s="201">
        <f ca="1">iCComp!AC35</f>
        <v>1</v>
      </c>
      <c r="U29" s="479"/>
      <c r="V29" s="480" t="str">
        <f ca="1">iCComp!AD35</f>
        <v xml:space="preserve">  3.1) Digital inclusion</v>
      </c>
      <c r="X29" s="805">
        <f ca="1">iCComp!AE35</f>
        <v>65.8</v>
      </c>
      <c r="Y29" s="817" t="str">
        <f ca="1">iCComp!AF35</f>
        <v>22</v>
      </c>
      <c r="AA29" s="805">
        <f ca="1">iCComp!AH35</f>
        <v>69.400000000000006</v>
      </c>
      <c r="AB29" s="817" t="str">
        <f ca="1">iCComp!AI35</f>
        <v>17</v>
      </c>
      <c r="AD29" s="797">
        <f ca="1">iCComp!AK35</f>
        <v>69.5</v>
      </c>
      <c r="AE29" s="482"/>
      <c r="AG29" s="481">
        <f ca="1">iCComp!AN35</f>
        <v>0</v>
      </c>
      <c r="AH29" s="482">
        <f ca="1">iCComp!AO35</f>
        <v>0</v>
      </c>
      <c r="AI29" s="200"/>
      <c r="AJ29" s="200"/>
      <c r="AK29" s="204">
        <f t="shared" ca="1" si="0"/>
        <v>65.8</v>
      </c>
      <c r="AL29" s="204">
        <f t="shared" ca="1" si="1"/>
        <v>69.400000000000006</v>
      </c>
      <c r="AM29" s="200"/>
      <c r="AN29" s="486" t="str">
        <f t="shared" ca="1" si="3"/>
        <v xml:space="preserve">  3.1) Digital inclusion</v>
      </c>
    </row>
    <row r="30" spans="3:40" ht="14.5">
      <c r="C30" s="157"/>
      <c r="D30" s="157"/>
      <c r="E30" s="157"/>
      <c r="F30" s="157"/>
      <c r="G30" s="157"/>
      <c r="H30" s="157"/>
      <c r="I30" s="157"/>
      <c r="J30" s="157"/>
      <c r="K30" s="157"/>
      <c r="L30" s="157"/>
      <c r="M30" s="157"/>
      <c r="N30" s="157"/>
      <c r="O30" s="157"/>
      <c r="S30" s="156">
        <f ca="1">iCComp!AB36</f>
        <v>1</v>
      </c>
      <c r="T30" s="201">
        <f ca="1">iCComp!AC36</f>
        <v>1</v>
      </c>
      <c r="U30" s="479"/>
      <c r="V30" s="480" t="str">
        <f ca="1">iCComp!AD36</f>
        <v xml:space="preserve">  3.2) Government support</v>
      </c>
      <c r="X30" s="805">
        <f ca="1">iCComp!AE36</f>
        <v>76</v>
      </c>
      <c r="Y30" s="817" t="str">
        <f ca="1">iCComp!AF36</f>
        <v>15</v>
      </c>
      <c r="AA30" s="805">
        <f ca="1">iCComp!AH36</f>
        <v>81.099999999999994</v>
      </c>
      <c r="AB30" s="817" t="str">
        <f ca="1">iCComp!AI36</f>
        <v>8</v>
      </c>
      <c r="AD30" s="797">
        <f ca="1">iCComp!AK36</f>
        <v>71.7</v>
      </c>
      <c r="AE30" s="482"/>
      <c r="AG30" s="481">
        <f ca="1">iCComp!AN36</f>
        <v>0</v>
      </c>
      <c r="AH30" s="482">
        <f ca="1">iCComp!AO36</f>
        <v>0</v>
      </c>
      <c r="AI30" s="200"/>
      <c r="AJ30" s="200"/>
      <c r="AK30" s="204">
        <f t="shared" ca="1" si="0"/>
        <v>76</v>
      </c>
      <c r="AL30" s="204">
        <f t="shared" ca="1" si="1"/>
        <v>81.099999999999994</v>
      </c>
      <c r="AM30" s="200"/>
      <c r="AN30" s="486" t="str">
        <f t="shared" ca="1" si="3"/>
        <v xml:space="preserve">  3.2) Government support</v>
      </c>
    </row>
    <row r="31" spans="3:40" ht="14.5">
      <c r="C31" s="157"/>
      <c r="D31" s="157"/>
      <c r="E31" s="157"/>
      <c r="F31" s="157"/>
      <c r="G31" s="157"/>
      <c r="H31" s="157"/>
      <c r="I31" s="157"/>
      <c r="J31" s="157"/>
      <c r="K31" s="157"/>
      <c r="L31" s="157"/>
      <c r="M31" s="157"/>
      <c r="N31" s="157"/>
      <c r="O31" s="157"/>
      <c r="S31" s="156">
        <f ca="1">iCComp!AB37</f>
        <v>1</v>
      </c>
      <c r="T31" s="201">
        <f ca="1">iCComp!AC37</f>
        <v>1</v>
      </c>
      <c r="U31" s="479"/>
      <c r="V31" s="480" t="str">
        <f ca="1">iCComp!AD37</f>
        <v xml:space="preserve">  3.3) Innovation ecosystem</v>
      </c>
      <c r="X31" s="805">
        <f ca="1">iCComp!AE37</f>
        <v>62</v>
      </c>
      <c r="Y31" s="817" t="str">
        <f ca="1">iCComp!AF37</f>
        <v>9</v>
      </c>
      <c r="AA31" s="805">
        <f ca="1">iCComp!AH37</f>
        <v>49.1</v>
      </c>
      <c r="AB31" s="817" t="str">
        <f ca="1">iCComp!AI37</f>
        <v>18</v>
      </c>
      <c r="AD31" s="797">
        <f ca="1">iCComp!AK37</f>
        <v>49.1</v>
      </c>
      <c r="AE31" s="482"/>
      <c r="AG31" s="481">
        <f ca="1">iCComp!AN37</f>
        <v>0</v>
      </c>
      <c r="AH31" s="482">
        <f ca="1">iCComp!AO37</f>
        <v>0</v>
      </c>
      <c r="AI31" s="200"/>
      <c r="AJ31" s="200"/>
      <c r="AK31" s="204">
        <f t="shared" ca="1" si="0"/>
        <v>49.1</v>
      </c>
      <c r="AL31" s="204">
        <f t="shared" ca="1" si="1"/>
        <v>62</v>
      </c>
      <c r="AM31" s="200"/>
      <c r="AN31" s="486" t="str">
        <f t="shared" ca="1" si="3"/>
        <v xml:space="preserve">  3.3) Innovation ecosystem</v>
      </c>
    </row>
    <row r="32" spans="3:40" ht="14.5">
      <c r="C32" s="157"/>
      <c r="D32" s="157"/>
      <c r="E32" s="157"/>
      <c r="F32" s="157"/>
      <c r="G32" s="157"/>
      <c r="H32" s="157"/>
      <c r="I32" s="157"/>
      <c r="J32" s="157"/>
      <c r="K32" s="157"/>
      <c r="L32" s="157"/>
      <c r="M32" s="157"/>
      <c r="N32" s="157"/>
      <c r="O32" s="157"/>
      <c r="S32" s="156">
        <f ca="1">iCComp!AB38</f>
        <v>1</v>
      </c>
      <c r="T32" s="201">
        <f ca="1">iCComp!AC38</f>
        <v>1</v>
      </c>
      <c r="U32" s="479"/>
      <c r="V32" s="480" t="str">
        <f ca="1">iCComp!AD38</f>
        <v xml:space="preserve">  3.4) Public attitude and engagement</v>
      </c>
      <c r="X32" s="805">
        <f ca="1">iCComp!AE38</f>
        <v>35.1</v>
      </c>
      <c r="Y32" s="817" t="str">
        <f ca="1">iCComp!AF38</f>
        <v>20</v>
      </c>
      <c r="AA32" s="805">
        <f ca="1">iCComp!AH38</f>
        <v>70.8</v>
      </c>
      <c r="AB32" s="817" t="str">
        <f ca="1">iCComp!AI38</f>
        <v>5</v>
      </c>
      <c r="AD32" s="797">
        <f ca="1">iCComp!AK38</f>
        <v>44.9</v>
      </c>
      <c r="AE32" s="482"/>
      <c r="AG32" s="481">
        <f ca="1">iCComp!AN38</f>
        <v>0</v>
      </c>
      <c r="AH32" s="482">
        <f ca="1">iCComp!AO38</f>
        <v>0</v>
      </c>
      <c r="AI32" s="200"/>
      <c r="AJ32" s="200"/>
      <c r="AK32" s="204">
        <f t="shared" ca="1" si="0"/>
        <v>35.1</v>
      </c>
      <c r="AL32" s="204">
        <f t="shared" ca="1" si="1"/>
        <v>70.8</v>
      </c>
      <c r="AM32" s="200"/>
      <c r="AN32" s="486" t="str">
        <f t="shared" ca="1" si="3"/>
        <v xml:space="preserve">  3.4) Public attitude and engagement</v>
      </c>
    </row>
    <row r="33" spans="3:40" ht="14.5">
      <c r="C33" s="157"/>
      <c r="D33" s="157"/>
      <c r="E33" s="157"/>
      <c r="F33" s="157"/>
      <c r="G33" s="157"/>
      <c r="H33" s="157"/>
      <c r="I33" s="157"/>
      <c r="J33" s="157"/>
      <c r="K33" s="157"/>
      <c r="L33" s="157"/>
      <c r="M33" s="157"/>
      <c r="N33" s="157"/>
      <c r="O33" s="157"/>
      <c r="S33" s="156">
        <f ca="1">iCComp!AB39</f>
        <v>2</v>
      </c>
      <c r="T33" s="201">
        <f ca="1">iCComp!AC39</f>
        <v>1</v>
      </c>
      <c r="U33" s="479"/>
      <c r="V33" s="480" t="str">
        <f ca="1">iCComp!AD39</f>
        <v xml:space="preserve"> 4) SUSTAINABILITY</v>
      </c>
      <c r="X33" s="805">
        <f ca="1">iCComp!AE39</f>
        <v>85.4</v>
      </c>
      <c r="Y33" s="817" t="str">
        <f ca="1">iCComp!AF39</f>
        <v>6</v>
      </c>
      <c r="AA33" s="805">
        <f ca="1">iCComp!AH39</f>
        <v>68.099999999999994</v>
      </c>
      <c r="AB33" s="817" t="str">
        <f ca="1">iCComp!AI39</f>
        <v>17</v>
      </c>
      <c r="AD33" s="797">
        <f ca="1">iCComp!AK39</f>
        <v>66.3</v>
      </c>
      <c r="AE33" s="482"/>
      <c r="AG33" s="481">
        <f ca="1">iCComp!AN39</f>
        <v>0</v>
      </c>
      <c r="AH33" s="482">
        <f ca="1">iCComp!AO39</f>
        <v>0</v>
      </c>
      <c r="AI33" s="200"/>
      <c r="AJ33" s="200"/>
      <c r="AK33" s="204">
        <f t="shared" ca="1" si="0"/>
        <v>68.099999999999994</v>
      </c>
      <c r="AL33" s="204">
        <f t="shared" ca="1" si="1"/>
        <v>85.4</v>
      </c>
      <c r="AM33" s="200"/>
      <c r="AN33" s="486" t="str">
        <f t="shared" ca="1" si="3"/>
        <v xml:space="preserve"> 4) SUSTAINABILITY</v>
      </c>
    </row>
    <row r="34" spans="3:40" ht="14.5">
      <c r="C34" s="157"/>
      <c r="D34" s="157"/>
      <c r="E34" s="157"/>
      <c r="F34" s="157"/>
      <c r="G34" s="157"/>
      <c r="H34" s="157"/>
      <c r="I34" s="157"/>
      <c r="J34" s="157"/>
      <c r="K34" s="157"/>
      <c r="L34" s="157"/>
      <c r="M34" s="157"/>
      <c r="N34" s="157"/>
      <c r="O34" s="157"/>
      <c r="S34" s="156">
        <f ca="1">iCComp!AB40</f>
        <v>2</v>
      </c>
      <c r="T34" s="201">
        <f ca="1">iCComp!AC40</f>
        <v>1</v>
      </c>
      <c r="U34" s="479"/>
      <c r="V34" s="480" t="str">
        <f ca="1">iCComp!AD40</f>
        <v xml:space="preserve">  4.1) Efficient resource management</v>
      </c>
      <c r="X34" s="805">
        <f ca="1">iCComp!AE40</f>
        <v>87.5</v>
      </c>
      <c r="Y34" s="817" t="str">
        <f ca="1">iCComp!AF40</f>
        <v>=11</v>
      </c>
      <c r="AA34" s="805">
        <f ca="1">iCComp!AH40</f>
        <v>87.5</v>
      </c>
      <c r="AB34" s="817" t="str">
        <f ca="1">iCComp!AI40</f>
        <v>=11</v>
      </c>
      <c r="AD34" s="797">
        <f ca="1">iCComp!AK40</f>
        <v>76</v>
      </c>
      <c r="AE34" s="482"/>
      <c r="AG34" s="481">
        <f ca="1">iCComp!AN40</f>
        <v>0</v>
      </c>
      <c r="AH34" s="482">
        <f ca="1">iCComp!AO40</f>
        <v>0</v>
      </c>
      <c r="AI34" s="200"/>
      <c r="AJ34" s="200"/>
      <c r="AK34" s="204">
        <f t="shared" ca="1" si="0"/>
        <v>87.5</v>
      </c>
      <c r="AL34" s="204">
        <f t="shared" ca="1" si="1"/>
        <v>87.5</v>
      </c>
      <c r="AM34" s="200"/>
      <c r="AN34" s="486" t="str">
        <f t="shared" ca="1" si="3"/>
        <v xml:space="preserve">  4.1) Efficient resource management</v>
      </c>
    </row>
    <row r="35" spans="3:40" ht="14.5">
      <c r="C35" s="157"/>
      <c r="D35" s="157"/>
      <c r="E35" s="157"/>
      <c r="F35" s="157"/>
      <c r="G35" s="157"/>
      <c r="H35" s="157"/>
      <c r="I35" s="157"/>
      <c r="J35" s="157"/>
      <c r="K35" s="157"/>
      <c r="L35" s="157"/>
      <c r="M35" s="157"/>
      <c r="N35" s="157"/>
      <c r="O35" s="157"/>
      <c r="S35" s="156">
        <f ca="1">iCComp!AB41</f>
        <v>2</v>
      </c>
      <c r="T35" s="201">
        <f ca="1">iCComp!AC41</f>
        <v>1</v>
      </c>
      <c r="U35" s="479"/>
      <c r="V35" s="480" t="str">
        <f ca="1">iCComp!AD41</f>
        <v xml:space="preserve">  4.2) Emissions reduction</v>
      </c>
      <c r="X35" s="805">
        <f ca="1">iCComp!AE41</f>
        <v>100</v>
      </c>
      <c r="Y35" s="817" t="str">
        <f ca="1">iCComp!AF41</f>
        <v>=1</v>
      </c>
      <c r="AA35" s="805">
        <f ca="1">iCComp!AH41</f>
        <v>77.599999999999994</v>
      </c>
      <c r="AB35" s="817" t="str">
        <f ca="1">iCComp!AI41</f>
        <v>=19</v>
      </c>
      <c r="AD35" s="797">
        <f ca="1">iCComp!AK41</f>
        <v>78</v>
      </c>
      <c r="AE35" s="482"/>
      <c r="AG35" s="481">
        <f ca="1">iCComp!AN41</f>
        <v>0</v>
      </c>
      <c r="AH35" s="482">
        <f ca="1">iCComp!AO41</f>
        <v>0</v>
      </c>
      <c r="AI35" s="200"/>
      <c r="AJ35" s="200"/>
      <c r="AK35" s="204">
        <f t="shared" ca="1" si="0"/>
        <v>77.599999999999994</v>
      </c>
      <c r="AL35" s="204">
        <f t="shared" ca="1" si="1"/>
        <v>100</v>
      </c>
      <c r="AM35" s="200"/>
      <c r="AN35" s="486" t="str">
        <f t="shared" ca="1" si="3"/>
        <v xml:space="preserve">  4.2) Emissions reduction</v>
      </c>
    </row>
    <row r="36" spans="3:40" ht="14.5">
      <c r="C36" s="157"/>
      <c r="D36" s="157"/>
      <c r="E36" s="157"/>
      <c r="F36" s="157"/>
      <c r="G36" s="157"/>
      <c r="H36" s="157"/>
      <c r="I36" s="157"/>
      <c r="J36" s="157"/>
      <c r="K36" s="157"/>
      <c r="L36" s="157"/>
      <c r="M36" s="157"/>
      <c r="N36" s="157"/>
      <c r="O36" s="157"/>
      <c r="S36" s="156">
        <f ca="1">iCComp!AB42</f>
        <v>2</v>
      </c>
      <c r="T36" s="201">
        <f ca="1">iCComp!AC42</f>
        <v>1</v>
      </c>
      <c r="U36" s="479"/>
      <c r="V36" s="480" t="str">
        <f ca="1">iCComp!AD42</f>
        <v xml:space="preserve">  4.3) Pollution</v>
      </c>
      <c r="X36" s="805">
        <f ca="1">iCComp!AE42</f>
        <v>50</v>
      </c>
      <c r="Y36" s="817" t="str">
        <f ca="1">iCComp!AF42</f>
        <v>=15</v>
      </c>
      <c r="AA36" s="805">
        <f ca="1">iCComp!AH42</f>
        <v>100</v>
      </c>
      <c r="AB36" s="817" t="str">
        <f ca="1">iCComp!AI42</f>
        <v>1</v>
      </c>
      <c r="AD36" s="797">
        <f ca="1">iCComp!AK42</f>
        <v>57.8</v>
      </c>
      <c r="AE36" s="482"/>
      <c r="AG36" s="481">
        <f ca="1">iCComp!AN42</f>
        <v>0</v>
      </c>
      <c r="AH36" s="482">
        <f ca="1">iCComp!AO42</f>
        <v>0</v>
      </c>
      <c r="AI36" s="200"/>
      <c r="AJ36" s="200"/>
      <c r="AK36" s="204">
        <f t="shared" ca="1" si="0"/>
        <v>50</v>
      </c>
      <c r="AL36" s="204">
        <f t="shared" ca="1" si="1"/>
        <v>100</v>
      </c>
      <c r="AM36" s="200"/>
      <c r="AN36" s="486" t="str">
        <f t="shared" ca="1" si="3"/>
        <v xml:space="preserve">  4.3) Pollution</v>
      </c>
    </row>
    <row r="37" spans="3:40" ht="14.5">
      <c r="C37" s="157"/>
      <c r="D37" s="157"/>
      <c r="E37" s="157"/>
      <c r="F37" s="157"/>
      <c r="G37" s="157"/>
      <c r="H37" s="157"/>
      <c r="I37" s="157"/>
      <c r="J37" s="157"/>
      <c r="K37" s="157"/>
      <c r="L37" s="157"/>
      <c r="M37" s="157"/>
      <c r="N37" s="157"/>
      <c r="O37" s="157"/>
      <c r="S37" s="156">
        <f ca="1">iCComp!AB43</f>
        <v>2</v>
      </c>
      <c r="T37" s="201">
        <f ca="1">iCComp!AC43</f>
        <v>1</v>
      </c>
      <c r="U37" s="479"/>
      <c r="V37" s="480" t="str">
        <f ca="1">iCComp!AD43</f>
        <v xml:space="preserve">  4.4) Circular economy</v>
      </c>
      <c r="X37" s="805">
        <f ca="1">iCComp!AE43</f>
        <v>100</v>
      </c>
      <c r="Y37" s="817" t="str">
        <f ca="1">iCComp!AF43</f>
        <v>=1</v>
      </c>
      <c r="AA37" s="805">
        <f ca="1">iCComp!AH43</f>
        <v>0</v>
      </c>
      <c r="AB37" s="817" t="str">
        <f ca="1">iCComp!AI43</f>
        <v>=26</v>
      </c>
      <c r="AD37" s="797">
        <f ca="1">iCComp!AK43</f>
        <v>48</v>
      </c>
      <c r="AE37" s="482"/>
      <c r="AG37" s="481">
        <f ca="1">iCComp!AN43</f>
        <v>0</v>
      </c>
      <c r="AH37" s="482">
        <f ca="1">iCComp!AO43</f>
        <v>0</v>
      </c>
      <c r="AI37" s="200"/>
      <c r="AJ37" s="200"/>
      <c r="AK37" s="204">
        <f t="shared" ca="1" si="0"/>
        <v>0</v>
      </c>
      <c r="AL37" s="204">
        <f t="shared" ca="1" si="1"/>
        <v>100</v>
      </c>
      <c r="AM37" s="200"/>
      <c r="AN37" s="486" t="str">
        <f t="shared" ca="1" si="3"/>
        <v xml:space="preserve">  4.4) Circular economy</v>
      </c>
    </row>
    <row r="38" spans="3:40" ht="14.5">
      <c r="C38" s="157"/>
      <c r="D38" s="157"/>
      <c r="E38" s="157"/>
      <c r="F38" s="157"/>
      <c r="G38" s="157"/>
      <c r="H38" s="157"/>
      <c r="I38" s="157"/>
      <c r="J38" s="157"/>
      <c r="K38" s="157"/>
      <c r="L38" s="157"/>
      <c r="M38" s="157"/>
      <c r="N38" s="157"/>
      <c r="O38" s="157"/>
      <c r="S38" s="156">
        <f ca="1">iCComp!AB44</f>
        <v>0</v>
      </c>
      <c r="T38" s="201">
        <f ca="1">iCComp!AC44</f>
        <v>0</v>
      </c>
      <c r="U38" s="479"/>
      <c r="V38" s="480" t="str">
        <f ca="1">iCComp!AD44</f>
        <v/>
      </c>
      <c r="X38" s="805" t="str">
        <f ca="1">iCComp!AE44</f>
        <v/>
      </c>
      <c r="Y38" s="817" t="str">
        <f ca="1">iCComp!AF44</f>
        <v/>
      </c>
      <c r="AA38" s="805" t="str">
        <f ca="1">iCComp!AH44</f>
        <v/>
      </c>
      <c r="AB38" s="817" t="str">
        <f ca="1">iCComp!AI44</f>
        <v/>
      </c>
      <c r="AD38" s="797" t="str">
        <f ca="1">iCComp!AK44</f>
        <v/>
      </c>
      <c r="AE38" s="482"/>
      <c r="AG38" s="481" t="str">
        <f ca="1">iCComp!AN44</f>
        <v/>
      </c>
      <c r="AH38" s="482" t="str">
        <f ca="1">iCComp!AO44</f>
        <v/>
      </c>
      <c r="AI38" s="200"/>
      <c r="AJ38" s="200"/>
      <c r="AK38" s="204">
        <f t="shared" ca="1" si="0"/>
        <v>0</v>
      </c>
      <c r="AL38" s="204">
        <f t="shared" ca="1" si="1"/>
        <v>0</v>
      </c>
      <c r="AM38" s="200"/>
      <c r="AN38" s="486" t="str">
        <f t="shared" ca="1" si="3"/>
        <v/>
      </c>
    </row>
    <row r="39" spans="3:40" ht="14.5">
      <c r="C39" s="157"/>
      <c r="D39" s="157"/>
      <c r="E39" s="157"/>
      <c r="F39" s="157"/>
      <c r="G39" s="157"/>
      <c r="H39" s="157"/>
      <c r="I39" s="157"/>
      <c r="J39" s="157"/>
      <c r="K39" s="157"/>
      <c r="L39" s="157"/>
      <c r="M39" s="157"/>
      <c r="N39" s="157"/>
      <c r="O39" s="157"/>
      <c r="S39" s="156">
        <f ca="1">iCComp!AB45</f>
        <v>0</v>
      </c>
      <c r="T39" s="201">
        <f ca="1">iCComp!AC45</f>
        <v>0</v>
      </c>
      <c r="U39" s="479"/>
      <c r="V39" s="480" t="str">
        <f ca="1">iCComp!AD45</f>
        <v/>
      </c>
      <c r="X39" s="805" t="str">
        <f ca="1">iCComp!AE45</f>
        <v/>
      </c>
      <c r="Y39" s="817" t="str">
        <f ca="1">iCComp!AF45</f>
        <v/>
      </c>
      <c r="AA39" s="805" t="str">
        <f ca="1">iCComp!AH45</f>
        <v/>
      </c>
      <c r="AB39" s="817" t="str">
        <f ca="1">iCComp!AI45</f>
        <v/>
      </c>
      <c r="AD39" s="797" t="str">
        <f ca="1">iCComp!AK45</f>
        <v/>
      </c>
      <c r="AE39" s="482"/>
      <c r="AG39" s="481" t="str">
        <f ca="1">iCComp!AN45</f>
        <v/>
      </c>
      <c r="AH39" s="482" t="str">
        <f ca="1">iCComp!AO45</f>
        <v/>
      </c>
      <c r="AI39" s="200"/>
      <c r="AJ39" s="200"/>
      <c r="AK39" s="204">
        <f t="shared" ca="1" si="0"/>
        <v>0</v>
      </c>
      <c r="AL39" s="204">
        <f t="shared" ca="1" si="1"/>
        <v>0</v>
      </c>
      <c r="AM39" s="200"/>
      <c r="AN39" s="486" t="str">
        <f t="shared" ca="1" si="3"/>
        <v/>
      </c>
    </row>
    <row r="40" spans="3:40" ht="14.5">
      <c r="C40" s="157"/>
      <c r="D40" s="157"/>
      <c r="E40" s="157"/>
      <c r="F40" s="157"/>
      <c r="G40" s="157"/>
      <c r="H40" s="157"/>
      <c r="I40" s="157"/>
      <c r="J40" s="157"/>
      <c r="K40" s="157"/>
      <c r="L40" s="157"/>
      <c r="M40" s="157"/>
      <c r="N40" s="157"/>
      <c r="O40" s="157"/>
      <c r="S40" s="156">
        <f ca="1">iCComp!AB46</f>
        <v>0</v>
      </c>
      <c r="T40" s="201">
        <f ca="1">iCComp!AC46</f>
        <v>0</v>
      </c>
      <c r="U40" s="479"/>
      <c r="V40" s="480" t="str">
        <f ca="1">iCComp!AD46</f>
        <v/>
      </c>
      <c r="X40" s="805" t="str">
        <f ca="1">iCComp!AE46</f>
        <v/>
      </c>
      <c r="Y40" s="817" t="str">
        <f ca="1">iCComp!AF46</f>
        <v/>
      </c>
      <c r="AA40" s="805" t="str">
        <f ca="1">iCComp!AH46</f>
        <v/>
      </c>
      <c r="AB40" s="817" t="str">
        <f ca="1">iCComp!AI46</f>
        <v/>
      </c>
      <c r="AD40" s="797" t="str">
        <f ca="1">iCComp!AK46</f>
        <v/>
      </c>
      <c r="AE40" s="482"/>
      <c r="AG40" s="481" t="str">
        <f ca="1">iCComp!AN46</f>
        <v/>
      </c>
      <c r="AH40" s="482" t="str">
        <f ca="1">iCComp!AO46</f>
        <v/>
      </c>
      <c r="AI40" s="200"/>
      <c r="AJ40" s="200"/>
      <c r="AK40" s="204">
        <f t="shared" ca="1" si="0"/>
        <v>0</v>
      </c>
      <c r="AL40" s="204">
        <f t="shared" ca="1" si="1"/>
        <v>0</v>
      </c>
      <c r="AM40" s="200"/>
      <c r="AN40" s="486" t="str">
        <f t="shared" ca="1" si="3"/>
        <v/>
      </c>
    </row>
    <row r="41" spans="3:40" ht="14.5">
      <c r="C41" s="157"/>
      <c r="D41" s="157"/>
      <c r="E41" s="157"/>
      <c r="F41" s="157"/>
      <c r="G41" s="157"/>
      <c r="H41" s="157"/>
      <c r="I41" s="157"/>
      <c r="J41" s="157"/>
      <c r="K41" s="157"/>
      <c r="L41" s="157"/>
      <c r="M41" s="157"/>
      <c r="N41" s="157"/>
      <c r="O41" s="157"/>
      <c r="S41" s="156">
        <f ca="1">iCComp!AB47</f>
        <v>0</v>
      </c>
      <c r="T41" s="201">
        <f ca="1">iCComp!AC47</f>
        <v>0</v>
      </c>
      <c r="U41" s="479"/>
      <c r="V41" s="480" t="str">
        <f ca="1">iCComp!AD47</f>
        <v/>
      </c>
      <c r="X41" s="805" t="str">
        <f ca="1">iCComp!AE47</f>
        <v/>
      </c>
      <c r="Y41" s="817" t="str">
        <f ca="1">iCComp!AF47</f>
        <v/>
      </c>
      <c r="AA41" s="805" t="str">
        <f ca="1">iCComp!AH47</f>
        <v/>
      </c>
      <c r="AB41" s="817" t="str">
        <f ca="1">iCComp!AI47</f>
        <v/>
      </c>
      <c r="AD41" s="797" t="str">
        <f ca="1">iCComp!AK47</f>
        <v/>
      </c>
      <c r="AE41" s="482"/>
      <c r="AG41" s="481" t="str">
        <f ca="1">iCComp!AN47</f>
        <v/>
      </c>
      <c r="AH41" s="482" t="str">
        <f ca="1">iCComp!AO47</f>
        <v/>
      </c>
      <c r="AI41" s="200"/>
      <c r="AJ41" s="200"/>
      <c r="AK41" s="204">
        <f t="shared" ca="1" si="0"/>
        <v>0</v>
      </c>
      <c r="AL41" s="204">
        <f t="shared" ca="1" si="1"/>
        <v>0</v>
      </c>
      <c r="AM41" s="200"/>
      <c r="AN41" s="486" t="str">
        <f t="shared" ca="1" si="3"/>
        <v/>
      </c>
    </row>
    <row r="42" spans="3:40" ht="14.5">
      <c r="C42" s="157"/>
      <c r="D42" s="157"/>
      <c r="E42" s="157"/>
      <c r="F42" s="157"/>
      <c r="G42" s="157"/>
      <c r="H42" s="157"/>
      <c r="I42" s="157"/>
      <c r="J42" s="157"/>
      <c r="K42" s="157"/>
      <c r="L42" s="157"/>
      <c r="M42" s="157"/>
      <c r="N42" s="157"/>
      <c r="O42" s="157"/>
      <c r="S42" s="156">
        <f ca="1">iCComp!AB48</f>
        <v>0</v>
      </c>
      <c r="T42" s="201">
        <f ca="1">iCComp!AC48</f>
        <v>0</v>
      </c>
      <c r="U42" s="479"/>
      <c r="V42" s="480" t="str">
        <f ca="1">iCComp!AD48</f>
        <v/>
      </c>
      <c r="X42" s="805" t="str">
        <f ca="1">iCComp!AE48</f>
        <v/>
      </c>
      <c r="Y42" s="817" t="str">
        <f ca="1">iCComp!AF48</f>
        <v/>
      </c>
      <c r="AA42" s="805" t="str">
        <f ca="1">iCComp!AH48</f>
        <v/>
      </c>
      <c r="AB42" s="817" t="str">
        <f ca="1">iCComp!AI48</f>
        <v/>
      </c>
      <c r="AD42" s="797" t="str">
        <f ca="1">iCComp!AK48</f>
        <v/>
      </c>
      <c r="AE42" s="482"/>
      <c r="AG42" s="481" t="str">
        <f ca="1">iCComp!AN48</f>
        <v/>
      </c>
      <c r="AH42" s="482" t="str">
        <f ca="1">iCComp!AO48</f>
        <v/>
      </c>
      <c r="AI42" s="200"/>
      <c r="AJ42" s="200"/>
      <c r="AK42" s="204">
        <f t="shared" ca="1" si="0"/>
        <v>0</v>
      </c>
      <c r="AL42" s="204">
        <f t="shared" ca="1" si="1"/>
        <v>0</v>
      </c>
      <c r="AM42" s="200"/>
      <c r="AN42" s="486" t="str">
        <f t="shared" ca="1" si="3"/>
        <v/>
      </c>
    </row>
    <row r="43" spans="3:40" ht="14.5">
      <c r="C43" s="157"/>
      <c r="D43" s="157"/>
      <c r="E43" s="157"/>
      <c r="F43" s="157"/>
      <c r="G43" s="157"/>
      <c r="H43" s="157"/>
      <c r="I43" s="157"/>
      <c r="J43" s="157"/>
      <c r="K43" s="157"/>
      <c r="L43" s="157"/>
      <c r="M43" s="157"/>
      <c r="N43" s="157"/>
      <c r="O43" s="157"/>
      <c r="S43" s="156">
        <f ca="1">iCComp!AB49</f>
        <v>0</v>
      </c>
      <c r="T43" s="201">
        <f ca="1">iCComp!AC49</f>
        <v>0</v>
      </c>
      <c r="U43" s="479"/>
      <c r="V43" s="480" t="str">
        <f ca="1">iCComp!AD49</f>
        <v/>
      </c>
      <c r="X43" s="805" t="str">
        <f ca="1">iCComp!AE49</f>
        <v/>
      </c>
      <c r="Y43" s="817" t="str">
        <f ca="1">iCComp!AF49</f>
        <v/>
      </c>
      <c r="AA43" s="805" t="str">
        <f ca="1">iCComp!AH49</f>
        <v/>
      </c>
      <c r="AB43" s="817" t="str">
        <f ca="1">iCComp!AI49</f>
        <v/>
      </c>
      <c r="AD43" s="797" t="str">
        <f ca="1">iCComp!AK49</f>
        <v/>
      </c>
      <c r="AE43" s="482"/>
      <c r="AG43" s="481" t="str">
        <f ca="1">iCComp!AN49</f>
        <v/>
      </c>
      <c r="AH43" s="482" t="str">
        <f ca="1">iCComp!AO49</f>
        <v/>
      </c>
      <c r="AI43" s="200"/>
      <c r="AJ43" s="200"/>
      <c r="AK43" s="204">
        <f t="shared" ca="1" si="0"/>
        <v>0</v>
      </c>
      <c r="AL43" s="204">
        <f t="shared" ca="1" si="1"/>
        <v>0</v>
      </c>
      <c r="AM43" s="200"/>
      <c r="AN43" s="486" t="str">
        <f t="shared" ca="1" si="3"/>
        <v/>
      </c>
    </row>
    <row r="44" spans="3:40" ht="14.5">
      <c r="C44" s="157"/>
      <c r="D44" s="157"/>
      <c r="E44" s="157"/>
      <c r="F44" s="157"/>
      <c r="G44" s="157"/>
      <c r="H44" s="157"/>
      <c r="I44" s="157"/>
      <c r="J44" s="157"/>
      <c r="K44" s="157"/>
      <c r="L44" s="157"/>
      <c r="M44" s="157"/>
      <c r="N44" s="157"/>
      <c r="O44" s="157"/>
      <c r="S44" s="156">
        <f ca="1">iCComp!AB50</f>
        <v>0</v>
      </c>
      <c r="T44" s="201">
        <f ca="1">iCComp!AC50</f>
        <v>0</v>
      </c>
      <c r="U44" s="479"/>
      <c r="V44" s="480" t="str">
        <f ca="1">iCComp!AD50</f>
        <v/>
      </c>
      <c r="X44" s="805" t="str">
        <f ca="1">iCComp!AE50</f>
        <v/>
      </c>
      <c r="Y44" s="817" t="str">
        <f ca="1">iCComp!AF50</f>
        <v/>
      </c>
      <c r="AA44" s="805" t="str">
        <f ca="1">iCComp!AH50</f>
        <v/>
      </c>
      <c r="AB44" s="817" t="str">
        <f ca="1">iCComp!AI50</f>
        <v/>
      </c>
      <c r="AD44" s="797" t="str">
        <f ca="1">iCComp!AK50</f>
        <v/>
      </c>
      <c r="AE44" s="482"/>
      <c r="AG44" s="481" t="str">
        <f ca="1">iCComp!AN50</f>
        <v/>
      </c>
      <c r="AH44" s="482" t="str">
        <f ca="1">iCComp!AO50</f>
        <v/>
      </c>
      <c r="AI44" s="200"/>
      <c r="AJ44" s="200"/>
      <c r="AK44" s="204">
        <f t="shared" ca="1" si="0"/>
        <v>0</v>
      </c>
      <c r="AL44" s="204">
        <f t="shared" ca="1" si="1"/>
        <v>0</v>
      </c>
      <c r="AM44" s="200"/>
      <c r="AN44" s="486" t="str">
        <f t="shared" ca="1" si="3"/>
        <v/>
      </c>
    </row>
    <row r="45" spans="3:40" ht="14.5">
      <c r="C45" s="157"/>
      <c r="D45" s="157"/>
      <c r="E45" s="157"/>
      <c r="F45" s="157"/>
      <c r="G45" s="157"/>
      <c r="H45" s="157"/>
      <c r="I45" s="157"/>
      <c r="J45" s="157"/>
      <c r="K45" s="157"/>
      <c r="L45" s="157"/>
      <c r="M45" s="157"/>
      <c r="N45" s="157"/>
      <c r="O45" s="157"/>
      <c r="S45" s="156">
        <f ca="1">iCComp!AB51</f>
        <v>0</v>
      </c>
      <c r="T45" s="201">
        <f ca="1">iCComp!AC51</f>
        <v>0</v>
      </c>
      <c r="U45" s="479"/>
      <c r="V45" s="480" t="str">
        <f ca="1">iCComp!AD51</f>
        <v/>
      </c>
      <c r="X45" s="805" t="str">
        <f ca="1">iCComp!AE51</f>
        <v/>
      </c>
      <c r="Y45" s="817" t="str">
        <f ca="1">iCComp!AF51</f>
        <v/>
      </c>
      <c r="AA45" s="805" t="str">
        <f ca="1">iCComp!AH51</f>
        <v/>
      </c>
      <c r="AB45" s="817" t="str">
        <f ca="1">iCComp!AI51</f>
        <v/>
      </c>
      <c r="AD45" s="797" t="str">
        <f ca="1">iCComp!AK51</f>
        <v/>
      </c>
      <c r="AE45" s="482"/>
      <c r="AG45" s="481" t="str">
        <f ca="1">iCComp!AN51</f>
        <v/>
      </c>
      <c r="AH45" s="482" t="str">
        <f ca="1">iCComp!AO51</f>
        <v/>
      </c>
      <c r="AI45" s="200"/>
      <c r="AJ45" s="200"/>
      <c r="AK45" s="204">
        <f t="shared" ca="1" si="0"/>
        <v>0</v>
      </c>
      <c r="AL45" s="204">
        <f t="shared" ca="1" si="1"/>
        <v>0</v>
      </c>
      <c r="AM45" s="200"/>
      <c r="AN45" s="486" t="str">
        <f t="shared" ca="1" si="3"/>
        <v/>
      </c>
    </row>
    <row r="46" spans="3:40" ht="14.5">
      <c r="C46" s="157"/>
      <c r="D46" s="157"/>
      <c r="E46" s="157"/>
      <c r="F46" s="157"/>
      <c r="G46" s="157"/>
      <c r="H46" s="157"/>
      <c r="I46" s="157"/>
      <c r="J46" s="157"/>
      <c r="K46" s="157"/>
      <c r="L46" s="157"/>
      <c r="M46" s="157"/>
      <c r="N46" s="157"/>
      <c r="O46" s="157"/>
      <c r="S46" s="156">
        <f ca="1">iCComp!AB52</f>
        <v>0</v>
      </c>
      <c r="T46" s="201">
        <f ca="1">iCComp!AC52</f>
        <v>0</v>
      </c>
      <c r="U46" s="479"/>
      <c r="V46" s="480" t="str">
        <f ca="1">iCComp!AD52</f>
        <v/>
      </c>
      <c r="X46" s="805" t="str">
        <f ca="1">iCComp!AE52</f>
        <v/>
      </c>
      <c r="Y46" s="817" t="str">
        <f ca="1">iCComp!AF52</f>
        <v/>
      </c>
      <c r="AA46" s="805" t="str">
        <f ca="1">iCComp!AH52</f>
        <v/>
      </c>
      <c r="AB46" s="817" t="str">
        <f ca="1">iCComp!AI52</f>
        <v/>
      </c>
      <c r="AD46" s="797" t="str">
        <f ca="1">iCComp!AK52</f>
        <v/>
      </c>
      <c r="AE46" s="482"/>
      <c r="AG46" s="481" t="str">
        <f ca="1">iCComp!AN52</f>
        <v/>
      </c>
      <c r="AH46" s="482" t="str">
        <f ca="1">iCComp!AO52</f>
        <v/>
      </c>
      <c r="AI46" s="200"/>
      <c r="AJ46" s="200"/>
      <c r="AK46" s="204">
        <f t="shared" ca="1" si="0"/>
        <v>0</v>
      </c>
      <c r="AL46" s="204">
        <f t="shared" ca="1" si="1"/>
        <v>0</v>
      </c>
      <c r="AM46" s="200"/>
      <c r="AN46" s="486" t="str">
        <f t="shared" ca="1" si="3"/>
        <v/>
      </c>
    </row>
    <row r="47" spans="3:40" ht="14.5">
      <c r="C47" s="157"/>
      <c r="D47" s="157"/>
      <c r="E47" s="157"/>
      <c r="F47" s="157"/>
      <c r="G47" s="157"/>
      <c r="H47" s="157"/>
      <c r="I47" s="157"/>
      <c r="J47" s="157"/>
      <c r="K47" s="157"/>
      <c r="L47" s="157"/>
      <c r="M47" s="157"/>
      <c r="N47" s="157"/>
      <c r="O47" s="157"/>
      <c r="S47" s="156">
        <f ca="1">iCComp!AB53</f>
        <v>0</v>
      </c>
      <c r="T47" s="201">
        <f ca="1">iCComp!AC53</f>
        <v>0</v>
      </c>
      <c r="U47" s="479"/>
      <c r="V47" s="480" t="str">
        <f ca="1">iCComp!AD53</f>
        <v/>
      </c>
      <c r="X47" s="805" t="str">
        <f ca="1">iCComp!AE53</f>
        <v/>
      </c>
      <c r="Y47" s="817" t="str">
        <f ca="1">iCComp!AF53</f>
        <v/>
      </c>
      <c r="AA47" s="805" t="str">
        <f ca="1">iCComp!AH53</f>
        <v/>
      </c>
      <c r="AB47" s="817" t="str">
        <f ca="1">iCComp!AI53</f>
        <v/>
      </c>
      <c r="AD47" s="797" t="str">
        <f ca="1">iCComp!AK53</f>
        <v/>
      </c>
      <c r="AE47" s="482"/>
      <c r="AG47" s="481" t="str">
        <f ca="1">iCComp!AN53</f>
        <v/>
      </c>
      <c r="AH47" s="482" t="str">
        <f ca="1">iCComp!AO53</f>
        <v/>
      </c>
      <c r="AI47" s="200"/>
      <c r="AJ47" s="200"/>
      <c r="AK47" s="204">
        <f t="shared" ca="1" si="0"/>
        <v>0</v>
      </c>
      <c r="AL47" s="204">
        <f t="shared" ca="1" si="1"/>
        <v>0</v>
      </c>
      <c r="AM47" s="200"/>
      <c r="AN47" s="486" t="str">
        <f t="shared" ca="1" si="3"/>
        <v/>
      </c>
    </row>
    <row r="48" spans="3:40" ht="14.5">
      <c r="C48" s="157"/>
      <c r="D48" s="157"/>
      <c r="E48" s="157"/>
      <c r="F48" s="157"/>
      <c r="G48" s="157"/>
      <c r="H48" s="157"/>
      <c r="I48" s="157"/>
      <c r="J48" s="157"/>
      <c r="K48" s="157"/>
      <c r="L48" s="157"/>
      <c r="M48" s="157"/>
      <c r="N48" s="157"/>
      <c r="O48" s="157"/>
      <c r="S48" s="156">
        <f ca="1">iCComp!AB54</f>
        <v>0</v>
      </c>
      <c r="T48" s="201">
        <f ca="1">iCComp!AC54</f>
        <v>0</v>
      </c>
      <c r="U48" s="479"/>
      <c r="V48" s="480" t="str">
        <f ca="1">iCComp!AD54</f>
        <v/>
      </c>
      <c r="X48" s="805" t="str">
        <f ca="1">iCComp!AE54</f>
        <v/>
      </c>
      <c r="Y48" s="817" t="str">
        <f ca="1">iCComp!AF54</f>
        <v/>
      </c>
      <c r="AA48" s="805" t="str">
        <f ca="1">iCComp!AH54</f>
        <v/>
      </c>
      <c r="AB48" s="817" t="str">
        <f ca="1">iCComp!AI54</f>
        <v/>
      </c>
      <c r="AD48" s="797" t="str">
        <f ca="1">iCComp!AK54</f>
        <v/>
      </c>
      <c r="AE48" s="482"/>
      <c r="AG48" s="481" t="str">
        <f ca="1">iCComp!AN54</f>
        <v/>
      </c>
      <c r="AH48" s="482" t="str">
        <f ca="1">iCComp!AO54</f>
        <v/>
      </c>
      <c r="AI48" s="200"/>
      <c r="AJ48" s="200"/>
      <c r="AK48" s="204">
        <f t="shared" ca="1" si="0"/>
        <v>0</v>
      </c>
      <c r="AL48" s="204">
        <f t="shared" ca="1" si="1"/>
        <v>0</v>
      </c>
      <c r="AM48" s="200"/>
      <c r="AN48" s="486" t="str">
        <f t="shared" ca="1" si="3"/>
        <v/>
      </c>
    </row>
    <row r="49" spans="3:40" ht="14.5">
      <c r="C49" s="157"/>
      <c r="D49" s="157"/>
      <c r="E49" s="157"/>
      <c r="F49" s="157"/>
      <c r="G49" s="157"/>
      <c r="H49" s="157"/>
      <c r="I49" s="157"/>
      <c r="J49" s="157"/>
      <c r="K49" s="157"/>
      <c r="L49" s="157"/>
      <c r="M49" s="157"/>
      <c r="N49" s="157"/>
      <c r="O49" s="157"/>
      <c r="S49" s="156">
        <f ca="1">iCComp!AB57</f>
        <v>0</v>
      </c>
      <c r="T49" s="201">
        <f ca="1">iCComp!AC57</f>
        <v>0</v>
      </c>
      <c r="U49" s="479"/>
      <c r="V49" s="480" t="str">
        <f ca="1">iCComp!AD57</f>
        <v/>
      </c>
      <c r="X49" s="805" t="str">
        <f ca="1">iCComp!AE57</f>
        <v/>
      </c>
      <c r="Y49" s="817" t="str">
        <f ca="1">iCComp!AF57</f>
        <v/>
      </c>
      <c r="AA49" s="805" t="str">
        <f ca="1">iCComp!AH57</f>
        <v/>
      </c>
      <c r="AB49" s="817" t="str">
        <f ca="1">iCComp!AI57</f>
        <v/>
      </c>
      <c r="AD49" s="797" t="str">
        <f ca="1">iCComp!AK57</f>
        <v/>
      </c>
      <c r="AE49" s="482"/>
      <c r="AG49" s="481" t="str">
        <f ca="1">iCComp!AN57</f>
        <v/>
      </c>
      <c r="AH49" s="482" t="str">
        <f ca="1">iCComp!AO57</f>
        <v/>
      </c>
      <c r="AI49" s="200"/>
      <c r="AJ49" s="200"/>
      <c r="AK49" s="204">
        <f t="shared" ca="1" si="0"/>
        <v>0</v>
      </c>
      <c r="AL49" s="204">
        <f t="shared" ca="1" si="1"/>
        <v>0</v>
      </c>
      <c r="AM49" s="200"/>
      <c r="AN49" s="486" t="str">
        <f t="shared" ca="1" si="3"/>
        <v/>
      </c>
    </row>
    <row r="50" spans="3:40" ht="14.5">
      <c r="C50" s="157"/>
      <c r="D50" s="157"/>
      <c r="E50" s="157"/>
      <c r="F50" s="157"/>
      <c r="G50" s="157"/>
      <c r="H50" s="157"/>
      <c r="I50" s="157"/>
      <c r="J50" s="157"/>
      <c r="K50" s="157"/>
      <c r="L50" s="157"/>
      <c r="M50" s="157"/>
      <c r="N50" s="157"/>
      <c r="O50" s="157"/>
      <c r="S50" s="156">
        <f ca="1">iCComp!AB58</f>
        <v>0</v>
      </c>
      <c r="T50" s="201">
        <f ca="1">iCComp!AC58</f>
        <v>0</v>
      </c>
      <c r="U50" s="479"/>
      <c r="V50" s="480" t="str">
        <f ca="1">iCComp!AD58</f>
        <v/>
      </c>
      <c r="X50" s="805" t="str">
        <f ca="1">iCComp!AE58</f>
        <v/>
      </c>
      <c r="Y50" s="817" t="str">
        <f ca="1">iCComp!AF58</f>
        <v/>
      </c>
      <c r="AA50" s="805" t="str">
        <f ca="1">iCComp!AH58</f>
        <v/>
      </c>
      <c r="AB50" s="817" t="str">
        <f ca="1">iCComp!AI58</f>
        <v/>
      </c>
      <c r="AD50" s="797" t="str">
        <f ca="1">iCComp!AK58</f>
        <v/>
      </c>
      <c r="AE50" s="482"/>
      <c r="AG50" s="481" t="str">
        <f ca="1">iCComp!AN58</f>
        <v/>
      </c>
      <c r="AH50" s="482" t="str">
        <f ca="1">iCComp!AO58</f>
        <v/>
      </c>
      <c r="AI50" s="200"/>
      <c r="AJ50" s="200"/>
      <c r="AK50" s="204">
        <f t="shared" ca="1" si="0"/>
        <v>0</v>
      </c>
      <c r="AL50" s="204">
        <f t="shared" ca="1" si="1"/>
        <v>0</v>
      </c>
      <c r="AM50" s="200"/>
      <c r="AN50" s="486" t="str">
        <f t="shared" ca="1" si="3"/>
        <v/>
      </c>
    </row>
    <row r="51" spans="3:40" ht="14.5">
      <c r="C51" s="157"/>
      <c r="D51" s="157"/>
      <c r="E51" s="157"/>
      <c r="F51" s="157"/>
      <c r="G51" s="157"/>
      <c r="H51" s="157"/>
      <c r="I51" s="157"/>
      <c r="J51" s="157"/>
      <c r="K51" s="157"/>
      <c r="L51" s="157"/>
      <c r="M51" s="157"/>
      <c r="N51" s="157"/>
      <c r="O51" s="157"/>
      <c r="S51" s="156">
        <f ca="1">iCComp!AB59</f>
        <v>0</v>
      </c>
      <c r="T51" s="201">
        <f ca="1">iCComp!AC59</f>
        <v>0</v>
      </c>
      <c r="U51" s="479"/>
      <c r="V51" s="480" t="str">
        <f ca="1">iCComp!AD59</f>
        <v/>
      </c>
      <c r="X51" s="805" t="str">
        <f ca="1">iCComp!AE59</f>
        <v/>
      </c>
      <c r="Y51" s="817" t="str">
        <f ca="1">iCComp!AF59</f>
        <v/>
      </c>
      <c r="AA51" s="805" t="str">
        <f ca="1">iCComp!AH59</f>
        <v/>
      </c>
      <c r="AB51" s="817" t="str">
        <f ca="1">iCComp!AI59</f>
        <v/>
      </c>
      <c r="AD51" s="797" t="str">
        <f ca="1">iCComp!AK59</f>
        <v/>
      </c>
      <c r="AE51" s="482"/>
      <c r="AG51" s="481" t="str">
        <f ca="1">iCComp!AN59</f>
        <v/>
      </c>
      <c r="AH51" s="482" t="str">
        <f ca="1">iCComp!AO59</f>
        <v/>
      </c>
      <c r="AI51" s="200"/>
      <c r="AJ51" s="200"/>
      <c r="AK51" s="204">
        <f t="shared" ca="1" si="0"/>
        <v>0</v>
      </c>
      <c r="AL51" s="204">
        <f t="shared" ca="1" si="1"/>
        <v>0</v>
      </c>
      <c r="AM51" s="200"/>
      <c r="AN51" s="486" t="str">
        <f t="shared" ca="1" si="3"/>
        <v/>
      </c>
    </row>
    <row r="52" spans="3:40" ht="14.5">
      <c r="C52" s="157"/>
      <c r="D52" s="157"/>
      <c r="E52" s="157"/>
      <c r="F52" s="157"/>
      <c r="G52" s="157"/>
      <c r="H52" s="157"/>
      <c r="I52" s="157"/>
      <c r="J52" s="157"/>
      <c r="K52" s="157"/>
      <c r="L52" s="157"/>
      <c r="M52" s="157"/>
      <c r="N52" s="157"/>
      <c r="O52" s="157"/>
      <c r="S52" s="156">
        <f ca="1">iCComp!AB60</f>
        <v>0</v>
      </c>
      <c r="T52" s="201">
        <f ca="1">iCComp!AC60</f>
        <v>0</v>
      </c>
      <c r="U52" s="479"/>
      <c r="V52" s="480" t="str">
        <f ca="1">iCComp!AD60</f>
        <v/>
      </c>
      <c r="X52" s="481" t="str">
        <f ca="1">iCComp!AE60</f>
        <v/>
      </c>
      <c r="Y52" s="482" t="str">
        <f ca="1">iCComp!AF60</f>
        <v/>
      </c>
      <c r="AA52" s="481" t="str">
        <f ca="1">iCComp!AH60</f>
        <v/>
      </c>
      <c r="AB52" s="482" t="str">
        <f ca="1">iCComp!AI60</f>
        <v/>
      </c>
      <c r="AD52" s="797" t="str">
        <f ca="1">iCComp!AK60</f>
        <v/>
      </c>
      <c r="AE52" s="482"/>
      <c r="AG52" s="481" t="str">
        <f ca="1">iCComp!AN60</f>
        <v/>
      </c>
      <c r="AH52" s="482" t="str">
        <f ca="1">iCComp!AO60</f>
        <v/>
      </c>
      <c r="AI52" s="200"/>
      <c r="AJ52" s="200"/>
      <c r="AK52" s="204">
        <f t="shared" ca="1" si="0"/>
        <v>0</v>
      </c>
      <c r="AL52" s="204">
        <f t="shared" ca="1" si="1"/>
        <v>0</v>
      </c>
      <c r="AM52" s="200"/>
      <c r="AN52" s="486" t="str">
        <f t="shared" ref="AN52" ca="1" si="4">V52</f>
        <v/>
      </c>
    </row>
  </sheetData>
  <mergeCells count="7">
    <mergeCell ref="U10:AE10"/>
    <mergeCell ref="U11:AG11"/>
    <mergeCell ref="V14:V15"/>
    <mergeCell ref="X14:Y14"/>
    <mergeCell ref="AA14:AB14"/>
    <mergeCell ref="AD14:AE14"/>
    <mergeCell ref="AG14:AH14"/>
  </mergeCells>
  <conditionalFormatting sqref="U16:U52">
    <cfRule type="expression" dxfId="206" priority="15">
      <formula>T16=4</formula>
    </cfRule>
    <cfRule type="expression" dxfId="205" priority="16">
      <formula>T16=3</formula>
    </cfRule>
    <cfRule type="expression" dxfId="204" priority="17">
      <formula>T16=2</formula>
    </cfRule>
    <cfRule type="expression" dxfId="203" priority="18">
      <formula>T16=1</formula>
    </cfRule>
  </conditionalFormatting>
  <conditionalFormatting sqref="V16:V52 X16:Y52 AA16:AB52 AD16:AE52 AG16:AH52">
    <cfRule type="expression" dxfId="202" priority="1">
      <formula>$S16=5</formula>
    </cfRule>
    <cfRule type="expression" dxfId="201" priority="4">
      <formula>$T16=2</formula>
    </cfRule>
    <cfRule type="expression" dxfId="200" priority="5">
      <formula>$S16=3</formula>
    </cfRule>
    <cfRule type="expression" dxfId="199" priority="6">
      <formula>AND($T$14=1,$S16=1)</formula>
    </cfRule>
    <cfRule type="expression" dxfId="198" priority="7">
      <formula>AND($T$14=2,$S16=4)</formula>
    </cfRule>
    <cfRule type="expression" dxfId="197" priority="19">
      <formula>$S16=0</formula>
    </cfRule>
  </conditionalFormatting>
  <conditionalFormatting sqref="AD16:AD52 AG16:AG52 X16:X52 AA16:AA52">
    <cfRule type="expression" dxfId="196" priority="11">
      <formula>X16=$AL16</formula>
    </cfRule>
    <cfRule type="expression" dxfId="195" priority="12">
      <formula>X16=$AK16</formula>
    </cfRule>
  </conditionalFormatting>
  <conditionalFormatting sqref="AB16:AB52 AE16:AE52 AH16:AH52 Y16:Y52">
    <cfRule type="expression" dxfId="194" priority="9">
      <formula>X16=$AL16</formula>
    </cfRule>
    <cfRule type="expression" dxfId="193" priority="10">
      <formula>X16=$AK16</formula>
    </cfRule>
  </conditionalFormatting>
  <conditionalFormatting sqref="V16 X16:Y16 AA16:AB16 AD16:AE16 AG16:AH16">
    <cfRule type="expression" dxfId="192" priority="20">
      <formula>$T17=0</formula>
    </cfRule>
  </conditionalFormatting>
  <conditionalFormatting sqref="V16:V52">
    <cfRule type="expression" dxfId="191" priority="13">
      <formula>$S16=4</formula>
    </cfRule>
  </conditionalFormatting>
  <conditionalFormatting sqref="U16:V52 X16:Y52 AA16:AB52 AD16:AE52 AG16:AH52">
    <cfRule type="expression" dxfId="190" priority="8">
      <formula>AND($T16=1,$T17=0)</formula>
    </cfRule>
  </conditionalFormatting>
  <conditionalFormatting sqref="V17:V52 X17:Y52 AA17:AB52 AD17:AE52 AG17:AH52">
    <cfRule type="expression" dxfId="189" priority="2">
      <formula>AND($T$14&gt;1,$S17=2)</formula>
    </cfRule>
  </conditionalFormatting>
  <pageMargins left="0.55118110236220474" right="0.55118110236220474" top="0.59055118110236227" bottom="0.78740157480314965" header="0.51181102362204722" footer="0.51181102362204722"/>
  <pageSetup paperSize="9" scale="56" orientation="landscape" r:id="rId1"/>
  <headerFooter alignWithMargins="0">
    <oddHeader>&amp;RCity Water Optimization Index: 2020</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464002" r:id="rId4" name="Cnt_Select">
              <controlPr defaultSize="0" autoLine="0" autoPict="0" macro="[0]!UniversalChanger">
                <anchor>
                  <from>
                    <xdr:col>0</xdr:col>
                    <xdr:colOff>76200</xdr:colOff>
                    <xdr:row>1</xdr:row>
                    <xdr:rowOff>546100</xdr:rowOff>
                  </from>
                  <to>
                    <xdr:col>2</xdr:col>
                    <xdr:colOff>1181100</xdr:colOff>
                    <xdr:row>1</xdr:row>
                    <xdr:rowOff>762000</xdr:rowOff>
                  </to>
                </anchor>
              </controlPr>
            </control>
          </mc:Choice>
        </mc:AlternateContent>
        <mc:AlternateContent xmlns:mc="http://schemas.openxmlformats.org/markup-compatibility/2006">
          <mc:Choice Requires="x14">
            <control shapeId="14464003" r:id="rId5" name="Cnt_Select_2">
              <controlPr defaultSize="0" autoLine="0" autoPict="0" macro="[0]!UniversalChanger">
                <anchor>
                  <from>
                    <xdr:col>3</xdr:col>
                    <xdr:colOff>50800</xdr:colOff>
                    <xdr:row>1</xdr:row>
                    <xdr:rowOff>546100</xdr:rowOff>
                  </from>
                  <to>
                    <xdr:col>10</xdr:col>
                    <xdr:colOff>50800</xdr:colOff>
                    <xdr:row>1</xdr:row>
                    <xdr:rowOff>762000</xdr:rowOff>
                  </to>
                </anchor>
              </controlPr>
            </control>
          </mc:Choice>
        </mc:AlternateContent>
        <mc:AlternateContent xmlns:mc="http://schemas.openxmlformats.org/markup-compatibility/2006">
          <mc:Choice Requires="x14">
            <control shapeId="14464006" r:id="rId6" name="CC_Cat_Select">
              <controlPr defaultSize="0" autoLine="0" autoPict="0" macro="[0]!UniversalChanger">
                <anchor>
                  <from>
                    <xdr:col>17</xdr:col>
                    <xdr:colOff>133350</xdr:colOff>
                    <xdr:row>1</xdr:row>
                    <xdr:rowOff>546100</xdr:rowOff>
                  </from>
                  <to>
                    <xdr:col>21</xdr:col>
                    <xdr:colOff>2762250</xdr:colOff>
                    <xdr:row>1</xdr:row>
                    <xdr:rowOff>762000</xdr:rowOff>
                  </to>
                </anchor>
              </controlPr>
            </control>
          </mc:Choice>
        </mc:AlternateContent>
        <mc:AlternateContent xmlns:mc="http://schemas.openxmlformats.org/markup-compatibility/2006">
          <mc:Choice Requires="x14">
            <control shapeId="14464013" r:id="rId7" name="INCOME_FILTER">
              <controlPr defaultSize="0" print="0" autoLine="0" autoPict="0" macro="[0]!UniversalChanger">
                <anchor>
                  <from>
                    <xdr:col>10</xdr:col>
                    <xdr:colOff>107950</xdr:colOff>
                    <xdr:row>3</xdr:row>
                    <xdr:rowOff>336550</xdr:rowOff>
                  </from>
                  <to>
                    <xdr:col>14</xdr:col>
                    <xdr:colOff>431800</xdr:colOff>
                    <xdr:row>3</xdr:row>
                    <xdr:rowOff>552450</xdr:rowOff>
                  </to>
                </anchor>
              </controlPr>
            </control>
          </mc:Choice>
        </mc:AlternateContent>
        <mc:AlternateContent xmlns:mc="http://schemas.openxmlformats.org/markup-compatibility/2006">
          <mc:Choice Requires="x14">
            <control shapeId="14464014" r:id="rId8" name="R_FILTER">
              <controlPr defaultSize="0" print="0" autoLine="0" autoPict="0" macro="[0]!UniversalChanger">
                <anchor>
                  <from>
                    <xdr:col>2</xdr:col>
                    <xdr:colOff>685800</xdr:colOff>
                    <xdr:row>3</xdr:row>
                    <xdr:rowOff>323850</xdr:rowOff>
                  </from>
                  <to>
                    <xdr:col>8</xdr:col>
                    <xdr:colOff>95250</xdr:colOff>
                    <xdr:row>3</xdr:row>
                    <xdr:rowOff>546100</xdr:rowOff>
                  </to>
                </anchor>
              </controlPr>
            </control>
          </mc:Choice>
        </mc:AlternateContent>
        <mc:AlternateContent xmlns:mc="http://schemas.openxmlformats.org/markup-compatibility/2006">
          <mc:Choice Requires="x14">
            <control shapeId="14464015" r:id="rId9" name="L_Weights">
              <controlPr defaultSize="0" print="0" autoLine="0" autoPict="0" macro="[0]!UniversalChanger">
                <anchor>
                  <from>
                    <xdr:col>24</xdr:col>
                    <xdr:colOff>533400</xdr:colOff>
                    <xdr:row>3</xdr:row>
                    <xdr:rowOff>323850</xdr:rowOff>
                  </from>
                  <to>
                    <xdr:col>28</xdr:col>
                    <xdr:colOff>31750</xdr:colOff>
                    <xdr:row>3</xdr:row>
                    <xdr:rowOff>546100</xdr:rowOff>
                  </to>
                </anchor>
              </controlPr>
            </control>
          </mc:Choice>
        </mc:AlternateContent>
        <mc:AlternateContent xmlns:mc="http://schemas.openxmlformats.org/markup-compatibility/2006">
          <mc:Choice Requires="x14">
            <control shapeId="14464016" r:id="rId10" name="POP_DD">
              <controlPr defaultSize="0" print="0" autoLine="0" autoPict="0" macro="[0]!UniversalChanger">
                <anchor>
                  <from>
                    <xdr:col>20</xdr:col>
                    <xdr:colOff>107950</xdr:colOff>
                    <xdr:row>3</xdr:row>
                    <xdr:rowOff>323850</xdr:rowOff>
                  </from>
                  <to>
                    <xdr:col>21</xdr:col>
                    <xdr:colOff>1765300</xdr:colOff>
                    <xdr:row>3</xdr:row>
                    <xdr:rowOff>546100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pageSetUpPr fitToPage="1"/>
  </sheetPr>
  <dimension ref="A1:BS182"/>
  <sheetViews>
    <sheetView showGridLines="0" showRowColHeaders="0" zoomScaleNormal="100" zoomScaleSheetLayoutView="50" workbookViewId="0">
      <pane ySplit="13" topLeftCell="A14" activePane="bottomLeft" state="frozen"/>
      <selection pane="bottomLeft"/>
    </sheetView>
  </sheetViews>
  <sheetFormatPr defaultColWidth="9.453125" defaultRowHeight="14.5"/>
  <cols>
    <col min="1" max="1" width="2.54296875" style="156" customWidth="1"/>
    <col min="2" max="2" width="11.26953125" style="156" hidden="1" customWidth="1"/>
    <col min="3" max="3" width="6.453125" style="156" hidden="1" customWidth="1"/>
    <col min="4" max="4" width="2" style="156" customWidth="1"/>
    <col min="5" max="5" width="49.7265625" style="156" customWidth="1"/>
    <col min="6" max="6" width="0.54296875" style="367" customWidth="1"/>
    <col min="7" max="12" width="7.54296875" style="156" hidden="1" customWidth="1"/>
    <col min="13" max="13" width="7.54296875" style="483" hidden="1" customWidth="1"/>
    <col min="14" max="14" width="8.453125" style="156" hidden="1" customWidth="1"/>
    <col min="15" max="16" width="8.453125" style="157" hidden="1" customWidth="1"/>
    <col min="17" max="17" width="9.54296875" style="157" hidden="1" customWidth="1"/>
    <col min="18" max="18" width="8.453125" style="157" customWidth="1"/>
    <col min="19" max="19" width="0.54296875" style="367" customWidth="1"/>
    <col min="20" max="20" width="8.453125" style="157" customWidth="1"/>
    <col min="21" max="21" width="0.54296875" style="367" customWidth="1"/>
    <col min="22" max="26" width="8.453125" style="157" customWidth="1"/>
    <col min="27" max="27" width="0.54296875" style="367" customWidth="1"/>
    <col min="28" max="30" width="8.453125" style="157" customWidth="1"/>
    <col min="31" max="31" width="0.54296875" style="367" customWidth="1"/>
    <col min="32" max="35" width="8.453125" style="157" customWidth="1"/>
    <col min="36" max="36" width="8.453125" style="157" hidden="1" customWidth="1"/>
    <col min="37" max="37" width="2.453125" style="157" customWidth="1"/>
    <col min="38" max="38" width="5.54296875" style="367" customWidth="1"/>
    <col min="39" max="39" width="5.54296875" style="157" customWidth="1"/>
    <col min="40" max="41" width="5.54296875" style="157" hidden="1" customWidth="1"/>
    <col min="42" max="43" width="5.54296875" style="166" customWidth="1"/>
    <col min="44" max="64" width="4" style="166" hidden="1" customWidth="1"/>
    <col min="65" max="65" width="8.54296875" style="155" customWidth="1"/>
    <col min="66" max="16384" width="9.453125" style="367"/>
  </cols>
  <sheetData>
    <row r="1" spans="1:71" ht="22.5" customHeight="1">
      <c r="A1" s="877" t="str">
        <f>uxb_works!$B$92</f>
        <v>Digital Cities Index</v>
      </c>
      <c r="B1" s="877"/>
      <c r="C1" s="878"/>
      <c r="D1" s="878"/>
      <c r="E1" s="878"/>
      <c r="F1" s="879"/>
      <c r="G1" s="878"/>
      <c r="H1" s="878"/>
      <c r="I1" s="878"/>
      <c r="J1" s="878"/>
      <c r="K1" s="878"/>
      <c r="L1" s="878"/>
      <c r="M1" s="878"/>
      <c r="N1" s="878"/>
      <c r="O1" s="878"/>
      <c r="P1" s="878"/>
      <c r="Q1" s="878"/>
      <c r="R1" s="878"/>
      <c r="S1" s="879"/>
      <c r="T1" s="878"/>
      <c r="U1" s="879"/>
      <c r="V1" s="878"/>
      <c r="W1" s="878"/>
      <c r="X1" s="878"/>
      <c r="Y1" s="878"/>
      <c r="Z1" s="878"/>
      <c r="AA1" s="879"/>
      <c r="AB1" s="878"/>
      <c r="AC1" s="878"/>
      <c r="AD1" s="878"/>
      <c r="AE1" s="879"/>
      <c r="AF1" s="878"/>
      <c r="AG1" s="878"/>
      <c r="AH1" s="878"/>
      <c r="AI1" s="878"/>
      <c r="AJ1" s="878"/>
      <c r="AK1" s="878"/>
      <c r="AM1" s="132"/>
      <c r="AN1" s="170">
        <f>uxb_works!L16</f>
        <v>1</v>
      </c>
      <c r="AO1" s="132"/>
      <c r="AP1" s="170"/>
      <c r="AQ1" s="170"/>
      <c r="AR1" s="170"/>
      <c r="AS1" s="170"/>
      <c r="AT1" s="170"/>
      <c r="AU1" s="170"/>
      <c r="AV1" s="170"/>
      <c r="AW1" s="170"/>
      <c r="AX1" s="170"/>
      <c r="AY1" s="170"/>
      <c r="AZ1" s="170"/>
      <c r="BA1" s="170">
        <v>1</v>
      </c>
      <c r="BB1" s="170">
        <v>6</v>
      </c>
      <c r="BC1" s="170"/>
      <c r="BD1" s="170"/>
      <c r="BE1" s="170"/>
      <c r="BF1" s="170"/>
      <c r="BG1" s="170"/>
      <c r="BH1" s="170">
        <v>1</v>
      </c>
      <c r="BI1" s="170">
        <v>5</v>
      </c>
      <c r="BJ1" s="170">
        <v>1</v>
      </c>
      <c r="BK1" s="170">
        <v>6</v>
      </c>
      <c r="BM1" s="175"/>
    </row>
    <row r="2" spans="1:71" ht="63" customHeight="1">
      <c r="A2" s="155"/>
      <c r="B2" s="155"/>
      <c r="C2" s="155"/>
      <c r="D2" s="155"/>
      <c r="G2" s="155"/>
      <c r="J2" s="155"/>
      <c r="M2" s="155"/>
      <c r="O2" s="156"/>
      <c r="P2" s="156"/>
      <c r="Q2" s="156"/>
      <c r="R2" s="162"/>
      <c r="T2" s="162"/>
      <c r="V2" s="156"/>
      <c r="W2" s="156"/>
      <c r="X2" s="156"/>
      <c r="Y2" s="156"/>
      <c r="Z2" s="156"/>
      <c r="AB2" s="156"/>
      <c r="AC2" s="156"/>
      <c r="AD2" s="156"/>
      <c r="AF2" s="156"/>
      <c r="AG2" s="156"/>
      <c r="AH2" s="156"/>
      <c r="AI2" s="156"/>
      <c r="AJ2" s="156"/>
      <c r="AK2" s="156"/>
      <c r="AM2" s="156"/>
      <c r="AN2" s="156"/>
      <c r="BM2" s="177"/>
    </row>
    <row r="3" spans="1:71" s="156" customFormat="1" ht="4" customHeight="1">
      <c r="A3" s="800"/>
      <c r="B3" s="800"/>
      <c r="C3" s="800"/>
      <c r="D3" s="800"/>
      <c r="E3" s="800"/>
      <c r="F3" s="800"/>
      <c r="G3" s="800"/>
      <c r="H3" s="800"/>
      <c r="I3" s="800"/>
      <c r="J3" s="800"/>
      <c r="K3" s="800"/>
      <c r="L3" s="800"/>
      <c r="M3" s="800"/>
      <c r="N3" s="800"/>
      <c r="O3" s="800"/>
      <c r="P3" s="800"/>
      <c r="Q3" s="800"/>
      <c r="R3" s="800"/>
      <c r="S3" s="800"/>
      <c r="T3" s="800"/>
      <c r="U3" s="800"/>
      <c r="V3" s="800"/>
      <c r="W3" s="800"/>
      <c r="X3" s="800"/>
      <c r="Y3" s="800"/>
      <c r="Z3" s="800"/>
      <c r="AA3" s="800"/>
      <c r="AB3" s="800"/>
      <c r="AC3" s="800"/>
      <c r="AD3" s="800"/>
      <c r="AE3" s="800"/>
      <c r="AF3" s="800"/>
      <c r="AG3" s="800"/>
      <c r="AH3" s="800"/>
      <c r="AI3" s="800"/>
      <c r="AJ3" s="800"/>
      <c r="AK3" s="800"/>
      <c r="AL3" s="367"/>
      <c r="AP3" s="155"/>
      <c r="AQ3" s="155"/>
      <c r="AR3" s="155"/>
      <c r="AS3" s="155"/>
      <c r="AT3" s="176"/>
      <c r="AU3" s="155"/>
      <c r="AV3" s="176"/>
      <c r="AY3" s="177"/>
      <c r="AZ3" s="177"/>
      <c r="BA3" s="177"/>
      <c r="BB3" s="177"/>
      <c r="BC3" s="155"/>
      <c r="BD3" s="178"/>
      <c r="BE3" s="155"/>
      <c r="BF3" s="155"/>
      <c r="BG3" s="178"/>
      <c r="BH3" s="155"/>
      <c r="BI3" s="155"/>
      <c r="BJ3" s="178"/>
      <c r="BK3" s="155"/>
      <c r="BL3" s="155"/>
      <c r="BM3" s="178"/>
      <c r="BN3" s="155"/>
      <c r="BO3" s="155"/>
      <c r="BP3" s="155"/>
      <c r="BQ3" s="155"/>
      <c r="BR3" s="155"/>
      <c r="BS3" s="155"/>
    </row>
    <row r="4" spans="1:71" s="156" customFormat="1" ht="50.15" customHeight="1">
      <c r="A4" s="801">
        <f>uxb_works!B111</f>
        <v>2</v>
      </c>
      <c r="B4" s="801" t="str">
        <f>uxb_works!C111</f>
        <v>Hide these options</v>
      </c>
      <c r="C4" s="801" t="str">
        <f>uxb_works!D111</f>
        <v>Hide these options</v>
      </c>
      <c r="D4" s="801" t="str">
        <f>uxb_works!E111</f>
        <v>Show more options</v>
      </c>
      <c r="E4" s="801">
        <f>uxb_works!F111</f>
        <v>0</v>
      </c>
      <c r="F4" s="801">
        <f>uxb_works!G111</f>
        <v>0</v>
      </c>
      <c r="G4" s="801">
        <f>uxb_works!H111</f>
        <v>0</v>
      </c>
      <c r="H4" s="801">
        <f>uxb_works!I111</f>
        <v>0</v>
      </c>
      <c r="I4" s="801">
        <f>uxb_works!J111</f>
        <v>0</v>
      </c>
      <c r="J4" s="801">
        <f>uxb_works!K111</f>
        <v>0</v>
      </c>
      <c r="K4" s="801">
        <f>uxb_works!L111</f>
        <v>0</v>
      </c>
      <c r="L4" s="801">
        <f>uxb_works!M111</f>
        <v>0</v>
      </c>
      <c r="M4" s="801">
        <f>uxb_works!N111</f>
        <v>0</v>
      </c>
      <c r="N4" s="801">
        <f>uxb_works!O111</f>
        <v>0</v>
      </c>
      <c r="O4" s="801">
        <f>uxb_works!P111</f>
        <v>0</v>
      </c>
      <c r="P4" s="801">
        <f>uxb_works!Q111</f>
        <v>0</v>
      </c>
      <c r="Q4" s="801">
        <f>uxb_works!R111</f>
        <v>0</v>
      </c>
      <c r="R4" s="801">
        <f>uxb_works!S111</f>
        <v>0</v>
      </c>
      <c r="S4" s="801">
        <f>uxb_works!T111</f>
        <v>0</v>
      </c>
      <c r="T4" s="801">
        <f>uxb_works!U111</f>
        <v>0</v>
      </c>
      <c r="U4" s="801">
        <f>uxb_works!V111</f>
        <v>0</v>
      </c>
      <c r="V4" s="801">
        <f>uxb_works!W111</f>
        <v>0</v>
      </c>
      <c r="W4" s="801">
        <f>uxb_works!X111</f>
        <v>0</v>
      </c>
      <c r="X4" s="801">
        <f>uxb_works!Y111</f>
        <v>0</v>
      </c>
      <c r="Y4" s="801">
        <f>uxb_works!Z111</f>
        <v>0</v>
      </c>
      <c r="Z4" s="801">
        <f>uxb_works!AA111</f>
        <v>0</v>
      </c>
      <c r="AA4" s="801">
        <f>uxb_works!AB111</f>
        <v>0</v>
      </c>
      <c r="AB4" s="801">
        <f>uxb_works!AC111</f>
        <v>0</v>
      </c>
      <c r="AC4" s="801">
        <f>uxb_works!AD111</f>
        <v>0</v>
      </c>
      <c r="AD4" s="801">
        <f>uxb_works!AE111</f>
        <v>0</v>
      </c>
      <c r="AE4" s="801">
        <f>uxb_works!AF111</f>
        <v>0</v>
      </c>
      <c r="AF4" s="801">
        <f>uxb_works!AG111</f>
        <v>0</v>
      </c>
      <c r="AG4" s="801">
        <f>uxb_works!AH111</f>
        <v>0</v>
      </c>
      <c r="AH4" s="801">
        <f>uxb_works!AI111</f>
        <v>0</v>
      </c>
      <c r="AI4" s="801">
        <f>uxb_works!AJ111</f>
        <v>0</v>
      </c>
      <c r="AJ4" s="801">
        <f>uxb_works!AK111</f>
        <v>0</v>
      </c>
      <c r="AK4" s="801">
        <f>uxb_works!AL111</f>
        <v>0</v>
      </c>
      <c r="AL4" s="367"/>
      <c r="AP4" s="155">
        <v>1600</v>
      </c>
      <c r="AQ4" s="155"/>
      <c r="AR4" s="155"/>
      <c r="AS4" s="155"/>
      <c r="AT4" s="176"/>
      <c r="AU4" s="155"/>
      <c r="AV4" s="176"/>
      <c r="AY4" s="177"/>
      <c r="AZ4" s="177"/>
      <c r="BA4" s="177"/>
      <c r="BB4" s="177"/>
      <c r="BC4" s="155"/>
      <c r="BD4" s="178"/>
      <c r="BE4" s="155"/>
      <c r="BF4" s="155"/>
      <c r="BG4" s="178"/>
      <c r="BH4" s="155"/>
      <c r="BI4" s="155"/>
      <c r="BJ4" s="178"/>
      <c r="BK4" s="155"/>
      <c r="BL4" s="155"/>
      <c r="BM4" s="178"/>
      <c r="BN4" s="155"/>
      <c r="BO4" s="155"/>
      <c r="BP4" s="155"/>
      <c r="BQ4" s="155"/>
      <c r="BR4" s="155"/>
      <c r="BS4" s="155"/>
    </row>
    <row r="5" spans="1:71" s="156" customFormat="1" ht="4" customHeight="1">
      <c r="A5" s="298"/>
      <c r="B5" s="298"/>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s="298"/>
      <c r="AG5" s="298"/>
      <c r="AH5" s="298"/>
      <c r="AI5" s="298"/>
      <c r="AJ5" s="298"/>
      <c r="AK5" s="298"/>
      <c r="AL5" s="367"/>
      <c r="AP5" s="155"/>
      <c r="AQ5" s="155"/>
      <c r="AR5" s="155"/>
      <c r="AS5" s="155"/>
      <c r="AT5" s="176"/>
      <c r="AU5" s="155"/>
      <c r="AV5" s="176"/>
      <c r="AY5" s="177"/>
      <c r="AZ5" s="177"/>
      <c r="BA5" s="177"/>
      <c r="BB5" s="177"/>
      <c r="BC5" s="155"/>
      <c r="BD5" s="178"/>
      <c r="BE5" s="155"/>
      <c r="BF5" s="155"/>
      <c r="BG5" s="178"/>
      <c r="BH5" s="155"/>
      <c r="BI5" s="155"/>
      <c r="BJ5" s="178"/>
      <c r="BK5" s="155"/>
      <c r="BL5" s="155"/>
      <c r="BM5" s="178"/>
      <c r="BN5" s="155"/>
      <c r="BO5" s="155"/>
      <c r="BP5" s="155"/>
      <c r="BQ5" s="155"/>
      <c r="BR5" s="155"/>
      <c r="BS5" s="155"/>
    </row>
    <row r="6" spans="1:71" ht="15" hidden="1" customHeight="1">
      <c r="A6" s="880"/>
      <c r="B6" s="880"/>
      <c r="C6" s="880" t="str">
        <f>uxb_works!$C$5</f>
        <v>The active weight profile has been changed from its default setting</v>
      </c>
      <c r="D6" s="880"/>
      <c r="E6" s="880"/>
      <c r="F6" s="880"/>
      <c r="G6" s="880"/>
      <c r="H6" s="880"/>
      <c r="I6" s="880"/>
      <c r="J6" s="880"/>
      <c r="K6" s="880"/>
      <c r="L6" s="880"/>
      <c r="M6" s="880"/>
      <c r="N6" s="880"/>
      <c r="O6" s="880"/>
      <c r="P6" s="880"/>
      <c r="Q6" s="880"/>
      <c r="R6" s="880"/>
      <c r="S6" s="880"/>
      <c r="T6" s="880"/>
      <c r="U6" s="880"/>
      <c r="V6" s="880"/>
      <c r="W6" s="880"/>
      <c r="X6" s="880"/>
      <c r="Y6" s="880"/>
      <c r="Z6" s="880"/>
      <c r="AA6" s="880"/>
      <c r="AB6" s="880"/>
      <c r="AC6" s="880"/>
      <c r="AD6" s="880"/>
      <c r="AE6" s="880"/>
      <c r="AF6" s="880"/>
      <c r="AG6" s="880"/>
      <c r="AH6" s="880"/>
      <c r="AI6" s="880"/>
      <c r="AJ6" s="880"/>
      <c r="AK6" s="880"/>
      <c r="AM6" s="367"/>
      <c r="AU6" s="881"/>
      <c r="AV6" s="881"/>
      <c r="AW6" s="881"/>
      <c r="AX6" s="881"/>
      <c r="AY6" s="881"/>
      <c r="AZ6" s="881"/>
      <c r="BA6" s="881"/>
      <c r="BB6" s="881"/>
      <c r="BC6" s="881"/>
      <c r="BD6" s="881"/>
      <c r="BE6" s="881"/>
      <c r="BF6" s="881"/>
      <c r="BG6" s="881"/>
      <c r="BH6" s="881"/>
      <c r="BI6" s="881"/>
      <c r="BJ6" s="881"/>
      <c r="BK6" s="881"/>
      <c r="BL6" s="881"/>
      <c r="BM6" s="246"/>
    </row>
    <row r="7" spans="1:71" ht="19.5" hidden="1" customHeight="1">
      <c r="A7" s="171"/>
      <c r="B7" s="171"/>
      <c r="C7" s="171"/>
      <c r="D7" s="171"/>
      <c r="E7" s="171"/>
      <c r="G7" s="171"/>
      <c r="H7" s="171"/>
      <c r="I7" s="171"/>
      <c r="J7" s="171"/>
      <c r="K7" s="171"/>
      <c r="L7" s="171"/>
      <c r="M7" s="171"/>
      <c r="N7" s="171"/>
      <c r="O7" s="171"/>
      <c r="P7" s="171"/>
      <c r="Q7" s="171"/>
      <c r="R7" s="882"/>
      <c r="T7" s="882"/>
      <c r="V7" s="171"/>
      <c r="W7" s="171"/>
      <c r="X7" s="171"/>
      <c r="Y7" s="171"/>
      <c r="Z7" s="171"/>
      <c r="AB7" s="171"/>
      <c r="AC7" s="171"/>
      <c r="AD7" s="171"/>
      <c r="AF7" s="171"/>
      <c r="AG7" s="171"/>
      <c r="AH7" s="171"/>
      <c r="AI7" s="171"/>
      <c r="AJ7" s="171"/>
      <c r="AU7" s="881"/>
      <c r="AV7" s="881"/>
      <c r="AW7" s="881"/>
      <c r="AX7" s="881"/>
      <c r="AY7" s="881"/>
      <c r="AZ7" s="881"/>
      <c r="BA7" s="881"/>
      <c r="BB7" s="881"/>
      <c r="BC7" s="881"/>
      <c r="BD7" s="881"/>
      <c r="BE7" s="881"/>
      <c r="BF7" s="881"/>
      <c r="BG7" s="881"/>
      <c r="BH7" s="881"/>
      <c r="BI7" s="881"/>
      <c r="BJ7" s="881"/>
      <c r="BK7" s="881"/>
      <c r="BL7" s="881"/>
      <c r="BM7" s="246"/>
    </row>
    <row r="8" spans="1:71" s="652" customFormat="1" ht="15" hidden="1" customHeight="1">
      <c r="A8" s="883"/>
      <c r="B8" s="883"/>
      <c r="C8" s="883"/>
      <c r="D8" s="883" t="str">
        <f>uxb_works!D67</f>
        <v>There are 30 cities in the active filter set</v>
      </c>
      <c r="E8" s="883"/>
      <c r="F8" s="884"/>
      <c r="G8" s="883"/>
      <c r="H8" s="883"/>
      <c r="I8" s="883"/>
      <c r="J8" s="883"/>
      <c r="K8" s="883"/>
      <c r="L8" s="883"/>
      <c r="M8" s="883"/>
      <c r="N8" s="883"/>
      <c r="O8" s="883"/>
      <c r="P8" s="883"/>
      <c r="Q8" s="883"/>
      <c r="R8" s="885"/>
      <c r="S8" s="884"/>
      <c r="T8" s="885"/>
      <c r="U8" s="884"/>
      <c r="V8" s="883"/>
      <c r="W8" s="883"/>
      <c r="X8" s="883"/>
      <c r="Y8" s="883"/>
      <c r="Z8" s="883"/>
      <c r="AA8" s="883"/>
      <c r="AB8" s="883"/>
      <c r="AC8" s="883"/>
      <c r="AD8" s="883"/>
      <c r="AE8" s="883"/>
      <c r="AF8" s="883"/>
      <c r="AG8" s="883"/>
      <c r="AH8" s="883"/>
      <c r="AI8" s="883"/>
      <c r="AJ8" s="883"/>
      <c r="AK8" s="886"/>
      <c r="AM8" s="201"/>
      <c r="AN8" s="201"/>
      <c r="AO8" s="201"/>
      <c r="AP8" s="887"/>
      <c r="AQ8" s="887"/>
      <c r="AR8" s="887"/>
      <c r="AS8" s="887"/>
      <c r="AT8" s="887"/>
      <c r="AU8" s="887"/>
      <c r="AV8" s="887"/>
      <c r="AW8" s="887"/>
      <c r="AX8" s="887"/>
      <c r="AY8" s="887"/>
      <c r="AZ8" s="887"/>
      <c r="BA8" s="887"/>
      <c r="BB8" s="887"/>
      <c r="BC8" s="887"/>
      <c r="BD8" s="887"/>
      <c r="BE8" s="887"/>
      <c r="BF8" s="887"/>
      <c r="BG8" s="887"/>
      <c r="BH8" s="887"/>
      <c r="BI8" s="887"/>
      <c r="BJ8" s="887"/>
      <c r="BK8" s="887"/>
      <c r="BL8" s="887"/>
      <c r="BM8" s="317"/>
    </row>
    <row r="9" spans="1:71" ht="20.149999999999999" hidden="1" customHeight="1">
      <c r="A9" s="171"/>
      <c r="B9" s="171"/>
      <c r="C9" s="171"/>
      <c r="D9" s="171"/>
      <c r="E9" s="171"/>
      <c r="G9" s="171"/>
      <c r="H9" s="171"/>
      <c r="I9" s="171"/>
      <c r="J9" s="171"/>
      <c r="K9" s="171"/>
      <c r="L9" s="171"/>
      <c r="M9" s="171"/>
      <c r="N9" s="171"/>
      <c r="O9" s="171"/>
      <c r="P9" s="171"/>
      <c r="Q9" s="171"/>
      <c r="R9" s="882"/>
      <c r="T9" s="882"/>
      <c r="V9" s="171"/>
      <c r="W9" s="171"/>
      <c r="X9" s="171"/>
      <c r="Y9" s="171"/>
      <c r="Z9" s="171"/>
      <c r="AB9" s="171"/>
      <c r="AC9" s="171"/>
      <c r="AD9" s="171"/>
      <c r="AF9" s="171"/>
      <c r="AG9" s="171"/>
      <c r="AH9" s="171"/>
      <c r="AI9" s="171"/>
      <c r="AJ9" s="171"/>
      <c r="AU9" s="881"/>
      <c r="AV9" s="881"/>
      <c r="AW9" s="881"/>
      <c r="AX9" s="881"/>
      <c r="AY9" s="881"/>
      <c r="AZ9" s="881"/>
      <c r="BA9" s="881"/>
      <c r="BB9" s="881"/>
      <c r="BC9" s="881"/>
      <c r="BD9" s="881"/>
      <c r="BE9" s="881"/>
      <c r="BF9" s="881"/>
      <c r="BG9" s="881"/>
      <c r="BH9" s="881"/>
      <c r="BI9" s="881"/>
      <c r="BJ9" s="881"/>
      <c r="BK9" s="881"/>
      <c r="BL9" s="881"/>
      <c r="BM9" s="246"/>
    </row>
    <row r="10" spans="1:71" ht="183.75" customHeight="1">
      <c r="A10" s="155"/>
      <c r="B10" s="155"/>
      <c r="C10" s="155"/>
      <c r="D10" s="1133" t="str">
        <f>"
"&amp;iRegionComp!$E$2&amp;"          "</f>
        <v xml:space="preserve">
OVERALL SCORE          </v>
      </c>
      <c r="E10" s="1133"/>
      <c r="M10" s="156"/>
      <c r="O10" s="156"/>
      <c r="P10" s="156"/>
      <c r="Q10" s="156"/>
      <c r="R10" s="474"/>
      <c r="T10" s="474"/>
      <c r="V10" s="155"/>
      <c r="W10" s="155"/>
      <c r="X10" s="155"/>
      <c r="Y10" s="156"/>
      <c r="Z10" s="156"/>
      <c r="AB10" s="156"/>
      <c r="AC10" s="156"/>
      <c r="AD10" s="156"/>
      <c r="AF10" s="156"/>
      <c r="AG10" s="155"/>
      <c r="AH10" s="156"/>
      <c r="AI10" s="156"/>
      <c r="AJ10" s="367"/>
      <c r="AK10" s="367"/>
      <c r="AM10" s="156"/>
      <c r="AN10" s="162"/>
      <c r="AO10" s="156"/>
      <c r="BI10" s="881"/>
      <c r="BM10" s="156"/>
    </row>
    <row r="11" spans="1:71" ht="14.25" customHeight="1">
      <c r="A11" s="888"/>
      <c r="B11" s="888"/>
      <c r="C11" s="888"/>
      <c r="D11" s="1134" t="s">
        <v>24</v>
      </c>
      <c r="E11" s="1135"/>
      <c r="G11" s="889"/>
      <c r="H11" s="889"/>
      <c r="I11" s="889"/>
      <c r="J11" s="889"/>
      <c r="K11" s="889"/>
      <c r="L11" s="889"/>
      <c r="M11" s="889"/>
      <c r="N11" s="889"/>
      <c r="O11" s="889"/>
      <c r="P11" s="889"/>
      <c r="Q11" s="889"/>
      <c r="R11" s="1138" t="str">
        <f>iRegionComp!AD7</f>
        <v>All</v>
      </c>
      <c r="T11" s="1140" t="s">
        <v>915</v>
      </c>
      <c r="V11" s="1142" t="str">
        <f>iRegionComp!AF7</f>
        <v>APAC</v>
      </c>
      <c r="W11" s="1146" t="str">
        <f>iRegionComp!AG7</f>
        <v>EUROPE</v>
      </c>
      <c r="X11" s="1146" t="str">
        <f>iRegionComp!AH7</f>
        <v>LATAM</v>
      </c>
      <c r="Y11" s="1146" t="str">
        <f>iRegionComp!AI7</f>
        <v>MEA</v>
      </c>
      <c r="Z11" s="1148" t="str">
        <f>iRegionComp!AJ7</f>
        <v>NA</v>
      </c>
      <c r="AB11" s="1150" t="str">
        <f>iRegionComp!AK7</f>
        <v>Low &amp; lower middle income</v>
      </c>
      <c r="AC11" s="1160" t="str">
        <f>iRegionComp!AL7</f>
        <v>Upper middle income</v>
      </c>
      <c r="AD11" s="1162" t="str">
        <f>iRegionComp!AM7</f>
        <v>High income</v>
      </c>
      <c r="AF11" s="1152" t="str">
        <f>iRegionComp!AN7</f>
        <v>Population &lt; 5m</v>
      </c>
      <c r="AG11" s="1154" t="str">
        <f>iRegionComp!AO7</f>
        <v>Population 5-10m</v>
      </c>
      <c r="AH11" s="1154" t="str">
        <f>iRegionComp!AP7</f>
        <v>Population 10-15m</v>
      </c>
      <c r="AI11" s="1156" t="str">
        <f>iRegionComp!AQ7</f>
        <v>Population 15m +</v>
      </c>
      <c r="AJ11" s="367"/>
      <c r="AK11" s="696"/>
      <c r="BM11" s="157"/>
    </row>
    <row r="12" spans="1:71" ht="39" customHeight="1">
      <c r="A12" s="195"/>
      <c r="B12" s="195"/>
      <c r="C12" s="195"/>
      <c r="D12" s="1136"/>
      <c r="E12" s="1137"/>
      <c r="G12" s="890"/>
      <c r="H12" s="890"/>
      <c r="I12" s="890"/>
      <c r="J12" s="890"/>
      <c r="K12" s="890"/>
      <c r="L12" s="890"/>
      <c r="M12" s="890"/>
      <c r="N12" s="890"/>
      <c r="O12" s="890"/>
      <c r="P12" s="890"/>
      <c r="Q12" s="890"/>
      <c r="R12" s="1139"/>
      <c r="T12" s="1141"/>
      <c r="V12" s="1143"/>
      <c r="W12" s="1147"/>
      <c r="X12" s="1147"/>
      <c r="Y12" s="1147"/>
      <c r="Z12" s="1149"/>
      <c r="AB12" s="1151"/>
      <c r="AC12" s="1161"/>
      <c r="AD12" s="1163"/>
      <c r="AF12" s="1153"/>
      <c r="AG12" s="1155"/>
      <c r="AH12" s="1155"/>
      <c r="AI12" s="1157"/>
      <c r="AJ12" s="367"/>
      <c r="AK12" s="696"/>
      <c r="BM12" s="157"/>
    </row>
    <row r="13" spans="1:71" ht="19.5" hidden="1" customHeight="1">
      <c r="D13" s="891"/>
      <c r="M13" s="156"/>
      <c r="O13" s="156"/>
      <c r="P13" s="156"/>
      <c r="Q13" s="156"/>
      <c r="R13" s="892"/>
      <c r="T13" s="892"/>
      <c r="V13" s="893"/>
      <c r="W13" s="894"/>
      <c r="X13" s="894"/>
      <c r="Y13" s="895"/>
      <c r="Z13" s="895"/>
      <c r="AB13" s="896"/>
      <c r="AC13" s="897"/>
      <c r="AD13" s="898"/>
      <c r="AF13" s="896"/>
      <c r="AG13" s="897"/>
      <c r="AH13" s="897"/>
      <c r="AI13" s="898"/>
      <c r="AJ13" s="367"/>
      <c r="AK13" s="696"/>
      <c r="BM13" s="157"/>
    </row>
    <row r="14" spans="1:71" ht="21.75" customHeight="1">
      <c r="A14" s="197"/>
      <c r="B14" s="197"/>
      <c r="C14" s="197">
        <f>iRegionComp!D8</f>
        <v>1</v>
      </c>
      <c r="D14" s="1158" t="str">
        <f>iRegionComp!E8</f>
        <v>OVERALL SCORE</v>
      </c>
      <c r="E14" s="1159"/>
      <c r="G14" s="899"/>
      <c r="H14" s="899"/>
      <c r="I14" s="899"/>
      <c r="J14" s="899"/>
      <c r="K14" s="899"/>
      <c r="L14" s="899"/>
      <c r="M14" s="899"/>
      <c r="N14" s="899"/>
      <c r="O14" s="899"/>
      <c r="P14" s="899"/>
      <c r="Q14" s="899"/>
      <c r="R14" s="900">
        <f ca="1">iRegionComp!G8</f>
        <v>63.3</v>
      </c>
      <c r="T14" s="900">
        <f ca="1">iRegionComp!H8</f>
        <v>63.3</v>
      </c>
      <c r="V14" s="901">
        <f ca="1">iRegionComp!I8</f>
        <v>59.4</v>
      </c>
      <c r="W14" s="902">
        <f ca="1">iRegionComp!J8</f>
        <v>70.099999999999994</v>
      </c>
      <c r="X14" s="902">
        <f ca="1">iRegionComp!K8</f>
        <v>46.1</v>
      </c>
      <c r="Y14" s="902">
        <f ca="1">iRegionComp!L8</f>
        <v>63.8</v>
      </c>
      <c r="Z14" s="903">
        <f ca="1">iRegionComp!M8</f>
        <v>70.8</v>
      </c>
      <c r="AB14" s="904">
        <f ca="1">iRegionComp!N8</f>
        <v>41</v>
      </c>
      <c r="AC14" s="905">
        <f ca="1">iRegionComp!O8</f>
        <v>53.2</v>
      </c>
      <c r="AD14" s="906">
        <f ca="1">iRegionComp!P8</f>
        <v>69.400000000000006</v>
      </c>
      <c r="AF14" s="904">
        <f ca="1">iRegionComp!Q8</f>
        <v>69.099999999999994</v>
      </c>
      <c r="AG14" s="905">
        <f ca="1">iRegionComp!R8</f>
        <v>67.599999999999994</v>
      </c>
      <c r="AH14" s="905">
        <f ca="1">iRegionComp!S8</f>
        <v>58</v>
      </c>
      <c r="AI14" s="906">
        <f ca="1">iRegionComp!T8</f>
        <v>56.2</v>
      </c>
      <c r="AJ14" s="367"/>
      <c r="AK14" s="696"/>
      <c r="AM14" s="907"/>
      <c r="AN14" s="633">
        <f t="shared" ref="AN14:AN19" ca="1" si="0">CHOOSE($AN$1,MIN(R14:Y14,AC14:AI14),MIN(R14:AI14),MIN(R14:Y14,AC14:AI14),MIN(R14:AB14,AC14:AI14))</f>
        <v>46.1</v>
      </c>
      <c r="AO14" s="633">
        <f t="shared" ref="AO14:AO19" ca="1" si="1">CHOOSE($AN$1,MAX(R14:Y14,AC14:AI14),MAX(R14:AI14),MAX(R14:Y14,AC14:AI14),MAX(R14:AB14,AC14:AI14))</f>
        <v>70.099999999999994</v>
      </c>
      <c r="AP14" s="881"/>
      <c r="AQ14" s="881"/>
      <c r="AR14" s="881"/>
      <c r="AS14" s="881"/>
      <c r="AT14" s="881"/>
      <c r="AU14" s="881"/>
      <c r="AV14" s="881"/>
      <c r="AW14" s="881"/>
      <c r="AX14" s="881"/>
      <c r="AZ14" s="908"/>
      <c r="BA14" s="881"/>
      <c r="BB14" s="881"/>
      <c r="BC14" s="881"/>
      <c r="BD14" s="881"/>
      <c r="BE14" s="881"/>
      <c r="BF14" s="881"/>
      <c r="BG14" s="881"/>
      <c r="BH14" s="881"/>
      <c r="BI14" s="881"/>
      <c r="BJ14" s="881"/>
      <c r="BK14" s="881"/>
      <c r="BL14" s="881"/>
      <c r="BM14" s="907"/>
    </row>
    <row r="15" spans="1:71" ht="19.5" customHeight="1">
      <c r="C15" s="156">
        <f>iRegionComp!D9</f>
        <v>0</v>
      </c>
      <c r="D15" s="1144" t="str">
        <f>iRegionComp!E9</f>
        <v>1) CONNECTIVITY</v>
      </c>
      <c r="E15" s="1145"/>
      <c r="G15" s="909"/>
      <c r="H15" s="909"/>
      <c r="I15" s="909"/>
      <c r="J15" s="909"/>
      <c r="K15" s="909"/>
      <c r="L15" s="909"/>
      <c r="M15" s="909"/>
      <c r="N15" s="909"/>
      <c r="O15" s="909"/>
      <c r="P15" s="909"/>
      <c r="Q15" s="909"/>
      <c r="R15" s="910">
        <f ca="1">iRegionComp!G9</f>
        <v>65.900000000000006</v>
      </c>
      <c r="T15" s="910">
        <f ca="1">iRegionComp!H9</f>
        <v>65.900000000000006</v>
      </c>
      <c r="V15" s="911">
        <f ca="1">iRegionComp!I9</f>
        <v>63.3</v>
      </c>
      <c r="W15" s="912">
        <f ca="1">iRegionComp!J9</f>
        <v>71.5</v>
      </c>
      <c r="X15" s="912">
        <f ca="1">iRegionComp!K9</f>
        <v>50.1</v>
      </c>
      <c r="Y15" s="912">
        <f ca="1">iRegionComp!L9</f>
        <v>63.5</v>
      </c>
      <c r="Z15" s="913">
        <f ca="1">iRegionComp!M9</f>
        <v>72.2</v>
      </c>
      <c r="AB15" s="914">
        <f ca="1">iRegionComp!N9</f>
        <v>40.1</v>
      </c>
      <c r="AC15" s="915">
        <f ca="1">iRegionComp!O9</f>
        <v>57.5</v>
      </c>
      <c r="AD15" s="916">
        <f ca="1">iRegionComp!P9</f>
        <v>72</v>
      </c>
      <c r="AF15" s="914">
        <f ca="1">iRegionComp!Q9</f>
        <v>72.599999999999994</v>
      </c>
      <c r="AG15" s="915">
        <f ca="1">iRegionComp!R9</f>
        <v>69.3</v>
      </c>
      <c r="AH15" s="915">
        <f ca="1">iRegionComp!S9</f>
        <v>60.6</v>
      </c>
      <c r="AI15" s="916">
        <f ca="1">iRegionComp!T9</f>
        <v>58.9</v>
      </c>
      <c r="AJ15" s="367"/>
      <c r="AK15" s="696"/>
      <c r="AN15" s="633">
        <f t="shared" ca="1" si="0"/>
        <v>50.1</v>
      </c>
      <c r="AO15" s="633">
        <f t="shared" ca="1" si="1"/>
        <v>72.599999999999994</v>
      </c>
      <c r="BM15" s="157"/>
    </row>
    <row r="16" spans="1:71" ht="19.5" customHeight="1">
      <c r="C16" s="156">
        <f>iRegionComp!D10</f>
        <v>0</v>
      </c>
      <c r="D16" s="1144" t="str">
        <f>iRegionComp!E10</f>
        <v>2) SERVICES</v>
      </c>
      <c r="E16" s="1145"/>
      <c r="G16" s="909"/>
      <c r="H16" s="909"/>
      <c r="I16" s="909"/>
      <c r="J16" s="909"/>
      <c r="K16" s="909"/>
      <c r="L16" s="909"/>
      <c r="M16" s="909"/>
      <c r="N16" s="909"/>
      <c r="O16" s="909"/>
      <c r="P16" s="909"/>
      <c r="Q16" s="909"/>
      <c r="R16" s="910">
        <f ca="1">iRegionComp!G10</f>
        <v>61.4</v>
      </c>
      <c r="T16" s="910">
        <f ca="1">iRegionComp!H10</f>
        <v>61.4</v>
      </c>
      <c r="V16" s="911">
        <f ca="1">iRegionComp!I10</f>
        <v>57.1</v>
      </c>
      <c r="W16" s="912">
        <f ca="1">iRegionComp!J10</f>
        <v>70.7</v>
      </c>
      <c r="X16" s="912">
        <f ca="1">iRegionComp!K10</f>
        <v>39.299999999999997</v>
      </c>
      <c r="Y16" s="912">
        <f ca="1">iRegionComp!L10</f>
        <v>69.8</v>
      </c>
      <c r="Z16" s="913">
        <f ca="1">iRegionComp!M10</f>
        <v>65.900000000000006</v>
      </c>
      <c r="AB16" s="914">
        <f ca="1">iRegionComp!N10</f>
        <v>44.4</v>
      </c>
      <c r="AC16" s="915">
        <f ca="1">iRegionComp!O10</f>
        <v>48.6</v>
      </c>
      <c r="AD16" s="916">
        <f ca="1">iRegionComp!P10</f>
        <v>67.599999999999994</v>
      </c>
      <c r="AF16" s="914">
        <f ca="1">iRegionComp!Q10</f>
        <v>67.900000000000006</v>
      </c>
      <c r="AG16" s="915">
        <f ca="1">iRegionComp!R10</f>
        <v>66.599999999999994</v>
      </c>
      <c r="AH16" s="915">
        <f ca="1">iRegionComp!S10</f>
        <v>58.8</v>
      </c>
      <c r="AI16" s="916">
        <f ca="1">iRegionComp!T10</f>
        <v>51.7</v>
      </c>
      <c r="AJ16" s="367"/>
      <c r="AK16" s="696"/>
      <c r="AN16" s="633">
        <f t="shared" ca="1" si="0"/>
        <v>39.299999999999997</v>
      </c>
      <c r="AO16" s="633">
        <f t="shared" ca="1" si="1"/>
        <v>70.7</v>
      </c>
      <c r="BM16" s="157"/>
    </row>
    <row r="17" spans="1:65" ht="19.5" customHeight="1">
      <c r="C17" s="156">
        <f>iRegionComp!D11</f>
        <v>0</v>
      </c>
      <c r="D17" s="1144" t="str">
        <f>iRegionComp!E11</f>
        <v>3) CULTURE</v>
      </c>
      <c r="E17" s="1145"/>
      <c r="G17" s="909"/>
      <c r="H17" s="909"/>
      <c r="I17" s="909"/>
      <c r="J17" s="909"/>
      <c r="K17" s="909"/>
      <c r="L17" s="909"/>
      <c r="M17" s="909"/>
      <c r="N17" s="909"/>
      <c r="O17" s="909"/>
      <c r="P17" s="909"/>
      <c r="Q17" s="909"/>
      <c r="R17" s="910">
        <f ca="1">iRegionComp!G11</f>
        <v>59.2</v>
      </c>
      <c r="T17" s="910">
        <f ca="1">iRegionComp!H11</f>
        <v>59.2</v>
      </c>
      <c r="V17" s="911">
        <f ca="1">iRegionComp!I11</f>
        <v>55.1</v>
      </c>
      <c r="W17" s="912">
        <f ca="1">iRegionComp!J11</f>
        <v>61.6</v>
      </c>
      <c r="X17" s="912">
        <f ca="1">iRegionComp!K11</f>
        <v>51.3</v>
      </c>
      <c r="Y17" s="912">
        <f ca="1">iRegionComp!L11</f>
        <v>65.2</v>
      </c>
      <c r="Z17" s="913">
        <f ca="1">iRegionComp!M11</f>
        <v>69.7</v>
      </c>
      <c r="AB17" s="914">
        <f ca="1">iRegionComp!N11</f>
        <v>46.7</v>
      </c>
      <c r="AC17" s="915">
        <f ca="1">iRegionComp!O11</f>
        <v>52</v>
      </c>
      <c r="AD17" s="916">
        <f ca="1">iRegionComp!P11</f>
        <v>63</v>
      </c>
      <c r="AF17" s="914">
        <f ca="1">iRegionComp!Q11</f>
        <v>62.5</v>
      </c>
      <c r="AG17" s="915">
        <f ca="1">iRegionComp!R11</f>
        <v>61.6</v>
      </c>
      <c r="AH17" s="915">
        <f ca="1">iRegionComp!S11</f>
        <v>54.9</v>
      </c>
      <c r="AI17" s="916">
        <f ca="1">iRegionComp!T11</f>
        <v>55.8</v>
      </c>
      <c r="AJ17" s="367"/>
      <c r="AK17" s="696"/>
      <c r="AN17" s="633">
        <f t="shared" ca="1" si="0"/>
        <v>51.3</v>
      </c>
      <c r="AO17" s="633">
        <f t="shared" ca="1" si="1"/>
        <v>65.2</v>
      </c>
      <c r="BM17" s="157"/>
    </row>
    <row r="18" spans="1:65" ht="19.5" customHeight="1">
      <c r="C18" s="156">
        <f>iRegionComp!D12</f>
        <v>0</v>
      </c>
      <c r="D18" s="1144" t="str">
        <f>iRegionComp!E12</f>
        <v>4) SUSTAINABILITY</v>
      </c>
      <c r="E18" s="1145"/>
      <c r="G18" s="909"/>
      <c r="H18" s="909"/>
      <c r="I18" s="909"/>
      <c r="J18" s="909"/>
      <c r="K18" s="909"/>
      <c r="L18" s="909"/>
      <c r="M18" s="909"/>
      <c r="N18" s="909"/>
      <c r="O18" s="909"/>
      <c r="P18" s="909"/>
      <c r="Q18" s="909"/>
      <c r="R18" s="910">
        <f ca="1">iRegionComp!G12</f>
        <v>66.3</v>
      </c>
      <c r="T18" s="910">
        <f ca="1">iRegionComp!H12</f>
        <v>66.3</v>
      </c>
      <c r="V18" s="911">
        <f ca="1">iRegionComp!I12</f>
        <v>61.2</v>
      </c>
      <c r="W18" s="912">
        <f ca="1">iRegionComp!J12</f>
        <v>76</v>
      </c>
      <c r="X18" s="912">
        <f ca="1">iRegionComp!K12</f>
        <v>44.4</v>
      </c>
      <c r="Y18" s="912">
        <f ca="1">iRegionComp!L12</f>
        <v>54.8</v>
      </c>
      <c r="Z18" s="913">
        <f ca="1">iRegionComp!M12</f>
        <v>76.599999999999994</v>
      </c>
      <c r="AB18" s="914">
        <f ca="1">iRegionComp!N12</f>
        <v>31.9</v>
      </c>
      <c r="AC18" s="915">
        <f ca="1">iRegionComp!O12</f>
        <v>54.5</v>
      </c>
      <c r="AD18" s="916">
        <f ca="1">iRegionComp!P12</f>
        <v>74.599999999999994</v>
      </c>
      <c r="AF18" s="914">
        <f ca="1">iRegionComp!Q12</f>
        <v>72.400000000000006</v>
      </c>
      <c r="AG18" s="915">
        <f ca="1">iRegionComp!R12</f>
        <v>72.8</v>
      </c>
      <c r="AH18" s="915">
        <f ca="1">iRegionComp!S12</f>
        <v>56.4</v>
      </c>
      <c r="AI18" s="916">
        <f ca="1">iRegionComp!T12</f>
        <v>58.7</v>
      </c>
      <c r="AJ18" s="367"/>
      <c r="AK18" s="696"/>
      <c r="AN18" s="633">
        <f t="shared" ca="1" si="0"/>
        <v>44.4</v>
      </c>
      <c r="AO18" s="633">
        <f t="shared" ca="1" si="1"/>
        <v>76</v>
      </c>
      <c r="BM18" s="157"/>
    </row>
    <row r="19" spans="1:65" ht="19.5" hidden="1" customHeight="1">
      <c r="C19" s="156">
        <f>iRegionComp!D13</f>
        <v>0</v>
      </c>
      <c r="D19" s="1144">
        <f>iRegionComp!E13</f>
        <v>0</v>
      </c>
      <c r="E19" s="1145"/>
      <c r="G19" s="909"/>
      <c r="H19" s="909"/>
      <c r="I19" s="909"/>
      <c r="J19" s="909"/>
      <c r="K19" s="909"/>
      <c r="L19" s="909"/>
      <c r="M19" s="909"/>
      <c r="N19" s="909"/>
      <c r="O19" s="909"/>
      <c r="P19" s="909"/>
      <c r="Q19" s="909"/>
      <c r="R19" s="910">
        <f>iRegionComp!G13</f>
        <v>0</v>
      </c>
      <c r="T19" s="910">
        <f>iRegionComp!H13</f>
        <v>0</v>
      </c>
      <c r="V19" s="911">
        <f>iRegionComp!I13</f>
        <v>0</v>
      </c>
      <c r="W19" s="912">
        <f>iRegionComp!J13</f>
        <v>0</v>
      </c>
      <c r="X19" s="912">
        <f>iRegionComp!K13</f>
        <v>0</v>
      </c>
      <c r="Y19" s="912">
        <f>iRegionComp!L13</f>
        <v>0</v>
      </c>
      <c r="Z19" s="913">
        <f>iRegionComp!M13</f>
        <v>0</v>
      </c>
      <c r="AB19" s="914">
        <f>iRegionComp!N13</f>
        <v>0</v>
      </c>
      <c r="AC19" s="915">
        <f>iRegionComp!O13</f>
        <v>0</v>
      </c>
      <c r="AD19" s="916">
        <f>iRegionComp!P13</f>
        <v>0</v>
      </c>
      <c r="AF19" s="914">
        <f>iRegionComp!Q13</f>
        <v>0</v>
      </c>
      <c r="AG19" s="915">
        <f>iRegionComp!R13</f>
        <v>0</v>
      </c>
      <c r="AH19" s="915">
        <f>iRegionComp!S13</f>
        <v>0</v>
      </c>
      <c r="AI19" s="916">
        <f>iRegionComp!T13</f>
        <v>0</v>
      </c>
      <c r="AJ19" s="367"/>
      <c r="AK19" s="696"/>
      <c r="AN19" s="633">
        <f t="shared" si="0"/>
        <v>0</v>
      </c>
      <c r="AO19" s="633">
        <f t="shared" si="1"/>
        <v>0</v>
      </c>
      <c r="BM19" s="157"/>
    </row>
    <row r="20" spans="1:65" ht="6" hidden="1" customHeight="1">
      <c r="D20" s="1164"/>
      <c r="E20" s="1165"/>
      <c r="G20" s="917"/>
      <c r="H20" s="917"/>
      <c r="I20" s="917"/>
      <c r="J20" s="917"/>
      <c r="K20" s="917"/>
      <c r="L20" s="917"/>
      <c r="M20" s="917"/>
      <c r="N20" s="917"/>
      <c r="O20" s="917"/>
      <c r="P20" s="917"/>
      <c r="Q20" s="917"/>
      <c r="R20" s="918"/>
      <c r="T20" s="918"/>
      <c r="V20" s="919"/>
      <c r="W20" s="920"/>
      <c r="X20" s="920"/>
      <c r="Y20" s="920"/>
      <c r="Z20" s="920"/>
      <c r="AB20" s="914"/>
      <c r="AC20" s="915"/>
      <c r="AD20" s="916"/>
      <c r="AF20" s="914"/>
      <c r="AG20" s="915"/>
      <c r="AH20" s="915"/>
      <c r="AI20" s="916"/>
      <c r="AJ20" s="367"/>
      <c r="AK20" s="696"/>
      <c r="AN20" s="633"/>
      <c r="AO20" s="633"/>
      <c r="BM20" s="157"/>
    </row>
    <row r="21" spans="1:65" ht="20.25" hidden="1" customHeight="1">
      <c r="A21" s="367"/>
      <c r="B21" s="367"/>
      <c r="C21" s="367"/>
      <c r="D21" s="367"/>
      <c r="E21" s="367"/>
      <c r="G21" s="367"/>
      <c r="H21" s="367"/>
      <c r="I21" s="367"/>
      <c r="J21" s="367"/>
      <c r="K21" s="367"/>
      <c r="L21" s="367"/>
      <c r="M21" s="367"/>
      <c r="N21" s="367"/>
      <c r="O21" s="367"/>
      <c r="P21" s="367"/>
      <c r="Q21" s="367"/>
      <c r="R21" s="367"/>
      <c r="T21" s="367"/>
      <c r="V21" s="367"/>
      <c r="W21" s="367"/>
      <c r="X21" s="367"/>
      <c r="Y21" s="367"/>
      <c r="Z21" s="367"/>
      <c r="AB21" s="367"/>
      <c r="AC21" s="367"/>
      <c r="AD21" s="367"/>
      <c r="AF21" s="367"/>
      <c r="AG21" s="367"/>
      <c r="AH21" s="367"/>
      <c r="AI21" s="367"/>
      <c r="AJ21" s="367"/>
      <c r="AK21" s="367"/>
      <c r="AM21" s="367"/>
      <c r="AN21" s="367"/>
      <c r="AO21" s="367"/>
      <c r="AP21" s="367"/>
      <c r="AQ21" s="367"/>
      <c r="AR21" s="367"/>
      <c r="AS21" s="367"/>
      <c r="AT21" s="367"/>
      <c r="AU21" s="367"/>
      <c r="AV21" s="367"/>
      <c r="AW21" s="367"/>
      <c r="AX21" s="367"/>
      <c r="AY21" s="367"/>
      <c r="AZ21" s="367"/>
      <c r="BA21" s="367"/>
      <c r="BB21" s="367"/>
      <c r="BC21" s="367"/>
      <c r="BD21" s="367"/>
      <c r="BE21" s="367"/>
      <c r="BF21" s="367"/>
      <c r="BG21" s="367"/>
      <c r="BH21" s="367"/>
      <c r="BI21" s="367"/>
      <c r="BJ21" s="367"/>
      <c r="BK21" s="367"/>
      <c r="BL21" s="367"/>
      <c r="BM21" s="367"/>
    </row>
    <row r="22" spans="1:65" ht="20.25" hidden="1" customHeight="1">
      <c r="A22" s="367"/>
      <c r="B22" s="367"/>
      <c r="C22" s="367"/>
      <c r="D22" s="367"/>
      <c r="E22" s="367"/>
      <c r="G22" s="367"/>
      <c r="H22" s="367"/>
      <c r="I22" s="367"/>
      <c r="J22" s="367"/>
      <c r="K22" s="367"/>
      <c r="L22" s="367"/>
      <c r="M22" s="367"/>
      <c r="N22" s="367"/>
      <c r="O22" s="367"/>
      <c r="P22" s="367"/>
      <c r="Q22" s="367"/>
      <c r="R22" s="367"/>
      <c r="T22" s="367"/>
      <c r="V22" s="367"/>
      <c r="W22" s="367"/>
      <c r="X22" s="367"/>
      <c r="Y22" s="367"/>
      <c r="Z22" s="367"/>
      <c r="AB22" s="367"/>
      <c r="AC22" s="367"/>
      <c r="AD22" s="367"/>
      <c r="AF22" s="367"/>
      <c r="AG22" s="367"/>
      <c r="AH22" s="367"/>
      <c r="AI22" s="367"/>
      <c r="AJ22" s="367"/>
      <c r="AK22" s="367"/>
      <c r="AM22" s="367"/>
      <c r="AN22" s="367"/>
      <c r="AO22" s="367"/>
      <c r="AP22" s="367"/>
      <c r="AQ22" s="367"/>
      <c r="AR22" s="367"/>
      <c r="AS22" s="367"/>
      <c r="AT22" s="367"/>
      <c r="AU22" s="367"/>
      <c r="AV22" s="367"/>
      <c r="AW22" s="367"/>
      <c r="AX22" s="367"/>
      <c r="AY22" s="367"/>
      <c r="AZ22" s="367"/>
      <c r="BA22" s="367"/>
      <c r="BB22" s="367"/>
      <c r="BC22" s="367"/>
      <c r="BD22" s="367"/>
      <c r="BE22" s="367"/>
      <c r="BF22" s="367"/>
      <c r="BG22" s="367"/>
      <c r="BH22" s="367"/>
      <c r="BI22" s="367"/>
      <c r="BJ22" s="367"/>
      <c r="BK22" s="367"/>
      <c r="BL22" s="367"/>
      <c r="BM22" s="367"/>
    </row>
    <row r="23" spans="1:65" ht="20.25" hidden="1" customHeight="1">
      <c r="A23" s="367"/>
      <c r="B23" s="367"/>
      <c r="C23" s="367"/>
      <c r="D23" s="367"/>
      <c r="E23" s="367"/>
      <c r="G23" s="367"/>
      <c r="H23" s="367"/>
      <c r="I23" s="367"/>
      <c r="J23" s="367"/>
      <c r="K23" s="367"/>
      <c r="L23" s="367"/>
      <c r="M23" s="367"/>
      <c r="N23" s="367"/>
      <c r="O23" s="367"/>
      <c r="P23" s="367"/>
      <c r="Q23" s="367"/>
      <c r="R23" s="367"/>
      <c r="T23" s="367"/>
      <c r="V23" s="367"/>
      <c r="W23" s="367"/>
      <c r="X23" s="367"/>
      <c r="Y23" s="367"/>
      <c r="Z23" s="367"/>
      <c r="AB23" s="367"/>
      <c r="AC23" s="367"/>
      <c r="AD23" s="367"/>
      <c r="AF23" s="367"/>
      <c r="AG23" s="367"/>
      <c r="AH23" s="367"/>
      <c r="AI23" s="367"/>
      <c r="AJ23" s="367"/>
      <c r="AK23" s="367"/>
      <c r="AM23" s="367"/>
      <c r="AN23" s="367"/>
      <c r="AO23" s="367"/>
      <c r="AP23" s="367"/>
      <c r="AQ23" s="367"/>
      <c r="AR23" s="367"/>
      <c r="AS23" s="367"/>
      <c r="AT23" s="367"/>
      <c r="AU23" s="367"/>
      <c r="AV23" s="367"/>
      <c r="AW23" s="367"/>
      <c r="AX23" s="367"/>
      <c r="AY23" s="367"/>
      <c r="AZ23" s="367"/>
      <c r="BA23" s="367"/>
      <c r="BB23" s="367"/>
      <c r="BC23" s="367"/>
      <c r="BD23" s="367"/>
      <c r="BE23" s="367"/>
      <c r="BF23" s="367"/>
      <c r="BG23" s="367"/>
      <c r="BH23" s="367"/>
      <c r="BI23" s="367"/>
      <c r="BJ23" s="367"/>
      <c r="BK23" s="367"/>
      <c r="BL23" s="367"/>
      <c r="BM23" s="367"/>
    </row>
    <row r="24" spans="1:65" s="921" customFormat="1" ht="28.5" customHeight="1">
      <c r="A24" s="177"/>
      <c r="B24" s="177"/>
      <c r="C24" s="177"/>
      <c r="D24" s="1166"/>
      <c r="E24" s="1166"/>
      <c r="G24" s="177"/>
      <c r="H24" s="177"/>
      <c r="I24" s="177"/>
      <c r="J24" s="177"/>
      <c r="K24" s="177"/>
      <c r="L24" s="177"/>
      <c r="M24" s="177"/>
      <c r="N24" s="177"/>
      <c r="O24" s="177"/>
      <c r="P24" s="177"/>
      <c r="Q24" s="177">
        <f>iRegionComp!F17</f>
        <v>1</v>
      </c>
      <c r="R24" s="922">
        <f>iRegionComp!G17</f>
        <v>0</v>
      </c>
      <c r="S24" s="69"/>
      <c r="T24" s="922">
        <f>iRegionComp!H17</f>
        <v>0</v>
      </c>
      <c r="U24" s="69"/>
      <c r="V24" s="922">
        <f>iRegionComp!I17</f>
        <v>0</v>
      </c>
      <c r="W24" s="922">
        <f>iRegionComp!J17</f>
        <v>0</v>
      </c>
      <c r="X24" s="922">
        <f>iRegionComp!K17</f>
        <v>0</v>
      </c>
      <c r="Y24" s="922">
        <f>iRegionComp!L17</f>
        <v>0</v>
      </c>
      <c r="Z24" s="922">
        <f>iRegionComp!M17</f>
        <v>0</v>
      </c>
      <c r="AA24" s="367"/>
      <c r="AB24" s="922">
        <f>iRegionComp!N17</f>
        <v>0</v>
      </c>
      <c r="AC24" s="922">
        <f>iRegionComp!O17</f>
        <v>0</v>
      </c>
      <c r="AD24" s="922">
        <f>iRegionComp!P17</f>
        <v>0</v>
      </c>
      <c r="AE24" s="367"/>
      <c r="AF24" s="922">
        <f>iRegionComp!Q17</f>
        <v>0</v>
      </c>
      <c r="AG24" s="922">
        <f>iRegionComp!R17</f>
        <v>0</v>
      </c>
      <c r="AH24" s="922">
        <f>iRegionComp!S17</f>
        <v>0</v>
      </c>
      <c r="AI24" s="922">
        <f>iRegionComp!T17</f>
        <v>0</v>
      </c>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row>
    <row r="25" spans="1:65" ht="5.15" customHeight="1">
      <c r="D25" s="1167"/>
      <c r="E25" s="1167"/>
      <c r="G25" s="923"/>
      <c r="H25" s="923"/>
      <c r="I25" s="923"/>
      <c r="J25" s="923"/>
      <c r="K25" s="923"/>
      <c r="L25" s="923"/>
      <c r="M25" s="923"/>
      <c r="N25" s="923"/>
      <c r="O25" s="923"/>
      <c r="P25" s="923"/>
      <c r="Q25" s="923"/>
      <c r="R25" s="923"/>
      <c r="T25" s="923"/>
      <c r="V25" s="156"/>
      <c r="W25" s="156"/>
      <c r="X25" s="156"/>
      <c r="Y25" s="156"/>
      <c r="Z25" s="156"/>
      <c r="AB25" s="156"/>
      <c r="AC25" s="156"/>
      <c r="AD25" s="156"/>
      <c r="AF25" s="156"/>
      <c r="AG25" s="156"/>
      <c r="AH25" s="156"/>
      <c r="AI25" s="156"/>
      <c r="AJ25" s="367"/>
      <c r="AK25" s="367"/>
    </row>
    <row r="26" spans="1:65" ht="15" customHeight="1">
      <c r="D26" s="924"/>
      <c r="E26" s="1168" t="s">
        <v>916</v>
      </c>
      <c r="G26" s="925"/>
      <c r="H26" s="925"/>
      <c r="I26" s="925"/>
      <c r="J26" s="925"/>
      <c r="K26" s="925"/>
      <c r="L26" s="925"/>
      <c r="M26" s="925"/>
      <c r="N26" s="925"/>
      <c r="O26" s="925"/>
      <c r="P26" s="925"/>
      <c r="Q26" s="925"/>
      <c r="R26" s="1138" t="str">
        <f>iRegionComp!AD7</f>
        <v>All</v>
      </c>
      <c r="T26" s="1140" t="str">
        <f>T11</f>
        <v>See filter selection above</v>
      </c>
      <c r="V26" s="1142" t="str">
        <f>iRegionComp!AF7</f>
        <v>APAC</v>
      </c>
      <c r="W26" s="1146" t="str">
        <f>iRegionComp!AG7</f>
        <v>EUROPE</v>
      </c>
      <c r="X26" s="1146" t="str">
        <f>iRegionComp!AH7</f>
        <v>LATAM</v>
      </c>
      <c r="Y26" s="1146" t="str">
        <f>iRegionComp!AI7</f>
        <v>MEA</v>
      </c>
      <c r="Z26" s="1148" t="str">
        <f>iRegionComp!AJ7</f>
        <v>NA</v>
      </c>
      <c r="AB26" s="1150" t="str">
        <f>iRegionComp!AK7</f>
        <v>Low &amp; lower middle income</v>
      </c>
      <c r="AC26" s="1160" t="str">
        <f>iRegionComp!AL7</f>
        <v>Upper middle income</v>
      </c>
      <c r="AD26" s="1162" t="str">
        <f>iRegionComp!AM7</f>
        <v>High income</v>
      </c>
      <c r="AF26" s="1152" t="str">
        <f>iRegionComp!AN7</f>
        <v>Population &lt; 5m</v>
      </c>
      <c r="AG26" s="1154" t="str">
        <f>iRegionComp!AO7</f>
        <v>Population 5-10m</v>
      </c>
      <c r="AH26" s="1154" t="str">
        <f>iRegionComp!AP7</f>
        <v>Population 10-15m</v>
      </c>
      <c r="AI26" s="1156" t="str">
        <f>iRegionComp!AQ7</f>
        <v>Population 15m +</v>
      </c>
      <c r="AJ26" s="367"/>
      <c r="AK26" s="696"/>
    </row>
    <row r="27" spans="1:65" ht="39.75" customHeight="1">
      <c r="B27" s="156">
        <f>COUNTIF(B28:B97,"&lt;&gt;0")</f>
        <v>65</v>
      </c>
      <c r="D27" s="926"/>
      <c r="E27" s="1169"/>
      <c r="G27" s="927"/>
      <c r="H27" s="927"/>
      <c r="I27" s="927"/>
      <c r="J27" s="927"/>
      <c r="K27" s="927"/>
      <c r="L27" s="927"/>
      <c r="M27" s="927"/>
      <c r="N27" s="927"/>
      <c r="O27" s="927"/>
      <c r="P27" s="927"/>
      <c r="Q27" s="927"/>
      <c r="R27" s="1139"/>
      <c r="T27" s="1141"/>
      <c r="V27" s="1143"/>
      <c r="W27" s="1147"/>
      <c r="X27" s="1147"/>
      <c r="Y27" s="1147"/>
      <c r="Z27" s="1149"/>
      <c r="AB27" s="1173"/>
      <c r="AC27" s="1174"/>
      <c r="AD27" s="1175"/>
      <c r="AF27" s="1170"/>
      <c r="AG27" s="1171"/>
      <c r="AH27" s="1171"/>
      <c r="AI27" s="1172"/>
      <c r="AJ27" s="367"/>
      <c r="AK27" s="696"/>
    </row>
    <row r="28" spans="1:65" ht="25.4" customHeight="1">
      <c r="B28" s="156">
        <f>IF(iRegionComp!AA22="",0,iRegionComp!AA22)</f>
        <v>3</v>
      </c>
      <c r="C28" s="156">
        <f>iRegionComp!AB22</f>
        <v>2</v>
      </c>
      <c r="D28" s="928"/>
      <c r="E28" s="929" t="str">
        <f>TRIM(iRegionComp!AC22)</f>
        <v>1.1) Digital infrastructure</v>
      </c>
      <c r="G28" s="930"/>
      <c r="H28" s="930"/>
      <c r="I28" s="930"/>
      <c r="J28" s="930"/>
      <c r="K28" s="930"/>
      <c r="L28" s="930"/>
      <c r="M28" s="930"/>
      <c r="N28" s="930"/>
      <c r="O28" s="930"/>
      <c r="P28" s="930"/>
      <c r="Q28" s="930"/>
      <c r="R28" s="931">
        <f ca="1">iRegionComp!AD22</f>
        <v>74.5</v>
      </c>
      <c r="T28" s="931">
        <f ca="1">iRegionComp!AE22</f>
        <v>74.5</v>
      </c>
      <c r="V28" s="932">
        <f ca="1">iRegionComp!AF22</f>
        <v>70.099999999999994</v>
      </c>
      <c r="W28" s="933">
        <f ca="1">iRegionComp!AG22</f>
        <v>78.5</v>
      </c>
      <c r="X28" s="933">
        <f ca="1">iRegionComp!AH22</f>
        <v>62.8</v>
      </c>
      <c r="Y28" s="933">
        <f ca="1">iRegionComp!AI22</f>
        <v>93.1</v>
      </c>
      <c r="Z28" s="934">
        <f ca="1">iRegionComp!AJ22</f>
        <v>82.2</v>
      </c>
      <c r="AB28" s="935">
        <f ca="1">iRegionComp!AK22</f>
        <v>48.3</v>
      </c>
      <c r="AC28" s="936">
        <f ca="1">iRegionComp!AL22</f>
        <v>64.7</v>
      </c>
      <c r="AD28" s="937">
        <f ca="1">iRegionComp!AM22</f>
        <v>81.099999999999994</v>
      </c>
      <c r="AF28" s="935">
        <f ca="1">iRegionComp!AN22</f>
        <v>81.2</v>
      </c>
      <c r="AG28" s="936">
        <f ca="1">iRegionComp!AO22</f>
        <v>77.8</v>
      </c>
      <c r="AH28" s="936">
        <f ca="1">iRegionComp!AP22</f>
        <v>68.099999999999994</v>
      </c>
      <c r="AI28" s="937">
        <f ca="1">iRegionComp!AQ22</f>
        <v>68.2</v>
      </c>
      <c r="AJ28" s="367"/>
      <c r="AK28" s="696"/>
      <c r="AN28" s="633">
        <f t="shared" ref="AN28:AN32" ca="1" si="2">CHOOSE($AN$1,MIN(R28:Y28,AC28:AI28),MIN(R28:AI28),MIN(R28:Y28,AC28:AI28),MIN(R28:AB28,AC28:AI28))</f>
        <v>62.8</v>
      </c>
      <c r="AO28" s="633">
        <f t="shared" ref="AO28:AO32" ca="1" si="3">CHOOSE($AN$1,MAX(R28:Y28,AC28:AI28),MAX(R28:AI28),MAX(R28:Y28,AC28:AI28),MAX(R28:AB28,AC28:AI28))</f>
        <v>93.1</v>
      </c>
    </row>
    <row r="29" spans="1:65" ht="25.4" customHeight="1">
      <c r="B29" s="156">
        <f>IF(iRegionComp!AA23="",0,iRegionComp!AA23)</f>
        <v>4</v>
      </c>
      <c r="C29" s="156">
        <f>iRegionComp!AB23</f>
        <v>0</v>
      </c>
      <c r="D29" s="938"/>
      <c r="E29" s="929" t="str">
        <f>TRIM(iRegionComp!AC23)</f>
        <v>1.1.1) Mobile broadband subscriptions</v>
      </c>
      <c r="G29" s="930"/>
      <c r="H29" s="930"/>
      <c r="I29" s="930"/>
      <c r="J29" s="930"/>
      <c r="K29" s="930"/>
      <c r="L29" s="930"/>
      <c r="M29" s="930"/>
      <c r="N29" s="930"/>
      <c r="O29" s="930"/>
      <c r="P29" s="930"/>
      <c r="Q29" s="930"/>
      <c r="R29" s="939">
        <f ca="1">iRegionComp!AD23</f>
        <v>41.3</v>
      </c>
      <c r="T29" s="939">
        <f ca="1">iRegionComp!AE23</f>
        <v>41.3</v>
      </c>
      <c r="V29" s="940">
        <f ca="1">iRegionComp!AF23</f>
        <v>42</v>
      </c>
      <c r="W29" s="941">
        <f ca="1">iRegionComp!AG23</f>
        <v>36.200000000000003</v>
      </c>
      <c r="X29" s="941">
        <f ca="1">iRegionComp!AH23</f>
        <v>19.8</v>
      </c>
      <c r="Y29" s="941">
        <f ca="1">iRegionComp!AI23</f>
        <v>100</v>
      </c>
      <c r="Z29" s="942">
        <f ca="1">iRegionComp!AJ23</f>
        <v>53.8</v>
      </c>
      <c r="AB29" s="943">
        <f ca="1">iRegionComp!AK23</f>
        <v>11</v>
      </c>
      <c r="AC29" s="944">
        <f ca="1">iRegionComp!AL23</f>
        <v>28.4</v>
      </c>
      <c r="AD29" s="945">
        <f ca="1">iRegionComp!AM23</f>
        <v>49.3</v>
      </c>
      <c r="AF29" s="943">
        <f ca="1">iRegionComp!AN23</f>
        <v>48.7</v>
      </c>
      <c r="AG29" s="944">
        <f ca="1">iRegionComp!AO23</f>
        <v>46.2</v>
      </c>
      <c r="AH29" s="944">
        <f ca="1">iRegionComp!AP23</f>
        <v>28.2</v>
      </c>
      <c r="AI29" s="945">
        <f ca="1">iRegionComp!AQ23</f>
        <v>35.799999999999997</v>
      </c>
      <c r="AJ29" s="367"/>
      <c r="AK29" s="696"/>
      <c r="AN29" s="633">
        <f t="shared" ca="1" si="2"/>
        <v>19.8</v>
      </c>
      <c r="AO29" s="633">
        <f t="shared" ca="1" si="3"/>
        <v>100</v>
      </c>
    </row>
    <row r="30" spans="1:65" ht="25.4" customHeight="1">
      <c r="B30" s="156">
        <f>IF(iRegionComp!AA24="",0,iRegionComp!AA24)</f>
        <v>5</v>
      </c>
      <c r="C30" s="156">
        <f>iRegionComp!AB24</f>
        <v>0</v>
      </c>
      <c r="D30" s="938"/>
      <c r="E30" s="929" t="str">
        <f>TRIM(iRegionComp!AC24)</f>
        <v>1.1.2) Fixed broadband susbcriptions</v>
      </c>
      <c r="G30" s="930"/>
      <c r="H30" s="930"/>
      <c r="I30" s="930"/>
      <c r="J30" s="930"/>
      <c r="K30" s="930"/>
      <c r="L30" s="930"/>
      <c r="M30" s="930"/>
      <c r="N30" s="930"/>
      <c r="O30" s="930"/>
      <c r="P30" s="930"/>
      <c r="Q30" s="930"/>
      <c r="R30" s="939">
        <f ca="1">iRegionComp!AD24</f>
        <v>64.7</v>
      </c>
      <c r="T30" s="939">
        <f ca="1">iRegionComp!AE24</f>
        <v>64.7</v>
      </c>
      <c r="V30" s="940">
        <f ca="1">iRegionComp!AF24</f>
        <v>48.7</v>
      </c>
      <c r="W30" s="941">
        <f ca="1">iRegionComp!AG24</f>
        <v>86</v>
      </c>
      <c r="X30" s="941">
        <f ca="1">iRegionComp!AH24</f>
        <v>36.799999999999997</v>
      </c>
      <c r="Y30" s="941">
        <f ca="1">iRegionComp!AI24</f>
        <v>68.900000000000006</v>
      </c>
      <c r="Z30" s="942">
        <f ca="1">iRegionComp!AJ24</f>
        <v>79.8</v>
      </c>
      <c r="AB30" s="943">
        <f ca="1">iRegionComp!AK24</f>
        <v>4.5999999999999996</v>
      </c>
      <c r="AC30" s="944">
        <f ca="1">iRegionComp!AL24</f>
        <v>38.9</v>
      </c>
      <c r="AD30" s="945">
        <f ca="1">iRegionComp!AM24</f>
        <v>80.7</v>
      </c>
      <c r="AF30" s="943">
        <f ca="1">iRegionComp!AN24</f>
        <v>82</v>
      </c>
      <c r="AG30" s="944">
        <f ca="1">iRegionComp!AO24</f>
        <v>70</v>
      </c>
      <c r="AH30" s="944">
        <f ca="1">iRegionComp!AP24</f>
        <v>56.9</v>
      </c>
      <c r="AI30" s="945">
        <f ca="1">iRegionComp!AQ24</f>
        <v>47.6</v>
      </c>
      <c r="AJ30" s="367"/>
      <c r="AK30" s="696"/>
      <c r="AN30" s="633">
        <f t="shared" ca="1" si="2"/>
        <v>36.799999999999997</v>
      </c>
      <c r="AO30" s="633">
        <f t="shared" ca="1" si="3"/>
        <v>86</v>
      </c>
    </row>
    <row r="31" spans="1:65" ht="25.4" customHeight="1">
      <c r="B31" s="156">
        <f>IF(iRegionComp!AA25="",0,iRegionComp!AA25)</f>
        <v>6</v>
      </c>
      <c r="C31" s="156">
        <f>iRegionComp!AB25</f>
        <v>0</v>
      </c>
      <c r="D31" s="938"/>
      <c r="E31" s="929" t="str">
        <f>TRIM(iRegionComp!AC25)</f>
        <v>1.1.3) 5G readiness</v>
      </c>
      <c r="G31" s="930"/>
      <c r="H31" s="930"/>
      <c r="I31" s="930"/>
      <c r="J31" s="930"/>
      <c r="K31" s="930"/>
      <c r="L31" s="930"/>
      <c r="M31" s="930"/>
      <c r="N31" s="930"/>
      <c r="O31" s="930"/>
      <c r="P31" s="930"/>
      <c r="Q31" s="930"/>
      <c r="R31" s="939">
        <f ca="1">iRegionComp!AD25</f>
        <v>98.9</v>
      </c>
      <c r="T31" s="939">
        <f ca="1">iRegionComp!AE25</f>
        <v>98.9</v>
      </c>
      <c r="V31" s="940">
        <f ca="1">iRegionComp!AF25</f>
        <v>97.2</v>
      </c>
      <c r="W31" s="941">
        <f ca="1">iRegionComp!AG25</f>
        <v>100</v>
      </c>
      <c r="X31" s="941">
        <f ca="1">iRegionComp!AH25</f>
        <v>100</v>
      </c>
      <c r="Y31" s="941">
        <f ca="1">iRegionComp!AI25</f>
        <v>100</v>
      </c>
      <c r="Z31" s="942">
        <f ca="1">iRegionComp!AJ25</f>
        <v>100</v>
      </c>
      <c r="AB31" s="943">
        <f ca="1">iRegionComp!AK25</f>
        <v>100</v>
      </c>
      <c r="AC31" s="944">
        <f ca="1">iRegionComp!AL25</f>
        <v>94.5</v>
      </c>
      <c r="AD31" s="945">
        <f ca="1">iRegionComp!AM25</f>
        <v>100</v>
      </c>
      <c r="AF31" s="943">
        <f ca="1">iRegionComp!AN25</f>
        <v>100</v>
      </c>
      <c r="AG31" s="944">
        <f ca="1">iRegionComp!AO25</f>
        <v>100</v>
      </c>
      <c r="AH31" s="944">
        <f ca="1">iRegionComp!AP25</f>
        <v>91.7</v>
      </c>
      <c r="AI31" s="945">
        <f ca="1">iRegionComp!AQ25</f>
        <v>100</v>
      </c>
      <c r="AJ31" s="367"/>
      <c r="AK31" s="696"/>
      <c r="AN31" s="633">
        <f t="shared" ca="1" si="2"/>
        <v>91.7</v>
      </c>
      <c r="AO31" s="633">
        <f t="shared" ca="1" si="3"/>
        <v>100</v>
      </c>
    </row>
    <row r="32" spans="1:65" ht="25.4" customHeight="1">
      <c r="B32" s="156">
        <f>IF(iRegionComp!AA26="",0,iRegionComp!AA26)</f>
        <v>7</v>
      </c>
      <c r="C32" s="156">
        <f>iRegionComp!AB26</f>
        <v>0</v>
      </c>
      <c r="D32" s="938"/>
      <c r="E32" s="929" t="str">
        <f>TRIM(iRegionComp!AC26)</f>
        <v>1.1.4) 5G deployment</v>
      </c>
      <c r="G32" s="930"/>
      <c r="H32" s="930"/>
      <c r="I32" s="930"/>
      <c r="J32" s="930"/>
      <c r="K32" s="930"/>
      <c r="L32" s="930"/>
      <c r="M32" s="930"/>
      <c r="N32" s="930"/>
      <c r="O32" s="930"/>
      <c r="P32" s="930"/>
      <c r="Q32" s="930"/>
      <c r="R32" s="939">
        <f ca="1">iRegionComp!AD26</f>
        <v>98.3</v>
      </c>
      <c r="T32" s="939">
        <f ca="1">iRegionComp!AE26</f>
        <v>98.3</v>
      </c>
      <c r="V32" s="940">
        <f ca="1">iRegionComp!AF26</f>
        <v>95.8</v>
      </c>
      <c r="W32" s="941">
        <f ca="1">iRegionComp!AG26</f>
        <v>100</v>
      </c>
      <c r="X32" s="941">
        <f ca="1">iRegionComp!AH26</f>
        <v>100</v>
      </c>
      <c r="Y32" s="941">
        <f ca="1">iRegionComp!AI26</f>
        <v>100</v>
      </c>
      <c r="Z32" s="942">
        <f ca="1">iRegionComp!AJ26</f>
        <v>100</v>
      </c>
      <c r="AB32" s="943">
        <f ca="1">iRegionComp!AK26</f>
        <v>83.3</v>
      </c>
      <c r="AC32" s="944">
        <f ca="1">iRegionComp!AL26</f>
        <v>100</v>
      </c>
      <c r="AD32" s="945">
        <f ca="1">iRegionComp!AM26</f>
        <v>100</v>
      </c>
      <c r="AF32" s="943">
        <f ca="1">iRegionComp!AN26</f>
        <v>100</v>
      </c>
      <c r="AG32" s="944">
        <f ca="1">iRegionComp!AO26</f>
        <v>100</v>
      </c>
      <c r="AH32" s="944">
        <f ca="1">iRegionComp!AP26</f>
        <v>100</v>
      </c>
      <c r="AI32" s="945">
        <f ca="1">iRegionComp!AQ26</f>
        <v>94.4</v>
      </c>
      <c r="AJ32" s="367"/>
      <c r="AK32" s="696"/>
      <c r="AN32" s="633">
        <f t="shared" ca="1" si="2"/>
        <v>94.4</v>
      </c>
      <c r="AO32" s="633">
        <f t="shared" ca="1" si="3"/>
        <v>100</v>
      </c>
    </row>
    <row r="33" spans="2:41" ht="25.4" customHeight="1">
      <c r="B33" s="156">
        <f>IF(iRegionComp!AA27="",0,iRegionComp!AA27)</f>
        <v>8</v>
      </c>
      <c r="C33" s="156">
        <f>iRegionComp!AB27</f>
        <v>2</v>
      </c>
      <c r="D33" s="938"/>
      <c r="E33" s="929" t="str">
        <f>TRIM(iRegionComp!AC27)</f>
        <v>1.2) Quality</v>
      </c>
      <c r="G33" s="930"/>
      <c r="H33" s="930"/>
      <c r="I33" s="930"/>
      <c r="J33" s="930"/>
      <c r="K33" s="930"/>
      <c r="L33" s="930"/>
      <c r="M33" s="930"/>
      <c r="N33" s="930"/>
      <c r="O33" s="930"/>
      <c r="P33" s="930"/>
      <c r="Q33" s="930"/>
      <c r="R33" s="939">
        <f ca="1">iRegionComp!AD27</f>
        <v>43.5</v>
      </c>
      <c r="T33" s="939">
        <f ca="1">iRegionComp!AE27</f>
        <v>43.5</v>
      </c>
      <c r="V33" s="940">
        <f ca="1">iRegionComp!AF27</f>
        <v>48.8</v>
      </c>
      <c r="W33" s="941">
        <f ca="1">iRegionComp!AG27</f>
        <v>40.4</v>
      </c>
      <c r="X33" s="941">
        <f ca="1">iRegionComp!AH27</f>
        <v>26</v>
      </c>
      <c r="Y33" s="941">
        <f ca="1">iRegionComp!AI27</f>
        <v>99.1</v>
      </c>
      <c r="Z33" s="942">
        <f ca="1">iRegionComp!AJ27</f>
        <v>34.4</v>
      </c>
      <c r="AB33" s="943">
        <f ca="1">iRegionComp!AK27</f>
        <v>29.3</v>
      </c>
      <c r="AC33" s="944">
        <f ca="1">iRegionComp!AL27</f>
        <v>39.5</v>
      </c>
      <c r="AD33" s="945">
        <f ca="1">iRegionComp!AM27</f>
        <v>46.6</v>
      </c>
      <c r="AF33" s="943">
        <f ca="1">iRegionComp!AN27</f>
        <v>59</v>
      </c>
      <c r="AG33" s="944">
        <f ca="1">iRegionComp!AO27</f>
        <v>39.799999999999997</v>
      </c>
      <c r="AH33" s="944">
        <f ca="1">iRegionComp!AP27</f>
        <v>34.4</v>
      </c>
      <c r="AI33" s="945">
        <f ca="1">iRegionComp!AQ27</f>
        <v>37.4</v>
      </c>
      <c r="AJ33" s="367"/>
      <c r="AK33" s="696"/>
      <c r="AN33" s="633">
        <f t="shared" ref="AN33:AN92" ca="1" si="4">CHOOSE($AN$1,MIN(R33:Y33,AC33:AI33),MIN(R33:AI33),MIN(R33:Y33,AC33:AI33),MIN(R33:AB33,AC33:AI33))</f>
        <v>26</v>
      </c>
      <c r="AO33" s="633">
        <f t="shared" ref="AO33:AO92" ca="1" si="5">CHOOSE($AN$1,MAX(R33:Y33,AC33:AI33),MAX(R33:AI33),MAX(R33:Y33,AC33:AI33),MAX(R33:AB33,AC33:AI33))</f>
        <v>99.1</v>
      </c>
    </row>
    <row r="34" spans="2:41" ht="25.4" customHeight="1">
      <c r="B34" s="156">
        <f>IF(iRegionComp!AA28="",0,iRegionComp!AA28)</f>
        <v>9</v>
      </c>
      <c r="C34" s="156">
        <f>iRegionComp!AB28</f>
        <v>0</v>
      </c>
      <c r="D34" s="938"/>
      <c r="E34" s="929" t="str">
        <f>TRIM(iRegionComp!AC28)</f>
        <v>1.2.1) Internet upload speed</v>
      </c>
      <c r="G34" s="930"/>
      <c r="H34" s="930"/>
      <c r="I34" s="930"/>
      <c r="J34" s="930"/>
      <c r="K34" s="930"/>
      <c r="L34" s="930"/>
      <c r="M34" s="930"/>
      <c r="N34" s="930"/>
      <c r="O34" s="930"/>
      <c r="P34" s="930"/>
      <c r="Q34" s="930"/>
      <c r="R34" s="939">
        <f ca="1">iRegionComp!AD28</f>
        <v>38.299999999999997</v>
      </c>
      <c r="T34" s="939">
        <f ca="1">iRegionComp!AE28</f>
        <v>38.299999999999997</v>
      </c>
      <c r="V34" s="940">
        <f ca="1">iRegionComp!AF28</f>
        <v>37.9</v>
      </c>
      <c r="W34" s="941">
        <f ca="1">iRegionComp!AG28</f>
        <v>41.6</v>
      </c>
      <c r="X34" s="941">
        <f ca="1">iRegionComp!AH28</f>
        <v>23.2</v>
      </c>
      <c r="Y34" s="941">
        <f ca="1">iRegionComp!AI28</f>
        <v>100</v>
      </c>
      <c r="Z34" s="942">
        <f ca="1">iRegionComp!AJ28</f>
        <v>27.2</v>
      </c>
      <c r="AB34" s="943">
        <f ca="1">iRegionComp!AK28</f>
        <v>14.3</v>
      </c>
      <c r="AC34" s="944">
        <f ca="1">iRegionComp!AL28</f>
        <v>38.1</v>
      </c>
      <c r="AD34" s="945">
        <f ca="1">iRegionComp!AM28</f>
        <v>41.8</v>
      </c>
      <c r="AF34" s="943">
        <f ca="1">iRegionComp!AN28</f>
        <v>55.3</v>
      </c>
      <c r="AG34" s="944">
        <f ca="1">iRegionComp!AO28</f>
        <v>33.299999999999997</v>
      </c>
      <c r="AH34" s="944">
        <f ca="1">iRegionComp!AP28</f>
        <v>24.7</v>
      </c>
      <c r="AI34" s="945">
        <f ca="1">iRegionComp!AQ28</f>
        <v>34.200000000000003</v>
      </c>
      <c r="AJ34" s="367"/>
      <c r="AK34" s="696"/>
      <c r="AN34" s="633">
        <f t="shared" ca="1" si="4"/>
        <v>23.2</v>
      </c>
      <c r="AO34" s="633">
        <f t="shared" ca="1" si="5"/>
        <v>100</v>
      </c>
    </row>
    <row r="35" spans="2:41" ht="25.4" customHeight="1">
      <c r="B35" s="156">
        <f>IF(iRegionComp!AA29="",0,iRegionComp!AA29)</f>
        <v>10</v>
      </c>
      <c r="C35" s="156">
        <f>iRegionComp!AB29</f>
        <v>0</v>
      </c>
      <c r="D35" s="938"/>
      <c r="E35" s="929" t="str">
        <f>TRIM(iRegionComp!AC29)</f>
        <v>1.2.2) Internet download speed</v>
      </c>
      <c r="G35" s="930"/>
      <c r="H35" s="930"/>
      <c r="I35" s="930"/>
      <c r="J35" s="930"/>
      <c r="K35" s="930"/>
      <c r="L35" s="930"/>
      <c r="M35" s="930"/>
      <c r="N35" s="930"/>
      <c r="O35" s="930"/>
      <c r="P35" s="930"/>
      <c r="Q35" s="930"/>
      <c r="R35" s="939">
        <f ca="1">iRegionComp!AD29</f>
        <v>42.5</v>
      </c>
      <c r="T35" s="939">
        <f ca="1">iRegionComp!AE29</f>
        <v>42.5</v>
      </c>
      <c r="V35" s="940">
        <f ca="1">iRegionComp!AF29</f>
        <v>38</v>
      </c>
      <c r="W35" s="941">
        <f ca="1">iRegionComp!AG29</f>
        <v>48.4</v>
      </c>
      <c r="X35" s="941">
        <f ca="1">iRegionComp!AH29</f>
        <v>10.5</v>
      </c>
      <c r="Y35" s="941">
        <f ca="1">iRegionComp!AI29</f>
        <v>100</v>
      </c>
      <c r="Z35" s="942">
        <f ca="1">iRegionComp!AJ29</f>
        <v>50.9</v>
      </c>
      <c r="AB35" s="943">
        <f ca="1">iRegionComp!AK29</f>
        <v>2.9</v>
      </c>
      <c r="AC35" s="944">
        <f ca="1">iRegionComp!AL29</f>
        <v>23.2</v>
      </c>
      <c r="AD35" s="945">
        <f ca="1">iRegionComp!AM29</f>
        <v>53.7</v>
      </c>
      <c r="AF35" s="943">
        <f ca="1">iRegionComp!AN29</f>
        <v>65</v>
      </c>
      <c r="AG35" s="944">
        <f ca="1">iRegionComp!AO29</f>
        <v>40.1</v>
      </c>
      <c r="AH35" s="944">
        <f ca="1">iRegionComp!AP29</f>
        <v>26.9</v>
      </c>
      <c r="AI35" s="945">
        <f ca="1">iRegionComp!AQ29</f>
        <v>31.8</v>
      </c>
      <c r="AJ35" s="367"/>
      <c r="AK35" s="696"/>
      <c r="AN35" s="633">
        <f t="shared" ca="1" si="4"/>
        <v>10.5</v>
      </c>
      <c r="AO35" s="633">
        <f t="shared" ca="1" si="5"/>
        <v>100</v>
      </c>
    </row>
    <row r="36" spans="2:41" ht="25.4" customHeight="1">
      <c r="B36" s="156">
        <f>IF(iRegionComp!AA30="",0,iRegionComp!AA30)</f>
        <v>11</v>
      </c>
      <c r="C36" s="156">
        <f>iRegionComp!AB30</f>
        <v>0</v>
      </c>
      <c r="D36" s="938"/>
      <c r="E36" s="929" t="str">
        <f>TRIM(iRegionComp!AC30)</f>
        <v>1.2.3) Mobile broadband latency</v>
      </c>
      <c r="G36" s="930"/>
      <c r="H36" s="930"/>
      <c r="I36" s="930"/>
      <c r="J36" s="930"/>
      <c r="K36" s="930"/>
      <c r="L36" s="930"/>
      <c r="M36" s="930"/>
      <c r="N36" s="930"/>
      <c r="O36" s="930"/>
      <c r="P36" s="930"/>
      <c r="Q36" s="930"/>
      <c r="R36" s="939">
        <f ca="1">iRegionComp!AD30</f>
        <v>47.8</v>
      </c>
      <c r="T36" s="939">
        <f ca="1">iRegionComp!AE30</f>
        <v>47.8</v>
      </c>
      <c r="V36" s="940">
        <f ca="1">iRegionComp!AF30</f>
        <v>55.8</v>
      </c>
      <c r="W36" s="941">
        <f ca="1">iRegionComp!AG30</f>
        <v>41</v>
      </c>
      <c r="X36" s="941">
        <f ca="1">iRegionComp!AH30</f>
        <v>35</v>
      </c>
      <c r="Y36" s="941">
        <f ca="1">iRegionComp!AI30</f>
        <v>95</v>
      </c>
      <c r="Z36" s="942">
        <f ca="1">iRegionComp!AJ30</f>
        <v>38.799999999999997</v>
      </c>
      <c r="AB36" s="943">
        <f ca="1">iRegionComp!AK30</f>
        <v>45</v>
      </c>
      <c r="AC36" s="944">
        <f ca="1">iRegionComp!AL30</f>
        <v>49.2</v>
      </c>
      <c r="AD36" s="945">
        <f ca="1">iRegionComp!AM30</f>
        <v>47.9</v>
      </c>
      <c r="AF36" s="943">
        <f ca="1">iRegionComp!AN30</f>
        <v>61.9</v>
      </c>
      <c r="AG36" s="944">
        <f ca="1">iRegionComp!AO30</f>
        <v>48.9</v>
      </c>
      <c r="AH36" s="944">
        <f ca="1">iRegionComp!AP30</f>
        <v>45</v>
      </c>
      <c r="AI36" s="945">
        <f ca="1">iRegionComp!AQ30</f>
        <v>35.6</v>
      </c>
      <c r="AJ36" s="367"/>
      <c r="AK36" s="696"/>
      <c r="AN36" s="633">
        <f t="shared" ca="1" si="4"/>
        <v>35</v>
      </c>
      <c r="AO36" s="633">
        <f t="shared" ca="1" si="5"/>
        <v>95</v>
      </c>
    </row>
    <row r="37" spans="2:41" ht="25.4" customHeight="1">
      <c r="B37" s="156">
        <f>IF(iRegionComp!AA31="",0,iRegionComp!AA31)</f>
        <v>12</v>
      </c>
      <c r="C37" s="156">
        <f>iRegionComp!AB31</f>
        <v>0</v>
      </c>
      <c r="D37" s="938"/>
      <c r="E37" s="929" t="str">
        <f>TRIM(iRegionComp!AC31)</f>
        <v>1.2.4) Fixed broadband latency</v>
      </c>
      <c r="G37" s="930"/>
      <c r="H37" s="930"/>
      <c r="I37" s="930"/>
      <c r="J37" s="930"/>
      <c r="K37" s="930"/>
      <c r="L37" s="930"/>
      <c r="M37" s="930"/>
      <c r="N37" s="930"/>
      <c r="O37" s="930"/>
      <c r="P37" s="930"/>
      <c r="Q37" s="930"/>
      <c r="R37" s="939">
        <f ca="1">iRegionComp!AD31</f>
        <v>48.2</v>
      </c>
      <c r="T37" s="939">
        <f ca="1">iRegionComp!AE31</f>
        <v>48.2</v>
      </c>
      <c r="V37" s="940">
        <f ca="1">iRegionComp!AF31</f>
        <v>73.5</v>
      </c>
      <c r="W37" s="941">
        <f ca="1">iRegionComp!AG31</f>
        <v>26.4</v>
      </c>
      <c r="X37" s="941">
        <f ca="1">iRegionComp!AH31</f>
        <v>45.5</v>
      </c>
      <c r="Y37" s="941">
        <f ca="1">iRegionComp!AI31</f>
        <v>100</v>
      </c>
      <c r="Z37" s="942">
        <f ca="1">iRegionComp!AJ31</f>
        <v>15.9</v>
      </c>
      <c r="AB37" s="943">
        <f ca="1">iRegionComp!AK31</f>
        <v>75.7</v>
      </c>
      <c r="AC37" s="944">
        <f ca="1">iRegionComp!AL31</f>
        <v>57.6</v>
      </c>
      <c r="AD37" s="945">
        <f ca="1">iRegionComp!AM31</f>
        <v>41.6</v>
      </c>
      <c r="AF37" s="943">
        <f ca="1">iRegionComp!AN31</f>
        <v>52.3</v>
      </c>
      <c r="AG37" s="944">
        <f ca="1">iRegionComp!AO31</f>
        <v>40.4</v>
      </c>
      <c r="AH37" s="944">
        <f ca="1">iRegionComp!AP31</f>
        <v>50</v>
      </c>
      <c r="AI37" s="945">
        <f ca="1">iRegionComp!AQ31</f>
        <v>51.5</v>
      </c>
      <c r="AJ37" s="367"/>
      <c r="AK37" s="696"/>
      <c r="AN37" s="633">
        <f t="shared" ca="1" si="4"/>
        <v>26.4</v>
      </c>
      <c r="AO37" s="633">
        <f t="shared" ca="1" si="5"/>
        <v>100</v>
      </c>
    </row>
    <row r="38" spans="2:41" ht="25.4" customHeight="1">
      <c r="B38" s="156">
        <f>IF(iRegionComp!AA32="",0,iRegionComp!AA32)</f>
        <v>13</v>
      </c>
      <c r="C38" s="156">
        <f>iRegionComp!AB32</f>
        <v>2</v>
      </c>
      <c r="D38" s="938"/>
      <c r="E38" s="929" t="str">
        <f>TRIM(iRegionComp!AC32)</f>
        <v>1.3) Affordability</v>
      </c>
      <c r="G38" s="930"/>
      <c r="H38" s="930"/>
      <c r="I38" s="930"/>
      <c r="J38" s="930"/>
      <c r="K38" s="930"/>
      <c r="L38" s="930"/>
      <c r="M38" s="930"/>
      <c r="N38" s="930"/>
      <c r="O38" s="930"/>
      <c r="P38" s="930"/>
      <c r="Q38" s="930"/>
      <c r="R38" s="939">
        <f ca="1">iRegionComp!AD32</f>
        <v>69.3</v>
      </c>
      <c r="T38" s="939">
        <f ca="1">iRegionComp!AE32</f>
        <v>69.3</v>
      </c>
      <c r="V38" s="940">
        <f ca="1">iRegionComp!AF32</f>
        <v>63.9</v>
      </c>
      <c r="W38" s="941">
        <f ca="1">iRegionComp!AG32</f>
        <v>82.9</v>
      </c>
      <c r="X38" s="941">
        <f ca="1">iRegionComp!AH32</f>
        <v>49.3</v>
      </c>
      <c r="Y38" s="941">
        <f ca="1">iRegionComp!AI32</f>
        <v>0.4</v>
      </c>
      <c r="Z38" s="942">
        <f ca="1">iRegionComp!AJ32</f>
        <v>84.1</v>
      </c>
      <c r="AB38" s="943">
        <f ca="1">iRegionComp!AK32</f>
        <v>36.5</v>
      </c>
      <c r="AC38" s="944">
        <f ca="1">iRegionComp!AL32</f>
        <v>60.1</v>
      </c>
      <c r="AD38" s="945">
        <f ca="1">iRegionComp!AM32</f>
        <v>76.7</v>
      </c>
      <c r="AF38" s="943">
        <f ca="1">iRegionComp!AN32</f>
        <v>70.3</v>
      </c>
      <c r="AG38" s="944">
        <f ca="1">iRegionComp!AO32</f>
        <v>77.5</v>
      </c>
      <c r="AH38" s="944">
        <f ca="1">iRegionComp!AP32</f>
        <v>68</v>
      </c>
      <c r="AI38" s="945">
        <f ca="1">iRegionComp!AQ32</f>
        <v>60.9</v>
      </c>
      <c r="AJ38" s="367"/>
      <c r="AK38" s="696"/>
      <c r="AN38" s="633">
        <f t="shared" ca="1" si="4"/>
        <v>0.4</v>
      </c>
      <c r="AO38" s="633">
        <f t="shared" ca="1" si="5"/>
        <v>82.9</v>
      </c>
    </row>
    <row r="39" spans="2:41" ht="25.4" customHeight="1">
      <c r="B39" s="156">
        <f>IF(iRegionComp!AA33="",0,iRegionComp!AA33)</f>
        <v>14</v>
      </c>
      <c r="C39" s="156">
        <f>iRegionComp!AB33</f>
        <v>0</v>
      </c>
      <c r="D39" s="938"/>
      <c r="E39" s="929" t="str">
        <f>TRIM(iRegionComp!AC33)</f>
        <v>1.3.1) Mobile data affordability</v>
      </c>
      <c r="G39" s="930"/>
      <c r="H39" s="930"/>
      <c r="I39" s="930"/>
      <c r="J39" s="930"/>
      <c r="K39" s="930"/>
      <c r="L39" s="930"/>
      <c r="M39" s="930"/>
      <c r="N39" s="930"/>
      <c r="O39" s="930"/>
      <c r="P39" s="930"/>
      <c r="Q39" s="930"/>
      <c r="R39" s="939">
        <f ca="1">iRegionComp!AD33</f>
        <v>74.599999999999994</v>
      </c>
      <c r="T39" s="939">
        <f ca="1">iRegionComp!AE33</f>
        <v>74.599999999999994</v>
      </c>
      <c r="V39" s="940">
        <f ca="1">iRegionComp!AF33</f>
        <v>71.5</v>
      </c>
      <c r="W39" s="941">
        <f ca="1">iRegionComp!AG33</f>
        <v>88.6</v>
      </c>
      <c r="X39" s="941">
        <f ca="1">iRegionComp!AH33</f>
        <v>56</v>
      </c>
      <c r="Y39" s="941">
        <f ca="1">iRegionComp!AI33</f>
        <v>0</v>
      </c>
      <c r="Z39" s="942">
        <f ca="1">iRegionComp!AJ33</f>
        <v>81.599999999999994</v>
      </c>
      <c r="AB39" s="943">
        <f ca="1">iRegionComp!AK33</f>
        <v>60.6</v>
      </c>
      <c r="AC39" s="944">
        <f ca="1">iRegionComp!AL33</f>
        <v>69.099999999999994</v>
      </c>
      <c r="AD39" s="945">
        <f ca="1">iRegionComp!AM33</f>
        <v>78.2</v>
      </c>
      <c r="AF39" s="943">
        <f ca="1">iRegionComp!AN33</f>
        <v>71.599999999999994</v>
      </c>
      <c r="AG39" s="944">
        <f ca="1">iRegionComp!AO33</f>
        <v>83.4</v>
      </c>
      <c r="AH39" s="944">
        <f ca="1">iRegionComp!AP33</f>
        <v>77.5</v>
      </c>
      <c r="AI39" s="945">
        <f ca="1">iRegionComp!AQ33</f>
        <v>67.2</v>
      </c>
      <c r="AJ39" s="367"/>
      <c r="AK39" s="696"/>
      <c r="AN39" s="633">
        <f t="shared" ca="1" si="4"/>
        <v>0</v>
      </c>
      <c r="AO39" s="633">
        <f t="shared" ca="1" si="5"/>
        <v>88.6</v>
      </c>
    </row>
    <row r="40" spans="2:41" ht="25.4" customHeight="1">
      <c r="B40" s="156">
        <f>IF(iRegionComp!AA34="",0,iRegionComp!AA34)</f>
        <v>15</v>
      </c>
      <c r="C40" s="156">
        <f>iRegionComp!AB34</f>
        <v>0</v>
      </c>
      <c r="D40" s="938"/>
      <c r="E40" s="929" t="str">
        <f>TRIM(iRegionComp!AC34)</f>
        <v>1.3.2) Fixed broadband affordability</v>
      </c>
      <c r="G40" s="930"/>
      <c r="H40" s="930"/>
      <c r="I40" s="930"/>
      <c r="J40" s="930"/>
      <c r="K40" s="930"/>
      <c r="L40" s="930"/>
      <c r="M40" s="930"/>
      <c r="N40" s="930"/>
      <c r="O40" s="930"/>
      <c r="P40" s="930"/>
      <c r="Q40" s="930"/>
      <c r="R40" s="939">
        <f ca="1">iRegionComp!AD34</f>
        <v>63.6</v>
      </c>
      <c r="T40" s="939">
        <f ca="1">iRegionComp!AE34</f>
        <v>63.6</v>
      </c>
      <c r="V40" s="940">
        <f ca="1">iRegionComp!AF34</f>
        <v>55.6</v>
      </c>
      <c r="W40" s="941">
        <f ca="1">iRegionComp!AG34</f>
        <v>76.7</v>
      </c>
      <c r="X40" s="941">
        <f ca="1">iRegionComp!AH34</f>
        <v>42</v>
      </c>
      <c r="Y40" s="941">
        <f ca="1">iRegionComp!AI34</f>
        <v>0.8</v>
      </c>
      <c r="Z40" s="942">
        <f ca="1">iRegionComp!AJ34</f>
        <v>86.9</v>
      </c>
      <c r="AB40" s="943">
        <f ca="1">iRegionComp!AK34</f>
        <v>10.1</v>
      </c>
      <c r="AC40" s="944">
        <f ca="1">iRegionComp!AL34</f>
        <v>50.4</v>
      </c>
      <c r="AD40" s="945">
        <f ca="1">iRegionComp!AM34</f>
        <v>75</v>
      </c>
      <c r="AF40" s="943">
        <f ca="1">iRegionComp!AN34</f>
        <v>68.900000000000006</v>
      </c>
      <c r="AG40" s="944">
        <f ca="1">iRegionComp!AO34</f>
        <v>71.099999999999994</v>
      </c>
      <c r="AH40" s="944">
        <f ca="1">iRegionComp!AP34</f>
        <v>57.7</v>
      </c>
      <c r="AI40" s="945">
        <f ca="1">iRegionComp!AQ34</f>
        <v>54.1</v>
      </c>
      <c r="AJ40" s="367"/>
      <c r="AK40" s="696"/>
      <c r="AN40" s="633">
        <f t="shared" ca="1" si="4"/>
        <v>0.8</v>
      </c>
      <c r="AO40" s="633">
        <f t="shared" ca="1" si="5"/>
        <v>76.7</v>
      </c>
    </row>
    <row r="41" spans="2:41" ht="25.4" customHeight="1">
      <c r="B41" s="156">
        <f>IF(iRegionComp!AA35="",0,iRegionComp!AA35)</f>
        <v>17</v>
      </c>
      <c r="C41" s="156">
        <f>iRegionComp!AB35</f>
        <v>2</v>
      </c>
      <c r="D41" s="938"/>
      <c r="E41" s="929" t="str">
        <f>TRIM(iRegionComp!AC35)</f>
        <v>2.1) E-gov services for residents &amp; businesses</v>
      </c>
      <c r="G41" s="930"/>
      <c r="H41" s="930"/>
      <c r="I41" s="930"/>
      <c r="J41" s="930"/>
      <c r="K41" s="930"/>
      <c r="L41" s="930"/>
      <c r="M41" s="930"/>
      <c r="N41" s="930"/>
      <c r="O41" s="930"/>
      <c r="P41" s="930"/>
      <c r="Q41" s="930"/>
      <c r="R41" s="939">
        <f ca="1">iRegionComp!AD35</f>
        <v>68.2</v>
      </c>
      <c r="T41" s="939">
        <f ca="1">iRegionComp!AE35</f>
        <v>68.2</v>
      </c>
      <c r="V41" s="940">
        <f ca="1">iRegionComp!AF35</f>
        <v>67.400000000000006</v>
      </c>
      <c r="W41" s="941">
        <f ca="1">iRegionComp!AG35</f>
        <v>67.8</v>
      </c>
      <c r="X41" s="941">
        <f ca="1">iRegionComp!AH35</f>
        <v>67.7</v>
      </c>
      <c r="Y41" s="941">
        <f ca="1">iRegionComp!AI35</f>
        <v>64.3</v>
      </c>
      <c r="Z41" s="942">
        <f ca="1">iRegionComp!AJ35</f>
        <v>73.2</v>
      </c>
      <c r="AB41" s="943">
        <f ca="1">iRegionComp!AK35</f>
        <v>69.7</v>
      </c>
      <c r="AC41" s="944">
        <f ca="1">iRegionComp!AL35</f>
        <v>65.099999999999994</v>
      </c>
      <c r="AD41" s="945">
        <f ca="1">iRegionComp!AM35</f>
        <v>68.900000000000006</v>
      </c>
      <c r="AF41" s="943">
        <f ca="1">iRegionComp!AN35</f>
        <v>65.7</v>
      </c>
      <c r="AG41" s="944">
        <f ca="1">iRegionComp!AO35</f>
        <v>74.599999999999994</v>
      </c>
      <c r="AH41" s="944">
        <f ca="1">iRegionComp!AP35</f>
        <v>62.2</v>
      </c>
      <c r="AI41" s="945">
        <f ca="1">iRegionComp!AQ35</f>
        <v>66.8</v>
      </c>
      <c r="AJ41" s="367"/>
      <c r="AK41" s="696"/>
      <c r="AN41" s="633">
        <f t="shared" ca="1" si="4"/>
        <v>62.2</v>
      </c>
      <c r="AO41" s="633">
        <f t="shared" ca="1" si="5"/>
        <v>74.599999999999994</v>
      </c>
    </row>
    <row r="42" spans="2:41" ht="25.4" customHeight="1">
      <c r="B42" s="156">
        <f>IF(iRegionComp!AA36="",0,iRegionComp!AA36)</f>
        <v>18</v>
      </c>
      <c r="C42" s="156">
        <f>iRegionComp!AB36</f>
        <v>0</v>
      </c>
      <c r="D42" s="938"/>
      <c r="E42" s="929" t="str">
        <f>TRIM(iRegionComp!AC36)</f>
        <v>2.1.1) Mobile digital national ID</v>
      </c>
      <c r="G42" s="930"/>
      <c r="H42" s="930"/>
      <c r="I42" s="930"/>
      <c r="J42" s="930"/>
      <c r="K42" s="930"/>
      <c r="L42" s="930"/>
      <c r="M42" s="930"/>
      <c r="N42" s="930"/>
      <c r="O42" s="930"/>
      <c r="P42" s="930"/>
      <c r="Q42" s="930"/>
      <c r="R42" s="939">
        <f ca="1">iRegionComp!AD36</f>
        <v>20</v>
      </c>
      <c r="T42" s="939">
        <f ca="1">iRegionComp!AE36</f>
        <v>20</v>
      </c>
      <c r="V42" s="940">
        <f ca="1">iRegionComp!AF36</f>
        <v>16.7</v>
      </c>
      <c r="W42" s="941">
        <f ca="1">iRegionComp!AG36</f>
        <v>20</v>
      </c>
      <c r="X42" s="941">
        <f ca="1">iRegionComp!AH36</f>
        <v>33.299999999999997</v>
      </c>
      <c r="Y42" s="941">
        <f ca="1">iRegionComp!AI36</f>
        <v>0</v>
      </c>
      <c r="Z42" s="942">
        <f ca="1">iRegionComp!AJ36</f>
        <v>25</v>
      </c>
      <c r="AB42" s="943">
        <f ca="1">iRegionComp!AK36</f>
        <v>33.299999999999997</v>
      </c>
      <c r="AC42" s="944">
        <f ca="1">iRegionComp!AL36</f>
        <v>16.7</v>
      </c>
      <c r="AD42" s="945">
        <f ca="1">iRegionComp!AM36</f>
        <v>19</v>
      </c>
      <c r="AF42" s="943">
        <f ca="1">iRegionComp!AN36</f>
        <v>12.5</v>
      </c>
      <c r="AG42" s="944">
        <f ca="1">iRegionComp!AO36</f>
        <v>33.299999999999997</v>
      </c>
      <c r="AH42" s="944">
        <f ca="1">iRegionComp!AP36</f>
        <v>0</v>
      </c>
      <c r="AI42" s="945">
        <f ca="1">iRegionComp!AQ36</f>
        <v>22.2</v>
      </c>
      <c r="AJ42" s="367"/>
      <c r="AK42" s="696"/>
      <c r="AN42" s="633">
        <f t="shared" ca="1" si="4"/>
        <v>0</v>
      </c>
      <c r="AO42" s="633">
        <f t="shared" ca="1" si="5"/>
        <v>33.299999999999997</v>
      </c>
    </row>
    <row r="43" spans="2:41" ht="25.4" customHeight="1">
      <c r="B43" s="156">
        <f>IF(iRegionComp!AA37="",0,iRegionComp!AA37)</f>
        <v>19</v>
      </c>
      <c r="C43" s="156">
        <f>iRegionComp!AB37</f>
        <v>0</v>
      </c>
      <c r="D43" s="938"/>
      <c r="E43" s="929" t="str">
        <f>TRIM(iRegionComp!AC37)</f>
        <v>2.1.2) E-gov service portal for residents</v>
      </c>
      <c r="G43" s="930"/>
      <c r="H43" s="930"/>
      <c r="I43" s="930"/>
      <c r="J43" s="930"/>
      <c r="K43" s="930"/>
      <c r="L43" s="930"/>
      <c r="M43" s="930"/>
      <c r="N43" s="930"/>
      <c r="O43" s="930"/>
      <c r="P43" s="930"/>
      <c r="Q43" s="930"/>
      <c r="R43" s="939">
        <f ca="1">iRegionComp!AD37</f>
        <v>87.6</v>
      </c>
      <c r="T43" s="939">
        <f ca="1">iRegionComp!AE37</f>
        <v>87.6</v>
      </c>
      <c r="V43" s="940">
        <f ca="1">iRegionComp!AF37</f>
        <v>87.5</v>
      </c>
      <c r="W43" s="941">
        <f ca="1">iRegionComp!AG37</f>
        <v>86.4</v>
      </c>
      <c r="X43" s="941">
        <f ca="1">iRegionComp!AH37</f>
        <v>84.7</v>
      </c>
      <c r="Y43" s="941">
        <f ca="1">iRegionComp!AI37</f>
        <v>90</v>
      </c>
      <c r="Z43" s="942">
        <f ca="1">iRegionComp!AJ37</f>
        <v>92.3</v>
      </c>
      <c r="AB43" s="943">
        <f ca="1">iRegionComp!AK37</f>
        <v>75.3</v>
      </c>
      <c r="AC43" s="944">
        <f ca="1">iRegionComp!AL37</f>
        <v>84.8</v>
      </c>
      <c r="AD43" s="945">
        <f ca="1">iRegionComp!AM37</f>
        <v>90.1</v>
      </c>
      <c r="AF43" s="943">
        <f ca="1">iRegionComp!AN37</f>
        <v>88.3</v>
      </c>
      <c r="AG43" s="944">
        <f ca="1">iRegionComp!AO37</f>
        <v>89</v>
      </c>
      <c r="AH43" s="944">
        <f ca="1">iRegionComp!AP37</f>
        <v>84</v>
      </c>
      <c r="AI43" s="945">
        <f ca="1">iRegionComp!AQ37</f>
        <v>87.1</v>
      </c>
      <c r="AJ43" s="367"/>
      <c r="AK43" s="696"/>
      <c r="AN43" s="633">
        <f t="shared" ca="1" si="4"/>
        <v>84</v>
      </c>
      <c r="AO43" s="633">
        <f t="shared" ca="1" si="5"/>
        <v>90.1</v>
      </c>
    </row>
    <row r="44" spans="2:41" ht="25.4" customHeight="1">
      <c r="B44" s="156">
        <f>IF(iRegionComp!AA38="",0,iRegionComp!AA38)</f>
        <v>20</v>
      </c>
      <c r="C44" s="156">
        <f>iRegionComp!AB38</f>
        <v>0</v>
      </c>
      <c r="D44" s="938"/>
      <c r="E44" s="929" t="str">
        <f>TRIM(iRegionComp!AC38)</f>
        <v>2.1.3) E-gov service portal for businesses</v>
      </c>
      <c r="G44" s="930"/>
      <c r="H44" s="930"/>
      <c r="I44" s="930"/>
      <c r="J44" s="930"/>
      <c r="K44" s="930"/>
      <c r="L44" s="930"/>
      <c r="M44" s="930"/>
      <c r="N44" s="930"/>
      <c r="O44" s="930"/>
      <c r="P44" s="930"/>
      <c r="Q44" s="930"/>
      <c r="R44" s="939">
        <f ca="1">iRegionComp!AD38</f>
        <v>95</v>
      </c>
      <c r="T44" s="939">
        <f ca="1">iRegionComp!AE38</f>
        <v>95</v>
      </c>
      <c r="V44" s="940">
        <f ca="1">iRegionComp!AF38</f>
        <v>95.8</v>
      </c>
      <c r="W44" s="941">
        <f ca="1">iRegionComp!AG38</f>
        <v>95</v>
      </c>
      <c r="X44" s="941">
        <f ca="1">iRegionComp!AH38</f>
        <v>83.3</v>
      </c>
      <c r="Y44" s="941">
        <f ca="1">iRegionComp!AI38</f>
        <v>100</v>
      </c>
      <c r="Z44" s="942">
        <f ca="1">iRegionComp!AJ38</f>
        <v>100</v>
      </c>
      <c r="AB44" s="943">
        <f ca="1">iRegionComp!AK38</f>
        <v>100</v>
      </c>
      <c r="AC44" s="944">
        <f ca="1">iRegionComp!AL38</f>
        <v>91.7</v>
      </c>
      <c r="AD44" s="945">
        <f ca="1">iRegionComp!AM38</f>
        <v>95.2</v>
      </c>
      <c r="AF44" s="943">
        <f ca="1">iRegionComp!AN38</f>
        <v>93.8</v>
      </c>
      <c r="AG44" s="944">
        <f ca="1">iRegionComp!AO38</f>
        <v>100</v>
      </c>
      <c r="AH44" s="944">
        <f ca="1">iRegionComp!AP38</f>
        <v>100</v>
      </c>
      <c r="AI44" s="945">
        <f ca="1">iRegionComp!AQ38</f>
        <v>88.9</v>
      </c>
      <c r="AJ44" s="367"/>
      <c r="AK44" s="696"/>
      <c r="AN44" s="633">
        <f t="shared" ca="1" si="4"/>
        <v>83.3</v>
      </c>
      <c r="AO44" s="633">
        <f t="shared" ca="1" si="5"/>
        <v>100</v>
      </c>
    </row>
    <row r="45" spans="2:41" ht="25.4" customHeight="1">
      <c r="B45" s="156">
        <f>IF(iRegionComp!AA39="",0,iRegionComp!AA39)</f>
        <v>21</v>
      </c>
      <c r="C45" s="156">
        <f>iRegionComp!AB39</f>
        <v>2</v>
      </c>
      <c r="D45" s="938"/>
      <c r="E45" s="929" t="str">
        <f>TRIM(iRegionComp!AC39)</f>
        <v>2.2) Digital finance</v>
      </c>
      <c r="G45" s="930"/>
      <c r="H45" s="930"/>
      <c r="I45" s="930"/>
      <c r="J45" s="930"/>
      <c r="K45" s="930"/>
      <c r="L45" s="930"/>
      <c r="M45" s="930"/>
      <c r="N45" s="930"/>
      <c r="O45" s="930"/>
      <c r="P45" s="930"/>
      <c r="Q45" s="930"/>
      <c r="R45" s="939">
        <f ca="1">iRegionComp!AD39</f>
        <v>50.8</v>
      </c>
      <c r="T45" s="939">
        <f ca="1">iRegionComp!AE39</f>
        <v>50.8</v>
      </c>
      <c r="V45" s="940">
        <f ca="1">iRegionComp!AF39</f>
        <v>53.4</v>
      </c>
      <c r="W45" s="941">
        <f ca="1">iRegionComp!AG39</f>
        <v>47.1</v>
      </c>
      <c r="X45" s="941">
        <f ca="1">iRegionComp!AH39</f>
        <v>39.200000000000003</v>
      </c>
      <c r="Y45" s="941">
        <f ca="1">iRegionComp!AI39</f>
        <v>60.5</v>
      </c>
      <c r="Z45" s="942">
        <f ca="1">iRegionComp!AJ39</f>
        <v>58.5</v>
      </c>
      <c r="AB45" s="943">
        <f ca="1">iRegionComp!AK39</f>
        <v>47.7</v>
      </c>
      <c r="AC45" s="944">
        <f ca="1">iRegionComp!AL39</f>
        <v>46.9</v>
      </c>
      <c r="AD45" s="945">
        <f ca="1">iRegionComp!AM39</f>
        <v>52.3</v>
      </c>
      <c r="AF45" s="943">
        <f ca="1">iRegionComp!AN39</f>
        <v>54.2</v>
      </c>
      <c r="AG45" s="944">
        <f ca="1">iRegionComp!AO39</f>
        <v>48.2</v>
      </c>
      <c r="AH45" s="944">
        <f ca="1">iRegionComp!AP39</f>
        <v>46.6</v>
      </c>
      <c r="AI45" s="945">
        <f ca="1">iRegionComp!AQ39</f>
        <v>52.2</v>
      </c>
      <c r="AJ45" s="367"/>
      <c r="AK45" s="696"/>
      <c r="AN45" s="633">
        <f t="shared" ca="1" si="4"/>
        <v>39.200000000000003</v>
      </c>
      <c r="AO45" s="633">
        <f t="shared" ca="1" si="5"/>
        <v>60.5</v>
      </c>
    </row>
    <row r="46" spans="2:41" ht="25.4" customHeight="1">
      <c r="B46" s="156">
        <f>IF(iRegionComp!AA40="",0,iRegionComp!AA40)</f>
        <v>22</v>
      </c>
      <c r="C46" s="156">
        <f>iRegionComp!AB40</f>
        <v>0</v>
      </c>
      <c r="D46" s="938"/>
      <c r="E46" s="929" t="str">
        <f>TRIM(iRegionComp!AC40)</f>
        <v>2.2.1) Digital platforms for banking and personal finance</v>
      </c>
      <c r="G46" s="930"/>
      <c r="H46" s="930"/>
      <c r="I46" s="930"/>
      <c r="J46" s="930"/>
      <c r="K46" s="930"/>
      <c r="L46" s="930"/>
      <c r="M46" s="930"/>
      <c r="N46" s="930"/>
      <c r="O46" s="930"/>
      <c r="P46" s="930"/>
      <c r="Q46" s="930"/>
      <c r="R46" s="939">
        <f ca="1">iRegionComp!AD40</f>
        <v>55.9</v>
      </c>
      <c r="T46" s="939">
        <f ca="1">iRegionComp!AE40</f>
        <v>55.9</v>
      </c>
      <c r="V46" s="940">
        <f ca="1">iRegionComp!AF40</f>
        <v>61.6</v>
      </c>
      <c r="W46" s="941">
        <f ca="1">iRegionComp!AG40</f>
        <v>54.6</v>
      </c>
      <c r="X46" s="941">
        <f ca="1">iRegionComp!AH40</f>
        <v>52.2</v>
      </c>
      <c r="Y46" s="941">
        <f ca="1">iRegionComp!AI40</f>
        <v>89.1</v>
      </c>
      <c r="Z46" s="942">
        <f ca="1">iRegionComp!AJ40</f>
        <v>37</v>
      </c>
      <c r="AB46" s="943">
        <f ca="1">iRegionComp!AK40</f>
        <v>76.8</v>
      </c>
      <c r="AC46" s="944">
        <f ca="1">iRegionComp!AL40</f>
        <v>60.9</v>
      </c>
      <c r="AD46" s="945">
        <f ca="1">iRegionComp!AM40</f>
        <v>51.6</v>
      </c>
      <c r="AF46" s="943">
        <f ca="1">iRegionComp!AN40</f>
        <v>59.5</v>
      </c>
      <c r="AG46" s="944">
        <f ca="1">iRegionComp!AO40</f>
        <v>44.7</v>
      </c>
      <c r="AH46" s="944">
        <f ca="1">iRegionComp!AP40</f>
        <v>58.1</v>
      </c>
      <c r="AI46" s="945">
        <f ca="1">iRegionComp!AQ40</f>
        <v>63</v>
      </c>
      <c r="AJ46" s="367"/>
      <c r="AK46" s="696"/>
      <c r="AN46" s="633">
        <f t="shared" ca="1" si="4"/>
        <v>44.7</v>
      </c>
      <c r="AO46" s="633">
        <f t="shared" ca="1" si="5"/>
        <v>89.1</v>
      </c>
    </row>
    <row r="47" spans="2:41" ht="25.4" customHeight="1">
      <c r="B47" s="156">
        <f>IF(iRegionComp!AA41="",0,iRegionComp!AA41)</f>
        <v>23</v>
      </c>
      <c r="C47" s="156">
        <f>iRegionComp!AB41</f>
        <v>0</v>
      </c>
      <c r="D47" s="938"/>
      <c r="E47" s="929" t="str">
        <f>TRIM(iRegionComp!AC41)</f>
        <v>2.2.2) Digital investment management tools</v>
      </c>
      <c r="G47" s="930"/>
      <c r="H47" s="930"/>
      <c r="I47" s="930"/>
      <c r="J47" s="930"/>
      <c r="K47" s="930"/>
      <c r="L47" s="930"/>
      <c r="M47" s="930"/>
      <c r="N47" s="930"/>
      <c r="O47" s="930"/>
      <c r="P47" s="930"/>
      <c r="Q47" s="930"/>
      <c r="R47" s="939">
        <f ca="1">iRegionComp!AD41</f>
        <v>36.799999999999997</v>
      </c>
      <c r="T47" s="939">
        <f ca="1">iRegionComp!AE41</f>
        <v>36.799999999999997</v>
      </c>
      <c r="V47" s="940">
        <f ca="1">iRegionComp!AF41</f>
        <v>54.2</v>
      </c>
      <c r="W47" s="941">
        <f ca="1">iRegionComp!AG41</f>
        <v>14.8</v>
      </c>
      <c r="X47" s="941">
        <f ca="1">iRegionComp!AH41</f>
        <v>39.4</v>
      </c>
      <c r="Y47" s="941">
        <f ca="1">iRegionComp!AI41</f>
        <v>80.3</v>
      </c>
      <c r="Z47" s="942">
        <f ca="1">iRegionComp!AJ41</f>
        <v>26.8</v>
      </c>
      <c r="AB47" s="943">
        <f ca="1">iRegionComp!AK41</f>
        <v>78.900000000000006</v>
      </c>
      <c r="AC47" s="944">
        <f ca="1">iRegionComp!AL41</f>
        <v>54.5</v>
      </c>
      <c r="AD47" s="945">
        <f ca="1">iRegionComp!AM41</f>
        <v>25.8</v>
      </c>
      <c r="AF47" s="943">
        <f ca="1">iRegionComp!AN41</f>
        <v>22.2</v>
      </c>
      <c r="AG47" s="944">
        <f ca="1">iRegionComp!AO41</f>
        <v>30.1</v>
      </c>
      <c r="AH47" s="944">
        <f ca="1">iRegionComp!AP41</f>
        <v>38.700000000000003</v>
      </c>
      <c r="AI47" s="945">
        <f ca="1">iRegionComp!AQ41</f>
        <v>55.7</v>
      </c>
      <c r="AJ47" s="367"/>
      <c r="AK47" s="696"/>
      <c r="AN47" s="633">
        <f t="shared" ca="1" si="4"/>
        <v>14.8</v>
      </c>
      <c r="AO47" s="633">
        <f t="shared" ca="1" si="5"/>
        <v>80.3</v>
      </c>
    </row>
    <row r="48" spans="2:41" ht="25.4" customHeight="1">
      <c r="B48" s="156">
        <f>IF(iRegionComp!AA42="",0,iRegionComp!AA42)</f>
        <v>24</v>
      </c>
      <c r="C48" s="156">
        <f>iRegionComp!AB42</f>
        <v>0</v>
      </c>
      <c r="D48" s="938"/>
      <c r="E48" s="929" t="str">
        <f>TRIM(iRegionComp!AC42)</f>
        <v>2.2.3) E-payments</v>
      </c>
      <c r="G48" s="930"/>
      <c r="H48" s="930"/>
      <c r="I48" s="930"/>
      <c r="J48" s="930"/>
      <c r="K48" s="930"/>
      <c r="L48" s="930"/>
      <c r="M48" s="930"/>
      <c r="N48" s="930"/>
      <c r="O48" s="930"/>
      <c r="P48" s="930"/>
      <c r="Q48" s="930"/>
      <c r="R48" s="939">
        <f ca="1">iRegionComp!AD42</f>
        <v>54.1</v>
      </c>
      <c r="T48" s="939">
        <f ca="1">iRegionComp!AE42</f>
        <v>54.1</v>
      </c>
      <c r="V48" s="940">
        <f ca="1">iRegionComp!AF42</f>
        <v>46.3</v>
      </c>
      <c r="W48" s="941">
        <f ca="1">iRegionComp!AG42</f>
        <v>58.4</v>
      </c>
      <c r="X48" s="941">
        <f ca="1">iRegionComp!AH42</f>
        <v>28.7</v>
      </c>
      <c r="Y48" s="941">
        <f ca="1">iRegionComp!AI42</f>
        <v>27.2</v>
      </c>
      <c r="Z48" s="942">
        <f ca="1">iRegionComp!AJ42</f>
        <v>92.6</v>
      </c>
      <c r="AB48" s="943">
        <f ca="1">iRegionComp!AK42</f>
        <v>7.8</v>
      </c>
      <c r="AC48" s="944">
        <f ca="1">iRegionComp!AL42</f>
        <v>31.6</v>
      </c>
      <c r="AD48" s="945">
        <f ca="1">iRegionComp!AM42</f>
        <v>67.2</v>
      </c>
      <c r="AF48" s="943">
        <f ca="1">iRegionComp!AN42</f>
        <v>67</v>
      </c>
      <c r="AG48" s="944">
        <f ca="1">iRegionComp!AO42</f>
        <v>60.8</v>
      </c>
      <c r="AH48" s="944">
        <f ca="1">iRegionComp!AP42</f>
        <v>41.6</v>
      </c>
      <c r="AI48" s="945">
        <f ca="1">iRegionComp!AQ42</f>
        <v>41.5</v>
      </c>
      <c r="AJ48" s="367"/>
      <c r="AK48" s="696"/>
      <c r="AN48" s="633">
        <f t="shared" ca="1" si="4"/>
        <v>27.2</v>
      </c>
      <c r="AO48" s="633">
        <f t="shared" ca="1" si="5"/>
        <v>67.2</v>
      </c>
    </row>
    <row r="49" spans="2:41" ht="25.4" customHeight="1">
      <c r="B49" s="156">
        <f>IF(iRegionComp!AA43="",0,iRegionComp!AA43)</f>
        <v>25</v>
      </c>
      <c r="C49" s="156">
        <f>iRegionComp!AB43</f>
        <v>2</v>
      </c>
      <c r="D49" s="938"/>
      <c r="E49" s="929" t="str">
        <f>TRIM(iRegionComp!AC43)</f>
        <v>2.3) Transportation</v>
      </c>
      <c r="G49" s="930"/>
      <c r="H49" s="930"/>
      <c r="I49" s="930"/>
      <c r="J49" s="930"/>
      <c r="K49" s="930"/>
      <c r="L49" s="930"/>
      <c r="M49" s="930"/>
      <c r="N49" s="930"/>
      <c r="O49" s="930"/>
      <c r="P49" s="930"/>
      <c r="Q49" s="930"/>
      <c r="R49" s="939">
        <f ca="1">iRegionComp!AD43</f>
        <v>67.599999999999994</v>
      </c>
      <c r="T49" s="939">
        <f ca="1">iRegionComp!AE43</f>
        <v>67.599999999999994</v>
      </c>
      <c r="V49" s="940">
        <f ca="1">iRegionComp!AF43</f>
        <v>63.1</v>
      </c>
      <c r="W49" s="941">
        <f ca="1">iRegionComp!AG43</f>
        <v>85.9</v>
      </c>
      <c r="X49" s="941">
        <f ca="1">iRegionComp!AH43</f>
        <v>27.4</v>
      </c>
      <c r="Y49" s="941">
        <f ca="1">iRegionComp!AI43</f>
        <v>100</v>
      </c>
      <c r="Z49" s="942">
        <f ca="1">iRegionComp!AJ43</f>
        <v>57.7</v>
      </c>
      <c r="AB49" s="943">
        <f ca="1">iRegionComp!AK43</f>
        <v>39.299999999999997</v>
      </c>
      <c r="AC49" s="944">
        <f ca="1">iRegionComp!AL43</f>
        <v>44.9</v>
      </c>
      <c r="AD49" s="945">
        <f ca="1">iRegionComp!AM43</f>
        <v>78.2</v>
      </c>
      <c r="AF49" s="943">
        <f ca="1">iRegionComp!AN43</f>
        <v>84.6</v>
      </c>
      <c r="AG49" s="944">
        <f ca="1">iRegionComp!AO43</f>
        <v>73.2</v>
      </c>
      <c r="AH49" s="944">
        <f ca="1">iRegionComp!AP43</f>
        <v>57.1</v>
      </c>
      <c r="AI49" s="945">
        <f ca="1">iRegionComp!AQ43</f>
        <v>51.6</v>
      </c>
      <c r="AJ49" s="367"/>
      <c r="AK49" s="696"/>
      <c r="AN49" s="633">
        <f t="shared" ca="1" si="4"/>
        <v>27.4</v>
      </c>
      <c r="AO49" s="633">
        <f t="shared" ca="1" si="5"/>
        <v>100</v>
      </c>
    </row>
    <row r="50" spans="2:41" ht="25.4" customHeight="1">
      <c r="B50" s="156">
        <f>IF(iRegionComp!AA44="",0,iRegionComp!AA44)</f>
        <v>26</v>
      </c>
      <c r="C50" s="156">
        <f>iRegionComp!AB44</f>
        <v>0</v>
      </c>
      <c r="D50" s="938"/>
      <c r="E50" s="929" t="str">
        <f>TRIM(iRegionComp!AC44)</f>
        <v>2.3.1) Integrated public transport apps</v>
      </c>
      <c r="G50" s="930"/>
      <c r="H50" s="930"/>
      <c r="I50" s="930"/>
      <c r="J50" s="930"/>
      <c r="K50" s="930"/>
      <c r="L50" s="930"/>
      <c r="M50" s="930"/>
      <c r="N50" s="930"/>
      <c r="O50" s="930"/>
      <c r="P50" s="930"/>
      <c r="Q50" s="930"/>
      <c r="R50" s="939">
        <f ca="1">iRegionComp!AD44</f>
        <v>65.599999999999994</v>
      </c>
      <c r="T50" s="939">
        <f ca="1">iRegionComp!AE44</f>
        <v>65.599999999999994</v>
      </c>
      <c r="V50" s="940">
        <f ca="1">iRegionComp!AF44</f>
        <v>52.8</v>
      </c>
      <c r="W50" s="941">
        <f ca="1">iRegionComp!AG44</f>
        <v>86.7</v>
      </c>
      <c r="X50" s="941">
        <f ca="1">iRegionComp!AH44</f>
        <v>22.2</v>
      </c>
      <c r="Y50" s="941">
        <f ca="1">iRegionComp!AI44</f>
        <v>100</v>
      </c>
      <c r="Z50" s="942">
        <f ca="1">iRegionComp!AJ44</f>
        <v>75</v>
      </c>
      <c r="AB50" s="943">
        <f ca="1">iRegionComp!AK44</f>
        <v>44.4</v>
      </c>
      <c r="AC50" s="944">
        <f ca="1">iRegionComp!AL44</f>
        <v>33.4</v>
      </c>
      <c r="AD50" s="945">
        <f ca="1">iRegionComp!AM44</f>
        <v>77.8</v>
      </c>
      <c r="AF50" s="943">
        <f ca="1">iRegionComp!AN44</f>
        <v>87.5</v>
      </c>
      <c r="AG50" s="944">
        <f ca="1">iRegionComp!AO44</f>
        <v>74.099999999999994</v>
      </c>
      <c r="AH50" s="944">
        <f ca="1">iRegionComp!AP44</f>
        <v>41.7</v>
      </c>
      <c r="AI50" s="945">
        <f ca="1">iRegionComp!AQ44</f>
        <v>48.2</v>
      </c>
      <c r="AJ50" s="367"/>
      <c r="AK50" s="696"/>
      <c r="AN50" s="633">
        <f t="shared" ca="1" si="4"/>
        <v>22.2</v>
      </c>
      <c r="AO50" s="633">
        <f t="shared" ca="1" si="5"/>
        <v>100</v>
      </c>
    </row>
    <row r="51" spans="2:41" ht="25.4" customHeight="1">
      <c r="B51" s="156">
        <f>IF(iRegionComp!AA45="",0,iRegionComp!AA45)</f>
        <v>27</v>
      </c>
      <c r="C51" s="156">
        <f>iRegionComp!AB45</f>
        <v>0</v>
      </c>
      <c r="D51" s="938"/>
      <c r="E51" s="929" t="str">
        <f>TRIM(iRegionComp!AC45)</f>
        <v>2.3.2) Digital identification at airports</v>
      </c>
      <c r="G51" s="930"/>
      <c r="H51" s="930"/>
      <c r="I51" s="930"/>
      <c r="J51" s="930"/>
      <c r="K51" s="930"/>
      <c r="L51" s="930"/>
      <c r="M51" s="930"/>
      <c r="N51" s="930"/>
      <c r="O51" s="930"/>
      <c r="P51" s="930"/>
      <c r="Q51" s="930"/>
      <c r="R51" s="939">
        <f ca="1">iRegionComp!AD45</f>
        <v>70</v>
      </c>
      <c r="T51" s="939">
        <f ca="1">iRegionComp!AE45</f>
        <v>70</v>
      </c>
      <c r="V51" s="940">
        <f ca="1">iRegionComp!AF45</f>
        <v>75</v>
      </c>
      <c r="W51" s="941">
        <f ca="1">iRegionComp!AG45</f>
        <v>85</v>
      </c>
      <c r="X51" s="941">
        <f ca="1">iRegionComp!AH45</f>
        <v>33.299999999999997</v>
      </c>
      <c r="Y51" s="941">
        <f ca="1">iRegionComp!AI45</f>
        <v>100</v>
      </c>
      <c r="Z51" s="942">
        <f ca="1">iRegionComp!AJ45</f>
        <v>37.5</v>
      </c>
      <c r="AB51" s="943">
        <f ca="1">iRegionComp!AK45</f>
        <v>33.299999999999997</v>
      </c>
      <c r="AC51" s="944">
        <f ca="1">iRegionComp!AL45</f>
        <v>58.3</v>
      </c>
      <c r="AD51" s="945">
        <f ca="1">iRegionComp!AM45</f>
        <v>78.599999999999994</v>
      </c>
      <c r="AF51" s="943">
        <f ca="1">iRegionComp!AN45</f>
        <v>81.3</v>
      </c>
      <c r="AG51" s="944">
        <f ca="1">iRegionComp!AO45</f>
        <v>72.2</v>
      </c>
      <c r="AH51" s="944">
        <f ca="1">iRegionComp!AP45</f>
        <v>75</v>
      </c>
      <c r="AI51" s="945">
        <f ca="1">iRegionComp!AQ45</f>
        <v>55.6</v>
      </c>
      <c r="AJ51" s="367"/>
      <c r="AK51" s="696"/>
      <c r="AN51" s="633">
        <f t="shared" ca="1" si="4"/>
        <v>33.299999999999997</v>
      </c>
      <c r="AO51" s="633">
        <f t="shared" ca="1" si="5"/>
        <v>100</v>
      </c>
    </row>
    <row r="52" spans="2:41" ht="25.4" customHeight="1">
      <c r="B52" s="156">
        <f>IF(iRegionComp!AA46="",0,iRegionComp!AA46)</f>
        <v>28</v>
      </c>
      <c r="C52" s="156">
        <f>iRegionComp!AB46</f>
        <v>2</v>
      </c>
      <c r="D52" s="938"/>
      <c r="E52" s="929" t="str">
        <f>TRIM(iRegionComp!AC46)</f>
        <v>2.4) Healthcare</v>
      </c>
      <c r="G52" s="930"/>
      <c r="H52" s="930"/>
      <c r="I52" s="930"/>
      <c r="J52" s="930"/>
      <c r="K52" s="930"/>
      <c r="L52" s="930"/>
      <c r="M52" s="930"/>
      <c r="N52" s="930"/>
      <c r="O52" s="930"/>
      <c r="P52" s="930"/>
      <c r="Q52" s="930"/>
      <c r="R52" s="939">
        <f ca="1">iRegionComp!AD46</f>
        <v>71.599999999999994</v>
      </c>
      <c r="T52" s="939">
        <f ca="1">iRegionComp!AE46</f>
        <v>71.599999999999994</v>
      </c>
      <c r="V52" s="940">
        <f ca="1">iRegionComp!AF46</f>
        <v>67.900000000000006</v>
      </c>
      <c r="W52" s="941">
        <f ca="1">iRegionComp!AG46</f>
        <v>78.8</v>
      </c>
      <c r="X52" s="941">
        <f ca="1">iRegionComp!AH46</f>
        <v>50.5</v>
      </c>
      <c r="Y52" s="941">
        <f ca="1">iRegionComp!AI46</f>
        <v>81.599999999999994</v>
      </c>
      <c r="Z52" s="942">
        <f ca="1">iRegionComp!AJ46</f>
        <v>78.400000000000006</v>
      </c>
      <c r="AB52" s="943">
        <f ca="1">iRegionComp!AK46</f>
        <v>61.2</v>
      </c>
      <c r="AC52" s="944">
        <f ca="1">iRegionComp!AL46</f>
        <v>64.7</v>
      </c>
      <c r="AD52" s="945">
        <f ca="1">iRegionComp!AM46</f>
        <v>75.099999999999994</v>
      </c>
      <c r="AF52" s="943">
        <f ca="1">iRegionComp!AN46</f>
        <v>75.900000000000006</v>
      </c>
      <c r="AG52" s="944">
        <f ca="1">iRegionComp!AO46</f>
        <v>77</v>
      </c>
      <c r="AH52" s="944">
        <f ca="1">iRegionComp!AP46</f>
        <v>71.7</v>
      </c>
      <c r="AI52" s="945">
        <f ca="1">iRegionComp!AQ46</f>
        <v>62.5</v>
      </c>
      <c r="AJ52" s="367"/>
      <c r="AK52" s="696"/>
      <c r="AN52" s="633">
        <f t="shared" ca="1" si="4"/>
        <v>50.5</v>
      </c>
      <c r="AO52" s="633">
        <f t="shared" ca="1" si="5"/>
        <v>81.599999999999994</v>
      </c>
    </row>
    <row r="53" spans="2:41" ht="25.4" customHeight="1">
      <c r="B53" s="156">
        <f>IF(iRegionComp!AA47="",0,iRegionComp!AA47)</f>
        <v>29</v>
      </c>
      <c r="C53" s="156">
        <f>iRegionComp!AB47</f>
        <v>0</v>
      </c>
      <c r="D53" s="938"/>
      <c r="E53" s="929" t="str">
        <f>TRIM(iRegionComp!AC47)</f>
        <v>2.4.1) Telehealth &amp; telemedicine</v>
      </c>
      <c r="G53" s="930"/>
      <c r="H53" s="930"/>
      <c r="I53" s="930"/>
      <c r="J53" s="930"/>
      <c r="K53" s="930"/>
      <c r="L53" s="930"/>
      <c r="M53" s="930"/>
      <c r="N53" s="930"/>
      <c r="O53" s="930"/>
      <c r="P53" s="930"/>
      <c r="Q53" s="930"/>
      <c r="R53" s="939">
        <f ca="1">iRegionComp!AD47</f>
        <v>52.9</v>
      </c>
      <c r="T53" s="939">
        <f ca="1">iRegionComp!AE47</f>
        <v>52.9</v>
      </c>
      <c r="V53" s="940">
        <f ca="1">iRegionComp!AF47</f>
        <v>60</v>
      </c>
      <c r="W53" s="941">
        <f ca="1">iRegionComp!AG47</f>
        <v>50.4</v>
      </c>
      <c r="X53" s="941">
        <f ca="1">iRegionComp!AH47</f>
        <v>46.1</v>
      </c>
      <c r="Y53" s="941">
        <f ca="1">iRegionComp!AI47</f>
        <v>100</v>
      </c>
      <c r="Z53" s="942">
        <f ca="1">iRegionComp!AJ47</f>
        <v>31.7</v>
      </c>
      <c r="AB53" s="943">
        <f ca="1">iRegionComp!AK47</f>
        <v>54.8</v>
      </c>
      <c r="AC53" s="944">
        <f ca="1">iRegionComp!AL47</f>
        <v>59</v>
      </c>
      <c r="AD53" s="945">
        <f ca="1">iRegionComp!AM47</f>
        <v>51</v>
      </c>
      <c r="AF53" s="943">
        <f ca="1">iRegionComp!AN47</f>
        <v>52.8</v>
      </c>
      <c r="AG53" s="944">
        <f ca="1">iRegionComp!AO47</f>
        <v>53.1</v>
      </c>
      <c r="AH53" s="944">
        <f ca="1">iRegionComp!AP47</f>
        <v>54</v>
      </c>
      <c r="AI53" s="945">
        <f ca="1">iRegionComp!AQ47</f>
        <v>52.5</v>
      </c>
      <c r="AJ53" s="367"/>
      <c r="AK53" s="696"/>
      <c r="AN53" s="633">
        <f t="shared" ca="1" si="4"/>
        <v>46.1</v>
      </c>
      <c r="AO53" s="633">
        <f t="shared" ca="1" si="5"/>
        <v>100</v>
      </c>
    </row>
    <row r="54" spans="2:41" ht="25.4" customHeight="1">
      <c r="B54" s="156">
        <f>IF(iRegionComp!AA48="",0,iRegionComp!AA48)</f>
        <v>30</v>
      </c>
      <c r="C54" s="156">
        <f>iRegionComp!AB48</f>
        <v>0</v>
      </c>
      <c r="D54" s="938"/>
      <c r="E54" s="929" t="str">
        <f>TRIM(iRegionComp!AC48)</f>
        <v>2.4.2) Electronic health records</v>
      </c>
      <c r="G54" s="930"/>
      <c r="H54" s="930"/>
      <c r="I54" s="930"/>
      <c r="J54" s="930"/>
      <c r="K54" s="930"/>
      <c r="L54" s="930"/>
      <c r="M54" s="930"/>
      <c r="N54" s="930"/>
      <c r="O54" s="930"/>
      <c r="P54" s="930"/>
      <c r="Q54" s="930"/>
      <c r="R54" s="939">
        <f ca="1">iRegionComp!AD48</f>
        <v>73.3</v>
      </c>
      <c r="T54" s="939">
        <f ca="1">iRegionComp!AE48</f>
        <v>73.3</v>
      </c>
      <c r="V54" s="940">
        <f ca="1">iRegionComp!AF48</f>
        <v>54.2</v>
      </c>
      <c r="W54" s="941">
        <f ca="1">iRegionComp!AG48</f>
        <v>85</v>
      </c>
      <c r="X54" s="941">
        <f ca="1">iRegionComp!AH48</f>
        <v>83.3</v>
      </c>
      <c r="Y54" s="941">
        <f ca="1">iRegionComp!AI48</f>
        <v>50</v>
      </c>
      <c r="Z54" s="942">
        <f ca="1">iRegionComp!AJ48</f>
        <v>100</v>
      </c>
      <c r="AB54" s="943">
        <f ca="1">iRegionComp!AK48</f>
        <v>33.299999999999997</v>
      </c>
      <c r="AC54" s="944">
        <f ca="1">iRegionComp!AL48</f>
        <v>75</v>
      </c>
      <c r="AD54" s="945">
        <f ca="1">iRegionComp!AM48</f>
        <v>78.599999999999994</v>
      </c>
      <c r="AF54" s="943">
        <f ca="1">iRegionComp!AN48</f>
        <v>75</v>
      </c>
      <c r="AG54" s="944">
        <f ca="1">iRegionComp!AO48</f>
        <v>77.8</v>
      </c>
      <c r="AH54" s="944">
        <f ca="1">iRegionComp!AP48</f>
        <v>62.5</v>
      </c>
      <c r="AI54" s="945">
        <f ca="1">iRegionComp!AQ48</f>
        <v>72.2</v>
      </c>
      <c r="AJ54" s="367"/>
      <c r="AK54" s="696"/>
      <c r="AN54" s="633">
        <f t="shared" ca="1" si="4"/>
        <v>50</v>
      </c>
      <c r="AO54" s="633">
        <f t="shared" ca="1" si="5"/>
        <v>85</v>
      </c>
    </row>
    <row r="55" spans="2:41" ht="25.4" customHeight="1">
      <c r="B55" s="156">
        <f>IF(iRegionComp!AA49="",0,iRegionComp!AA49)</f>
        <v>31</v>
      </c>
      <c r="C55" s="156">
        <f>iRegionComp!AB49</f>
        <v>0</v>
      </c>
      <c r="D55" s="938"/>
      <c r="E55" s="929" t="str">
        <f>TRIM(iRegionComp!AC49)</f>
        <v>2.4.3) Pandemic-related applications</v>
      </c>
      <c r="G55" s="930"/>
      <c r="H55" s="930"/>
      <c r="I55" s="930"/>
      <c r="J55" s="930"/>
      <c r="K55" s="930"/>
      <c r="L55" s="930"/>
      <c r="M55" s="930"/>
      <c r="N55" s="930"/>
      <c r="O55" s="930"/>
      <c r="P55" s="930"/>
      <c r="Q55" s="930"/>
      <c r="R55" s="939">
        <f ca="1">iRegionComp!AD49</f>
        <v>88.3</v>
      </c>
      <c r="T55" s="939">
        <f ca="1">iRegionComp!AE49</f>
        <v>88.3</v>
      </c>
      <c r="V55" s="940">
        <f ca="1">iRegionComp!AF49</f>
        <v>91.7</v>
      </c>
      <c r="W55" s="941">
        <f ca="1">iRegionComp!AG49</f>
        <v>100</v>
      </c>
      <c r="X55" s="941">
        <f ca="1">iRegionComp!AH49</f>
        <v>16.7</v>
      </c>
      <c r="Y55" s="941">
        <f ca="1">iRegionComp!AI49</f>
        <v>100</v>
      </c>
      <c r="Z55" s="942">
        <f ca="1">iRegionComp!AJ49</f>
        <v>100</v>
      </c>
      <c r="AB55" s="943">
        <f ca="1">iRegionComp!AK49</f>
        <v>100</v>
      </c>
      <c r="AC55" s="944">
        <f ca="1">iRegionComp!AL49</f>
        <v>58.3</v>
      </c>
      <c r="AD55" s="945">
        <f ca="1">iRegionComp!AM49</f>
        <v>95.2</v>
      </c>
      <c r="AF55" s="943">
        <f ca="1">iRegionComp!AN49</f>
        <v>100</v>
      </c>
      <c r="AG55" s="944">
        <f ca="1">iRegionComp!AO49</f>
        <v>100</v>
      </c>
      <c r="AH55" s="944">
        <f ca="1">iRegionComp!AP49</f>
        <v>100</v>
      </c>
      <c r="AI55" s="945">
        <f ca="1">iRegionComp!AQ49</f>
        <v>61.1</v>
      </c>
      <c r="AJ55" s="367"/>
      <c r="AK55" s="696"/>
      <c r="AN55" s="633">
        <f t="shared" ca="1" si="4"/>
        <v>16.7</v>
      </c>
      <c r="AO55" s="633">
        <f t="shared" ca="1" si="5"/>
        <v>100</v>
      </c>
    </row>
    <row r="56" spans="2:41" ht="25.4" customHeight="1">
      <c r="B56" s="156">
        <f>IF(iRegionComp!AA50="",0,iRegionComp!AA50)</f>
        <v>32</v>
      </c>
      <c r="C56" s="156">
        <f>iRegionComp!AB50</f>
        <v>2</v>
      </c>
      <c r="D56" s="938"/>
      <c r="E56" s="929" t="str">
        <f>TRIM(iRegionComp!AC50)</f>
        <v>2.5) Education</v>
      </c>
      <c r="G56" s="930"/>
      <c r="H56" s="930"/>
      <c r="I56" s="930"/>
      <c r="J56" s="930"/>
      <c r="K56" s="930"/>
      <c r="L56" s="930"/>
      <c r="M56" s="930"/>
      <c r="N56" s="930"/>
      <c r="O56" s="930"/>
      <c r="P56" s="930"/>
      <c r="Q56" s="930"/>
      <c r="R56" s="939">
        <f ca="1">iRegionComp!AD50</f>
        <v>73.3</v>
      </c>
      <c r="T56" s="939">
        <f ca="1">iRegionComp!AE50</f>
        <v>73.3</v>
      </c>
      <c r="V56" s="940">
        <f ca="1">iRegionComp!AF50</f>
        <v>62.5</v>
      </c>
      <c r="W56" s="941">
        <f ca="1">iRegionComp!AG50</f>
        <v>90</v>
      </c>
      <c r="X56" s="941">
        <f ca="1">iRegionComp!AH50</f>
        <v>33.299999999999997</v>
      </c>
      <c r="Y56" s="941">
        <f ca="1">iRegionComp!AI50</f>
        <v>50</v>
      </c>
      <c r="Z56" s="942">
        <f ca="1">iRegionComp!AJ50</f>
        <v>100</v>
      </c>
      <c r="AB56" s="943">
        <f ca="1">iRegionComp!AK50</f>
        <v>33.299999999999997</v>
      </c>
      <c r="AC56" s="944">
        <f ca="1">iRegionComp!AL50</f>
        <v>41.7</v>
      </c>
      <c r="AD56" s="945">
        <f ca="1">iRegionComp!AM50</f>
        <v>88.1</v>
      </c>
      <c r="AF56" s="943">
        <f ca="1">iRegionComp!AN50</f>
        <v>81.3</v>
      </c>
      <c r="AG56" s="944">
        <f ca="1">iRegionComp!AO50</f>
        <v>94.4</v>
      </c>
      <c r="AH56" s="944">
        <f ca="1">iRegionComp!AP50</f>
        <v>62.5</v>
      </c>
      <c r="AI56" s="945">
        <f ca="1">iRegionComp!AQ50</f>
        <v>50</v>
      </c>
      <c r="AJ56" s="367"/>
      <c r="AK56" s="696"/>
      <c r="AN56" s="633">
        <f t="shared" ca="1" si="4"/>
        <v>33.299999999999997</v>
      </c>
      <c r="AO56" s="633">
        <f t="shared" ca="1" si="5"/>
        <v>94.4</v>
      </c>
    </row>
    <row r="57" spans="2:41" ht="25.4" customHeight="1">
      <c r="B57" s="156">
        <f>IF(iRegionComp!AA51="",0,iRegionComp!AA51)</f>
        <v>33</v>
      </c>
      <c r="C57" s="156">
        <f>iRegionComp!AB51</f>
        <v>0</v>
      </c>
      <c r="D57" s="938"/>
      <c r="E57" s="929" t="str">
        <f>TRIM(iRegionComp!AC51)</f>
        <v>2.5.1) Digital education</v>
      </c>
      <c r="G57" s="930"/>
      <c r="H57" s="930"/>
      <c r="I57" s="930"/>
      <c r="J57" s="930"/>
      <c r="K57" s="930"/>
      <c r="L57" s="930"/>
      <c r="M57" s="930"/>
      <c r="N57" s="930"/>
      <c r="O57" s="930"/>
      <c r="P57" s="930"/>
      <c r="Q57" s="930"/>
      <c r="R57" s="939">
        <f ca="1">iRegionComp!AD51</f>
        <v>73.3</v>
      </c>
      <c r="T57" s="939">
        <f ca="1">iRegionComp!AE51</f>
        <v>73.3</v>
      </c>
      <c r="V57" s="940">
        <f ca="1">iRegionComp!AF51</f>
        <v>62.5</v>
      </c>
      <c r="W57" s="941">
        <f ca="1">iRegionComp!AG51</f>
        <v>90</v>
      </c>
      <c r="X57" s="941">
        <f ca="1">iRegionComp!AH51</f>
        <v>33.299999999999997</v>
      </c>
      <c r="Y57" s="941">
        <f ca="1">iRegionComp!AI51</f>
        <v>50</v>
      </c>
      <c r="Z57" s="942">
        <f ca="1">iRegionComp!AJ51</f>
        <v>100</v>
      </c>
      <c r="AB57" s="943">
        <f ca="1">iRegionComp!AK51</f>
        <v>33.299999999999997</v>
      </c>
      <c r="AC57" s="944">
        <f ca="1">iRegionComp!AL51</f>
        <v>41.7</v>
      </c>
      <c r="AD57" s="945">
        <f ca="1">iRegionComp!AM51</f>
        <v>88.1</v>
      </c>
      <c r="AF57" s="943">
        <f ca="1">iRegionComp!AN51</f>
        <v>81.3</v>
      </c>
      <c r="AG57" s="944">
        <f ca="1">iRegionComp!AO51</f>
        <v>94.4</v>
      </c>
      <c r="AH57" s="944">
        <f ca="1">iRegionComp!AP51</f>
        <v>62.5</v>
      </c>
      <c r="AI57" s="945">
        <f ca="1">iRegionComp!AQ51</f>
        <v>50</v>
      </c>
      <c r="AJ57" s="367"/>
      <c r="AK57" s="696"/>
      <c r="AN57" s="633">
        <f t="shared" ca="1" si="4"/>
        <v>33.299999999999997</v>
      </c>
      <c r="AO57" s="633">
        <f t="shared" ca="1" si="5"/>
        <v>94.4</v>
      </c>
    </row>
    <row r="58" spans="2:41" ht="25.4" customHeight="1">
      <c r="B58" s="156">
        <f>IF(iRegionComp!AA52="",0,iRegionComp!AA52)</f>
        <v>34</v>
      </c>
      <c r="C58" s="156">
        <f>iRegionComp!AB52</f>
        <v>2</v>
      </c>
      <c r="D58" s="938"/>
      <c r="E58" s="929" t="str">
        <f>TRIM(iRegionComp!AC52)</f>
        <v>2.6) Retail and hospitality</v>
      </c>
      <c r="G58" s="930"/>
      <c r="H58" s="930"/>
      <c r="I58" s="930"/>
      <c r="J58" s="930"/>
      <c r="K58" s="930"/>
      <c r="L58" s="930"/>
      <c r="M58" s="930"/>
      <c r="N58" s="930"/>
      <c r="O58" s="930"/>
      <c r="P58" s="930"/>
      <c r="Q58" s="930"/>
      <c r="R58" s="939">
        <f ca="1">iRegionComp!AD52</f>
        <v>33.9</v>
      </c>
      <c r="T58" s="939">
        <f ca="1">iRegionComp!AE52</f>
        <v>33.9</v>
      </c>
      <c r="V58" s="940">
        <f ca="1">iRegionComp!AF52</f>
        <v>24.5</v>
      </c>
      <c r="W58" s="941">
        <f ca="1">iRegionComp!AG52</f>
        <v>51.4</v>
      </c>
      <c r="X58" s="941">
        <f ca="1">iRegionComp!AH52</f>
        <v>13.4</v>
      </c>
      <c r="Y58" s="941">
        <f ca="1">iRegionComp!AI52</f>
        <v>56.4</v>
      </c>
      <c r="Z58" s="942">
        <f ca="1">iRegionComp!AJ52</f>
        <v>27.9</v>
      </c>
      <c r="AB58" s="943">
        <f ca="1">iRegionComp!AK52</f>
        <v>10.3</v>
      </c>
      <c r="AC58" s="944">
        <f ca="1">iRegionComp!AL52</f>
        <v>24.9</v>
      </c>
      <c r="AD58" s="945">
        <f ca="1">iRegionComp!AM52</f>
        <v>39.799999999999997</v>
      </c>
      <c r="AF58" s="943">
        <f ca="1">iRegionComp!AN52</f>
        <v>42.5</v>
      </c>
      <c r="AG58" s="944">
        <f ca="1">iRegionComp!AO52</f>
        <v>28.3</v>
      </c>
      <c r="AH58" s="944">
        <f ca="1">iRegionComp!AP52</f>
        <v>52.2</v>
      </c>
      <c r="AI58" s="945">
        <f ca="1">iRegionComp!AQ52</f>
        <v>23.6</v>
      </c>
      <c r="AJ58" s="367"/>
      <c r="AK58" s="696"/>
      <c r="AN58" s="633">
        <f t="shared" ca="1" si="4"/>
        <v>13.4</v>
      </c>
      <c r="AO58" s="633">
        <f t="shared" ca="1" si="5"/>
        <v>56.4</v>
      </c>
    </row>
    <row r="59" spans="2:41" ht="25.4" customHeight="1">
      <c r="B59" s="156">
        <f>IF(iRegionComp!AA53="",0,iRegionComp!AA53)</f>
        <v>35</v>
      </c>
      <c r="C59" s="156">
        <f>iRegionComp!AB53</f>
        <v>0</v>
      </c>
      <c r="D59" s="938"/>
      <c r="E59" s="929" t="str">
        <f>TRIM(iRegionComp!AC53)</f>
        <v>2.6.1) E-commerce penetration</v>
      </c>
      <c r="G59" s="930"/>
      <c r="H59" s="930"/>
      <c r="I59" s="930"/>
      <c r="J59" s="930"/>
      <c r="K59" s="930"/>
      <c r="L59" s="930"/>
      <c r="M59" s="930"/>
      <c r="N59" s="930"/>
      <c r="O59" s="930"/>
      <c r="P59" s="930"/>
      <c r="Q59" s="930"/>
      <c r="R59" s="939">
        <f ca="1">iRegionComp!AD53</f>
        <v>42</v>
      </c>
      <c r="T59" s="939">
        <f ca="1">iRegionComp!AE53</f>
        <v>42</v>
      </c>
      <c r="V59" s="940">
        <f ca="1">iRegionComp!AF53</f>
        <v>30.5</v>
      </c>
      <c r="W59" s="941">
        <f ca="1">iRegionComp!AG53</f>
        <v>60.2</v>
      </c>
      <c r="X59" s="941">
        <f ca="1">iRegionComp!AH53</f>
        <v>23.7</v>
      </c>
      <c r="Y59" s="941">
        <f ca="1">iRegionComp!AI53</f>
        <v>22.9</v>
      </c>
      <c r="Z59" s="942">
        <f ca="1">iRegionComp!AJ53</f>
        <v>49.3</v>
      </c>
      <c r="AB59" s="943">
        <f ca="1">iRegionComp!AK53</f>
        <v>18.3</v>
      </c>
      <c r="AC59" s="944">
        <f ca="1">iRegionComp!AL53</f>
        <v>31.3</v>
      </c>
      <c r="AD59" s="945">
        <f ca="1">iRegionComp!AM53</f>
        <v>48.4</v>
      </c>
      <c r="AF59" s="943">
        <f ca="1">iRegionComp!AN53</f>
        <v>46.3</v>
      </c>
      <c r="AG59" s="944">
        <f ca="1">iRegionComp!AO53</f>
        <v>41.6</v>
      </c>
      <c r="AH59" s="944">
        <f ca="1">iRegionComp!AP53</f>
        <v>53.9</v>
      </c>
      <c r="AI59" s="945">
        <f ca="1">iRegionComp!AQ53</f>
        <v>33.200000000000003</v>
      </c>
      <c r="AJ59" s="367"/>
      <c r="AK59" s="696"/>
      <c r="AN59" s="633">
        <f t="shared" ca="1" si="4"/>
        <v>22.9</v>
      </c>
      <c r="AO59" s="633">
        <f t="shared" ca="1" si="5"/>
        <v>60.2</v>
      </c>
    </row>
    <row r="60" spans="2:41" ht="25.4" customHeight="1">
      <c r="B60" s="156">
        <f>IF(iRegionComp!AA54="",0,iRegionComp!AA54)</f>
        <v>36</v>
      </c>
      <c r="C60" s="156">
        <f>iRegionComp!AB54</f>
        <v>0</v>
      </c>
      <c r="D60" s="938"/>
      <c r="E60" s="929" t="str">
        <f>TRIM(iRegionComp!AC54)</f>
        <v>2.6.2) Digital tourist passes</v>
      </c>
      <c r="G60" s="930"/>
      <c r="H60" s="930"/>
      <c r="I60" s="930"/>
      <c r="J60" s="930"/>
      <c r="K60" s="930"/>
      <c r="L60" s="930"/>
      <c r="M60" s="930"/>
      <c r="N60" s="930"/>
      <c r="O60" s="930"/>
      <c r="P60" s="930"/>
      <c r="Q60" s="930"/>
      <c r="R60" s="939">
        <f ca="1">iRegionComp!AD54</f>
        <v>23.3</v>
      </c>
      <c r="T60" s="939">
        <f ca="1">iRegionComp!AE54</f>
        <v>23.3</v>
      </c>
      <c r="V60" s="940">
        <f ca="1">iRegionComp!AF54</f>
        <v>16.7</v>
      </c>
      <c r="W60" s="941">
        <f ca="1">iRegionComp!AG54</f>
        <v>40</v>
      </c>
      <c r="X60" s="941">
        <f ca="1">iRegionComp!AH54</f>
        <v>0</v>
      </c>
      <c r="Y60" s="941">
        <f ca="1">iRegionComp!AI54</f>
        <v>100</v>
      </c>
      <c r="Z60" s="942">
        <f ca="1">iRegionComp!AJ54</f>
        <v>0</v>
      </c>
      <c r="AB60" s="943">
        <f ca="1">iRegionComp!AK54</f>
        <v>0</v>
      </c>
      <c r="AC60" s="944">
        <f ca="1">iRegionComp!AL54</f>
        <v>16.7</v>
      </c>
      <c r="AD60" s="945">
        <f ca="1">iRegionComp!AM54</f>
        <v>28.6</v>
      </c>
      <c r="AF60" s="943">
        <f ca="1">iRegionComp!AN54</f>
        <v>37.5</v>
      </c>
      <c r="AG60" s="944">
        <f ca="1">iRegionComp!AO54</f>
        <v>11.1</v>
      </c>
      <c r="AH60" s="944">
        <f ca="1">iRegionComp!AP54</f>
        <v>50</v>
      </c>
      <c r="AI60" s="945">
        <f ca="1">iRegionComp!AQ54</f>
        <v>11.1</v>
      </c>
      <c r="AJ60" s="367"/>
      <c r="AK60" s="696"/>
      <c r="AN60" s="633">
        <f t="shared" ca="1" si="4"/>
        <v>0</v>
      </c>
      <c r="AO60" s="633">
        <f t="shared" ca="1" si="5"/>
        <v>100</v>
      </c>
    </row>
    <row r="61" spans="2:41" ht="25.4" customHeight="1">
      <c r="B61" s="156">
        <f>IF(iRegionComp!AA55="",0,iRegionComp!AA55)</f>
        <v>38</v>
      </c>
      <c r="C61" s="156">
        <f>iRegionComp!AB55</f>
        <v>2</v>
      </c>
      <c r="D61" s="938"/>
      <c r="E61" s="929" t="str">
        <f>TRIM(iRegionComp!AC55)</f>
        <v>3.1) Digital inclusion</v>
      </c>
      <c r="G61" s="930"/>
      <c r="H61" s="930"/>
      <c r="I61" s="930"/>
      <c r="J61" s="930"/>
      <c r="K61" s="930"/>
      <c r="L61" s="930"/>
      <c r="M61" s="930"/>
      <c r="N61" s="930"/>
      <c r="O61" s="930"/>
      <c r="P61" s="930"/>
      <c r="Q61" s="930"/>
      <c r="R61" s="939">
        <f ca="1">iRegionComp!AD55</f>
        <v>69.5</v>
      </c>
      <c r="T61" s="939">
        <f ca="1">iRegionComp!AE55</f>
        <v>69.5</v>
      </c>
      <c r="V61" s="940">
        <f ca="1">iRegionComp!AF55</f>
        <v>66.900000000000006</v>
      </c>
      <c r="W61" s="941">
        <f ca="1">iRegionComp!AG55</f>
        <v>67.5</v>
      </c>
      <c r="X61" s="941">
        <f ca="1">iRegionComp!AH55</f>
        <v>72</v>
      </c>
      <c r="Y61" s="941">
        <f ca="1">iRegionComp!AI55</f>
        <v>94.3</v>
      </c>
      <c r="Z61" s="942">
        <f ca="1">iRegionComp!AJ55</f>
        <v>74.599999999999994</v>
      </c>
      <c r="AB61" s="943">
        <f ca="1">iRegionComp!AK55</f>
        <v>60.4</v>
      </c>
      <c r="AC61" s="944">
        <f ca="1">iRegionComp!AL55</f>
        <v>73</v>
      </c>
      <c r="AD61" s="945">
        <f ca="1">iRegionComp!AM55</f>
        <v>69.900000000000006</v>
      </c>
      <c r="AF61" s="943">
        <f ca="1">iRegionComp!AN55</f>
        <v>69.7</v>
      </c>
      <c r="AG61" s="944">
        <f ca="1">iRegionComp!AO55</f>
        <v>70.900000000000006</v>
      </c>
      <c r="AH61" s="944">
        <f ca="1">iRegionComp!AP55</f>
        <v>69.900000000000006</v>
      </c>
      <c r="AI61" s="945">
        <f ca="1">iRegionComp!AQ55</f>
        <v>67.8</v>
      </c>
      <c r="AJ61" s="367"/>
      <c r="AK61" s="696"/>
      <c r="AN61" s="633">
        <f t="shared" ca="1" si="4"/>
        <v>66.900000000000006</v>
      </c>
      <c r="AO61" s="633">
        <f t="shared" ca="1" si="5"/>
        <v>94.3</v>
      </c>
    </row>
    <row r="62" spans="2:41" ht="25.4" customHeight="1">
      <c r="B62" s="156">
        <f>IF(iRegionComp!AA56="",0,iRegionComp!AA56)</f>
        <v>39</v>
      </c>
      <c r="C62" s="156">
        <f>iRegionComp!AB56</f>
        <v>0</v>
      </c>
      <c r="D62" s="938"/>
      <c r="E62" s="929" t="str">
        <f>TRIM(iRegionComp!AC56)</f>
        <v>3.1.1) Internet usage</v>
      </c>
      <c r="G62" s="930"/>
      <c r="H62" s="930"/>
      <c r="I62" s="930"/>
      <c r="J62" s="930"/>
      <c r="K62" s="930"/>
      <c r="L62" s="930"/>
      <c r="M62" s="930"/>
      <c r="N62" s="930"/>
      <c r="O62" s="930"/>
      <c r="P62" s="930"/>
      <c r="Q62" s="930"/>
      <c r="R62" s="939">
        <f ca="1">iRegionComp!AD56</f>
        <v>76.2</v>
      </c>
      <c r="T62" s="939">
        <f ca="1">iRegionComp!AE56</f>
        <v>76.2</v>
      </c>
      <c r="V62" s="940">
        <f ca="1">iRegionComp!AF56</f>
        <v>68.8</v>
      </c>
      <c r="W62" s="941">
        <f ca="1">iRegionComp!AG56</f>
        <v>81.7</v>
      </c>
      <c r="X62" s="941">
        <f ca="1">iRegionComp!AH56</f>
        <v>63.9</v>
      </c>
      <c r="Y62" s="941">
        <f ca="1">iRegionComp!AI56</f>
        <v>100</v>
      </c>
      <c r="Z62" s="942">
        <f ca="1">iRegionComp!AJ56</f>
        <v>88.3</v>
      </c>
      <c r="AB62" s="943">
        <f ca="1">iRegionComp!AK56</f>
        <v>43.2</v>
      </c>
      <c r="AC62" s="944">
        <f ca="1">iRegionComp!AL56</f>
        <v>66.8</v>
      </c>
      <c r="AD62" s="945">
        <f ca="1">iRegionComp!AM56</f>
        <v>83.7</v>
      </c>
      <c r="AF62" s="943">
        <f ca="1">iRegionComp!AN56</f>
        <v>83.6</v>
      </c>
      <c r="AG62" s="944">
        <f ca="1">iRegionComp!AO56</f>
        <v>81.5</v>
      </c>
      <c r="AH62" s="944">
        <f ca="1">iRegionComp!AP56</f>
        <v>74.8</v>
      </c>
      <c r="AI62" s="945">
        <f ca="1">iRegionComp!AQ56</f>
        <v>65</v>
      </c>
      <c r="AJ62" s="367"/>
      <c r="AK62" s="696"/>
      <c r="AN62" s="633">
        <f t="shared" ca="1" si="4"/>
        <v>63.9</v>
      </c>
      <c r="AO62" s="633">
        <f t="shared" ca="1" si="5"/>
        <v>100</v>
      </c>
    </row>
    <row r="63" spans="2:41" ht="25.4" customHeight="1">
      <c r="B63" s="156">
        <f>IF(iRegionComp!AA57="",0,iRegionComp!AA57)</f>
        <v>40</v>
      </c>
      <c r="C63" s="156">
        <f>iRegionComp!AB57</f>
        <v>0</v>
      </c>
      <c r="D63" s="938"/>
      <c r="E63" s="929" t="str">
        <f>TRIM(iRegionComp!AC57)</f>
        <v>3.1.2) Gap between female and male access to the internet</v>
      </c>
      <c r="G63" s="930"/>
      <c r="H63" s="930"/>
      <c r="I63" s="930"/>
      <c r="J63" s="930"/>
      <c r="K63" s="930"/>
      <c r="L63" s="930"/>
      <c r="M63" s="930"/>
      <c r="N63" s="930"/>
      <c r="O63" s="930"/>
      <c r="P63" s="930"/>
      <c r="Q63" s="930"/>
      <c r="R63" s="939">
        <f ca="1">iRegionComp!AD57</f>
        <v>93.2</v>
      </c>
      <c r="T63" s="939">
        <f ca="1">iRegionComp!AE57</f>
        <v>93.2</v>
      </c>
      <c r="V63" s="940">
        <f ca="1">iRegionComp!AF57</f>
        <v>87.7</v>
      </c>
      <c r="W63" s="941">
        <f ca="1">iRegionComp!AG57</f>
        <v>95.1</v>
      </c>
      <c r="X63" s="941">
        <f ca="1">iRegionComp!AH57</f>
        <v>97.3</v>
      </c>
      <c r="Y63" s="941">
        <f ca="1">iRegionComp!AI57</f>
        <v>100</v>
      </c>
      <c r="Z63" s="942">
        <f ca="1">iRegionComp!AJ57</f>
        <v>100</v>
      </c>
      <c r="AB63" s="943">
        <f ca="1">iRegionComp!AK57</f>
        <v>59.7</v>
      </c>
      <c r="AC63" s="944">
        <f ca="1">iRegionComp!AL57</f>
        <v>96.9</v>
      </c>
      <c r="AD63" s="945">
        <f ca="1">iRegionComp!AM57</f>
        <v>96.9</v>
      </c>
      <c r="AF63" s="943">
        <f ca="1">iRegionComp!AN57</f>
        <v>95.1</v>
      </c>
      <c r="AG63" s="944">
        <f ca="1">iRegionComp!AO57</f>
        <v>98</v>
      </c>
      <c r="AH63" s="944">
        <f ca="1">iRegionComp!AP57</f>
        <v>96.6</v>
      </c>
      <c r="AI63" s="945">
        <f ca="1">iRegionComp!AQ57</f>
        <v>85.2</v>
      </c>
      <c r="AJ63" s="367"/>
      <c r="AK63" s="696"/>
      <c r="AN63" s="633">
        <f t="shared" ca="1" si="4"/>
        <v>85.2</v>
      </c>
      <c r="AO63" s="633">
        <f t="shared" ca="1" si="5"/>
        <v>100</v>
      </c>
    </row>
    <row r="64" spans="2:41" ht="25.4" customHeight="1">
      <c r="B64" s="156">
        <f>IF(iRegionComp!AA58="",0,iRegionComp!AA58)</f>
        <v>41</v>
      </c>
      <c r="C64" s="156">
        <f>iRegionComp!AB58</f>
        <v>0</v>
      </c>
      <c r="D64" s="938"/>
      <c r="E64" s="929" t="str">
        <f>TRIM(iRegionComp!AC58)</f>
        <v>3.1.3) Digital skills</v>
      </c>
      <c r="G64" s="930"/>
      <c r="H64" s="930"/>
      <c r="I64" s="930"/>
      <c r="J64" s="930"/>
      <c r="K64" s="930"/>
      <c r="L64" s="930"/>
      <c r="M64" s="930"/>
      <c r="N64" s="930"/>
      <c r="O64" s="930"/>
      <c r="P64" s="930"/>
      <c r="Q64" s="930"/>
      <c r="R64" s="939">
        <f ca="1">iRegionComp!AD58</f>
        <v>38.1</v>
      </c>
      <c r="T64" s="939">
        <f ca="1">iRegionComp!AE58</f>
        <v>38.1</v>
      </c>
      <c r="V64" s="940">
        <f ca="1">iRegionComp!AF58</f>
        <v>43.8</v>
      </c>
      <c r="W64" s="941">
        <f ca="1">iRegionComp!AG58</f>
        <v>23.5</v>
      </c>
      <c r="X64" s="941">
        <f ca="1">iRegionComp!AH58</f>
        <v>56.2</v>
      </c>
      <c r="Y64" s="941">
        <f ca="1">iRegionComp!AI58</f>
        <v>81.8</v>
      </c>
      <c r="Z64" s="942">
        <f ca="1">iRegionComp!AJ58</f>
        <v>33.1</v>
      </c>
      <c r="AB64" s="943">
        <f ca="1">iRegionComp!AK58</f>
        <v>81</v>
      </c>
      <c r="AC64" s="944">
        <f ca="1">iRegionComp!AL58</f>
        <v>56.3</v>
      </c>
      <c r="AD64" s="945">
        <f ca="1">iRegionComp!AM58</f>
        <v>26.8</v>
      </c>
      <c r="AF64" s="943">
        <f ca="1">iRegionComp!AN58</f>
        <v>28</v>
      </c>
      <c r="AG64" s="944">
        <f ca="1">iRegionComp!AO58</f>
        <v>31.7</v>
      </c>
      <c r="AH64" s="944">
        <f ca="1">iRegionComp!AP58</f>
        <v>37.4</v>
      </c>
      <c r="AI64" s="945">
        <f ca="1">iRegionComp!AQ58</f>
        <v>53.8</v>
      </c>
      <c r="AJ64" s="367"/>
      <c r="AK64" s="696"/>
      <c r="AN64" s="633">
        <f t="shared" ca="1" si="4"/>
        <v>23.5</v>
      </c>
      <c r="AO64" s="633">
        <f t="shared" ca="1" si="5"/>
        <v>81.8</v>
      </c>
    </row>
    <row r="65" spans="2:41" ht="25.4" customHeight="1">
      <c r="B65" s="156">
        <f>IF(iRegionComp!AA59="",0,iRegionComp!AA59)</f>
        <v>42</v>
      </c>
      <c r="C65" s="156">
        <f>iRegionComp!AB59</f>
        <v>2</v>
      </c>
      <c r="D65" s="938"/>
      <c r="E65" s="929" t="str">
        <f>TRIM(iRegionComp!AC59)</f>
        <v>3.2) Government support</v>
      </c>
      <c r="G65" s="930"/>
      <c r="H65" s="930"/>
      <c r="I65" s="930"/>
      <c r="J65" s="930"/>
      <c r="K65" s="930"/>
      <c r="L65" s="930"/>
      <c r="M65" s="930"/>
      <c r="N65" s="930"/>
      <c r="O65" s="930"/>
      <c r="P65" s="930"/>
      <c r="Q65" s="930"/>
      <c r="R65" s="939">
        <f ca="1">iRegionComp!AD59</f>
        <v>71.7</v>
      </c>
      <c r="T65" s="939">
        <f ca="1">iRegionComp!AE59</f>
        <v>71.7</v>
      </c>
      <c r="V65" s="940">
        <f ca="1">iRegionComp!AF59</f>
        <v>64.8</v>
      </c>
      <c r="W65" s="941">
        <f ca="1">iRegionComp!AG59</f>
        <v>79</v>
      </c>
      <c r="X65" s="941">
        <f ca="1">iRegionComp!AH59</f>
        <v>68.099999999999994</v>
      </c>
      <c r="Y65" s="941">
        <f ca="1">iRegionComp!AI59</f>
        <v>40.799999999999997</v>
      </c>
      <c r="Z65" s="942">
        <f ca="1">iRegionComp!AJ59</f>
        <v>84.4</v>
      </c>
      <c r="AB65" s="943">
        <f ca="1">iRegionComp!AK59</f>
        <v>54.1</v>
      </c>
      <c r="AC65" s="944">
        <f ca="1">iRegionComp!AL59</f>
        <v>60.3</v>
      </c>
      <c r="AD65" s="945">
        <f ca="1">iRegionComp!AM59</f>
        <v>77.400000000000006</v>
      </c>
      <c r="AF65" s="943">
        <f ca="1">iRegionComp!AN59</f>
        <v>74.3</v>
      </c>
      <c r="AG65" s="944">
        <f ca="1">iRegionComp!AO59</f>
        <v>77</v>
      </c>
      <c r="AH65" s="944">
        <f ca="1">iRegionComp!AP59</f>
        <v>69.2</v>
      </c>
      <c r="AI65" s="945">
        <f ca="1">iRegionComp!AQ59</f>
        <v>65.099999999999994</v>
      </c>
      <c r="AJ65" s="367"/>
      <c r="AK65" s="696"/>
      <c r="AN65" s="633">
        <f t="shared" ca="1" si="4"/>
        <v>40.799999999999997</v>
      </c>
      <c r="AO65" s="633">
        <f t="shared" ca="1" si="5"/>
        <v>79</v>
      </c>
    </row>
    <row r="66" spans="2:41" ht="25.4" customHeight="1">
      <c r="B66" s="156">
        <f>IF(iRegionComp!AA60="",0,iRegionComp!AA60)</f>
        <v>43</v>
      </c>
      <c r="C66" s="156">
        <f>iRegionComp!AB60</f>
        <v>0</v>
      </c>
      <c r="D66" s="938"/>
      <c r="E66" s="929" t="str">
        <f>TRIM(iRegionComp!AC60)</f>
        <v>3.2.1) Data protection law</v>
      </c>
      <c r="G66" s="930"/>
      <c r="H66" s="930"/>
      <c r="I66" s="930"/>
      <c r="J66" s="930"/>
      <c r="K66" s="930"/>
      <c r="L66" s="930"/>
      <c r="M66" s="930"/>
      <c r="N66" s="930"/>
      <c r="O66" s="930"/>
      <c r="P66" s="930"/>
      <c r="Q66" s="930"/>
      <c r="R66" s="939">
        <f ca="1">iRegionComp!AD60</f>
        <v>90</v>
      </c>
      <c r="T66" s="939">
        <f ca="1">iRegionComp!AE60</f>
        <v>90</v>
      </c>
      <c r="V66" s="940">
        <f ca="1">iRegionComp!AF60</f>
        <v>87.5</v>
      </c>
      <c r="W66" s="941">
        <f ca="1">iRegionComp!AG60</f>
        <v>100</v>
      </c>
      <c r="X66" s="941">
        <f ca="1">iRegionComp!AH60</f>
        <v>100</v>
      </c>
      <c r="Y66" s="941">
        <f ca="1">iRegionComp!AI60</f>
        <v>50</v>
      </c>
      <c r="Z66" s="942">
        <f ca="1">iRegionComp!AJ60</f>
        <v>75</v>
      </c>
      <c r="AB66" s="943">
        <f ca="1">iRegionComp!AK60</f>
        <v>66.7</v>
      </c>
      <c r="AC66" s="944">
        <f ca="1">iRegionComp!AL60</f>
        <v>91.7</v>
      </c>
      <c r="AD66" s="945">
        <f ca="1">iRegionComp!AM60</f>
        <v>92.9</v>
      </c>
      <c r="AF66" s="943">
        <f ca="1">iRegionComp!AN60</f>
        <v>93.8</v>
      </c>
      <c r="AG66" s="944">
        <f ca="1">iRegionComp!AO60</f>
        <v>94.4</v>
      </c>
      <c r="AH66" s="944">
        <f ca="1">iRegionComp!AP60</f>
        <v>87.5</v>
      </c>
      <c r="AI66" s="945">
        <f ca="1">iRegionComp!AQ60</f>
        <v>83.3</v>
      </c>
      <c r="AJ66" s="367"/>
      <c r="AK66" s="696"/>
      <c r="AN66" s="633">
        <f t="shared" ca="1" si="4"/>
        <v>50</v>
      </c>
      <c r="AO66" s="633">
        <f t="shared" ca="1" si="5"/>
        <v>100</v>
      </c>
    </row>
    <row r="67" spans="2:41" ht="25.4" customHeight="1">
      <c r="B67" s="156">
        <f>IF(iRegionComp!AA61="",0,iRegionComp!AA61)</f>
        <v>44</v>
      </c>
      <c r="C67" s="156">
        <f>iRegionComp!AB61</f>
        <v>0</v>
      </c>
      <c r="D67" s="938"/>
      <c r="E67" s="929" t="str">
        <f>TRIM(iRegionComp!AC61)</f>
        <v>3.2.2) Cyber security preparedness</v>
      </c>
      <c r="G67" s="930"/>
      <c r="H67" s="930"/>
      <c r="I67" s="930"/>
      <c r="J67" s="930"/>
      <c r="K67" s="930"/>
      <c r="L67" s="930"/>
      <c r="M67" s="930"/>
      <c r="N67" s="930"/>
      <c r="O67" s="930"/>
      <c r="P67" s="930"/>
      <c r="Q67" s="930"/>
      <c r="R67" s="939">
        <f ca="1">iRegionComp!AD61</f>
        <v>77.5</v>
      </c>
      <c r="T67" s="939">
        <f ca="1">iRegionComp!AE61</f>
        <v>77.5</v>
      </c>
      <c r="V67" s="940">
        <f ca="1">iRegionComp!AF61</f>
        <v>72.900000000000006</v>
      </c>
      <c r="W67" s="941">
        <f ca="1">iRegionComp!AG61</f>
        <v>77.5</v>
      </c>
      <c r="X67" s="941">
        <f ca="1">iRegionComp!AH61</f>
        <v>66.7</v>
      </c>
      <c r="Y67" s="941">
        <f ca="1">iRegionComp!AI61</f>
        <v>75</v>
      </c>
      <c r="Z67" s="942">
        <f ca="1">iRegionComp!AJ61</f>
        <v>100</v>
      </c>
      <c r="AB67" s="943">
        <f ca="1">iRegionComp!AK61</f>
        <v>58.3</v>
      </c>
      <c r="AC67" s="944">
        <f ca="1">iRegionComp!AL61</f>
        <v>70.8</v>
      </c>
      <c r="AD67" s="945">
        <f ca="1">iRegionComp!AM61</f>
        <v>82.1</v>
      </c>
      <c r="AF67" s="943">
        <f ca="1">iRegionComp!AN61</f>
        <v>81.3</v>
      </c>
      <c r="AG67" s="944">
        <f ca="1">iRegionComp!AO61</f>
        <v>83.3</v>
      </c>
      <c r="AH67" s="944">
        <f ca="1">iRegionComp!AP61</f>
        <v>62.5</v>
      </c>
      <c r="AI67" s="945">
        <f ca="1">iRegionComp!AQ61</f>
        <v>75</v>
      </c>
      <c r="AJ67" s="367"/>
      <c r="AK67" s="696"/>
      <c r="AN67" s="633">
        <f t="shared" ca="1" si="4"/>
        <v>62.5</v>
      </c>
      <c r="AO67" s="633">
        <f t="shared" ca="1" si="5"/>
        <v>83.3</v>
      </c>
    </row>
    <row r="68" spans="2:41" ht="25.4" customHeight="1">
      <c r="B68" s="156">
        <f>IF(iRegionComp!AA62="",0,iRegionComp!AA62)</f>
        <v>45</v>
      </c>
      <c r="C68" s="156">
        <f>iRegionComp!AB62</f>
        <v>0</v>
      </c>
      <c r="D68" s="938"/>
      <c r="E68" s="929" t="str">
        <f>TRIM(iRegionComp!AC62)</f>
        <v>3.2.3) Cyber security risk awareness</v>
      </c>
      <c r="G68" s="930"/>
      <c r="H68" s="930"/>
      <c r="I68" s="930"/>
      <c r="J68" s="930"/>
      <c r="K68" s="930"/>
      <c r="L68" s="930"/>
      <c r="M68" s="930"/>
      <c r="N68" s="930"/>
      <c r="O68" s="930"/>
      <c r="P68" s="930"/>
      <c r="Q68" s="930"/>
      <c r="R68" s="939">
        <f ca="1">iRegionComp!AD62</f>
        <v>65.8</v>
      </c>
      <c r="T68" s="939">
        <f ca="1">iRegionComp!AE62</f>
        <v>65.8</v>
      </c>
      <c r="V68" s="940">
        <f ca="1">iRegionComp!AF62</f>
        <v>64.599999999999994</v>
      </c>
      <c r="W68" s="941">
        <f ca="1">iRegionComp!AG62</f>
        <v>65</v>
      </c>
      <c r="X68" s="941">
        <f ca="1">iRegionComp!AH62</f>
        <v>58.3</v>
      </c>
      <c r="Y68" s="941">
        <f ca="1">iRegionComp!AI62</f>
        <v>50</v>
      </c>
      <c r="Z68" s="942">
        <f ca="1">iRegionComp!AJ62</f>
        <v>81.3</v>
      </c>
      <c r="AB68" s="943">
        <f ca="1">iRegionComp!AK62</f>
        <v>58.3</v>
      </c>
      <c r="AC68" s="944">
        <f ca="1">iRegionComp!AL62</f>
        <v>62.5</v>
      </c>
      <c r="AD68" s="945">
        <f ca="1">iRegionComp!AM62</f>
        <v>67.900000000000006</v>
      </c>
      <c r="AF68" s="943">
        <f ca="1">iRegionComp!AN62</f>
        <v>62.5</v>
      </c>
      <c r="AG68" s="944">
        <f ca="1">iRegionComp!AO62</f>
        <v>72.2</v>
      </c>
      <c r="AH68" s="944">
        <f ca="1">iRegionComp!AP62</f>
        <v>68.8</v>
      </c>
      <c r="AI68" s="945">
        <f ca="1">iRegionComp!AQ62</f>
        <v>61.1</v>
      </c>
      <c r="AJ68" s="367"/>
      <c r="AK68" s="696"/>
      <c r="AN68" s="633">
        <f t="shared" ca="1" si="4"/>
        <v>50</v>
      </c>
      <c r="AO68" s="633">
        <f t="shared" ca="1" si="5"/>
        <v>72.2</v>
      </c>
    </row>
    <row r="69" spans="2:41" ht="25.4" customHeight="1">
      <c r="B69" s="156">
        <f>IF(iRegionComp!AA63="",0,iRegionComp!AA63)</f>
        <v>46</v>
      </c>
      <c r="C69" s="156">
        <f>iRegionComp!AB63</f>
        <v>0</v>
      </c>
      <c r="D69" s="938"/>
      <c r="E69" s="929" t="str">
        <f>TRIM(iRegionComp!AC63)</f>
        <v>3.2.4) Open data access and use</v>
      </c>
      <c r="G69" s="930"/>
      <c r="H69" s="930"/>
      <c r="I69" s="930"/>
      <c r="J69" s="930"/>
      <c r="K69" s="930"/>
      <c r="L69" s="930"/>
      <c r="M69" s="930"/>
      <c r="N69" s="930"/>
      <c r="O69" s="930"/>
      <c r="P69" s="930"/>
      <c r="Q69" s="930"/>
      <c r="R69" s="939">
        <f ca="1">iRegionComp!AD63</f>
        <v>54.3</v>
      </c>
      <c r="T69" s="939">
        <f ca="1">iRegionComp!AE63</f>
        <v>54.3</v>
      </c>
      <c r="V69" s="940">
        <f ca="1">iRegionComp!AF63</f>
        <v>41.7</v>
      </c>
      <c r="W69" s="941">
        <f ca="1">iRegionComp!AG63</f>
        <v>66.400000000000006</v>
      </c>
      <c r="X69" s="941">
        <f ca="1">iRegionComp!AH63</f>
        <v>45.9</v>
      </c>
      <c r="Y69" s="941">
        <f ca="1">iRegionComp!AI63</f>
        <v>7.5</v>
      </c>
      <c r="Z69" s="942">
        <f ca="1">iRegionComp!AJ63</f>
        <v>80</v>
      </c>
      <c r="AB69" s="943">
        <f ca="1">iRegionComp!AK63</f>
        <v>31.7</v>
      </c>
      <c r="AC69" s="944">
        <f ca="1">iRegionComp!AL63</f>
        <v>26.3</v>
      </c>
      <c r="AD69" s="945">
        <f ca="1">iRegionComp!AM63</f>
        <v>65.599999999999994</v>
      </c>
      <c r="AF69" s="943">
        <f ca="1">iRegionComp!AN63</f>
        <v>55.7</v>
      </c>
      <c r="AG69" s="944">
        <f ca="1">iRegionComp!AO63</f>
        <v>59.7</v>
      </c>
      <c r="AH69" s="944">
        <f ca="1">iRegionComp!AP63</f>
        <v>58.8</v>
      </c>
      <c r="AI69" s="945">
        <f ca="1">iRegionComp!AQ63</f>
        <v>45.7</v>
      </c>
      <c r="AJ69" s="367"/>
      <c r="AK69" s="696"/>
      <c r="AN69" s="633">
        <f t="shared" ca="1" si="4"/>
        <v>7.5</v>
      </c>
      <c r="AO69" s="633">
        <f t="shared" ca="1" si="5"/>
        <v>66.400000000000006</v>
      </c>
    </row>
    <row r="70" spans="2:41" ht="25.4" customHeight="1">
      <c r="B70" s="156">
        <f>IF(iRegionComp!AA64="",0,iRegionComp!AA64)</f>
        <v>47</v>
      </c>
      <c r="C70" s="156">
        <f>iRegionComp!AB64</f>
        <v>0</v>
      </c>
      <c r="D70" s="938"/>
      <c r="E70" s="929" t="str">
        <f>TRIM(iRegionComp!AC64)</f>
        <v>3.2.5) Internet freedom</v>
      </c>
      <c r="G70" s="930"/>
      <c r="H70" s="930"/>
      <c r="I70" s="930"/>
      <c r="J70" s="930"/>
      <c r="K70" s="930"/>
      <c r="L70" s="930"/>
      <c r="M70" s="930"/>
      <c r="N70" s="930"/>
      <c r="O70" s="930"/>
      <c r="P70" s="930"/>
      <c r="Q70" s="930"/>
      <c r="R70" s="939">
        <f ca="1">iRegionComp!AD64</f>
        <v>70.7</v>
      </c>
      <c r="T70" s="939">
        <f ca="1">iRegionComp!AE64</f>
        <v>70.7</v>
      </c>
      <c r="V70" s="940">
        <f ca="1">iRegionComp!AF64</f>
        <v>57.2</v>
      </c>
      <c r="W70" s="941">
        <f ca="1">iRegionComp!AG64</f>
        <v>86.2</v>
      </c>
      <c r="X70" s="941">
        <f ca="1">iRegionComp!AH64</f>
        <v>69.400000000000006</v>
      </c>
      <c r="Y70" s="941">
        <f ca="1">iRegionComp!AI64</f>
        <v>21.4</v>
      </c>
      <c r="Z70" s="942">
        <f ca="1">iRegionComp!AJ64</f>
        <v>85.8</v>
      </c>
      <c r="AB70" s="943">
        <f ca="1">iRegionComp!AK64</f>
        <v>55.5</v>
      </c>
      <c r="AC70" s="944">
        <f ca="1">iRegionComp!AL64</f>
        <v>50.2</v>
      </c>
      <c r="AD70" s="945">
        <f ca="1">iRegionComp!AM64</f>
        <v>78.7</v>
      </c>
      <c r="AF70" s="943">
        <f ca="1">iRegionComp!AN64</f>
        <v>78.599999999999994</v>
      </c>
      <c r="AG70" s="944">
        <f ca="1">iRegionComp!AO64</f>
        <v>75.099999999999994</v>
      </c>
      <c r="AH70" s="944">
        <f ca="1">iRegionComp!AP64</f>
        <v>68.5</v>
      </c>
      <c r="AI70" s="945">
        <f ca="1">iRegionComp!AQ64</f>
        <v>60.3</v>
      </c>
      <c r="AJ70" s="367"/>
      <c r="AK70" s="696"/>
      <c r="AN70" s="633">
        <f t="shared" ca="1" si="4"/>
        <v>21.4</v>
      </c>
      <c r="AO70" s="633">
        <f t="shared" ca="1" si="5"/>
        <v>86.2</v>
      </c>
    </row>
    <row r="71" spans="2:41" ht="25.4" customHeight="1">
      <c r="B71" s="156">
        <f>IF(iRegionComp!AA65="",0,iRegionComp!AA65)</f>
        <v>48</v>
      </c>
      <c r="C71" s="156">
        <f>iRegionComp!AB65</f>
        <v>2</v>
      </c>
      <c r="D71" s="938"/>
      <c r="E71" s="929" t="str">
        <f>TRIM(iRegionComp!AC65)</f>
        <v>3.3) Innovation ecosystem</v>
      </c>
      <c r="G71" s="930"/>
      <c r="H71" s="930"/>
      <c r="I71" s="930"/>
      <c r="J71" s="930"/>
      <c r="K71" s="930"/>
      <c r="L71" s="930"/>
      <c r="M71" s="930"/>
      <c r="N71" s="930"/>
      <c r="O71" s="930"/>
      <c r="P71" s="930"/>
      <c r="Q71" s="930"/>
      <c r="R71" s="939">
        <f ca="1">iRegionComp!AD65</f>
        <v>49.1</v>
      </c>
      <c r="T71" s="939">
        <f ca="1">iRegionComp!AE65</f>
        <v>49.1</v>
      </c>
      <c r="V71" s="940">
        <f ca="1">iRegionComp!AF65</f>
        <v>41.2</v>
      </c>
      <c r="W71" s="941">
        <f ca="1">iRegionComp!AG65</f>
        <v>57.1</v>
      </c>
      <c r="X71" s="941">
        <f ca="1">iRegionComp!AH65</f>
        <v>23.6</v>
      </c>
      <c r="Y71" s="941">
        <f ca="1">iRegionComp!AI65</f>
        <v>57.4</v>
      </c>
      <c r="Z71" s="942">
        <f ca="1">iRegionComp!AJ65</f>
        <v>70</v>
      </c>
      <c r="AB71" s="943">
        <f ca="1">iRegionComp!AK65</f>
        <v>18.5</v>
      </c>
      <c r="AC71" s="944">
        <f ca="1">iRegionComp!AL65</f>
        <v>28.6</v>
      </c>
      <c r="AD71" s="945">
        <f ca="1">iRegionComp!AM65</f>
        <v>59.4</v>
      </c>
      <c r="AF71" s="943">
        <f ca="1">iRegionComp!AN65</f>
        <v>56.8</v>
      </c>
      <c r="AG71" s="944">
        <f ca="1">iRegionComp!AO65</f>
        <v>56.2</v>
      </c>
      <c r="AH71" s="944">
        <f ca="1">iRegionComp!AP65</f>
        <v>39.4</v>
      </c>
      <c r="AI71" s="945">
        <f ca="1">iRegionComp!AQ65</f>
        <v>39.6</v>
      </c>
      <c r="AJ71" s="367"/>
      <c r="AK71" s="696"/>
      <c r="AN71" s="633">
        <f t="shared" ca="1" si="4"/>
        <v>23.6</v>
      </c>
      <c r="AO71" s="633">
        <f t="shared" ca="1" si="5"/>
        <v>59.4</v>
      </c>
    </row>
    <row r="72" spans="2:41" ht="25.4" customHeight="1">
      <c r="B72" s="156">
        <f>IF(iRegionComp!AA66="",0,iRegionComp!AA66)</f>
        <v>49</v>
      </c>
      <c r="C72" s="156">
        <f>iRegionComp!AB66</f>
        <v>0</v>
      </c>
      <c r="D72" s="938"/>
      <c r="E72" s="929" t="str">
        <f>TRIM(iRegionComp!AC66)</f>
        <v>3.3.1) AI readiness of government</v>
      </c>
      <c r="G72" s="930"/>
      <c r="H72" s="930"/>
      <c r="I72" s="930"/>
      <c r="J72" s="930"/>
      <c r="K72" s="930"/>
      <c r="L72" s="930"/>
      <c r="M72" s="930"/>
      <c r="N72" s="930"/>
      <c r="O72" s="930"/>
      <c r="P72" s="930"/>
      <c r="Q72" s="930"/>
      <c r="R72" s="939">
        <f ca="1">iRegionComp!AD66</f>
        <v>59.8</v>
      </c>
      <c r="T72" s="939">
        <f ca="1">iRegionComp!AE66</f>
        <v>59.8</v>
      </c>
      <c r="V72" s="940">
        <f ca="1">iRegionComp!AF66</f>
        <v>49.5</v>
      </c>
      <c r="W72" s="941">
        <f ca="1">iRegionComp!AG66</f>
        <v>71.7</v>
      </c>
      <c r="X72" s="941">
        <f ca="1">iRegionComp!AH66</f>
        <v>14.9</v>
      </c>
      <c r="Y72" s="941">
        <f ca="1">iRegionComp!AI66</f>
        <v>69.2</v>
      </c>
      <c r="Z72" s="942">
        <f ca="1">iRegionComp!AJ66</f>
        <v>92.8</v>
      </c>
      <c r="AB72" s="943">
        <f ca="1">iRegionComp!AK66</f>
        <v>13.9</v>
      </c>
      <c r="AC72" s="944">
        <f ca="1">iRegionComp!AL66</f>
        <v>27.9</v>
      </c>
      <c r="AD72" s="945">
        <f ca="1">iRegionComp!AM66</f>
        <v>75.5</v>
      </c>
      <c r="AF72" s="943">
        <f ca="1">iRegionComp!AN66</f>
        <v>69.099999999999994</v>
      </c>
      <c r="AG72" s="944">
        <f ca="1">iRegionComp!AO66</f>
        <v>74.099999999999994</v>
      </c>
      <c r="AH72" s="944">
        <f ca="1">iRegionComp!AP66</f>
        <v>43.7</v>
      </c>
      <c r="AI72" s="945">
        <f ca="1">iRegionComp!AQ66</f>
        <v>44.5</v>
      </c>
      <c r="AJ72" s="367"/>
      <c r="AK72" s="696"/>
      <c r="AN72" s="633">
        <f t="shared" ca="1" si="4"/>
        <v>14.9</v>
      </c>
      <c r="AO72" s="633">
        <f t="shared" ca="1" si="5"/>
        <v>75.5</v>
      </c>
    </row>
    <row r="73" spans="2:41" ht="25.4" customHeight="1">
      <c r="B73" s="156">
        <f>IF(iRegionComp!AA67="",0,iRegionComp!AA67)</f>
        <v>50</v>
      </c>
      <c r="C73" s="156">
        <f>iRegionComp!AB67</f>
        <v>0</v>
      </c>
      <c r="D73" s="938"/>
      <c r="E73" s="929" t="str">
        <f>TRIM(iRegionComp!AC67)</f>
        <v>3.3.2) Blockchain technology strategy</v>
      </c>
      <c r="G73" s="930"/>
      <c r="H73" s="930"/>
      <c r="I73" s="930"/>
      <c r="J73" s="930"/>
      <c r="K73" s="930"/>
      <c r="L73" s="930"/>
      <c r="M73" s="930"/>
      <c r="N73" s="930"/>
      <c r="O73" s="930"/>
      <c r="P73" s="930"/>
      <c r="Q73" s="930"/>
      <c r="R73" s="939">
        <f ca="1">iRegionComp!AD67</f>
        <v>35.6</v>
      </c>
      <c r="T73" s="939">
        <f ca="1">iRegionComp!AE67</f>
        <v>35.6</v>
      </c>
      <c r="V73" s="940">
        <f ca="1">iRegionComp!AF67</f>
        <v>41.7</v>
      </c>
      <c r="W73" s="941">
        <f ca="1">iRegionComp!AG67</f>
        <v>40</v>
      </c>
      <c r="X73" s="941">
        <f ca="1">iRegionComp!AH67</f>
        <v>22.2</v>
      </c>
      <c r="Y73" s="941">
        <f ca="1">iRegionComp!AI67</f>
        <v>100</v>
      </c>
      <c r="Z73" s="942">
        <f ca="1">iRegionComp!AJ67</f>
        <v>0</v>
      </c>
      <c r="AB73" s="943">
        <f ca="1">iRegionComp!AK67</f>
        <v>33.299999999999997</v>
      </c>
      <c r="AC73" s="944">
        <f ca="1">iRegionComp!AL67</f>
        <v>27.8</v>
      </c>
      <c r="AD73" s="945">
        <f ca="1">iRegionComp!AM67</f>
        <v>38.1</v>
      </c>
      <c r="AF73" s="943">
        <f ca="1">iRegionComp!AN67</f>
        <v>54.2</v>
      </c>
      <c r="AG73" s="944">
        <f ca="1">iRegionComp!AO67</f>
        <v>25.9</v>
      </c>
      <c r="AH73" s="944">
        <f ca="1">iRegionComp!AP67</f>
        <v>8.3000000000000007</v>
      </c>
      <c r="AI73" s="945">
        <f ca="1">iRegionComp!AQ67</f>
        <v>40.700000000000003</v>
      </c>
      <c r="AJ73" s="367"/>
      <c r="AK73" s="696"/>
      <c r="AN73" s="633">
        <f t="shared" ca="1" si="4"/>
        <v>8.3000000000000007</v>
      </c>
      <c r="AO73" s="633">
        <f t="shared" ca="1" si="5"/>
        <v>100</v>
      </c>
    </row>
    <row r="74" spans="2:41" ht="25.4" customHeight="1">
      <c r="B74" s="156">
        <f>IF(iRegionComp!AA68="",0,iRegionComp!AA68)</f>
        <v>51</v>
      </c>
      <c r="C74" s="156">
        <f>iRegionComp!AB68</f>
        <v>0</v>
      </c>
      <c r="D74" s="938"/>
      <c r="E74" s="929" t="str">
        <f>TRIM(iRegionComp!AC68)</f>
        <v>3.3.3) Tech startup ecosytem</v>
      </c>
      <c r="G74" s="930"/>
      <c r="H74" s="930"/>
      <c r="I74" s="930"/>
      <c r="J74" s="930"/>
      <c r="K74" s="930"/>
      <c r="L74" s="930"/>
      <c r="M74" s="930"/>
      <c r="N74" s="930"/>
      <c r="O74" s="930"/>
      <c r="P74" s="930"/>
      <c r="Q74" s="930"/>
      <c r="R74" s="939">
        <f ca="1">iRegionComp!AD68</f>
        <v>13.9</v>
      </c>
      <c r="T74" s="939">
        <f ca="1">iRegionComp!AE68</f>
        <v>13.9</v>
      </c>
      <c r="V74" s="940">
        <f ca="1">iRegionComp!AF68</f>
        <v>12.4</v>
      </c>
      <c r="W74" s="941">
        <f ca="1">iRegionComp!AG68</f>
        <v>11.3</v>
      </c>
      <c r="X74" s="941">
        <f ca="1">iRegionComp!AH68</f>
        <v>7.2</v>
      </c>
      <c r="Y74" s="941">
        <f ca="1">iRegionComp!AI68</f>
        <v>2.7</v>
      </c>
      <c r="Z74" s="942">
        <f ca="1">iRegionComp!AJ68</f>
        <v>33.200000000000003</v>
      </c>
      <c r="AB74" s="943">
        <f ca="1">iRegionComp!AK68</f>
        <v>9.9</v>
      </c>
      <c r="AC74" s="944">
        <f ca="1">iRegionComp!AL68</f>
        <v>14.2</v>
      </c>
      <c r="AD74" s="945">
        <f ca="1">iRegionComp!AM68</f>
        <v>14.4</v>
      </c>
      <c r="AF74" s="943">
        <f ca="1">iRegionComp!AN68</f>
        <v>3</v>
      </c>
      <c r="AG74" s="944">
        <f ca="1">iRegionComp!AO68</f>
        <v>9.4</v>
      </c>
      <c r="AH74" s="944">
        <f ca="1">iRegionComp!AP68</f>
        <v>18.5</v>
      </c>
      <c r="AI74" s="945">
        <f ca="1">iRegionComp!AQ68</f>
        <v>26.2</v>
      </c>
      <c r="AJ74" s="367"/>
      <c r="AK74" s="696"/>
      <c r="AN74" s="633">
        <f t="shared" ca="1" si="4"/>
        <v>2.7</v>
      </c>
      <c r="AO74" s="633">
        <f t="shared" ca="1" si="5"/>
        <v>26.2</v>
      </c>
    </row>
    <row r="75" spans="2:41" ht="25.4" customHeight="1">
      <c r="B75" s="156">
        <f>IF(iRegionComp!AA69="",0,iRegionComp!AA69)</f>
        <v>52</v>
      </c>
      <c r="C75" s="156">
        <f>iRegionComp!AB69</f>
        <v>0</v>
      </c>
      <c r="D75" s="938"/>
      <c r="E75" s="929" t="str">
        <f>TRIM(iRegionComp!AC69)</f>
        <v>3.3.4) Intellectual Property Rights</v>
      </c>
      <c r="G75" s="930"/>
      <c r="H75" s="930"/>
      <c r="I75" s="930"/>
      <c r="J75" s="930"/>
      <c r="K75" s="930"/>
      <c r="L75" s="930"/>
      <c r="M75" s="930"/>
      <c r="N75" s="930"/>
      <c r="O75" s="930"/>
      <c r="P75" s="930"/>
      <c r="Q75" s="930"/>
      <c r="R75" s="939">
        <f ca="1">iRegionComp!AD69</f>
        <v>72.5</v>
      </c>
      <c r="T75" s="939">
        <f ca="1">iRegionComp!AE69</f>
        <v>72.5</v>
      </c>
      <c r="V75" s="940">
        <f ca="1">iRegionComp!AF69</f>
        <v>52.1</v>
      </c>
      <c r="W75" s="941">
        <f ca="1">iRegionComp!AG69</f>
        <v>92.5</v>
      </c>
      <c r="X75" s="941">
        <f ca="1">iRegionComp!AH69</f>
        <v>50</v>
      </c>
      <c r="Y75" s="941">
        <f ca="1">iRegionComp!AI69</f>
        <v>75</v>
      </c>
      <c r="Z75" s="942">
        <f ca="1">iRegionComp!AJ69</f>
        <v>100</v>
      </c>
      <c r="AB75" s="943">
        <f ca="1">iRegionComp!AK69</f>
        <v>16.7</v>
      </c>
      <c r="AC75" s="944">
        <f ca="1">iRegionComp!AL69</f>
        <v>41.7</v>
      </c>
      <c r="AD75" s="945">
        <f ca="1">iRegionComp!AM69</f>
        <v>89.3</v>
      </c>
      <c r="AF75" s="943">
        <f ca="1">iRegionComp!AN69</f>
        <v>90.6</v>
      </c>
      <c r="AG75" s="944">
        <f ca="1">iRegionComp!AO69</f>
        <v>86.1</v>
      </c>
      <c r="AH75" s="944">
        <f ca="1">iRegionComp!AP69</f>
        <v>62.5</v>
      </c>
      <c r="AI75" s="945">
        <f ca="1">iRegionComp!AQ69</f>
        <v>47.2</v>
      </c>
      <c r="AJ75" s="367"/>
      <c r="AK75" s="696"/>
      <c r="AN75" s="633">
        <f t="shared" ca="1" si="4"/>
        <v>41.7</v>
      </c>
      <c r="AO75" s="633">
        <f t="shared" ca="1" si="5"/>
        <v>92.5</v>
      </c>
    </row>
    <row r="76" spans="2:41" ht="25.4" customHeight="1">
      <c r="B76" s="156">
        <f>IF(iRegionComp!AA70="",0,iRegionComp!AA70)</f>
        <v>53</v>
      </c>
      <c r="C76" s="156">
        <f>iRegionComp!AB70</f>
        <v>0</v>
      </c>
      <c r="D76" s="938"/>
      <c r="E76" s="929" t="str">
        <f>TRIM(iRegionComp!AC70)</f>
        <v>3.3.5) Business environment</v>
      </c>
      <c r="G76" s="930"/>
      <c r="H76" s="930"/>
      <c r="I76" s="930"/>
      <c r="J76" s="930"/>
      <c r="K76" s="930"/>
      <c r="L76" s="930"/>
      <c r="M76" s="930"/>
      <c r="N76" s="930"/>
      <c r="O76" s="930"/>
      <c r="P76" s="930"/>
      <c r="Q76" s="930"/>
      <c r="R76" s="939">
        <f ca="1">iRegionComp!AD70</f>
        <v>63.8</v>
      </c>
      <c r="T76" s="939">
        <f ca="1">iRegionComp!AE70</f>
        <v>63.8</v>
      </c>
      <c r="V76" s="940">
        <f ca="1">iRegionComp!AF70</f>
        <v>54.6</v>
      </c>
      <c r="W76" s="941">
        <f ca="1">iRegionComp!AG70</f>
        <v>71.099999999999994</v>
      </c>
      <c r="X76" s="941">
        <f ca="1">iRegionComp!AH70</f>
        <v>28.4</v>
      </c>
      <c r="Y76" s="941">
        <f ca="1">iRegionComp!AI70</f>
        <v>66.7</v>
      </c>
      <c r="Z76" s="942">
        <f ca="1">iRegionComp!AJ70</f>
        <v>99.1</v>
      </c>
      <c r="AB76" s="943">
        <f ca="1">iRegionComp!AK70</f>
        <v>25.9</v>
      </c>
      <c r="AC76" s="944">
        <f ca="1">iRegionComp!AL70</f>
        <v>34</v>
      </c>
      <c r="AD76" s="945">
        <f ca="1">iRegionComp!AM70</f>
        <v>77.7</v>
      </c>
      <c r="AF76" s="943">
        <f ca="1">iRegionComp!AN70</f>
        <v>75.5</v>
      </c>
      <c r="AG76" s="944">
        <f ca="1">iRegionComp!AO70</f>
        <v>79.400000000000006</v>
      </c>
      <c r="AH76" s="944">
        <f ca="1">iRegionComp!AP70</f>
        <v>54.6</v>
      </c>
      <c r="AI76" s="945">
        <f ca="1">iRegionComp!AQ70</f>
        <v>42</v>
      </c>
      <c r="AJ76" s="367"/>
      <c r="AK76" s="696"/>
      <c r="AN76" s="633">
        <f t="shared" ca="1" si="4"/>
        <v>28.4</v>
      </c>
      <c r="AO76" s="633">
        <f t="shared" ca="1" si="5"/>
        <v>79.400000000000006</v>
      </c>
    </row>
    <row r="77" spans="2:41" ht="25.4" customHeight="1">
      <c r="B77" s="156">
        <f>IF(iRegionComp!AA71="",0,iRegionComp!AA71)</f>
        <v>54</v>
      </c>
      <c r="C77" s="156">
        <f>iRegionComp!AB71</f>
        <v>2</v>
      </c>
      <c r="D77" s="938"/>
      <c r="E77" s="929" t="str">
        <f>TRIM(iRegionComp!AC71)</f>
        <v>3.4) Public attitude and engagement</v>
      </c>
      <c r="G77" s="930"/>
      <c r="H77" s="930"/>
      <c r="I77" s="930"/>
      <c r="J77" s="930"/>
      <c r="K77" s="930"/>
      <c r="L77" s="930"/>
      <c r="M77" s="930"/>
      <c r="N77" s="930"/>
      <c r="O77" s="930"/>
      <c r="P77" s="930"/>
      <c r="Q77" s="930"/>
      <c r="R77" s="939">
        <f ca="1">iRegionComp!AD71</f>
        <v>44.9</v>
      </c>
      <c r="T77" s="939">
        <f ca="1">iRegionComp!AE71</f>
        <v>44.9</v>
      </c>
      <c r="V77" s="940">
        <f ca="1">iRegionComp!AF71</f>
        <v>50.6</v>
      </c>
      <c r="W77" s="941">
        <f ca="1">iRegionComp!AG71</f>
        <v>34.5</v>
      </c>
      <c r="X77" s="941">
        <f ca="1">iRegionComp!AH71</f>
        <v>49</v>
      </c>
      <c r="Y77" s="941">
        <f ca="1">iRegionComp!AI71</f>
        <v>89.7</v>
      </c>
      <c r="Z77" s="942">
        <f ca="1">iRegionComp!AJ71</f>
        <v>39.9</v>
      </c>
      <c r="AB77" s="943">
        <f ca="1">iRegionComp!AK71</f>
        <v>67.8</v>
      </c>
      <c r="AC77" s="944">
        <f ca="1">iRegionComp!AL71</f>
        <v>56.5</v>
      </c>
      <c r="AD77" s="945">
        <f ca="1">iRegionComp!AM71</f>
        <v>38.4</v>
      </c>
      <c r="AF77" s="943">
        <f ca="1">iRegionComp!AN71</f>
        <v>45.3</v>
      </c>
      <c r="AG77" s="944">
        <f ca="1">iRegionComp!AO71</f>
        <v>35.6</v>
      </c>
      <c r="AH77" s="944">
        <f ca="1">iRegionComp!AP71</f>
        <v>42.3</v>
      </c>
      <c r="AI77" s="945">
        <f ca="1">iRegionComp!AQ71</f>
        <v>55.1</v>
      </c>
      <c r="AJ77" s="367"/>
      <c r="AK77" s="696"/>
      <c r="AN77" s="633">
        <f t="shared" ca="1" si="4"/>
        <v>34.5</v>
      </c>
      <c r="AO77" s="633">
        <f t="shared" ca="1" si="5"/>
        <v>89.7</v>
      </c>
    </row>
    <row r="78" spans="2:41" ht="25.4" customHeight="1">
      <c r="B78" s="156">
        <f>IF(iRegionComp!AA72="",0,iRegionComp!AA72)</f>
        <v>55</v>
      </c>
      <c r="C78" s="156">
        <f>iRegionComp!AB72</f>
        <v>0</v>
      </c>
      <c r="D78" s="938"/>
      <c r="E78" s="929" t="str">
        <f>TRIM(iRegionComp!AC72)</f>
        <v>3.4.1) Online public comfort</v>
      </c>
      <c r="G78" s="930"/>
      <c r="H78" s="930"/>
      <c r="I78" s="930"/>
      <c r="J78" s="930"/>
      <c r="K78" s="930"/>
      <c r="L78" s="930"/>
      <c r="M78" s="930"/>
      <c r="N78" s="930"/>
      <c r="O78" s="930"/>
      <c r="P78" s="930"/>
      <c r="Q78" s="930"/>
      <c r="R78" s="939">
        <f ca="1">iRegionComp!AD72</f>
        <v>47.6</v>
      </c>
      <c r="T78" s="939">
        <f ca="1">iRegionComp!AE72</f>
        <v>47.6</v>
      </c>
      <c r="V78" s="940">
        <f ca="1">iRegionComp!AF72</f>
        <v>51.5</v>
      </c>
      <c r="W78" s="941">
        <f ca="1">iRegionComp!AG72</f>
        <v>38.5</v>
      </c>
      <c r="X78" s="941">
        <f ca="1">iRegionComp!AH72</f>
        <v>59.8</v>
      </c>
      <c r="Y78" s="941">
        <f ca="1">iRegionComp!AI72</f>
        <v>79.400000000000006</v>
      </c>
      <c r="Z78" s="942">
        <f ca="1">iRegionComp!AJ72</f>
        <v>41.2</v>
      </c>
      <c r="AB78" s="943">
        <f ca="1">iRegionComp!AK72</f>
        <v>59.8</v>
      </c>
      <c r="AC78" s="944">
        <f ca="1">iRegionComp!AL72</f>
        <v>62.7</v>
      </c>
      <c r="AD78" s="945">
        <f ca="1">iRegionComp!AM72</f>
        <v>41.5</v>
      </c>
      <c r="AF78" s="943">
        <f ca="1">iRegionComp!AN72</f>
        <v>50.4</v>
      </c>
      <c r="AG78" s="944">
        <f ca="1">iRegionComp!AO72</f>
        <v>36.299999999999997</v>
      </c>
      <c r="AH78" s="944">
        <f ca="1">iRegionComp!AP72</f>
        <v>44.9</v>
      </c>
      <c r="AI78" s="945">
        <f ca="1">iRegionComp!AQ72</f>
        <v>57.5</v>
      </c>
      <c r="AJ78" s="367"/>
      <c r="AK78" s="696"/>
      <c r="AN78" s="633">
        <f t="shared" ca="1" si="4"/>
        <v>36.299999999999997</v>
      </c>
      <c r="AO78" s="633">
        <f t="shared" ca="1" si="5"/>
        <v>79.400000000000006</v>
      </c>
    </row>
    <row r="79" spans="2:41" ht="25.4" customHeight="1">
      <c r="B79" s="156">
        <f>IF(iRegionComp!AA73="",0,iRegionComp!AA73)</f>
        <v>56</v>
      </c>
      <c r="C79" s="156">
        <f>iRegionComp!AB73</f>
        <v>0</v>
      </c>
      <c r="D79" s="938"/>
      <c r="E79" s="929" t="str">
        <f>TRIM(iRegionComp!AC73)</f>
        <v>3.4.2) E-participation on government portals</v>
      </c>
      <c r="G79" s="930"/>
      <c r="H79" s="930"/>
      <c r="I79" s="930"/>
      <c r="J79" s="930"/>
      <c r="K79" s="930"/>
      <c r="L79" s="930"/>
      <c r="M79" s="930"/>
      <c r="N79" s="930"/>
      <c r="O79" s="930"/>
      <c r="P79" s="930"/>
      <c r="Q79" s="930"/>
      <c r="R79" s="939">
        <f ca="1">iRegionComp!AD73</f>
        <v>42.3</v>
      </c>
      <c r="T79" s="939">
        <f ca="1">iRegionComp!AE73</f>
        <v>42.3</v>
      </c>
      <c r="V79" s="940">
        <f ca="1">iRegionComp!AF73</f>
        <v>49.7</v>
      </c>
      <c r="W79" s="941">
        <f ca="1">iRegionComp!AG73</f>
        <v>30.4</v>
      </c>
      <c r="X79" s="941">
        <f ca="1">iRegionComp!AH73</f>
        <v>38.200000000000003</v>
      </c>
      <c r="Y79" s="941">
        <f ca="1">iRegionComp!AI73</f>
        <v>100</v>
      </c>
      <c r="Z79" s="942">
        <f ca="1">iRegionComp!AJ73</f>
        <v>38.5</v>
      </c>
      <c r="AB79" s="943">
        <f ca="1">iRegionComp!AK73</f>
        <v>75.599999999999994</v>
      </c>
      <c r="AC79" s="944">
        <f ca="1">iRegionComp!AL73</f>
        <v>50.2</v>
      </c>
      <c r="AD79" s="945">
        <f ca="1">iRegionComp!AM73</f>
        <v>35.299999999999997</v>
      </c>
      <c r="AF79" s="943">
        <f ca="1">iRegionComp!AN73</f>
        <v>40.200000000000003</v>
      </c>
      <c r="AG79" s="944">
        <f ca="1">iRegionComp!AO73</f>
        <v>35</v>
      </c>
      <c r="AH79" s="944">
        <f ca="1">iRegionComp!AP73</f>
        <v>39.700000000000003</v>
      </c>
      <c r="AI79" s="945">
        <f ca="1">iRegionComp!AQ73</f>
        <v>52.7</v>
      </c>
      <c r="AJ79" s="367"/>
      <c r="AK79" s="696"/>
      <c r="AN79" s="633">
        <f t="shared" ca="1" si="4"/>
        <v>30.4</v>
      </c>
      <c r="AO79" s="633">
        <f t="shared" ca="1" si="5"/>
        <v>100</v>
      </c>
    </row>
    <row r="80" spans="2:41" ht="25.4" customHeight="1">
      <c r="B80" s="156">
        <f>IF(iRegionComp!AA74="",0,iRegionComp!AA74)</f>
        <v>58</v>
      </c>
      <c r="C80" s="156">
        <f>iRegionComp!AB74</f>
        <v>2</v>
      </c>
      <c r="D80" s="938"/>
      <c r="E80" s="929" t="str">
        <f>TRIM(iRegionComp!AC74)</f>
        <v>4.1) Efficient resource management</v>
      </c>
      <c r="G80" s="930"/>
      <c r="H80" s="930"/>
      <c r="I80" s="930"/>
      <c r="J80" s="930"/>
      <c r="K80" s="930"/>
      <c r="L80" s="930"/>
      <c r="M80" s="930"/>
      <c r="N80" s="930"/>
      <c r="O80" s="930"/>
      <c r="P80" s="930"/>
      <c r="Q80" s="930"/>
      <c r="R80" s="939">
        <f ca="1">iRegionComp!AD74</f>
        <v>76</v>
      </c>
      <c r="T80" s="939">
        <f ca="1">iRegionComp!AE74</f>
        <v>76</v>
      </c>
      <c r="V80" s="940">
        <f ca="1">iRegionComp!AF74</f>
        <v>72.2</v>
      </c>
      <c r="W80" s="941">
        <f ca="1">iRegionComp!AG74</f>
        <v>83.8</v>
      </c>
      <c r="X80" s="941">
        <f ca="1">iRegionComp!AH74</f>
        <v>40.299999999999997</v>
      </c>
      <c r="Y80" s="941">
        <f ca="1">iRegionComp!AI74</f>
        <v>100</v>
      </c>
      <c r="Z80" s="942">
        <f ca="1">iRegionComp!AJ74</f>
        <v>88.5</v>
      </c>
      <c r="AB80" s="943">
        <f ca="1">iRegionComp!AK74</f>
        <v>41.7</v>
      </c>
      <c r="AC80" s="944">
        <f ca="1">iRegionComp!AL74</f>
        <v>54.2</v>
      </c>
      <c r="AD80" s="945">
        <f ca="1">iRegionComp!AM74</f>
        <v>87.1</v>
      </c>
      <c r="AF80" s="943">
        <f ca="1">iRegionComp!AN74</f>
        <v>82.3</v>
      </c>
      <c r="AG80" s="944">
        <f ca="1">iRegionComp!AO74</f>
        <v>80.5</v>
      </c>
      <c r="AH80" s="944">
        <f ca="1">iRegionComp!AP74</f>
        <v>77.2</v>
      </c>
      <c r="AI80" s="945">
        <f ca="1">iRegionComp!AQ74</f>
        <v>65.3</v>
      </c>
      <c r="AJ80" s="367"/>
      <c r="AK80" s="696"/>
      <c r="AN80" s="633">
        <f t="shared" ca="1" si="4"/>
        <v>40.299999999999997</v>
      </c>
      <c r="AO80" s="633">
        <f t="shared" ca="1" si="5"/>
        <v>100</v>
      </c>
    </row>
    <row r="81" spans="2:41" ht="25.4" customHeight="1">
      <c r="B81" s="156">
        <f>IF(iRegionComp!AA75="",0,iRegionComp!AA75)</f>
        <v>59</v>
      </c>
      <c r="C81" s="156">
        <f>iRegionComp!AB75</f>
        <v>0</v>
      </c>
      <c r="D81" s="938"/>
      <c r="E81" s="929" t="str">
        <f>TRIM(iRegionComp!AC75)</f>
        <v>4.1.1) Smart utility management</v>
      </c>
      <c r="G81" s="930"/>
      <c r="H81" s="930"/>
      <c r="I81" s="930"/>
      <c r="J81" s="930"/>
      <c r="K81" s="930"/>
      <c r="L81" s="930"/>
      <c r="M81" s="930"/>
      <c r="N81" s="930"/>
      <c r="O81" s="930"/>
      <c r="P81" s="930"/>
      <c r="Q81" s="930"/>
      <c r="R81" s="939">
        <f ca="1">iRegionComp!AD75</f>
        <v>73.3</v>
      </c>
      <c r="T81" s="939">
        <f ca="1">iRegionComp!AE75</f>
        <v>73.3</v>
      </c>
      <c r="V81" s="940">
        <f ca="1">iRegionComp!AF75</f>
        <v>64.599999999999994</v>
      </c>
      <c r="W81" s="941">
        <f ca="1">iRegionComp!AG75</f>
        <v>77.5</v>
      </c>
      <c r="X81" s="941">
        <f ca="1">iRegionComp!AH75</f>
        <v>66.7</v>
      </c>
      <c r="Y81" s="941">
        <f ca="1">iRegionComp!AI75</f>
        <v>100</v>
      </c>
      <c r="Z81" s="942">
        <f ca="1">iRegionComp!AJ75</f>
        <v>87.5</v>
      </c>
      <c r="AB81" s="943">
        <f ca="1">iRegionComp!AK75</f>
        <v>50</v>
      </c>
      <c r="AC81" s="944">
        <f ca="1">iRegionComp!AL75</f>
        <v>58.3</v>
      </c>
      <c r="AD81" s="945">
        <f ca="1">iRegionComp!AM75</f>
        <v>81</v>
      </c>
      <c r="AF81" s="943">
        <f ca="1">iRegionComp!AN75</f>
        <v>71.900000000000006</v>
      </c>
      <c r="AG81" s="944">
        <f ca="1">iRegionComp!AO75</f>
        <v>75</v>
      </c>
      <c r="AH81" s="944">
        <f ca="1">iRegionComp!AP75</f>
        <v>68.8</v>
      </c>
      <c r="AI81" s="945">
        <f ca="1">iRegionComp!AQ75</f>
        <v>75</v>
      </c>
      <c r="AJ81" s="367"/>
      <c r="AK81" s="696"/>
      <c r="AN81" s="633">
        <f t="shared" ca="1" si="4"/>
        <v>58.3</v>
      </c>
      <c r="AO81" s="633">
        <f t="shared" ca="1" si="5"/>
        <v>100</v>
      </c>
    </row>
    <row r="82" spans="2:41" ht="25.4" customHeight="1">
      <c r="B82" s="156">
        <f>IF(iRegionComp!AA76="",0,iRegionComp!AA76)</f>
        <v>60</v>
      </c>
      <c r="C82" s="156">
        <f>iRegionComp!AB76</f>
        <v>0</v>
      </c>
      <c r="D82" s="938"/>
      <c r="E82" s="929" t="str">
        <f>TRIM(iRegionComp!AC76)</f>
        <v>4.1.2) Smart urban agriculture</v>
      </c>
      <c r="G82" s="930"/>
      <c r="H82" s="930"/>
      <c r="I82" s="930"/>
      <c r="J82" s="930"/>
      <c r="K82" s="930"/>
      <c r="L82" s="930"/>
      <c r="M82" s="930"/>
      <c r="N82" s="930"/>
      <c r="O82" s="930"/>
      <c r="P82" s="930"/>
      <c r="Q82" s="930"/>
      <c r="R82" s="939">
        <f ca="1">iRegionComp!AD76</f>
        <v>76.7</v>
      </c>
      <c r="T82" s="939">
        <f ca="1">iRegionComp!AE76</f>
        <v>76.7</v>
      </c>
      <c r="V82" s="940">
        <f ca="1">iRegionComp!AF76</f>
        <v>75</v>
      </c>
      <c r="W82" s="941">
        <f ca="1">iRegionComp!AG76</f>
        <v>90</v>
      </c>
      <c r="X82" s="941">
        <f ca="1">iRegionComp!AH76</f>
        <v>33.299999999999997</v>
      </c>
      <c r="Y82" s="941">
        <f ca="1">iRegionComp!AI76</f>
        <v>100</v>
      </c>
      <c r="Z82" s="942">
        <f ca="1">iRegionComp!AJ76</f>
        <v>75</v>
      </c>
      <c r="AB82" s="943">
        <f ca="1">iRegionComp!AK76</f>
        <v>33.299999999999997</v>
      </c>
      <c r="AC82" s="944">
        <f ca="1">iRegionComp!AL76</f>
        <v>50</v>
      </c>
      <c r="AD82" s="945">
        <f ca="1">iRegionComp!AM76</f>
        <v>90.5</v>
      </c>
      <c r="AF82" s="943">
        <f ca="1">iRegionComp!AN76</f>
        <v>100</v>
      </c>
      <c r="AG82" s="944">
        <f ca="1">iRegionComp!AO76</f>
        <v>66.7</v>
      </c>
      <c r="AH82" s="944">
        <f ca="1">iRegionComp!AP76</f>
        <v>100</v>
      </c>
      <c r="AI82" s="945">
        <f ca="1">iRegionComp!AQ76</f>
        <v>55.6</v>
      </c>
      <c r="AJ82" s="367"/>
      <c r="AK82" s="696"/>
      <c r="AN82" s="633">
        <f t="shared" ca="1" si="4"/>
        <v>33.299999999999997</v>
      </c>
      <c r="AO82" s="633">
        <f t="shared" ca="1" si="5"/>
        <v>100</v>
      </c>
    </row>
    <row r="83" spans="2:41" ht="25.4" customHeight="1">
      <c r="B83" s="156">
        <f>IF(iRegionComp!AA77="",0,iRegionComp!AA77)</f>
        <v>61</v>
      </c>
      <c r="C83" s="156">
        <f>iRegionComp!AB77</f>
        <v>0</v>
      </c>
      <c r="D83" s="938"/>
      <c r="E83" s="929" t="str">
        <f>TRIM(iRegionComp!AC77)</f>
        <v>4.1.3) Smart construction</v>
      </c>
      <c r="G83" s="930"/>
      <c r="H83" s="930"/>
      <c r="I83" s="930"/>
      <c r="J83" s="930"/>
      <c r="K83" s="930"/>
      <c r="L83" s="930"/>
      <c r="M83" s="930"/>
      <c r="N83" s="930"/>
      <c r="O83" s="930"/>
      <c r="P83" s="930"/>
      <c r="Q83" s="930"/>
      <c r="R83" s="939">
        <f ca="1">iRegionComp!AD77</f>
        <v>80</v>
      </c>
      <c r="T83" s="939">
        <f ca="1">iRegionComp!AE77</f>
        <v>80</v>
      </c>
      <c r="V83" s="940">
        <f ca="1">iRegionComp!AF77</f>
        <v>83.3</v>
      </c>
      <c r="W83" s="941">
        <f ca="1">iRegionComp!AG77</f>
        <v>90</v>
      </c>
      <c r="X83" s="941">
        <f ca="1">iRegionComp!AH77</f>
        <v>0</v>
      </c>
      <c r="Y83" s="941">
        <f ca="1">iRegionComp!AI77</f>
        <v>100</v>
      </c>
      <c r="Z83" s="942">
        <f ca="1">iRegionComp!AJ77</f>
        <v>100</v>
      </c>
      <c r="AB83" s="943">
        <f ca="1">iRegionComp!AK77</f>
        <v>33.299999999999997</v>
      </c>
      <c r="AC83" s="944">
        <f ca="1">iRegionComp!AL77</f>
        <v>50</v>
      </c>
      <c r="AD83" s="945">
        <f ca="1">iRegionComp!AM77</f>
        <v>95.2</v>
      </c>
      <c r="AF83" s="943">
        <f ca="1">iRegionComp!AN77</f>
        <v>87.5</v>
      </c>
      <c r="AG83" s="944">
        <f ca="1">iRegionComp!AO77</f>
        <v>100</v>
      </c>
      <c r="AH83" s="944">
        <f ca="1">iRegionComp!AP77</f>
        <v>75</v>
      </c>
      <c r="AI83" s="945">
        <f ca="1">iRegionComp!AQ77</f>
        <v>55.6</v>
      </c>
      <c r="AJ83" s="367"/>
      <c r="AK83" s="696"/>
      <c r="AN83" s="633">
        <f t="shared" ca="1" si="4"/>
        <v>0</v>
      </c>
      <c r="AO83" s="633">
        <f t="shared" ca="1" si="5"/>
        <v>100</v>
      </c>
    </row>
    <row r="84" spans="2:41" ht="25.4" customHeight="1">
      <c r="B84" s="156">
        <f>IF(iRegionComp!AA78="",0,iRegionComp!AA78)</f>
        <v>62</v>
      </c>
      <c r="C84" s="156">
        <f>iRegionComp!AB78</f>
        <v>2</v>
      </c>
      <c r="D84" s="938"/>
      <c r="E84" s="929" t="str">
        <f>TRIM(iRegionComp!AC78)</f>
        <v>4.2) Emissions reduction</v>
      </c>
      <c r="G84" s="930"/>
      <c r="H84" s="930"/>
      <c r="I84" s="930"/>
      <c r="J84" s="930"/>
      <c r="K84" s="930"/>
      <c r="L84" s="930"/>
      <c r="M84" s="930"/>
      <c r="N84" s="930"/>
      <c r="O84" s="930"/>
      <c r="P84" s="930"/>
      <c r="Q84" s="930"/>
      <c r="R84" s="939">
        <f ca="1">iRegionComp!AD78</f>
        <v>78</v>
      </c>
      <c r="T84" s="939">
        <f ca="1">iRegionComp!AE78</f>
        <v>78</v>
      </c>
      <c r="V84" s="940">
        <f ca="1">iRegionComp!AF78</f>
        <v>66.099999999999994</v>
      </c>
      <c r="W84" s="941">
        <f ca="1">iRegionComp!AG78</f>
        <v>93.9</v>
      </c>
      <c r="X84" s="941">
        <f ca="1">iRegionComp!AH78</f>
        <v>48.9</v>
      </c>
      <c r="Y84" s="941">
        <f ca="1">iRegionComp!AI78</f>
        <v>83.8</v>
      </c>
      <c r="Z84" s="942">
        <f ca="1">iRegionComp!AJ78</f>
        <v>94.3</v>
      </c>
      <c r="AB84" s="943">
        <f ca="1">iRegionComp!AK78</f>
        <v>36.200000000000003</v>
      </c>
      <c r="AC84" s="944">
        <f ca="1">iRegionComp!AL78</f>
        <v>60.3</v>
      </c>
      <c r="AD84" s="945">
        <f ca="1">iRegionComp!AM78</f>
        <v>89.1</v>
      </c>
      <c r="AF84" s="943">
        <f ca="1">iRegionComp!AN78</f>
        <v>92.3</v>
      </c>
      <c r="AG84" s="944">
        <f ca="1">iRegionComp!AO78</f>
        <v>87</v>
      </c>
      <c r="AH84" s="944">
        <f ca="1">iRegionComp!AP78</f>
        <v>57.7</v>
      </c>
      <c r="AI84" s="945">
        <f ca="1">iRegionComp!AQ78</f>
        <v>65.3</v>
      </c>
      <c r="AJ84" s="367"/>
      <c r="AK84" s="696"/>
      <c r="AN84" s="633">
        <f t="shared" ca="1" si="4"/>
        <v>48.9</v>
      </c>
      <c r="AO84" s="633">
        <f t="shared" ca="1" si="5"/>
        <v>93.9</v>
      </c>
    </row>
    <row r="85" spans="2:41" ht="25.4" customHeight="1">
      <c r="B85" s="156">
        <f>IF(iRegionComp!AA79="",0,iRegionComp!AA79)</f>
        <v>63</v>
      </c>
      <c r="C85" s="156">
        <f>iRegionComp!AB79</f>
        <v>0</v>
      </c>
      <c r="D85" s="938"/>
      <c r="E85" s="929" t="str">
        <f>TRIM(iRegionComp!AC79)</f>
        <v>4.2.1) Net-zero emission</v>
      </c>
      <c r="G85" s="930"/>
      <c r="H85" s="930"/>
      <c r="I85" s="930"/>
      <c r="J85" s="930"/>
      <c r="K85" s="930"/>
      <c r="L85" s="930"/>
      <c r="M85" s="930"/>
      <c r="N85" s="930"/>
      <c r="O85" s="930"/>
      <c r="P85" s="930"/>
      <c r="Q85" s="930"/>
      <c r="R85" s="939">
        <f ca="1">iRegionComp!AD79</f>
        <v>81.7</v>
      </c>
      <c r="T85" s="939">
        <f ca="1">iRegionComp!AE79</f>
        <v>81.7</v>
      </c>
      <c r="V85" s="940">
        <f ca="1">iRegionComp!AF79</f>
        <v>70.8</v>
      </c>
      <c r="W85" s="941">
        <f ca="1">iRegionComp!AG79</f>
        <v>100</v>
      </c>
      <c r="X85" s="941">
        <f ca="1">iRegionComp!AH79</f>
        <v>50</v>
      </c>
      <c r="Y85" s="941">
        <f ca="1">iRegionComp!AI79</f>
        <v>50</v>
      </c>
      <c r="Z85" s="942">
        <f ca="1">iRegionComp!AJ79</f>
        <v>100</v>
      </c>
      <c r="AB85" s="943">
        <f ca="1">iRegionComp!AK79</f>
        <v>50</v>
      </c>
      <c r="AC85" s="944">
        <f ca="1">iRegionComp!AL79</f>
        <v>58.3</v>
      </c>
      <c r="AD85" s="945">
        <f ca="1">iRegionComp!AM79</f>
        <v>92.9</v>
      </c>
      <c r="AF85" s="943">
        <f ca="1">iRegionComp!AN79</f>
        <v>93.8</v>
      </c>
      <c r="AG85" s="944">
        <f ca="1">iRegionComp!AO79</f>
        <v>83.3</v>
      </c>
      <c r="AH85" s="944">
        <f ca="1">iRegionComp!AP79</f>
        <v>62.5</v>
      </c>
      <c r="AI85" s="945">
        <f ca="1">iRegionComp!AQ79</f>
        <v>77.8</v>
      </c>
      <c r="AJ85" s="367"/>
      <c r="AK85" s="696"/>
      <c r="AN85" s="633">
        <f t="shared" ca="1" si="4"/>
        <v>50</v>
      </c>
      <c r="AO85" s="633">
        <f t="shared" ca="1" si="5"/>
        <v>100</v>
      </c>
    </row>
    <row r="86" spans="2:41" ht="25.4" customHeight="1">
      <c r="B86" s="156">
        <f>IF(iRegionComp!AA80="",0,iRegionComp!AA80)</f>
        <v>64</v>
      </c>
      <c r="C86" s="156">
        <f>iRegionComp!AB80</f>
        <v>0</v>
      </c>
      <c r="D86" s="938"/>
      <c r="E86" s="929" t="str">
        <f>TRIM(iRegionComp!AC80)</f>
        <v>4.2.2) Traffic management</v>
      </c>
      <c r="G86" s="930"/>
      <c r="H86" s="930"/>
      <c r="I86" s="930"/>
      <c r="J86" s="930"/>
      <c r="K86" s="930"/>
      <c r="L86" s="930"/>
      <c r="M86" s="930"/>
      <c r="N86" s="930"/>
      <c r="O86" s="930"/>
      <c r="P86" s="930"/>
      <c r="Q86" s="930"/>
      <c r="R86" s="939">
        <f ca="1">iRegionComp!AD80</f>
        <v>73.3</v>
      </c>
      <c r="T86" s="939">
        <f ca="1">iRegionComp!AE80</f>
        <v>73.3</v>
      </c>
      <c r="V86" s="940">
        <f ca="1">iRegionComp!AF80</f>
        <v>58.3</v>
      </c>
      <c r="W86" s="941">
        <f ca="1">iRegionComp!AG80</f>
        <v>84</v>
      </c>
      <c r="X86" s="941">
        <f ca="1">iRegionComp!AH80</f>
        <v>73.3</v>
      </c>
      <c r="Y86" s="941">
        <f ca="1">iRegionComp!AI80</f>
        <v>100</v>
      </c>
      <c r="Z86" s="942">
        <f ca="1">iRegionComp!AJ80</f>
        <v>85</v>
      </c>
      <c r="AB86" s="943">
        <f ca="1">iRegionComp!AK80</f>
        <v>26.7</v>
      </c>
      <c r="AC86" s="944">
        <f ca="1">iRegionComp!AL80</f>
        <v>70</v>
      </c>
      <c r="AD86" s="945">
        <f ca="1">iRegionComp!AM80</f>
        <v>81</v>
      </c>
      <c r="AF86" s="943">
        <f ca="1">iRegionComp!AN80</f>
        <v>90</v>
      </c>
      <c r="AG86" s="944">
        <f ca="1">iRegionComp!AO80</f>
        <v>84.4</v>
      </c>
      <c r="AH86" s="944">
        <f ca="1">iRegionComp!AP80</f>
        <v>40</v>
      </c>
      <c r="AI86" s="945">
        <f ca="1">iRegionComp!AQ80</f>
        <v>62.2</v>
      </c>
      <c r="AJ86" s="367"/>
      <c r="AK86" s="696"/>
      <c r="AN86" s="633">
        <f t="shared" ca="1" si="4"/>
        <v>40</v>
      </c>
      <c r="AO86" s="633">
        <f t="shared" ca="1" si="5"/>
        <v>100</v>
      </c>
    </row>
    <row r="87" spans="2:41" ht="25.4" customHeight="1">
      <c r="B87" s="156">
        <f>IF(iRegionComp!AA81="",0,iRegionComp!AA81)</f>
        <v>65</v>
      </c>
      <c r="C87" s="156">
        <f>iRegionComp!AB81</f>
        <v>0</v>
      </c>
      <c r="D87" s="938"/>
      <c r="E87" s="929" t="str">
        <f>TRIM(iRegionComp!AC81)</f>
        <v>4.2.3) Support for autonomous vehicles</v>
      </c>
      <c r="G87" s="930"/>
      <c r="H87" s="930"/>
      <c r="I87" s="930"/>
      <c r="J87" s="930"/>
      <c r="K87" s="930"/>
      <c r="L87" s="930"/>
      <c r="M87" s="930"/>
      <c r="N87" s="930"/>
      <c r="O87" s="930"/>
      <c r="P87" s="930"/>
      <c r="Q87" s="930"/>
      <c r="R87" s="939">
        <f ca="1">iRegionComp!AD81</f>
        <v>80</v>
      </c>
      <c r="T87" s="939">
        <f ca="1">iRegionComp!AE81</f>
        <v>80</v>
      </c>
      <c r="V87" s="940">
        <f ca="1">iRegionComp!AF81</f>
        <v>70.8</v>
      </c>
      <c r="W87" s="941">
        <f ca="1">iRegionComp!AG81</f>
        <v>100</v>
      </c>
      <c r="X87" s="941">
        <f ca="1">iRegionComp!AH81</f>
        <v>16.7</v>
      </c>
      <c r="Y87" s="941">
        <f ca="1">iRegionComp!AI81</f>
        <v>100</v>
      </c>
      <c r="Z87" s="942">
        <f ca="1">iRegionComp!AJ81</f>
        <v>100</v>
      </c>
      <c r="AB87" s="943">
        <f ca="1">iRegionComp!AK81</f>
        <v>33.299999999999997</v>
      </c>
      <c r="AC87" s="944">
        <f ca="1">iRegionComp!AL81</f>
        <v>50</v>
      </c>
      <c r="AD87" s="945">
        <f ca="1">iRegionComp!AM81</f>
        <v>95.2</v>
      </c>
      <c r="AF87" s="943">
        <f ca="1">iRegionComp!AN81</f>
        <v>93.8</v>
      </c>
      <c r="AG87" s="944">
        <f ca="1">iRegionComp!AO81</f>
        <v>94.4</v>
      </c>
      <c r="AH87" s="944">
        <f ca="1">iRegionComp!AP81</f>
        <v>75</v>
      </c>
      <c r="AI87" s="945">
        <f ca="1">iRegionComp!AQ81</f>
        <v>55.6</v>
      </c>
      <c r="AJ87" s="367"/>
      <c r="AK87" s="696"/>
      <c r="AN87" s="633">
        <f t="shared" ca="1" si="4"/>
        <v>16.7</v>
      </c>
      <c r="AO87" s="633">
        <f t="shared" ca="1" si="5"/>
        <v>100</v>
      </c>
    </row>
    <row r="88" spans="2:41" ht="25.4" customHeight="1">
      <c r="B88" s="156">
        <f>IF(iRegionComp!AA82="",0,iRegionComp!AA82)</f>
        <v>66</v>
      </c>
      <c r="C88" s="156">
        <f>iRegionComp!AB82</f>
        <v>2</v>
      </c>
      <c r="D88" s="938"/>
      <c r="E88" s="929" t="str">
        <f>TRIM(iRegionComp!AC82)</f>
        <v>4.3) Pollution</v>
      </c>
      <c r="G88" s="930"/>
      <c r="H88" s="930"/>
      <c r="I88" s="930"/>
      <c r="J88" s="930"/>
      <c r="K88" s="930"/>
      <c r="L88" s="930"/>
      <c r="M88" s="930"/>
      <c r="N88" s="930"/>
      <c r="O88" s="930"/>
      <c r="P88" s="930"/>
      <c r="Q88" s="930"/>
      <c r="R88" s="939">
        <f ca="1">iRegionComp!AD82</f>
        <v>57.8</v>
      </c>
      <c r="T88" s="939">
        <f ca="1">iRegionComp!AE82</f>
        <v>57.8</v>
      </c>
      <c r="V88" s="940">
        <f ca="1">iRegionComp!AF82</f>
        <v>57</v>
      </c>
      <c r="W88" s="941">
        <f ca="1">iRegionComp!AG82</f>
        <v>63.3</v>
      </c>
      <c r="X88" s="941">
        <f ca="1">iRegionComp!AH82</f>
        <v>50</v>
      </c>
      <c r="Y88" s="941">
        <f ca="1">iRegionComp!AI82</f>
        <v>16.7</v>
      </c>
      <c r="Z88" s="942">
        <f ca="1">iRegionComp!AJ82</f>
        <v>62.5</v>
      </c>
      <c r="AB88" s="943">
        <f ca="1">iRegionComp!AK82</f>
        <v>33.299999999999997</v>
      </c>
      <c r="AC88" s="944">
        <f ca="1">iRegionComp!AL82</f>
        <v>50</v>
      </c>
      <c r="AD88" s="945">
        <f ca="1">iRegionComp!AM82</f>
        <v>63.5</v>
      </c>
      <c r="AF88" s="943">
        <f ca="1">iRegionComp!AN82</f>
        <v>60.4</v>
      </c>
      <c r="AG88" s="944">
        <f ca="1">iRegionComp!AO82</f>
        <v>63</v>
      </c>
      <c r="AH88" s="944">
        <f ca="1">iRegionComp!AP82</f>
        <v>58.3</v>
      </c>
      <c r="AI88" s="945">
        <f ca="1">iRegionComp!AQ82</f>
        <v>50</v>
      </c>
      <c r="AJ88" s="367"/>
      <c r="AK88" s="696"/>
      <c r="AN88" s="633">
        <f t="shared" ca="1" si="4"/>
        <v>16.7</v>
      </c>
      <c r="AO88" s="633">
        <f t="shared" ca="1" si="5"/>
        <v>63.5</v>
      </c>
    </row>
    <row r="89" spans="2:41" ht="25.4" customHeight="1">
      <c r="B89" s="156">
        <f>IF(iRegionComp!AA83="",0,iRegionComp!AA83)</f>
        <v>67</v>
      </c>
      <c r="C89" s="156">
        <f>iRegionComp!AB83</f>
        <v>0</v>
      </c>
      <c r="D89" s="938"/>
      <c r="E89" s="929" t="str">
        <f>TRIM(iRegionComp!AC83)</f>
        <v>4.3.1) Air pollution</v>
      </c>
      <c r="G89" s="930"/>
      <c r="H89" s="930"/>
      <c r="I89" s="930"/>
      <c r="J89" s="930"/>
      <c r="K89" s="930"/>
      <c r="L89" s="930"/>
      <c r="M89" s="930"/>
      <c r="N89" s="930"/>
      <c r="O89" s="930"/>
      <c r="P89" s="930"/>
      <c r="Q89" s="930"/>
      <c r="R89" s="939">
        <f ca="1">iRegionComp!AD83</f>
        <v>57.8</v>
      </c>
      <c r="T89" s="939">
        <f ca="1">iRegionComp!AE83</f>
        <v>57.8</v>
      </c>
      <c r="V89" s="940">
        <f ca="1">iRegionComp!AF83</f>
        <v>57</v>
      </c>
      <c r="W89" s="941">
        <f ca="1">iRegionComp!AG83</f>
        <v>63.3</v>
      </c>
      <c r="X89" s="941">
        <f ca="1">iRegionComp!AH83</f>
        <v>50</v>
      </c>
      <c r="Y89" s="941">
        <f ca="1">iRegionComp!AI83</f>
        <v>16.7</v>
      </c>
      <c r="Z89" s="942">
        <f ca="1">iRegionComp!AJ83</f>
        <v>62.5</v>
      </c>
      <c r="AB89" s="943">
        <f ca="1">iRegionComp!AK83</f>
        <v>33.299999999999997</v>
      </c>
      <c r="AC89" s="944">
        <f ca="1">iRegionComp!AL83</f>
        <v>50</v>
      </c>
      <c r="AD89" s="945">
        <f ca="1">iRegionComp!AM83</f>
        <v>63.5</v>
      </c>
      <c r="AF89" s="943">
        <f ca="1">iRegionComp!AN83</f>
        <v>60.4</v>
      </c>
      <c r="AG89" s="944">
        <f ca="1">iRegionComp!AO83</f>
        <v>63</v>
      </c>
      <c r="AH89" s="944">
        <f ca="1">iRegionComp!AP83</f>
        <v>58.3</v>
      </c>
      <c r="AI89" s="945">
        <f ca="1">iRegionComp!AQ83</f>
        <v>50</v>
      </c>
      <c r="AJ89" s="367"/>
      <c r="AK89" s="696"/>
      <c r="AN89" s="633">
        <f t="shared" ca="1" si="4"/>
        <v>16.7</v>
      </c>
      <c r="AO89" s="633">
        <f t="shared" ca="1" si="5"/>
        <v>63.5</v>
      </c>
    </row>
    <row r="90" spans="2:41" ht="25.4" customHeight="1">
      <c r="B90" s="156">
        <f>IF(iRegionComp!AA84="",0,iRegionComp!AA84)</f>
        <v>68</v>
      </c>
      <c r="C90" s="156">
        <f>iRegionComp!AB84</f>
        <v>2</v>
      </c>
      <c r="D90" s="938"/>
      <c r="E90" s="929" t="str">
        <f>TRIM(iRegionComp!AC84)</f>
        <v>4.4) Circular economy</v>
      </c>
      <c r="G90" s="930"/>
      <c r="H90" s="930"/>
      <c r="I90" s="930"/>
      <c r="J90" s="930"/>
      <c r="K90" s="930"/>
      <c r="L90" s="930"/>
      <c r="M90" s="930"/>
      <c r="N90" s="930"/>
      <c r="O90" s="930"/>
      <c r="P90" s="930"/>
      <c r="Q90" s="930"/>
      <c r="R90" s="939">
        <f ca="1">iRegionComp!AD84</f>
        <v>48</v>
      </c>
      <c r="T90" s="939">
        <f ca="1">iRegionComp!AE84</f>
        <v>48</v>
      </c>
      <c r="V90" s="940">
        <f ca="1">iRegionComp!AF84</f>
        <v>45.4</v>
      </c>
      <c r="W90" s="941">
        <f ca="1">iRegionComp!AG84</f>
        <v>56.7</v>
      </c>
      <c r="X90" s="941">
        <f ca="1">iRegionComp!AH84</f>
        <v>38.1</v>
      </c>
      <c r="Y90" s="941">
        <f ca="1">iRegionComp!AI84</f>
        <v>0</v>
      </c>
      <c r="Z90" s="942">
        <f ca="1">iRegionComp!AJ84</f>
        <v>53.6</v>
      </c>
      <c r="AB90" s="943">
        <f ca="1">iRegionComp!AK84</f>
        <v>12.7</v>
      </c>
      <c r="AC90" s="944">
        <f ca="1">iRegionComp!AL84</f>
        <v>52.4</v>
      </c>
      <c r="AD90" s="945">
        <f ca="1">iRegionComp!AM84</f>
        <v>51.8</v>
      </c>
      <c r="AF90" s="943">
        <f ca="1">iRegionComp!AN84</f>
        <v>47</v>
      </c>
      <c r="AG90" s="944">
        <f ca="1">iRegionComp!AO84</f>
        <v>55.3</v>
      </c>
      <c r="AH90" s="944">
        <f ca="1">iRegionComp!AP84</f>
        <v>26.8</v>
      </c>
      <c r="AI90" s="945">
        <f ca="1">iRegionComp!AQ84</f>
        <v>51.1</v>
      </c>
      <c r="AJ90" s="367"/>
      <c r="AK90" s="696"/>
      <c r="AN90" s="633">
        <f t="shared" ca="1" si="4"/>
        <v>0</v>
      </c>
      <c r="AO90" s="633">
        <f t="shared" ca="1" si="5"/>
        <v>56.7</v>
      </c>
    </row>
    <row r="91" spans="2:41" ht="25.4" customHeight="1">
      <c r="B91" s="156">
        <f>IF(iRegionComp!AA85="",0,iRegionComp!AA85)</f>
        <v>69</v>
      </c>
      <c r="C91" s="156">
        <f>iRegionComp!AB85</f>
        <v>0</v>
      </c>
      <c r="D91" s="938"/>
      <c r="E91" s="929" t="str">
        <f>TRIM(iRegionComp!AC85)</f>
        <v>4.4.1) Development of sharing economy</v>
      </c>
      <c r="G91" s="930"/>
      <c r="H91" s="930"/>
      <c r="I91" s="930"/>
      <c r="J91" s="930"/>
      <c r="K91" s="930"/>
      <c r="L91" s="930"/>
      <c r="M91" s="930"/>
      <c r="N91" s="930"/>
      <c r="O91" s="930"/>
      <c r="P91" s="930"/>
      <c r="Q91" s="930"/>
      <c r="R91" s="939">
        <f ca="1">iRegionComp!AD85</f>
        <v>28.3</v>
      </c>
      <c r="T91" s="939">
        <f ca="1">iRegionComp!AE85</f>
        <v>28.3</v>
      </c>
      <c r="V91" s="940">
        <f ca="1">iRegionComp!AF85</f>
        <v>37.5</v>
      </c>
      <c r="W91" s="941">
        <f ca="1">iRegionComp!AG85</f>
        <v>30</v>
      </c>
      <c r="X91" s="941">
        <f ca="1">iRegionComp!AH85</f>
        <v>0</v>
      </c>
      <c r="Y91" s="941">
        <f ca="1">iRegionComp!AI85</f>
        <v>0</v>
      </c>
      <c r="Z91" s="942">
        <f ca="1">iRegionComp!AJ85</f>
        <v>25</v>
      </c>
      <c r="AB91" s="943">
        <f ca="1">iRegionComp!AK85</f>
        <v>0</v>
      </c>
      <c r="AC91" s="944">
        <f ca="1">iRegionComp!AL85</f>
        <v>33.299999999999997</v>
      </c>
      <c r="AD91" s="945">
        <f ca="1">iRegionComp!AM85</f>
        <v>31</v>
      </c>
      <c r="AF91" s="943">
        <f ca="1">iRegionComp!AN85</f>
        <v>37.5</v>
      </c>
      <c r="AG91" s="944">
        <f ca="1">iRegionComp!AO85</f>
        <v>27.8</v>
      </c>
      <c r="AH91" s="944">
        <f ca="1">iRegionComp!AP85</f>
        <v>12.5</v>
      </c>
      <c r="AI91" s="945">
        <f ca="1">iRegionComp!AQ85</f>
        <v>27.8</v>
      </c>
      <c r="AJ91" s="367"/>
      <c r="AK91" s="696"/>
      <c r="AN91" s="633">
        <f t="shared" ca="1" si="4"/>
        <v>0</v>
      </c>
      <c r="AO91" s="633">
        <f t="shared" ca="1" si="5"/>
        <v>37.5</v>
      </c>
    </row>
    <row r="92" spans="2:41" ht="25.4" customHeight="1">
      <c r="B92" s="156">
        <f>IF(iRegionComp!AA86="",0,iRegionComp!AA86)</f>
        <v>70</v>
      </c>
      <c r="C92" s="156">
        <f>iRegionComp!AB86</f>
        <v>0</v>
      </c>
      <c r="D92" s="938"/>
      <c r="E92" s="929" t="str">
        <f>TRIM(iRegionComp!AC86)</f>
        <v>4.4.2) E-waste management</v>
      </c>
      <c r="G92" s="930"/>
      <c r="H92" s="930"/>
      <c r="I92" s="930"/>
      <c r="J92" s="930"/>
      <c r="K92" s="930"/>
      <c r="L92" s="930"/>
      <c r="M92" s="930"/>
      <c r="N92" s="930"/>
      <c r="O92" s="930"/>
      <c r="P92" s="930"/>
      <c r="Q92" s="930"/>
      <c r="R92" s="939">
        <f ca="1">iRegionComp!AD86</f>
        <v>80</v>
      </c>
      <c r="T92" s="939">
        <f ca="1">iRegionComp!AE86</f>
        <v>80</v>
      </c>
      <c r="V92" s="940">
        <f ca="1">iRegionComp!AF86</f>
        <v>58.3</v>
      </c>
      <c r="W92" s="941">
        <f ca="1">iRegionComp!AG86</f>
        <v>100</v>
      </c>
      <c r="X92" s="941">
        <f ca="1">iRegionComp!AH86</f>
        <v>100</v>
      </c>
      <c r="Y92" s="941">
        <f ca="1">iRegionComp!AI86</f>
        <v>0</v>
      </c>
      <c r="Z92" s="942">
        <f ca="1">iRegionComp!AJ86</f>
        <v>100</v>
      </c>
      <c r="AB92" s="943">
        <f ca="1">iRegionComp!AK86</f>
        <v>33.299999999999997</v>
      </c>
      <c r="AC92" s="944">
        <f ca="1">iRegionComp!AL86</f>
        <v>83.3</v>
      </c>
      <c r="AD92" s="945">
        <f ca="1">iRegionComp!AM86</f>
        <v>85.7</v>
      </c>
      <c r="AF92" s="943">
        <f ca="1">iRegionComp!AN86</f>
        <v>62.5</v>
      </c>
      <c r="AG92" s="944">
        <f ca="1">iRegionComp!AO86</f>
        <v>100</v>
      </c>
      <c r="AH92" s="944">
        <f ca="1">iRegionComp!AP86</f>
        <v>50</v>
      </c>
      <c r="AI92" s="945">
        <f ca="1">iRegionComp!AQ86</f>
        <v>88.9</v>
      </c>
      <c r="AJ92" s="367"/>
      <c r="AK92" s="696"/>
      <c r="AN92" s="633">
        <f t="shared" ca="1" si="4"/>
        <v>0</v>
      </c>
      <c r="AO92" s="633">
        <f t="shared" ca="1" si="5"/>
        <v>100</v>
      </c>
    </row>
    <row r="93" spans="2:41" ht="25.4" customHeight="1">
      <c r="B93" s="156">
        <f>IF(iRegionComp!AA87="",0,iRegionComp!AA87)</f>
        <v>0</v>
      </c>
      <c r="C93" s="156">
        <f>iRegionComp!AB87</f>
        <v>0</v>
      </c>
      <c r="D93" s="938"/>
      <c r="E93" s="929" t="str">
        <f>TRIM(iRegionComp!AC87)</f>
        <v/>
      </c>
      <c r="G93" s="930"/>
      <c r="H93" s="930"/>
      <c r="I93" s="930"/>
      <c r="J93" s="930"/>
      <c r="K93" s="930"/>
      <c r="L93" s="930"/>
      <c r="M93" s="930"/>
      <c r="N93" s="930"/>
      <c r="O93" s="930"/>
      <c r="P93" s="930"/>
      <c r="Q93" s="930"/>
      <c r="R93" s="939" t="str">
        <f>iRegionComp!AD87</f>
        <v/>
      </c>
      <c r="T93" s="939" t="str">
        <f>iRegionComp!AE87</f>
        <v/>
      </c>
      <c r="V93" s="940" t="str">
        <f>iRegionComp!AF87</f>
        <v/>
      </c>
      <c r="W93" s="941" t="str">
        <f>iRegionComp!AG87</f>
        <v/>
      </c>
      <c r="X93" s="941" t="str">
        <f>iRegionComp!AH87</f>
        <v/>
      </c>
      <c r="Y93" s="941" t="str">
        <f>iRegionComp!AI87</f>
        <v/>
      </c>
      <c r="Z93" s="942" t="str">
        <f>iRegionComp!AJ87</f>
        <v/>
      </c>
      <c r="AB93" s="943" t="str">
        <f>iRegionComp!AK87</f>
        <v/>
      </c>
      <c r="AC93" s="944" t="str">
        <f>iRegionComp!AL87</f>
        <v/>
      </c>
      <c r="AD93" s="945" t="str">
        <f>iRegionComp!AM87</f>
        <v/>
      </c>
      <c r="AF93" s="943" t="str">
        <f>iRegionComp!AN87</f>
        <v/>
      </c>
      <c r="AG93" s="944" t="str">
        <f>iRegionComp!AO87</f>
        <v/>
      </c>
      <c r="AH93" s="944" t="str">
        <f>iRegionComp!AP87</f>
        <v/>
      </c>
      <c r="AI93" s="945" t="str">
        <f>iRegionComp!AQ87</f>
        <v/>
      </c>
      <c r="AJ93" s="367"/>
      <c r="AK93" s="696"/>
      <c r="AN93" s="633">
        <f t="shared" ref="AN93:AN97" si="6">CHOOSE($AN$1,MIN(R93:Y93,AC93:AI93),MIN(R93:AI93),MIN(R93:Y93,AC93:AI93),MIN(R93:AB93,AC93:AI93))</f>
        <v>0</v>
      </c>
      <c r="AO93" s="633">
        <f t="shared" ref="AO93:AO97" si="7">CHOOSE($AN$1,MAX(R93:Y93,AC93:AI93),MAX(R93:AI93),MAX(R93:Y93,AC93:AI93),MAX(R93:AB93,AC93:AI93))</f>
        <v>0</v>
      </c>
    </row>
    <row r="94" spans="2:41" ht="25.4" customHeight="1">
      <c r="B94" s="156">
        <f>IF(iRegionComp!AA88="",0,iRegionComp!AA88)</f>
        <v>0</v>
      </c>
      <c r="C94" s="156">
        <f>iRegionComp!AB88</f>
        <v>0</v>
      </c>
      <c r="D94" s="938"/>
      <c r="E94" s="929" t="str">
        <f>TRIM(iRegionComp!AC88)</f>
        <v/>
      </c>
      <c r="G94" s="930"/>
      <c r="H94" s="930"/>
      <c r="I94" s="930"/>
      <c r="J94" s="930"/>
      <c r="K94" s="930"/>
      <c r="L94" s="930"/>
      <c r="M94" s="930"/>
      <c r="N94" s="930"/>
      <c r="O94" s="930"/>
      <c r="P94" s="930"/>
      <c r="Q94" s="930"/>
      <c r="R94" s="939" t="str">
        <f>iRegionComp!AD88</f>
        <v/>
      </c>
      <c r="T94" s="939" t="str">
        <f>iRegionComp!AE88</f>
        <v/>
      </c>
      <c r="V94" s="940" t="str">
        <f>iRegionComp!AF88</f>
        <v/>
      </c>
      <c r="W94" s="941" t="str">
        <f>iRegionComp!AG88</f>
        <v/>
      </c>
      <c r="X94" s="941" t="str">
        <f>iRegionComp!AH88</f>
        <v/>
      </c>
      <c r="Y94" s="941" t="str">
        <f>iRegionComp!AI88</f>
        <v/>
      </c>
      <c r="Z94" s="942" t="str">
        <f>iRegionComp!AJ88</f>
        <v/>
      </c>
      <c r="AB94" s="943" t="str">
        <f>iRegionComp!AK88</f>
        <v/>
      </c>
      <c r="AC94" s="944" t="str">
        <f>iRegionComp!AL88</f>
        <v/>
      </c>
      <c r="AD94" s="945" t="str">
        <f>iRegionComp!AM88</f>
        <v/>
      </c>
      <c r="AF94" s="943" t="str">
        <f>iRegionComp!AN88</f>
        <v/>
      </c>
      <c r="AG94" s="944" t="str">
        <f>iRegionComp!AO88</f>
        <v/>
      </c>
      <c r="AH94" s="944" t="str">
        <f>iRegionComp!AP88</f>
        <v/>
      </c>
      <c r="AI94" s="945" t="str">
        <f>iRegionComp!AQ88</f>
        <v/>
      </c>
      <c r="AJ94" s="367"/>
      <c r="AK94" s="696"/>
      <c r="AN94" s="633">
        <f t="shared" si="6"/>
        <v>0</v>
      </c>
      <c r="AO94" s="633">
        <f t="shared" si="7"/>
        <v>0</v>
      </c>
    </row>
    <row r="95" spans="2:41" ht="25.4" customHeight="1">
      <c r="B95" s="156">
        <f>IF(iRegionComp!AA89="",0,iRegionComp!AA89)</f>
        <v>0</v>
      </c>
      <c r="C95" s="156">
        <f>iRegionComp!AB89</f>
        <v>0</v>
      </c>
      <c r="D95" s="938"/>
      <c r="E95" s="929" t="str">
        <f>TRIM(iRegionComp!AC89)</f>
        <v/>
      </c>
      <c r="G95" s="930"/>
      <c r="H95" s="930"/>
      <c r="I95" s="930"/>
      <c r="J95" s="930"/>
      <c r="K95" s="930"/>
      <c r="L95" s="930"/>
      <c r="M95" s="930"/>
      <c r="N95" s="930"/>
      <c r="O95" s="930"/>
      <c r="P95" s="930"/>
      <c r="Q95" s="930"/>
      <c r="R95" s="939" t="str">
        <f>iRegionComp!AD89</f>
        <v/>
      </c>
      <c r="T95" s="939" t="str">
        <f>iRegionComp!AE89</f>
        <v/>
      </c>
      <c r="V95" s="940" t="str">
        <f>iRegionComp!AF89</f>
        <v/>
      </c>
      <c r="W95" s="941" t="str">
        <f>iRegionComp!AG89</f>
        <v/>
      </c>
      <c r="X95" s="941" t="str">
        <f>iRegionComp!AH89</f>
        <v/>
      </c>
      <c r="Y95" s="941" t="str">
        <f>iRegionComp!AI89</f>
        <v/>
      </c>
      <c r="Z95" s="942" t="str">
        <f>iRegionComp!AJ89</f>
        <v/>
      </c>
      <c r="AB95" s="943" t="str">
        <f>iRegionComp!AK89</f>
        <v/>
      </c>
      <c r="AC95" s="944" t="str">
        <f>iRegionComp!AL89</f>
        <v/>
      </c>
      <c r="AD95" s="945" t="str">
        <f>iRegionComp!AM89</f>
        <v/>
      </c>
      <c r="AF95" s="943" t="str">
        <f>iRegionComp!AN89</f>
        <v/>
      </c>
      <c r="AG95" s="944" t="str">
        <f>iRegionComp!AO89</f>
        <v/>
      </c>
      <c r="AH95" s="944" t="str">
        <f>iRegionComp!AP89</f>
        <v/>
      </c>
      <c r="AI95" s="945" t="str">
        <f>iRegionComp!AQ89</f>
        <v/>
      </c>
      <c r="AJ95" s="367"/>
      <c r="AK95" s="696"/>
      <c r="AN95" s="633">
        <f t="shared" si="6"/>
        <v>0</v>
      </c>
      <c r="AO95" s="633">
        <f t="shared" si="7"/>
        <v>0</v>
      </c>
    </row>
    <row r="96" spans="2:41" ht="25.4" customHeight="1">
      <c r="B96" s="156">
        <f>IF(iRegionComp!AA90="",0,iRegionComp!AA90)</f>
        <v>0</v>
      </c>
      <c r="C96" s="156">
        <f>iRegionComp!AB90</f>
        <v>0</v>
      </c>
      <c r="D96" s="938"/>
      <c r="E96" s="929" t="str">
        <f>TRIM(iRegionComp!AC90)</f>
        <v/>
      </c>
      <c r="G96" s="930"/>
      <c r="H96" s="930"/>
      <c r="I96" s="930"/>
      <c r="J96" s="930"/>
      <c r="K96" s="930"/>
      <c r="L96" s="930"/>
      <c r="M96" s="930"/>
      <c r="N96" s="930"/>
      <c r="O96" s="930"/>
      <c r="P96" s="930"/>
      <c r="Q96" s="930"/>
      <c r="R96" s="939" t="str">
        <f>iRegionComp!AD90</f>
        <v/>
      </c>
      <c r="T96" s="939" t="str">
        <f>iRegionComp!AE90</f>
        <v/>
      </c>
      <c r="V96" s="940" t="str">
        <f>iRegionComp!AF90</f>
        <v/>
      </c>
      <c r="W96" s="941" t="str">
        <f>iRegionComp!AG90</f>
        <v/>
      </c>
      <c r="X96" s="941" t="str">
        <f>iRegionComp!AH90</f>
        <v/>
      </c>
      <c r="Y96" s="941" t="str">
        <f>iRegionComp!AI90</f>
        <v/>
      </c>
      <c r="Z96" s="942" t="str">
        <f>iRegionComp!AJ90</f>
        <v/>
      </c>
      <c r="AB96" s="943" t="str">
        <f>iRegionComp!AK90</f>
        <v/>
      </c>
      <c r="AC96" s="944" t="str">
        <f>iRegionComp!AL90</f>
        <v/>
      </c>
      <c r="AD96" s="945" t="str">
        <f>iRegionComp!AM90</f>
        <v/>
      </c>
      <c r="AF96" s="943" t="str">
        <f>iRegionComp!AN90</f>
        <v/>
      </c>
      <c r="AG96" s="944" t="str">
        <f>iRegionComp!AO90</f>
        <v/>
      </c>
      <c r="AH96" s="944" t="str">
        <f>iRegionComp!AP90</f>
        <v/>
      </c>
      <c r="AI96" s="945" t="str">
        <f>iRegionComp!AQ90</f>
        <v/>
      </c>
      <c r="AJ96" s="367"/>
      <c r="AK96" s="696"/>
      <c r="AN96" s="633">
        <f t="shared" si="6"/>
        <v>0</v>
      </c>
      <c r="AO96" s="633">
        <f t="shared" si="7"/>
        <v>0</v>
      </c>
    </row>
    <row r="97" spans="1:65" ht="25.4" customHeight="1">
      <c r="B97" s="156">
        <f>IF(iRegionComp!AA91="",0,iRegionComp!AA91)</f>
        <v>0</v>
      </c>
      <c r="C97" s="156">
        <f>iRegionComp!AB91</f>
        <v>0</v>
      </c>
      <c r="D97" s="938"/>
      <c r="E97" s="929" t="str">
        <f>TRIM(iRegionComp!AC91)</f>
        <v/>
      </c>
      <c r="G97" s="930"/>
      <c r="H97" s="930"/>
      <c r="I97" s="930"/>
      <c r="J97" s="930"/>
      <c r="K97" s="930"/>
      <c r="L97" s="930"/>
      <c r="M97" s="930"/>
      <c r="N97" s="930"/>
      <c r="O97" s="930"/>
      <c r="P97" s="930"/>
      <c r="Q97" s="930"/>
      <c r="R97" s="939" t="str">
        <f>iRegionComp!AD91</f>
        <v/>
      </c>
      <c r="T97" s="939" t="str">
        <f>iRegionComp!AE91</f>
        <v/>
      </c>
      <c r="V97" s="940" t="str">
        <f>iRegionComp!AF91</f>
        <v/>
      </c>
      <c r="W97" s="941" t="str">
        <f>iRegionComp!AG91</f>
        <v/>
      </c>
      <c r="X97" s="941" t="str">
        <f>iRegionComp!AH91</f>
        <v/>
      </c>
      <c r="Y97" s="941" t="str">
        <f>iRegionComp!AI91</f>
        <v/>
      </c>
      <c r="Z97" s="942" t="str">
        <f>iRegionComp!AJ91</f>
        <v/>
      </c>
      <c r="AB97" s="943" t="str">
        <f>iRegionComp!AK91</f>
        <v/>
      </c>
      <c r="AC97" s="944" t="str">
        <f>iRegionComp!AL91</f>
        <v/>
      </c>
      <c r="AD97" s="945" t="str">
        <f>iRegionComp!AM91</f>
        <v/>
      </c>
      <c r="AF97" s="943" t="str">
        <f>iRegionComp!AN91</f>
        <v/>
      </c>
      <c r="AG97" s="944" t="str">
        <f>iRegionComp!AO91</f>
        <v/>
      </c>
      <c r="AH97" s="944" t="str">
        <f>iRegionComp!AP91</f>
        <v/>
      </c>
      <c r="AI97" s="945" t="str">
        <f>iRegionComp!AQ91</f>
        <v/>
      </c>
      <c r="AJ97" s="367"/>
      <c r="AK97" s="696"/>
      <c r="AN97" s="633">
        <f t="shared" si="6"/>
        <v>0</v>
      </c>
      <c r="AO97" s="633">
        <f t="shared" si="7"/>
        <v>0</v>
      </c>
    </row>
    <row r="98" spans="1:65" ht="15" customHeight="1">
      <c r="A98" s="157"/>
      <c r="B98" s="157"/>
      <c r="C98" s="157"/>
      <c r="D98" s="157"/>
      <c r="E98" s="157"/>
      <c r="G98" s="157"/>
      <c r="H98" s="157"/>
      <c r="I98" s="157"/>
      <c r="J98" s="157"/>
      <c r="K98" s="157"/>
      <c r="L98" s="157"/>
      <c r="M98" s="157"/>
      <c r="N98" s="157"/>
      <c r="AJ98" s="367"/>
      <c r="AK98" s="367"/>
    </row>
    <row r="99" spans="1:65" ht="15" customHeight="1">
      <c r="A99" s="157"/>
      <c r="B99" s="157"/>
      <c r="C99" s="157"/>
      <c r="D99" s="157"/>
      <c r="E99" s="157"/>
      <c r="G99" s="157"/>
      <c r="H99" s="157"/>
      <c r="I99" s="157"/>
      <c r="J99" s="157"/>
      <c r="K99" s="157"/>
      <c r="L99" s="157"/>
      <c r="M99" s="157"/>
      <c r="N99" s="157"/>
      <c r="AJ99" s="367"/>
      <c r="AK99" s="367"/>
    </row>
    <row r="100" spans="1:65" ht="15" customHeight="1">
      <c r="A100" s="157"/>
      <c r="B100" s="157"/>
      <c r="C100" s="157"/>
      <c r="D100" s="157"/>
      <c r="E100" s="157"/>
      <c r="G100" s="157"/>
      <c r="H100" s="157"/>
      <c r="I100" s="157"/>
      <c r="J100" s="157"/>
      <c r="K100" s="157"/>
      <c r="L100" s="157"/>
      <c r="M100" s="157"/>
      <c r="N100" s="157"/>
      <c r="AJ100" s="367"/>
      <c r="AK100" s="367"/>
    </row>
    <row r="101" spans="1:65" ht="15" customHeight="1">
      <c r="A101" s="157"/>
      <c r="B101" s="157"/>
      <c r="C101" s="157"/>
      <c r="D101" s="157"/>
      <c r="E101" s="157"/>
      <c r="G101" s="157"/>
      <c r="H101" s="157"/>
      <c r="I101" s="157"/>
      <c r="J101" s="157"/>
      <c r="K101" s="157"/>
      <c r="L101" s="157"/>
      <c r="M101" s="157"/>
      <c r="N101" s="157"/>
      <c r="AJ101" s="367"/>
      <c r="AK101" s="367"/>
    </row>
    <row r="102" spans="1:65" ht="15" customHeight="1">
      <c r="A102" s="157"/>
      <c r="B102" s="157"/>
      <c r="C102" s="157"/>
      <c r="D102" s="157"/>
      <c r="E102" s="157"/>
      <c r="G102" s="157"/>
      <c r="H102" s="157"/>
      <c r="I102" s="157"/>
      <c r="J102" s="157"/>
      <c r="K102" s="157"/>
      <c r="L102" s="157"/>
      <c r="M102" s="157"/>
      <c r="N102" s="157"/>
      <c r="AJ102" s="367"/>
      <c r="AK102" s="367"/>
    </row>
    <row r="103" spans="1:65" s="157" customFormat="1" ht="15" customHeight="1">
      <c r="F103" s="367"/>
      <c r="S103" s="367"/>
      <c r="U103" s="367"/>
      <c r="AA103" s="367"/>
      <c r="AE103" s="367"/>
      <c r="AJ103" s="367"/>
      <c r="AK103" s="367"/>
      <c r="AL103" s="367"/>
      <c r="AP103" s="166"/>
      <c r="AQ103" s="166"/>
      <c r="AR103" s="166"/>
      <c r="AS103" s="166"/>
      <c r="AT103" s="166"/>
      <c r="AU103" s="166"/>
      <c r="AV103" s="166"/>
      <c r="AW103" s="166"/>
      <c r="AX103" s="166"/>
      <c r="AY103" s="166"/>
      <c r="AZ103" s="166"/>
      <c r="BA103" s="166"/>
      <c r="BB103" s="166"/>
      <c r="BC103" s="166"/>
      <c r="BD103" s="166"/>
      <c r="BE103" s="166"/>
      <c r="BF103" s="166"/>
      <c r="BG103" s="166"/>
      <c r="BH103" s="166"/>
      <c r="BI103" s="166"/>
      <c r="BJ103" s="166"/>
      <c r="BK103" s="166"/>
      <c r="BL103" s="166"/>
      <c r="BM103" s="155"/>
    </row>
    <row r="104" spans="1:65" s="157" customFormat="1" ht="15" customHeight="1">
      <c r="F104" s="367"/>
      <c r="S104" s="367"/>
      <c r="U104" s="367"/>
      <c r="AA104" s="367"/>
      <c r="AE104" s="367"/>
      <c r="AJ104" s="367"/>
      <c r="AK104" s="367"/>
      <c r="AL104" s="367"/>
      <c r="AP104" s="166"/>
      <c r="AQ104" s="166"/>
      <c r="AR104" s="166"/>
      <c r="AS104" s="166"/>
      <c r="AT104" s="166"/>
      <c r="AU104" s="166"/>
      <c r="AV104" s="166"/>
      <c r="AW104" s="166"/>
      <c r="AX104" s="166"/>
      <c r="AY104" s="166"/>
      <c r="AZ104" s="166"/>
      <c r="BA104" s="166"/>
      <c r="BB104" s="166"/>
      <c r="BC104" s="166"/>
      <c r="BD104" s="166"/>
      <c r="BE104" s="166"/>
      <c r="BF104" s="166"/>
      <c r="BG104" s="166"/>
      <c r="BH104" s="166"/>
      <c r="BI104" s="166"/>
      <c r="BJ104" s="166"/>
      <c r="BK104" s="166"/>
      <c r="BL104" s="166"/>
      <c r="BM104" s="155"/>
    </row>
    <row r="105" spans="1:65" s="157" customFormat="1" ht="15" customHeight="1">
      <c r="F105" s="367"/>
      <c r="S105" s="367"/>
      <c r="U105" s="367"/>
      <c r="AA105" s="367"/>
      <c r="AE105" s="367"/>
      <c r="AJ105" s="367"/>
      <c r="AK105" s="367"/>
      <c r="AL105" s="367"/>
      <c r="AP105" s="166"/>
      <c r="AQ105" s="166"/>
      <c r="AR105" s="166"/>
      <c r="AS105" s="166"/>
      <c r="AT105" s="166"/>
      <c r="AU105" s="166"/>
      <c r="AV105" s="166"/>
      <c r="AW105" s="166"/>
      <c r="AX105" s="166"/>
      <c r="AY105" s="166"/>
      <c r="AZ105" s="166"/>
      <c r="BA105" s="166"/>
      <c r="BB105" s="166"/>
      <c r="BC105" s="166"/>
      <c r="BD105" s="166"/>
      <c r="BE105" s="166"/>
      <c r="BF105" s="166"/>
      <c r="BG105" s="166"/>
      <c r="BH105" s="166"/>
      <c r="BI105" s="166"/>
      <c r="BJ105" s="166"/>
      <c r="BK105" s="166"/>
      <c r="BL105" s="166"/>
      <c r="BM105" s="155"/>
    </row>
    <row r="106" spans="1:65" s="157" customFormat="1" ht="15" customHeight="1">
      <c r="F106" s="367"/>
      <c r="S106" s="367"/>
      <c r="U106" s="367"/>
      <c r="AA106" s="367"/>
      <c r="AE106" s="367"/>
      <c r="AJ106" s="367"/>
      <c r="AK106" s="367"/>
      <c r="AL106" s="367"/>
      <c r="AP106" s="166"/>
      <c r="AQ106" s="166"/>
      <c r="AR106" s="166"/>
      <c r="AS106" s="166"/>
      <c r="AT106" s="166"/>
      <c r="AU106" s="166"/>
      <c r="AV106" s="166"/>
      <c r="AW106" s="166"/>
      <c r="AX106" s="166"/>
      <c r="AY106" s="166"/>
      <c r="AZ106" s="166"/>
      <c r="BA106" s="166"/>
      <c r="BB106" s="166"/>
      <c r="BC106" s="166"/>
      <c r="BD106" s="166"/>
      <c r="BE106" s="166"/>
      <c r="BF106" s="166"/>
      <c r="BG106" s="166"/>
      <c r="BH106" s="166"/>
      <c r="BI106" s="166"/>
      <c r="BJ106" s="166"/>
      <c r="BK106" s="166"/>
      <c r="BL106" s="166"/>
      <c r="BM106" s="155"/>
    </row>
    <row r="107" spans="1:65" s="157" customFormat="1" ht="15" customHeight="1">
      <c r="F107" s="367"/>
      <c r="S107" s="367"/>
      <c r="U107" s="367"/>
      <c r="AA107" s="367"/>
      <c r="AE107" s="367"/>
      <c r="AJ107" s="367"/>
      <c r="AK107" s="367"/>
      <c r="AL107" s="367"/>
      <c r="AP107" s="166"/>
      <c r="AQ107" s="166"/>
      <c r="AR107" s="166"/>
      <c r="AS107" s="166"/>
      <c r="AT107" s="166"/>
      <c r="AU107" s="166"/>
      <c r="AV107" s="166"/>
      <c r="AW107" s="166"/>
      <c r="AX107" s="166"/>
      <c r="AY107" s="166"/>
      <c r="AZ107" s="166"/>
      <c r="BA107" s="166"/>
      <c r="BB107" s="166"/>
      <c r="BC107" s="166"/>
      <c r="BD107" s="166"/>
      <c r="BE107" s="166"/>
      <c r="BF107" s="166"/>
      <c r="BG107" s="166"/>
      <c r="BH107" s="166"/>
      <c r="BI107" s="166"/>
      <c r="BJ107" s="166"/>
      <c r="BK107" s="166"/>
      <c r="BL107" s="166"/>
      <c r="BM107" s="155"/>
    </row>
    <row r="108" spans="1:65" s="157" customFormat="1" ht="15" customHeight="1">
      <c r="F108" s="367"/>
      <c r="S108" s="367"/>
      <c r="U108" s="367"/>
      <c r="AA108" s="367"/>
      <c r="AE108" s="367"/>
      <c r="AJ108" s="367"/>
      <c r="AK108" s="367"/>
      <c r="AL108" s="367"/>
      <c r="AP108" s="166"/>
      <c r="AQ108" s="166"/>
      <c r="AR108" s="166"/>
      <c r="AS108" s="166"/>
      <c r="AT108" s="166"/>
      <c r="AU108" s="166"/>
      <c r="AV108" s="166"/>
      <c r="AW108" s="166"/>
      <c r="AX108" s="166"/>
      <c r="AY108" s="166"/>
      <c r="AZ108" s="166"/>
      <c r="BA108" s="166"/>
      <c r="BB108" s="166"/>
      <c r="BC108" s="166"/>
      <c r="BD108" s="166"/>
      <c r="BE108" s="166"/>
      <c r="BF108" s="166"/>
      <c r="BG108" s="166"/>
      <c r="BH108" s="166"/>
      <c r="BI108" s="166"/>
      <c r="BJ108" s="166"/>
      <c r="BK108" s="166"/>
      <c r="BL108" s="166"/>
      <c r="BM108" s="155"/>
    </row>
    <row r="109" spans="1:65" s="157" customFormat="1" ht="15" customHeight="1">
      <c r="F109" s="367"/>
      <c r="S109" s="367"/>
      <c r="U109" s="367"/>
      <c r="AA109" s="367"/>
      <c r="AE109" s="367"/>
      <c r="AJ109" s="367"/>
      <c r="AK109" s="367"/>
      <c r="AL109" s="367"/>
      <c r="AP109" s="166"/>
      <c r="AQ109" s="166"/>
      <c r="AR109" s="166"/>
      <c r="AS109" s="166"/>
      <c r="AT109" s="166"/>
      <c r="AU109" s="166"/>
      <c r="AV109" s="166"/>
      <c r="AW109" s="166"/>
      <c r="AX109" s="166"/>
      <c r="AY109" s="166"/>
      <c r="AZ109" s="166"/>
      <c r="BA109" s="166"/>
      <c r="BB109" s="166"/>
      <c r="BC109" s="166"/>
      <c r="BD109" s="166"/>
      <c r="BE109" s="166"/>
      <c r="BF109" s="166"/>
      <c r="BG109" s="166"/>
      <c r="BH109" s="166"/>
      <c r="BI109" s="166"/>
      <c r="BJ109" s="166"/>
      <c r="BK109" s="166"/>
      <c r="BL109" s="166"/>
      <c r="BM109" s="155"/>
    </row>
    <row r="110" spans="1:65" s="157" customFormat="1" ht="15" customHeight="1">
      <c r="F110" s="367"/>
      <c r="S110" s="367"/>
      <c r="U110" s="367"/>
      <c r="AA110" s="367"/>
      <c r="AE110" s="367"/>
      <c r="AJ110" s="367"/>
      <c r="AK110" s="367"/>
      <c r="AL110" s="367"/>
      <c r="AP110" s="166"/>
      <c r="AQ110" s="166"/>
      <c r="AR110" s="166"/>
      <c r="AS110" s="166"/>
      <c r="AT110" s="166"/>
      <c r="AU110" s="166"/>
      <c r="AV110" s="166"/>
      <c r="AW110" s="166"/>
      <c r="AX110" s="166"/>
      <c r="AY110" s="166"/>
      <c r="AZ110" s="166"/>
      <c r="BA110" s="166"/>
      <c r="BB110" s="166"/>
      <c r="BC110" s="166"/>
      <c r="BD110" s="166"/>
      <c r="BE110" s="166"/>
      <c r="BF110" s="166"/>
      <c r="BG110" s="166"/>
      <c r="BH110" s="166"/>
      <c r="BI110" s="166"/>
      <c r="BJ110" s="166"/>
      <c r="BK110" s="166"/>
      <c r="BL110" s="166"/>
      <c r="BM110" s="155"/>
    </row>
    <row r="111" spans="1:65" s="157" customFormat="1" ht="15" customHeight="1">
      <c r="F111" s="367"/>
      <c r="S111" s="367"/>
      <c r="U111" s="367"/>
      <c r="AA111" s="367"/>
      <c r="AE111" s="367"/>
      <c r="AJ111" s="367"/>
      <c r="AK111" s="367"/>
      <c r="AL111" s="367"/>
      <c r="AP111" s="166"/>
      <c r="AQ111" s="166"/>
      <c r="AR111" s="166"/>
      <c r="AS111" s="166"/>
      <c r="AT111" s="166"/>
      <c r="AU111" s="166"/>
      <c r="AV111" s="166"/>
      <c r="AW111" s="166"/>
      <c r="AX111" s="166"/>
      <c r="AY111" s="166"/>
      <c r="AZ111" s="166"/>
      <c r="BA111" s="166"/>
      <c r="BB111" s="166"/>
      <c r="BC111" s="166"/>
      <c r="BD111" s="166"/>
      <c r="BE111" s="166"/>
      <c r="BF111" s="166"/>
      <c r="BG111" s="166"/>
      <c r="BH111" s="166"/>
      <c r="BI111" s="166"/>
      <c r="BJ111" s="166"/>
      <c r="BK111" s="166"/>
      <c r="BL111" s="166"/>
      <c r="BM111" s="155"/>
    </row>
    <row r="112" spans="1:65" s="157" customFormat="1" ht="15" customHeight="1">
      <c r="F112" s="367"/>
      <c r="S112" s="367"/>
      <c r="U112" s="367"/>
      <c r="AA112" s="367"/>
      <c r="AE112" s="367"/>
      <c r="AJ112" s="367"/>
      <c r="AK112" s="367"/>
      <c r="AL112" s="367"/>
      <c r="AP112" s="166"/>
      <c r="AQ112" s="166"/>
      <c r="AR112" s="166"/>
      <c r="AS112" s="166"/>
      <c r="AT112" s="166"/>
      <c r="AU112" s="166"/>
      <c r="AV112" s="166"/>
      <c r="AW112" s="166"/>
      <c r="AX112" s="166"/>
      <c r="AY112" s="166"/>
      <c r="AZ112" s="166"/>
      <c r="BA112" s="166"/>
      <c r="BB112" s="166"/>
      <c r="BC112" s="166"/>
      <c r="BD112" s="166"/>
      <c r="BE112" s="166"/>
      <c r="BF112" s="166"/>
      <c r="BG112" s="166"/>
      <c r="BH112" s="166"/>
      <c r="BI112" s="166"/>
      <c r="BJ112" s="166"/>
      <c r="BK112" s="166"/>
      <c r="BL112" s="166"/>
      <c r="BM112" s="155"/>
    </row>
    <row r="113" spans="6:65" s="157" customFormat="1" ht="15" customHeight="1">
      <c r="F113" s="367"/>
      <c r="S113" s="367"/>
      <c r="U113" s="367"/>
      <c r="AA113" s="367"/>
      <c r="AE113" s="367"/>
      <c r="AJ113" s="367"/>
      <c r="AK113" s="367"/>
      <c r="AL113" s="367"/>
      <c r="AP113" s="166"/>
      <c r="AQ113" s="166"/>
      <c r="AR113" s="166"/>
      <c r="AS113" s="166"/>
      <c r="AT113" s="166"/>
      <c r="AU113" s="166"/>
      <c r="AV113" s="166"/>
      <c r="AW113" s="166"/>
      <c r="AX113" s="166"/>
      <c r="AY113" s="166"/>
      <c r="AZ113" s="166"/>
      <c r="BA113" s="166"/>
      <c r="BB113" s="166"/>
      <c r="BC113" s="166"/>
      <c r="BD113" s="166"/>
      <c r="BE113" s="166"/>
      <c r="BF113" s="166"/>
      <c r="BG113" s="166"/>
      <c r="BH113" s="166"/>
      <c r="BI113" s="166"/>
      <c r="BJ113" s="166"/>
      <c r="BK113" s="166"/>
      <c r="BL113" s="166"/>
      <c r="BM113" s="155"/>
    </row>
    <row r="114" spans="6:65" s="157" customFormat="1" ht="15" customHeight="1">
      <c r="F114" s="367"/>
      <c r="S114" s="367"/>
      <c r="U114" s="367"/>
      <c r="AA114" s="367"/>
      <c r="AE114" s="367"/>
      <c r="AJ114" s="367"/>
      <c r="AK114" s="367"/>
      <c r="AL114" s="367"/>
      <c r="AP114" s="166"/>
      <c r="AQ114" s="166"/>
      <c r="AR114" s="166"/>
      <c r="AS114" s="166"/>
      <c r="AT114" s="166"/>
      <c r="AU114" s="166"/>
      <c r="AV114" s="166"/>
      <c r="AW114" s="166"/>
      <c r="AX114" s="166"/>
      <c r="AY114" s="166"/>
      <c r="AZ114" s="166"/>
      <c r="BA114" s="166"/>
      <c r="BB114" s="166"/>
      <c r="BC114" s="166"/>
      <c r="BD114" s="166"/>
      <c r="BE114" s="166"/>
      <c r="BF114" s="166"/>
      <c r="BG114" s="166"/>
      <c r="BH114" s="166"/>
      <c r="BI114" s="166"/>
      <c r="BJ114" s="166"/>
      <c r="BK114" s="166"/>
      <c r="BL114" s="166"/>
      <c r="BM114" s="155"/>
    </row>
    <row r="115" spans="6:65" s="157" customFormat="1" ht="15" customHeight="1">
      <c r="F115" s="367"/>
      <c r="S115" s="367"/>
      <c r="U115" s="367"/>
      <c r="AA115" s="367"/>
      <c r="AE115" s="367"/>
      <c r="AJ115" s="367"/>
      <c r="AK115" s="367"/>
      <c r="AL115" s="367"/>
      <c r="AP115" s="166"/>
      <c r="AQ115" s="166"/>
      <c r="AR115" s="166"/>
      <c r="AS115" s="166"/>
      <c r="AT115" s="166"/>
      <c r="AU115" s="166"/>
      <c r="AV115" s="166"/>
      <c r="AW115" s="166"/>
      <c r="AX115" s="166"/>
      <c r="AY115" s="166"/>
      <c r="AZ115" s="166"/>
      <c r="BA115" s="166"/>
      <c r="BB115" s="166"/>
      <c r="BC115" s="166"/>
      <c r="BD115" s="166"/>
      <c r="BE115" s="166"/>
      <c r="BF115" s="166"/>
      <c r="BG115" s="166"/>
      <c r="BH115" s="166"/>
      <c r="BI115" s="166"/>
      <c r="BJ115" s="166"/>
      <c r="BK115" s="166"/>
      <c r="BL115" s="166"/>
      <c r="BM115" s="155"/>
    </row>
    <row r="116" spans="6:65" s="157" customFormat="1" ht="15" customHeight="1">
      <c r="F116" s="367"/>
      <c r="S116" s="367"/>
      <c r="U116" s="367"/>
      <c r="AA116" s="367"/>
      <c r="AE116" s="367"/>
      <c r="AJ116" s="367"/>
      <c r="AK116" s="367"/>
      <c r="AL116" s="367"/>
      <c r="AP116" s="166"/>
      <c r="AQ116" s="166"/>
      <c r="AR116" s="166"/>
      <c r="AS116" s="166"/>
      <c r="AT116" s="166"/>
      <c r="AU116" s="166"/>
      <c r="AV116" s="166"/>
      <c r="AW116" s="166"/>
      <c r="AX116" s="166"/>
      <c r="AY116" s="166"/>
      <c r="AZ116" s="166"/>
      <c r="BA116" s="166"/>
      <c r="BB116" s="166"/>
      <c r="BC116" s="166"/>
      <c r="BD116" s="166"/>
      <c r="BE116" s="166"/>
      <c r="BF116" s="166"/>
      <c r="BG116" s="166"/>
      <c r="BH116" s="166"/>
      <c r="BI116" s="166"/>
      <c r="BJ116" s="166"/>
      <c r="BK116" s="166"/>
      <c r="BL116" s="166"/>
      <c r="BM116" s="155"/>
    </row>
    <row r="117" spans="6:65" s="157" customFormat="1" ht="15" customHeight="1">
      <c r="F117" s="367"/>
      <c r="S117" s="367"/>
      <c r="U117" s="367"/>
      <c r="AA117" s="367"/>
      <c r="AE117" s="367"/>
      <c r="AJ117" s="367"/>
      <c r="AK117" s="367"/>
      <c r="AL117" s="367"/>
      <c r="AP117" s="166"/>
      <c r="AQ117" s="166"/>
      <c r="AR117" s="166"/>
      <c r="AS117" s="166"/>
      <c r="AT117" s="166"/>
      <c r="AU117" s="166"/>
      <c r="AV117" s="166"/>
      <c r="AW117" s="166"/>
      <c r="AX117" s="166"/>
      <c r="AY117" s="166"/>
      <c r="AZ117" s="166"/>
      <c r="BA117" s="166"/>
      <c r="BB117" s="166"/>
      <c r="BC117" s="166"/>
      <c r="BD117" s="166"/>
      <c r="BE117" s="166"/>
      <c r="BF117" s="166"/>
      <c r="BG117" s="166"/>
      <c r="BH117" s="166"/>
      <c r="BI117" s="166"/>
      <c r="BJ117" s="166"/>
      <c r="BK117" s="166"/>
      <c r="BL117" s="166"/>
      <c r="BM117" s="155"/>
    </row>
    <row r="118" spans="6:65" s="157" customFormat="1" ht="15" customHeight="1">
      <c r="F118" s="367"/>
      <c r="S118" s="367"/>
      <c r="U118" s="367"/>
      <c r="AA118" s="367"/>
      <c r="AE118" s="367"/>
      <c r="AJ118" s="367"/>
      <c r="AK118" s="367"/>
      <c r="AL118" s="367"/>
      <c r="AP118" s="166"/>
      <c r="AQ118" s="166"/>
      <c r="AR118" s="166"/>
      <c r="AS118" s="166"/>
      <c r="AT118" s="166"/>
      <c r="AU118" s="166"/>
      <c r="AV118" s="166"/>
      <c r="AW118" s="166"/>
      <c r="AX118" s="166"/>
      <c r="AY118" s="166"/>
      <c r="AZ118" s="166"/>
      <c r="BA118" s="166"/>
      <c r="BB118" s="166"/>
      <c r="BC118" s="166"/>
      <c r="BD118" s="166"/>
      <c r="BE118" s="166"/>
      <c r="BF118" s="166"/>
      <c r="BG118" s="166"/>
      <c r="BH118" s="166"/>
      <c r="BI118" s="166"/>
      <c r="BJ118" s="166"/>
      <c r="BK118" s="166"/>
      <c r="BL118" s="166"/>
      <c r="BM118" s="155"/>
    </row>
    <row r="119" spans="6:65" s="157" customFormat="1" ht="15" customHeight="1">
      <c r="F119" s="367"/>
      <c r="S119" s="367"/>
      <c r="U119" s="367"/>
      <c r="AA119" s="367"/>
      <c r="AE119" s="367"/>
      <c r="AJ119" s="367"/>
      <c r="AK119" s="367"/>
      <c r="AL119" s="367"/>
      <c r="AP119" s="166"/>
      <c r="AQ119" s="166"/>
      <c r="AR119" s="166"/>
      <c r="AS119" s="166"/>
      <c r="AT119" s="166"/>
      <c r="AU119" s="166"/>
      <c r="AV119" s="166"/>
      <c r="AW119" s="166"/>
      <c r="AX119" s="166"/>
      <c r="AY119" s="166"/>
      <c r="AZ119" s="166"/>
      <c r="BA119" s="166"/>
      <c r="BB119" s="166"/>
      <c r="BC119" s="166"/>
      <c r="BD119" s="166"/>
      <c r="BE119" s="166"/>
      <c r="BF119" s="166"/>
      <c r="BG119" s="166"/>
      <c r="BH119" s="166"/>
      <c r="BI119" s="166"/>
      <c r="BJ119" s="166"/>
      <c r="BK119" s="166"/>
      <c r="BL119" s="166"/>
      <c r="BM119" s="155"/>
    </row>
    <row r="120" spans="6:65" s="157" customFormat="1" ht="15" customHeight="1">
      <c r="F120" s="367"/>
      <c r="S120" s="367"/>
      <c r="U120" s="367"/>
      <c r="AA120" s="367"/>
      <c r="AE120" s="367"/>
      <c r="AJ120" s="367"/>
      <c r="AK120" s="367"/>
      <c r="AL120" s="367"/>
      <c r="AP120" s="166"/>
      <c r="AQ120" s="166"/>
      <c r="AR120" s="166"/>
      <c r="AS120" s="166"/>
      <c r="AT120" s="166"/>
      <c r="AU120" s="166"/>
      <c r="AV120" s="166"/>
      <c r="AW120" s="166"/>
      <c r="AX120" s="166"/>
      <c r="AY120" s="166"/>
      <c r="AZ120" s="166"/>
      <c r="BA120" s="166"/>
      <c r="BB120" s="166"/>
      <c r="BC120" s="166"/>
      <c r="BD120" s="166"/>
      <c r="BE120" s="166"/>
      <c r="BF120" s="166"/>
      <c r="BG120" s="166"/>
      <c r="BH120" s="166"/>
      <c r="BI120" s="166"/>
      <c r="BJ120" s="166"/>
      <c r="BK120" s="166"/>
      <c r="BL120" s="166"/>
      <c r="BM120" s="155"/>
    </row>
    <row r="121" spans="6:65" s="157" customFormat="1" ht="15" customHeight="1">
      <c r="F121" s="367"/>
      <c r="S121" s="367"/>
      <c r="U121" s="367"/>
      <c r="AA121" s="367"/>
      <c r="AE121" s="367"/>
      <c r="AJ121" s="367"/>
      <c r="AK121" s="367"/>
      <c r="AL121" s="367"/>
      <c r="AP121" s="166"/>
      <c r="AQ121" s="166"/>
      <c r="AR121" s="166"/>
      <c r="AS121" s="166"/>
      <c r="AT121" s="166"/>
      <c r="AU121" s="166"/>
      <c r="AV121" s="166"/>
      <c r="AW121" s="166"/>
      <c r="AX121" s="166"/>
      <c r="AY121" s="166"/>
      <c r="AZ121" s="166"/>
      <c r="BA121" s="166"/>
      <c r="BB121" s="166"/>
      <c r="BC121" s="166"/>
      <c r="BD121" s="166"/>
      <c r="BE121" s="166"/>
      <c r="BF121" s="166"/>
      <c r="BG121" s="166"/>
      <c r="BH121" s="166"/>
      <c r="BI121" s="166"/>
      <c r="BJ121" s="166"/>
      <c r="BK121" s="166"/>
      <c r="BL121" s="166"/>
      <c r="BM121" s="155"/>
    </row>
    <row r="122" spans="6:65" s="157" customFormat="1" ht="15" customHeight="1">
      <c r="F122" s="367"/>
      <c r="S122" s="367"/>
      <c r="U122" s="367"/>
      <c r="AA122" s="367"/>
      <c r="AE122" s="367"/>
      <c r="AJ122" s="367"/>
      <c r="AK122" s="367"/>
      <c r="AL122" s="367"/>
      <c r="AP122" s="166"/>
      <c r="AQ122" s="166"/>
      <c r="AR122" s="166"/>
      <c r="AS122" s="166"/>
      <c r="AT122" s="166"/>
      <c r="AU122" s="166"/>
      <c r="AV122" s="166"/>
      <c r="AW122" s="166"/>
      <c r="AX122" s="166"/>
      <c r="AY122" s="166"/>
      <c r="AZ122" s="166"/>
      <c r="BA122" s="166"/>
      <c r="BB122" s="166"/>
      <c r="BC122" s="166"/>
      <c r="BD122" s="166"/>
      <c r="BE122" s="166"/>
      <c r="BF122" s="166"/>
      <c r="BG122" s="166"/>
      <c r="BH122" s="166"/>
      <c r="BI122" s="166"/>
      <c r="BJ122" s="166"/>
      <c r="BK122" s="166"/>
      <c r="BL122" s="166"/>
      <c r="BM122" s="155"/>
    </row>
    <row r="123" spans="6:65" s="157" customFormat="1" ht="15" customHeight="1">
      <c r="F123" s="367"/>
      <c r="S123" s="367"/>
      <c r="U123" s="367"/>
      <c r="AA123" s="367"/>
      <c r="AE123" s="367"/>
      <c r="AJ123" s="367"/>
      <c r="AK123" s="367"/>
      <c r="AL123" s="367"/>
      <c r="AP123" s="166"/>
      <c r="AQ123" s="166"/>
      <c r="AR123" s="166"/>
      <c r="AS123" s="166"/>
      <c r="AT123" s="166"/>
      <c r="AU123" s="166"/>
      <c r="AV123" s="166"/>
      <c r="AW123" s="166"/>
      <c r="AX123" s="166"/>
      <c r="AY123" s="166"/>
      <c r="AZ123" s="166"/>
      <c r="BA123" s="166"/>
      <c r="BB123" s="166"/>
      <c r="BC123" s="166"/>
      <c r="BD123" s="166"/>
      <c r="BE123" s="166"/>
      <c r="BF123" s="166"/>
      <c r="BG123" s="166"/>
      <c r="BH123" s="166"/>
      <c r="BI123" s="166"/>
      <c r="BJ123" s="166"/>
      <c r="BK123" s="166"/>
      <c r="BL123" s="166"/>
      <c r="BM123" s="155"/>
    </row>
    <row r="124" spans="6:65" s="157" customFormat="1" ht="15" customHeight="1">
      <c r="F124" s="367"/>
      <c r="S124" s="367"/>
      <c r="U124" s="367"/>
      <c r="AA124" s="367"/>
      <c r="AE124" s="367"/>
      <c r="AJ124" s="367"/>
      <c r="AK124" s="367"/>
      <c r="AL124" s="367"/>
      <c r="AP124" s="166"/>
      <c r="AQ124" s="166"/>
      <c r="AR124" s="166"/>
      <c r="AS124" s="166"/>
      <c r="AT124" s="166"/>
      <c r="AU124" s="166"/>
      <c r="AV124" s="166"/>
      <c r="AW124" s="166"/>
      <c r="AX124" s="166"/>
      <c r="AY124" s="166"/>
      <c r="AZ124" s="166"/>
      <c r="BA124" s="166"/>
      <c r="BB124" s="166"/>
      <c r="BC124" s="166"/>
      <c r="BD124" s="166"/>
      <c r="BE124" s="166"/>
      <c r="BF124" s="166"/>
      <c r="BG124" s="166"/>
      <c r="BH124" s="166"/>
      <c r="BI124" s="166"/>
      <c r="BJ124" s="166"/>
      <c r="BK124" s="166"/>
      <c r="BL124" s="166"/>
      <c r="BM124" s="155"/>
    </row>
    <row r="125" spans="6:65" s="157" customFormat="1" ht="15" customHeight="1">
      <c r="F125" s="367"/>
      <c r="S125" s="367"/>
      <c r="U125" s="367"/>
      <c r="AA125" s="367"/>
      <c r="AE125" s="367"/>
      <c r="AJ125" s="367"/>
      <c r="AK125" s="367"/>
      <c r="AL125" s="367"/>
      <c r="AP125" s="166"/>
      <c r="AQ125" s="166"/>
      <c r="AR125" s="166"/>
      <c r="AS125" s="166"/>
      <c r="AT125" s="166"/>
      <c r="AU125" s="166"/>
      <c r="AV125" s="166"/>
      <c r="AW125" s="166"/>
      <c r="AX125" s="166"/>
      <c r="AY125" s="166"/>
      <c r="AZ125" s="166"/>
      <c r="BA125" s="166"/>
      <c r="BB125" s="166"/>
      <c r="BC125" s="166"/>
      <c r="BD125" s="166"/>
      <c r="BE125" s="166"/>
      <c r="BF125" s="166"/>
      <c r="BG125" s="166"/>
      <c r="BH125" s="166"/>
      <c r="BI125" s="166"/>
      <c r="BJ125" s="166"/>
      <c r="BK125" s="166"/>
      <c r="BL125" s="166"/>
      <c r="BM125" s="155"/>
    </row>
    <row r="126" spans="6:65" s="157" customFormat="1" ht="15" customHeight="1">
      <c r="F126" s="367"/>
      <c r="S126" s="367"/>
      <c r="U126" s="367"/>
      <c r="AA126" s="367"/>
      <c r="AE126" s="367"/>
      <c r="AJ126" s="367"/>
      <c r="AK126" s="367"/>
      <c r="AL126" s="367"/>
      <c r="AP126" s="166"/>
      <c r="AQ126" s="166"/>
      <c r="AR126" s="166"/>
      <c r="AS126" s="166"/>
      <c r="AT126" s="166"/>
      <c r="AU126" s="166"/>
      <c r="AV126" s="166"/>
      <c r="AW126" s="166"/>
      <c r="AX126" s="166"/>
      <c r="AY126" s="166"/>
      <c r="AZ126" s="166"/>
      <c r="BA126" s="166"/>
      <c r="BB126" s="166"/>
      <c r="BC126" s="166"/>
      <c r="BD126" s="166"/>
      <c r="BE126" s="166"/>
      <c r="BF126" s="166"/>
      <c r="BG126" s="166"/>
      <c r="BH126" s="166"/>
      <c r="BI126" s="166"/>
      <c r="BJ126" s="166"/>
      <c r="BK126" s="166"/>
      <c r="BL126" s="166"/>
      <c r="BM126" s="155"/>
    </row>
    <row r="127" spans="6:65" s="157" customFormat="1" ht="15" customHeight="1">
      <c r="F127" s="367"/>
      <c r="S127" s="367"/>
      <c r="U127" s="367"/>
      <c r="AA127" s="367"/>
      <c r="AE127" s="367"/>
      <c r="AJ127" s="367"/>
      <c r="AK127" s="367"/>
      <c r="AL127" s="367"/>
      <c r="AP127" s="166"/>
      <c r="AQ127" s="166"/>
      <c r="AR127" s="166"/>
      <c r="AS127" s="166"/>
      <c r="AT127" s="166"/>
      <c r="AU127" s="166"/>
      <c r="AV127" s="166"/>
      <c r="AW127" s="166"/>
      <c r="AX127" s="166"/>
      <c r="AY127" s="166"/>
      <c r="AZ127" s="166"/>
      <c r="BA127" s="166"/>
      <c r="BB127" s="166"/>
      <c r="BC127" s="166"/>
      <c r="BD127" s="166"/>
      <c r="BE127" s="166"/>
      <c r="BF127" s="166"/>
      <c r="BG127" s="166"/>
      <c r="BH127" s="166"/>
      <c r="BI127" s="166"/>
      <c r="BJ127" s="166"/>
      <c r="BK127" s="166"/>
      <c r="BL127" s="166"/>
      <c r="BM127" s="155"/>
    </row>
    <row r="128" spans="6:65" s="157" customFormat="1" ht="15" customHeight="1">
      <c r="F128" s="367"/>
      <c r="S128" s="367"/>
      <c r="U128" s="367"/>
      <c r="AA128" s="367"/>
      <c r="AE128" s="367"/>
      <c r="AJ128" s="367"/>
      <c r="AK128" s="367"/>
      <c r="AL128" s="367"/>
      <c r="AP128" s="166"/>
      <c r="AQ128" s="166"/>
      <c r="AR128" s="166"/>
      <c r="AS128" s="166"/>
      <c r="AT128" s="166"/>
      <c r="AU128" s="166"/>
      <c r="AV128" s="166"/>
      <c r="AW128" s="166"/>
      <c r="AX128" s="166"/>
      <c r="AY128" s="166"/>
      <c r="AZ128" s="166"/>
      <c r="BA128" s="166"/>
      <c r="BB128" s="166"/>
      <c r="BC128" s="166"/>
      <c r="BD128" s="166"/>
      <c r="BE128" s="166"/>
      <c r="BF128" s="166"/>
      <c r="BG128" s="166"/>
      <c r="BH128" s="166"/>
      <c r="BI128" s="166"/>
      <c r="BJ128" s="166"/>
      <c r="BK128" s="166"/>
      <c r="BL128" s="166"/>
      <c r="BM128" s="155"/>
    </row>
    <row r="129" spans="6:65" s="157" customFormat="1" ht="15" customHeight="1">
      <c r="F129" s="367"/>
      <c r="S129" s="367"/>
      <c r="U129" s="367"/>
      <c r="AA129" s="367"/>
      <c r="AE129" s="367"/>
      <c r="AJ129" s="367"/>
      <c r="AK129" s="367"/>
      <c r="AL129" s="367"/>
      <c r="AP129" s="166"/>
      <c r="AQ129" s="166"/>
      <c r="AR129" s="166"/>
      <c r="AS129" s="166"/>
      <c r="AT129" s="166"/>
      <c r="AU129" s="166"/>
      <c r="AV129" s="166"/>
      <c r="AW129" s="166"/>
      <c r="AX129" s="166"/>
      <c r="AY129" s="166"/>
      <c r="AZ129" s="166"/>
      <c r="BA129" s="166"/>
      <c r="BB129" s="166"/>
      <c r="BC129" s="166"/>
      <c r="BD129" s="166"/>
      <c r="BE129" s="166"/>
      <c r="BF129" s="166"/>
      <c r="BG129" s="166"/>
      <c r="BH129" s="166"/>
      <c r="BI129" s="166"/>
      <c r="BJ129" s="166"/>
      <c r="BK129" s="166"/>
      <c r="BL129" s="166"/>
      <c r="BM129" s="155"/>
    </row>
    <row r="130" spans="6:65" s="157" customFormat="1" ht="15" customHeight="1">
      <c r="F130" s="367"/>
      <c r="S130" s="367"/>
      <c r="U130" s="367"/>
      <c r="AA130" s="367"/>
      <c r="AE130" s="367"/>
      <c r="AJ130" s="367"/>
      <c r="AK130" s="367"/>
      <c r="AL130" s="367"/>
      <c r="AP130" s="166"/>
      <c r="AQ130" s="166"/>
      <c r="AR130" s="166"/>
      <c r="AS130" s="166"/>
      <c r="AT130" s="166"/>
      <c r="AU130" s="166"/>
      <c r="AV130" s="166"/>
      <c r="AW130" s="166"/>
      <c r="AX130" s="166"/>
      <c r="AY130" s="166"/>
      <c r="AZ130" s="166"/>
      <c r="BA130" s="166"/>
      <c r="BB130" s="166"/>
      <c r="BC130" s="166"/>
      <c r="BD130" s="166"/>
      <c r="BE130" s="166"/>
      <c r="BF130" s="166"/>
      <c r="BG130" s="166"/>
      <c r="BH130" s="166"/>
      <c r="BI130" s="166"/>
      <c r="BJ130" s="166"/>
      <c r="BK130" s="166"/>
      <c r="BL130" s="166"/>
      <c r="BM130" s="155"/>
    </row>
    <row r="131" spans="6:65" s="157" customFormat="1" ht="15" customHeight="1">
      <c r="F131" s="367"/>
      <c r="S131" s="367"/>
      <c r="U131" s="367"/>
      <c r="AA131" s="367"/>
      <c r="AE131" s="367"/>
      <c r="AJ131" s="367"/>
      <c r="AK131" s="367"/>
      <c r="AL131" s="367"/>
      <c r="AP131" s="166"/>
      <c r="AQ131" s="166"/>
      <c r="AR131" s="166"/>
      <c r="AS131" s="166"/>
      <c r="AT131" s="166"/>
      <c r="AU131" s="166"/>
      <c r="AV131" s="166"/>
      <c r="AW131" s="166"/>
      <c r="AX131" s="166"/>
      <c r="AY131" s="166"/>
      <c r="AZ131" s="166"/>
      <c r="BA131" s="166"/>
      <c r="BB131" s="166"/>
      <c r="BC131" s="166"/>
      <c r="BD131" s="166"/>
      <c r="BE131" s="166"/>
      <c r="BF131" s="166"/>
      <c r="BG131" s="166"/>
      <c r="BH131" s="166"/>
      <c r="BI131" s="166"/>
      <c r="BJ131" s="166"/>
      <c r="BK131" s="166"/>
      <c r="BL131" s="166"/>
      <c r="BM131" s="155"/>
    </row>
    <row r="132" spans="6:65" s="157" customFormat="1" ht="15" customHeight="1">
      <c r="F132" s="367"/>
      <c r="S132" s="367"/>
      <c r="U132" s="367"/>
      <c r="AA132" s="367"/>
      <c r="AE132" s="367"/>
      <c r="AJ132" s="367"/>
      <c r="AK132" s="367"/>
      <c r="AL132" s="367"/>
      <c r="AP132" s="166"/>
      <c r="AQ132" s="166"/>
      <c r="AR132" s="166"/>
      <c r="AS132" s="166"/>
      <c r="AT132" s="166"/>
      <c r="AU132" s="166"/>
      <c r="AV132" s="166"/>
      <c r="AW132" s="166"/>
      <c r="AX132" s="166"/>
      <c r="AY132" s="166"/>
      <c r="AZ132" s="166"/>
      <c r="BA132" s="166"/>
      <c r="BB132" s="166"/>
      <c r="BC132" s="166"/>
      <c r="BD132" s="166"/>
      <c r="BE132" s="166"/>
      <c r="BF132" s="166"/>
      <c r="BG132" s="166"/>
      <c r="BH132" s="166"/>
      <c r="BI132" s="166"/>
      <c r="BJ132" s="166"/>
      <c r="BK132" s="166"/>
      <c r="BL132" s="166"/>
      <c r="BM132" s="155"/>
    </row>
    <row r="133" spans="6:65" s="157" customFormat="1" ht="15" customHeight="1">
      <c r="F133" s="367"/>
      <c r="S133" s="367"/>
      <c r="U133" s="367"/>
      <c r="AA133" s="367"/>
      <c r="AE133" s="367"/>
      <c r="AJ133" s="367"/>
      <c r="AK133" s="367"/>
      <c r="AL133" s="367"/>
      <c r="AP133" s="166"/>
      <c r="AQ133" s="166"/>
      <c r="AR133" s="166"/>
      <c r="AS133" s="166"/>
      <c r="AT133" s="166"/>
      <c r="AU133" s="166"/>
      <c r="AV133" s="166"/>
      <c r="AW133" s="166"/>
      <c r="AX133" s="166"/>
      <c r="AY133" s="166"/>
      <c r="AZ133" s="166"/>
      <c r="BA133" s="166"/>
      <c r="BB133" s="166"/>
      <c r="BC133" s="166"/>
      <c r="BD133" s="166"/>
      <c r="BE133" s="166"/>
      <c r="BF133" s="166"/>
      <c r="BG133" s="166"/>
      <c r="BH133" s="166"/>
      <c r="BI133" s="166"/>
      <c r="BJ133" s="166"/>
      <c r="BK133" s="166"/>
      <c r="BL133" s="166"/>
      <c r="BM133" s="155"/>
    </row>
    <row r="134" spans="6:65" s="157" customFormat="1" ht="15" customHeight="1">
      <c r="F134" s="367"/>
      <c r="S134" s="367"/>
      <c r="U134" s="367"/>
      <c r="AA134" s="367"/>
      <c r="AE134" s="367"/>
      <c r="AJ134" s="367"/>
      <c r="AK134" s="367"/>
      <c r="AL134" s="367"/>
      <c r="AP134" s="166"/>
      <c r="AQ134" s="166"/>
      <c r="AR134" s="166"/>
      <c r="AS134" s="166"/>
      <c r="AT134" s="166"/>
      <c r="AU134" s="166"/>
      <c r="AV134" s="166"/>
      <c r="AW134" s="166"/>
      <c r="AX134" s="166"/>
      <c r="AY134" s="166"/>
      <c r="AZ134" s="166"/>
      <c r="BA134" s="166"/>
      <c r="BB134" s="166"/>
      <c r="BC134" s="166"/>
      <c r="BD134" s="166"/>
      <c r="BE134" s="166"/>
      <c r="BF134" s="166"/>
      <c r="BG134" s="166"/>
      <c r="BH134" s="166"/>
      <c r="BI134" s="166"/>
      <c r="BJ134" s="166"/>
      <c r="BK134" s="166"/>
      <c r="BL134" s="166"/>
      <c r="BM134" s="155"/>
    </row>
    <row r="135" spans="6:65" s="157" customFormat="1" ht="15" customHeight="1">
      <c r="F135" s="367"/>
      <c r="S135" s="367"/>
      <c r="U135" s="367"/>
      <c r="AA135" s="367"/>
      <c r="AE135" s="367"/>
      <c r="AJ135" s="367"/>
      <c r="AK135" s="367"/>
      <c r="AL135" s="367"/>
      <c r="AP135" s="166"/>
      <c r="AQ135" s="166"/>
      <c r="AR135" s="166"/>
      <c r="AS135" s="166"/>
      <c r="AT135" s="166"/>
      <c r="AU135" s="166"/>
      <c r="AV135" s="166"/>
      <c r="AW135" s="166"/>
      <c r="AX135" s="166"/>
      <c r="AY135" s="166"/>
      <c r="AZ135" s="166"/>
      <c r="BA135" s="166"/>
      <c r="BB135" s="166"/>
      <c r="BC135" s="166"/>
      <c r="BD135" s="166"/>
      <c r="BE135" s="166"/>
      <c r="BF135" s="166"/>
      <c r="BG135" s="166"/>
      <c r="BH135" s="166"/>
      <c r="BI135" s="166"/>
      <c r="BJ135" s="166"/>
      <c r="BK135" s="166"/>
      <c r="BL135" s="166"/>
      <c r="BM135" s="155"/>
    </row>
    <row r="136" spans="6:65" s="157" customFormat="1" ht="15" customHeight="1">
      <c r="F136" s="367"/>
      <c r="S136" s="367"/>
      <c r="U136" s="367"/>
      <c r="AA136" s="367"/>
      <c r="AE136" s="367"/>
      <c r="AJ136" s="367"/>
      <c r="AK136" s="367"/>
      <c r="AL136" s="367"/>
      <c r="AP136" s="166"/>
      <c r="AQ136" s="166"/>
      <c r="AR136" s="166"/>
      <c r="AS136" s="166"/>
      <c r="AT136" s="166"/>
      <c r="AU136" s="166"/>
      <c r="AV136" s="166"/>
      <c r="AW136" s="166"/>
      <c r="AX136" s="166"/>
      <c r="AY136" s="166"/>
      <c r="AZ136" s="166"/>
      <c r="BA136" s="166"/>
      <c r="BB136" s="166"/>
      <c r="BC136" s="166"/>
      <c r="BD136" s="166"/>
      <c r="BE136" s="166"/>
      <c r="BF136" s="166"/>
      <c r="BG136" s="166"/>
      <c r="BH136" s="166"/>
      <c r="BI136" s="166"/>
      <c r="BJ136" s="166"/>
      <c r="BK136" s="166"/>
      <c r="BL136" s="166"/>
      <c r="BM136" s="155"/>
    </row>
    <row r="137" spans="6:65" s="157" customFormat="1" ht="15" customHeight="1">
      <c r="F137" s="367"/>
      <c r="S137" s="367"/>
      <c r="U137" s="367"/>
      <c r="AA137" s="367"/>
      <c r="AE137" s="367"/>
      <c r="AJ137" s="367"/>
      <c r="AK137" s="367"/>
      <c r="AL137" s="367"/>
      <c r="AP137" s="166"/>
      <c r="AQ137" s="166"/>
      <c r="AR137" s="166"/>
      <c r="AS137" s="166"/>
      <c r="AT137" s="166"/>
      <c r="AU137" s="166"/>
      <c r="AV137" s="166"/>
      <c r="AW137" s="166"/>
      <c r="AX137" s="166"/>
      <c r="AY137" s="166"/>
      <c r="AZ137" s="166"/>
      <c r="BA137" s="166"/>
      <c r="BB137" s="166"/>
      <c r="BC137" s="166"/>
      <c r="BD137" s="166"/>
      <c r="BE137" s="166"/>
      <c r="BF137" s="166"/>
      <c r="BG137" s="166"/>
      <c r="BH137" s="166"/>
      <c r="BI137" s="166"/>
      <c r="BJ137" s="166"/>
      <c r="BK137" s="166"/>
      <c r="BL137" s="166"/>
      <c r="BM137" s="155"/>
    </row>
    <row r="138" spans="6:65" s="157" customFormat="1" ht="15" customHeight="1">
      <c r="F138" s="367"/>
      <c r="S138" s="367"/>
      <c r="U138" s="367"/>
      <c r="AA138" s="367"/>
      <c r="AE138" s="367"/>
      <c r="AJ138" s="367"/>
      <c r="AK138" s="367"/>
      <c r="AL138" s="367"/>
      <c r="AP138" s="166"/>
      <c r="AQ138" s="166"/>
      <c r="AR138" s="166"/>
      <c r="AS138" s="166"/>
      <c r="AT138" s="166"/>
      <c r="AU138" s="166"/>
      <c r="AV138" s="166"/>
      <c r="AW138" s="166"/>
      <c r="AX138" s="166"/>
      <c r="AY138" s="166"/>
      <c r="AZ138" s="166"/>
      <c r="BA138" s="166"/>
      <c r="BB138" s="166"/>
      <c r="BC138" s="166"/>
      <c r="BD138" s="166"/>
      <c r="BE138" s="166"/>
      <c r="BF138" s="166"/>
      <c r="BG138" s="166"/>
      <c r="BH138" s="166"/>
      <c r="BI138" s="166"/>
      <c r="BJ138" s="166"/>
      <c r="BK138" s="166"/>
      <c r="BL138" s="166"/>
      <c r="BM138" s="155"/>
    </row>
    <row r="139" spans="6:65" s="157" customFormat="1" ht="15" customHeight="1">
      <c r="F139" s="367"/>
      <c r="S139" s="367"/>
      <c r="U139" s="367"/>
      <c r="AA139" s="367"/>
      <c r="AE139" s="367"/>
      <c r="AJ139" s="367"/>
      <c r="AK139" s="367"/>
      <c r="AL139" s="367"/>
      <c r="AP139" s="166"/>
      <c r="AQ139" s="166"/>
      <c r="AR139" s="166"/>
      <c r="AS139" s="166"/>
      <c r="AT139" s="166"/>
      <c r="AU139" s="166"/>
      <c r="AV139" s="166"/>
      <c r="AW139" s="166"/>
      <c r="AX139" s="166"/>
      <c r="AY139" s="166"/>
      <c r="AZ139" s="166"/>
      <c r="BA139" s="166"/>
      <c r="BB139" s="166"/>
      <c r="BC139" s="166"/>
      <c r="BD139" s="166"/>
      <c r="BE139" s="166"/>
      <c r="BF139" s="166"/>
      <c r="BG139" s="166"/>
      <c r="BH139" s="166"/>
      <c r="BI139" s="166"/>
      <c r="BJ139" s="166"/>
      <c r="BK139" s="166"/>
      <c r="BL139" s="166"/>
      <c r="BM139" s="155"/>
    </row>
    <row r="140" spans="6:65" s="157" customFormat="1" ht="15" customHeight="1">
      <c r="F140" s="367"/>
      <c r="S140" s="367"/>
      <c r="U140" s="367"/>
      <c r="AA140" s="367"/>
      <c r="AE140" s="367"/>
      <c r="AJ140" s="367"/>
      <c r="AK140" s="367"/>
      <c r="AL140" s="367"/>
      <c r="AP140" s="166"/>
      <c r="AQ140" s="166"/>
      <c r="AR140" s="166"/>
      <c r="AS140" s="166"/>
      <c r="AT140" s="166"/>
      <c r="AU140" s="166"/>
      <c r="AV140" s="166"/>
      <c r="AW140" s="166"/>
      <c r="AX140" s="166"/>
      <c r="AY140" s="166"/>
      <c r="AZ140" s="166"/>
      <c r="BA140" s="166"/>
      <c r="BB140" s="166"/>
      <c r="BC140" s="166"/>
      <c r="BD140" s="166"/>
      <c r="BE140" s="166"/>
      <c r="BF140" s="166"/>
      <c r="BG140" s="166"/>
      <c r="BH140" s="166"/>
      <c r="BI140" s="166"/>
      <c r="BJ140" s="166"/>
      <c r="BK140" s="166"/>
      <c r="BL140" s="166"/>
      <c r="BM140" s="155"/>
    </row>
    <row r="141" spans="6:65" s="157" customFormat="1" ht="15" customHeight="1">
      <c r="F141" s="367"/>
      <c r="S141" s="367"/>
      <c r="U141" s="367"/>
      <c r="AA141" s="367"/>
      <c r="AE141" s="367"/>
      <c r="AJ141" s="367"/>
      <c r="AK141" s="367"/>
      <c r="AL141" s="367"/>
      <c r="AP141" s="166"/>
      <c r="AQ141" s="166"/>
      <c r="AR141" s="166"/>
      <c r="AS141" s="166"/>
      <c r="AT141" s="166"/>
      <c r="AU141" s="166"/>
      <c r="AV141" s="166"/>
      <c r="AW141" s="166"/>
      <c r="AX141" s="166"/>
      <c r="AY141" s="166"/>
      <c r="AZ141" s="166"/>
      <c r="BA141" s="166"/>
      <c r="BB141" s="166"/>
      <c r="BC141" s="166"/>
      <c r="BD141" s="166"/>
      <c r="BE141" s="166"/>
      <c r="BF141" s="166"/>
      <c r="BG141" s="166"/>
      <c r="BH141" s="166"/>
      <c r="BI141" s="166"/>
      <c r="BJ141" s="166"/>
      <c r="BK141" s="166"/>
      <c r="BL141" s="166"/>
      <c r="BM141" s="155"/>
    </row>
    <row r="142" spans="6:65" s="157" customFormat="1" ht="15" customHeight="1">
      <c r="F142" s="367"/>
      <c r="S142" s="367"/>
      <c r="U142" s="367"/>
      <c r="AA142" s="367"/>
      <c r="AE142" s="367"/>
      <c r="AJ142" s="367"/>
      <c r="AK142" s="367"/>
      <c r="AL142" s="367"/>
      <c r="AP142" s="166"/>
      <c r="AQ142" s="166"/>
      <c r="AR142" s="166"/>
      <c r="AS142" s="166"/>
      <c r="AT142" s="166"/>
      <c r="AU142" s="166"/>
      <c r="AV142" s="166"/>
      <c r="AW142" s="166"/>
      <c r="AX142" s="166"/>
      <c r="AY142" s="166"/>
      <c r="AZ142" s="166"/>
      <c r="BA142" s="166"/>
      <c r="BB142" s="166"/>
      <c r="BC142" s="166"/>
      <c r="BD142" s="166"/>
      <c r="BE142" s="166"/>
      <c r="BF142" s="166"/>
      <c r="BG142" s="166"/>
      <c r="BH142" s="166"/>
      <c r="BI142" s="166"/>
      <c r="BJ142" s="166"/>
      <c r="BK142" s="166"/>
      <c r="BL142" s="166"/>
      <c r="BM142" s="155"/>
    </row>
    <row r="143" spans="6:65" s="157" customFormat="1" ht="15" customHeight="1">
      <c r="F143" s="367"/>
      <c r="S143" s="367"/>
      <c r="U143" s="367"/>
      <c r="AA143" s="367"/>
      <c r="AE143" s="367"/>
      <c r="AJ143" s="367"/>
      <c r="AK143" s="367"/>
      <c r="AL143" s="367"/>
      <c r="AP143" s="166"/>
      <c r="AQ143" s="166"/>
      <c r="AR143" s="166"/>
      <c r="AS143" s="166"/>
      <c r="AT143" s="166"/>
      <c r="AU143" s="166"/>
      <c r="AV143" s="166"/>
      <c r="AW143" s="166"/>
      <c r="AX143" s="166"/>
      <c r="AY143" s="166"/>
      <c r="AZ143" s="166"/>
      <c r="BA143" s="166"/>
      <c r="BB143" s="166"/>
      <c r="BC143" s="166"/>
      <c r="BD143" s="166"/>
      <c r="BE143" s="166"/>
      <c r="BF143" s="166"/>
      <c r="BG143" s="166"/>
      <c r="BH143" s="166"/>
      <c r="BI143" s="166"/>
      <c r="BJ143" s="166"/>
      <c r="BK143" s="166"/>
      <c r="BL143" s="166"/>
      <c r="BM143" s="155"/>
    </row>
    <row r="144" spans="6:65" s="157" customFormat="1" ht="15" customHeight="1">
      <c r="F144" s="367"/>
      <c r="S144" s="367"/>
      <c r="U144" s="367"/>
      <c r="AA144" s="367"/>
      <c r="AE144" s="367"/>
      <c r="AJ144" s="367"/>
      <c r="AK144" s="367"/>
      <c r="AL144" s="367"/>
      <c r="AP144" s="166"/>
      <c r="AQ144" s="166"/>
      <c r="AR144" s="166"/>
      <c r="AS144" s="166"/>
      <c r="AT144" s="166"/>
      <c r="AU144" s="166"/>
      <c r="AV144" s="166"/>
      <c r="AW144" s="166"/>
      <c r="AX144" s="166"/>
      <c r="AY144" s="166"/>
      <c r="AZ144" s="166"/>
      <c r="BA144" s="166"/>
      <c r="BB144" s="166"/>
      <c r="BC144" s="166"/>
      <c r="BD144" s="166"/>
      <c r="BE144" s="166"/>
      <c r="BF144" s="166"/>
      <c r="BG144" s="166"/>
      <c r="BH144" s="166"/>
      <c r="BI144" s="166"/>
      <c r="BJ144" s="166"/>
      <c r="BK144" s="166"/>
      <c r="BL144" s="166"/>
      <c r="BM144" s="155"/>
    </row>
    <row r="145" spans="1:65" s="157" customFormat="1" ht="15" customHeight="1">
      <c r="F145" s="367"/>
      <c r="S145" s="367"/>
      <c r="U145" s="367"/>
      <c r="AA145" s="367"/>
      <c r="AE145" s="367"/>
      <c r="AJ145" s="367"/>
      <c r="AK145" s="367"/>
      <c r="AL145" s="367"/>
      <c r="AP145" s="166"/>
      <c r="AQ145" s="166"/>
      <c r="AR145" s="166"/>
      <c r="AS145" s="166"/>
      <c r="AT145" s="166"/>
      <c r="AU145" s="166"/>
      <c r="AV145" s="166"/>
      <c r="AW145" s="166"/>
      <c r="AX145" s="166"/>
      <c r="AY145" s="166"/>
      <c r="AZ145" s="166"/>
      <c r="BA145" s="166"/>
      <c r="BB145" s="166"/>
      <c r="BC145" s="166"/>
      <c r="BD145" s="166"/>
      <c r="BE145" s="166"/>
      <c r="BF145" s="166"/>
      <c r="BG145" s="166"/>
      <c r="BH145" s="166"/>
      <c r="BI145" s="166"/>
      <c r="BJ145" s="166"/>
      <c r="BK145" s="166"/>
      <c r="BL145" s="166"/>
      <c r="BM145" s="155"/>
    </row>
    <row r="146" spans="1:65" s="157" customFormat="1" ht="15" customHeight="1">
      <c r="F146" s="367"/>
      <c r="S146" s="367"/>
      <c r="U146" s="367"/>
      <c r="AA146" s="367"/>
      <c r="AE146" s="367"/>
      <c r="AJ146" s="367"/>
      <c r="AK146" s="367"/>
      <c r="AL146" s="367"/>
      <c r="AP146" s="166"/>
      <c r="AQ146" s="166"/>
      <c r="AR146" s="166"/>
      <c r="AS146" s="166"/>
      <c r="AT146" s="166"/>
      <c r="AU146" s="166"/>
      <c r="AV146" s="166"/>
      <c r="AW146" s="166"/>
      <c r="AX146" s="166"/>
      <c r="AY146" s="166"/>
      <c r="AZ146" s="166"/>
      <c r="BA146" s="166"/>
      <c r="BB146" s="166"/>
      <c r="BC146" s="166"/>
      <c r="BD146" s="166"/>
      <c r="BE146" s="166"/>
      <c r="BF146" s="166"/>
      <c r="BG146" s="166"/>
      <c r="BH146" s="166"/>
      <c r="BI146" s="166"/>
      <c r="BJ146" s="166"/>
      <c r="BK146" s="166"/>
      <c r="BL146" s="166"/>
      <c r="BM146" s="155"/>
    </row>
    <row r="147" spans="1:65" s="157" customFormat="1" ht="15" customHeight="1">
      <c r="F147" s="367"/>
      <c r="S147" s="367"/>
      <c r="U147" s="367"/>
      <c r="AA147" s="367"/>
      <c r="AE147" s="367"/>
      <c r="AJ147" s="367"/>
      <c r="AK147" s="367"/>
      <c r="AL147" s="367"/>
      <c r="AP147" s="166"/>
      <c r="AQ147" s="166"/>
      <c r="AR147" s="166"/>
      <c r="AS147" s="166"/>
      <c r="AT147" s="166"/>
      <c r="AU147" s="166"/>
      <c r="AV147" s="166"/>
      <c r="AW147" s="166"/>
      <c r="AX147" s="166"/>
      <c r="AY147" s="166"/>
      <c r="AZ147" s="166"/>
      <c r="BA147" s="166"/>
      <c r="BB147" s="166"/>
      <c r="BC147" s="166"/>
      <c r="BD147" s="166"/>
      <c r="BE147" s="166"/>
      <c r="BF147" s="166"/>
      <c r="BG147" s="166"/>
      <c r="BH147" s="166"/>
      <c r="BI147" s="166"/>
      <c r="BJ147" s="166"/>
      <c r="BK147" s="166"/>
      <c r="BL147" s="166"/>
      <c r="BM147" s="155"/>
    </row>
    <row r="148" spans="1:65" s="157" customFormat="1">
      <c r="A148" s="162"/>
      <c r="B148" s="162"/>
      <c r="C148" s="162"/>
      <c r="D148" s="162"/>
      <c r="E148" s="162"/>
      <c r="F148" s="367"/>
      <c r="G148" s="162"/>
      <c r="H148" s="162"/>
      <c r="I148" s="162"/>
      <c r="J148" s="162"/>
      <c r="K148" s="162"/>
      <c r="L148" s="162"/>
      <c r="M148" s="946"/>
      <c r="N148" s="162"/>
      <c r="S148" s="367"/>
      <c r="U148" s="367"/>
      <c r="AA148" s="367"/>
      <c r="AE148" s="367"/>
      <c r="AL148" s="367"/>
      <c r="AP148" s="166"/>
      <c r="AQ148" s="166"/>
      <c r="AR148" s="166"/>
      <c r="AS148" s="166"/>
      <c r="AT148" s="166"/>
      <c r="AU148" s="166"/>
      <c r="AV148" s="166"/>
      <c r="AW148" s="166"/>
      <c r="AX148" s="166"/>
      <c r="AY148" s="166"/>
      <c r="AZ148" s="166"/>
      <c r="BA148" s="166"/>
      <c r="BB148" s="166"/>
      <c r="BC148" s="166"/>
      <c r="BD148" s="166"/>
      <c r="BE148" s="166"/>
      <c r="BF148" s="166"/>
      <c r="BG148" s="166"/>
      <c r="BH148" s="166"/>
      <c r="BI148" s="166"/>
      <c r="BJ148" s="166"/>
      <c r="BK148" s="166"/>
      <c r="BL148" s="166"/>
      <c r="BM148" s="155"/>
    </row>
    <row r="149" spans="1:65" s="157" customFormat="1">
      <c r="A149" s="162"/>
      <c r="B149" s="162"/>
      <c r="C149" s="162"/>
      <c r="D149" s="162"/>
      <c r="E149" s="162"/>
      <c r="F149" s="367"/>
      <c r="G149" s="162"/>
      <c r="H149" s="162"/>
      <c r="I149" s="162"/>
      <c r="J149" s="162"/>
      <c r="K149" s="162"/>
      <c r="L149" s="162"/>
      <c r="M149" s="946"/>
      <c r="N149" s="162"/>
      <c r="S149" s="367"/>
      <c r="U149" s="367"/>
      <c r="AA149" s="367"/>
      <c r="AE149" s="367"/>
      <c r="AL149" s="367"/>
      <c r="AP149" s="166"/>
      <c r="AQ149" s="166"/>
      <c r="AR149" s="166"/>
      <c r="AS149" s="166"/>
      <c r="AT149" s="166"/>
      <c r="AU149" s="166"/>
      <c r="AV149" s="166"/>
      <c r="AW149" s="166"/>
      <c r="AX149" s="166"/>
      <c r="AY149" s="166"/>
      <c r="AZ149" s="166"/>
      <c r="BA149" s="166"/>
      <c r="BB149" s="166"/>
      <c r="BC149" s="166"/>
      <c r="BD149" s="166"/>
      <c r="BE149" s="166"/>
      <c r="BF149" s="166"/>
      <c r="BG149" s="166"/>
      <c r="BH149" s="166"/>
      <c r="BI149" s="166"/>
      <c r="BJ149" s="166"/>
      <c r="BK149" s="166"/>
      <c r="BL149" s="166"/>
      <c r="BM149" s="155"/>
    </row>
    <row r="150" spans="1:65" s="157" customFormat="1">
      <c r="A150" s="162"/>
      <c r="B150" s="162"/>
      <c r="C150" s="162"/>
      <c r="D150" s="162"/>
      <c r="E150" s="162"/>
      <c r="F150" s="367"/>
      <c r="G150" s="162"/>
      <c r="H150" s="162"/>
      <c r="I150" s="162"/>
      <c r="J150" s="162"/>
      <c r="K150" s="162"/>
      <c r="L150" s="162"/>
      <c r="M150" s="946"/>
      <c r="N150" s="162"/>
      <c r="S150" s="367"/>
      <c r="U150" s="367"/>
      <c r="AA150" s="367"/>
      <c r="AE150" s="367"/>
      <c r="AL150" s="367"/>
      <c r="AP150" s="166"/>
      <c r="AQ150" s="166"/>
      <c r="AR150" s="166"/>
      <c r="AS150" s="166"/>
      <c r="AT150" s="166"/>
      <c r="AU150" s="166"/>
      <c r="AV150" s="166"/>
      <c r="AW150" s="166"/>
      <c r="AX150" s="166"/>
      <c r="AY150" s="166"/>
      <c r="AZ150" s="166"/>
      <c r="BA150" s="166"/>
      <c r="BB150" s="166"/>
      <c r="BC150" s="166"/>
      <c r="BD150" s="166"/>
      <c r="BE150" s="166"/>
      <c r="BF150" s="166"/>
      <c r="BG150" s="166"/>
      <c r="BH150" s="166"/>
      <c r="BI150" s="166"/>
      <c r="BJ150" s="166"/>
      <c r="BK150" s="166"/>
      <c r="BL150" s="166"/>
      <c r="BM150" s="155"/>
    </row>
    <row r="151" spans="1:65" s="157" customFormat="1">
      <c r="A151" s="162"/>
      <c r="B151" s="162"/>
      <c r="C151" s="162"/>
      <c r="D151" s="162"/>
      <c r="E151" s="162"/>
      <c r="F151" s="367"/>
      <c r="G151" s="162"/>
      <c r="H151" s="162"/>
      <c r="I151" s="162"/>
      <c r="J151" s="162"/>
      <c r="K151" s="162"/>
      <c r="L151" s="162"/>
      <c r="M151" s="946"/>
      <c r="N151" s="162"/>
      <c r="S151" s="367"/>
      <c r="U151" s="367"/>
      <c r="AA151" s="367"/>
      <c r="AE151" s="367"/>
      <c r="AL151" s="367"/>
      <c r="AP151" s="166"/>
      <c r="AQ151" s="166"/>
      <c r="AR151" s="166"/>
      <c r="AS151" s="166"/>
      <c r="AT151" s="166"/>
      <c r="AU151" s="166"/>
      <c r="AV151" s="166"/>
      <c r="AW151" s="166"/>
      <c r="AX151" s="166"/>
      <c r="AY151" s="166"/>
      <c r="AZ151" s="166"/>
      <c r="BA151" s="166"/>
      <c r="BB151" s="166"/>
      <c r="BC151" s="166"/>
      <c r="BD151" s="166"/>
      <c r="BE151" s="166"/>
      <c r="BF151" s="166"/>
      <c r="BG151" s="166"/>
      <c r="BH151" s="166"/>
      <c r="BI151" s="166"/>
      <c r="BJ151" s="166"/>
      <c r="BK151" s="166"/>
      <c r="BL151" s="166"/>
      <c r="BM151" s="155"/>
    </row>
    <row r="152" spans="1:65" s="157" customFormat="1">
      <c r="A152" s="162"/>
      <c r="B152" s="162"/>
      <c r="C152" s="162"/>
      <c r="D152" s="162"/>
      <c r="E152" s="162"/>
      <c r="F152" s="367"/>
      <c r="G152" s="162"/>
      <c r="H152" s="162"/>
      <c r="I152" s="162"/>
      <c r="J152" s="162"/>
      <c r="K152" s="162"/>
      <c r="L152" s="162"/>
      <c r="M152" s="946"/>
      <c r="N152" s="162"/>
      <c r="S152" s="367"/>
      <c r="U152" s="367"/>
      <c r="AA152" s="367"/>
      <c r="AE152" s="367"/>
      <c r="AL152" s="367"/>
      <c r="AP152" s="166"/>
      <c r="AQ152" s="166"/>
      <c r="AR152" s="166"/>
      <c r="AS152" s="166"/>
      <c r="AT152" s="166"/>
      <c r="AU152" s="166"/>
      <c r="AV152" s="166"/>
      <c r="AW152" s="166"/>
      <c r="AX152" s="166"/>
      <c r="AY152" s="166"/>
      <c r="AZ152" s="166"/>
      <c r="BA152" s="166"/>
      <c r="BB152" s="166"/>
      <c r="BC152" s="166"/>
      <c r="BD152" s="166"/>
      <c r="BE152" s="166"/>
      <c r="BF152" s="166"/>
      <c r="BG152" s="166"/>
      <c r="BH152" s="166"/>
      <c r="BI152" s="166"/>
      <c r="BJ152" s="166"/>
      <c r="BK152" s="166"/>
      <c r="BL152" s="166"/>
      <c r="BM152" s="155"/>
    </row>
    <row r="153" spans="1:65" s="157" customFormat="1">
      <c r="A153" s="162"/>
      <c r="B153" s="162"/>
      <c r="C153" s="162"/>
      <c r="D153" s="162"/>
      <c r="E153" s="162"/>
      <c r="F153" s="367"/>
      <c r="G153" s="162"/>
      <c r="H153" s="162"/>
      <c r="I153" s="162"/>
      <c r="J153" s="162"/>
      <c r="K153" s="162"/>
      <c r="L153" s="162"/>
      <c r="M153" s="946"/>
      <c r="N153" s="162"/>
      <c r="S153" s="367"/>
      <c r="U153" s="367"/>
      <c r="AA153" s="367"/>
      <c r="AE153" s="367"/>
      <c r="AL153" s="367"/>
      <c r="AP153" s="166"/>
      <c r="AQ153" s="166"/>
      <c r="AR153" s="166"/>
      <c r="AS153" s="166"/>
      <c r="AT153" s="166"/>
      <c r="AU153" s="166"/>
      <c r="AV153" s="166"/>
      <c r="AW153" s="166"/>
      <c r="AX153" s="166"/>
      <c r="AY153" s="166"/>
      <c r="AZ153" s="166"/>
      <c r="BA153" s="166"/>
      <c r="BB153" s="166"/>
      <c r="BC153" s="166"/>
      <c r="BD153" s="166"/>
      <c r="BE153" s="166"/>
      <c r="BF153" s="166"/>
      <c r="BG153" s="166"/>
      <c r="BH153" s="166"/>
      <c r="BI153" s="166"/>
      <c r="BJ153" s="166"/>
      <c r="BK153" s="166"/>
      <c r="BL153" s="166"/>
      <c r="BM153" s="155"/>
    </row>
    <row r="154" spans="1:65" s="157" customFormat="1">
      <c r="A154" s="162"/>
      <c r="B154" s="162"/>
      <c r="C154" s="162"/>
      <c r="D154" s="162"/>
      <c r="E154" s="162"/>
      <c r="F154" s="367"/>
      <c r="G154" s="162"/>
      <c r="H154" s="162"/>
      <c r="I154" s="162"/>
      <c r="J154" s="162"/>
      <c r="K154" s="162"/>
      <c r="L154" s="162"/>
      <c r="M154" s="946"/>
      <c r="N154" s="162"/>
      <c r="S154" s="367"/>
      <c r="U154" s="367"/>
      <c r="AA154" s="367"/>
      <c r="AE154" s="367"/>
      <c r="AL154" s="367"/>
      <c r="AP154" s="166"/>
      <c r="AQ154" s="166"/>
      <c r="AR154" s="166"/>
      <c r="AS154" s="166"/>
      <c r="AT154" s="166"/>
      <c r="AU154" s="166"/>
      <c r="AV154" s="166"/>
      <c r="AW154" s="166"/>
      <c r="AX154" s="166"/>
      <c r="AY154" s="166"/>
      <c r="AZ154" s="166"/>
      <c r="BA154" s="166"/>
      <c r="BB154" s="166"/>
      <c r="BC154" s="166"/>
      <c r="BD154" s="166"/>
      <c r="BE154" s="166"/>
      <c r="BF154" s="166"/>
      <c r="BG154" s="166"/>
      <c r="BH154" s="166"/>
      <c r="BI154" s="166"/>
      <c r="BJ154" s="166"/>
      <c r="BK154" s="166"/>
      <c r="BL154" s="166"/>
      <c r="BM154" s="155"/>
    </row>
    <row r="155" spans="1:65" s="157" customFormat="1">
      <c r="A155" s="162"/>
      <c r="B155" s="162"/>
      <c r="C155" s="162"/>
      <c r="D155" s="162"/>
      <c r="E155" s="162"/>
      <c r="F155" s="367"/>
      <c r="G155" s="162"/>
      <c r="H155" s="162"/>
      <c r="I155" s="162"/>
      <c r="J155" s="162"/>
      <c r="K155" s="162"/>
      <c r="L155" s="162"/>
      <c r="M155" s="946"/>
      <c r="N155" s="162"/>
      <c r="S155" s="367"/>
      <c r="U155" s="367"/>
      <c r="AA155" s="367"/>
      <c r="AE155" s="367"/>
      <c r="AL155" s="367"/>
      <c r="AP155" s="166"/>
      <c r="AQ155" s="166"/>
      <c r="AR155" s="166"/>
      <c r="AS155" s="166"/>
      <c r="AT155" s="166"/>
      <c r="AU155" s="166"/>
      <c r="AV155" s="166"/>
      <c r="AW155" s="166"/>
      <c r="AX155" s="166"/>
      <c r="AY155" s="166"/>
      <c r="AZ155" s="166"/>
      <c r="BA155" s="166"/>
      <c r="BB155" s="166"/>
      <c r="BC155" s="166"/>
      <c r="BD155" s="166"/>
      <c r="BE155" s="166"/>
      <c r="BF155" s="166"/>
      <c r="BG155" s="166"/>
      <c r="BH155" s="166"/>
      <c r="BI155" s="166"/>
      <c r="BJ155" s="166"/>
      <c r="BK155" s="166"/>
      <c r="BL155" s="166"/>
      <c r="BM155" s="155"/>
    </row>
    <row r="156" spans="1:65" s="157" customFormat="1">
      <c r="A156" s="162"/>
      <c r="B156" s="162"/>
      <c r="C156" s="162"/>
      <c r="D156" s="162"/>
      <c r="E156" s="162"/>
      <c r="F156" s="367"/>
      <c r="G156" s="162"/>
      <c r="H156" s="162"/>
      <c r="I156" s="162"/>
      <c r="J156" s="162"/>
      <c r="K156" s="162"/>
      <c r="L156" s="162"/>
      <c r="M156" s="946"/>
      <c r="N156" s="162"/>
      <c r="S156" s="367"/>
      <c r="U156" s="367"/>
      <c r="AA156" s="367"/>
      <c r="AE156" s="367"/>
      <c r="AL156" s="367"/>
      <c r="AP156" s="166"/>
      <c r="AQ156" s="166"/>
      <c r="AR156" s="166"/>
      <c r="AS156" s="166"/>
      <c r="AT156" s="166"/>
      <c r="AU156" s="166"/>
      <c r="AV156" s="166"/>
      <c r="AW156" s="166"/>
      <c r="AX156" s="166"/>
      <c r="AY156" s="166"/>
      <c r="AZ156" s="166"/>
      <c r="BA156" s="166"/>
      <c r="BB156" s="166"/>
      <c r="BC156" s="166"/>
      <c r="BD156" s="166"/>
      <c r="BE156" s="166"/>
      <c r="BF156" s="166"/>
      <c r="BG156" s="166"/>
      <c r="BH156" s="166"/>
      <c r="BI156" s="166"/>
      <c r="BJ156" s="166"/>
      <c r="BK156" s="166"/>
      <c r="BL156" s="166"/>
      <c r="BM156" s="155"/>
    </row>
    <row r="157" spans="1:65" s="157" customFormat="1">
      <c r="A157" s="162"/>
      <c r="B157" s="162"/>
      <c r="C157" s="162"/>
      <c r="D157" s="162"/>
      <c r="E157" s="162"/>
      <c r="F157" s="367"/>
      <c r="G157" s="162"/>
      <c r="H157" s="162"/>
      <c r="I157" s="162"/>
      <c r="J157" s="162"/>
      <c r="K157" s="162"/>
      <c r="L157" s="162"/>
      <c r="M157" s="946"/>
      <c r="N157" s="162"/>
      <c r="S157" s="367"/>
      <c r="U157" s="367"/>
      <c r="AA157" s="367"/>
      <c r="AE157" s="367"/>
      <c r="AL157" s="367"/>
      <c r="AP157" s="166"/>
      <c r="AQ157" s="166"/>
      <c r="AR157" s="166"/>
      <c r="AS157" s="166"/>
      <c r="AT157" s="166"/>
      <c r="AU157" s="166"/>
      <c r="AV157" s="166"/>
      <c r="AW157" s="166"/>
      <c r="AX157" s="166"/>
      <c r="AY157" s="166"/>
      <c r="AZ157" s="166"/>
      <c r="BA157" s="166"/>
      <c r="BB157" s="166"/>
      <c r="BC157" s="166"/>
      <c r="BD157" s="166"/>
      <c r="BE157" s="166"/>
      <c r="BF157" s="166"/>
      <c r="BG157" s="166"/>
      <c r="BH157" s="166"/>
      <c r="BI157" s="166"/>
      <c r="BJ157" s="166"/>
      <c r="BK157" s="166"/>
      <c r="BL157" s="166"/>
      <c r="BM157" s="155"/>
    </row>
    <row r="158" spans="1:65" s="157" customFormat="1">
      <c r="A158" s="162"/>
      <c r="B158" s="162"/>
      <c r="C158" s="162"/>
      <c r="D158" s="162"/>
      <c r="E158" s="162"/>
      <c r="F158" s="367"/>
      <c r="G158" s="162"/>
      <c r="H158" s="162"/>
      <c r="I158" s="162"/>
      <c r="J158" s="162"/>
      <c r="K158" s="162"/>
      <c r="L158" s="162"/>
      <c r="M158" s="946"/>
      <c r="N158" s="162"/>
      <c r="S158" s="367"/>
      <c r="U158" s="367"/>
      <c r="AA158" s="367"/>
      <c r="AE158" s="367"/>
      <c r="AL158" s="367"/>
      <c r="AP158" s="166"/>
      <c r="AQ158" s="166"/>
      <c r="AR158" s="166"/>
      <c r="AS158" s="166"/>
      <c r="AT158" s="166"/>
      <c r="AU158" s="166"/>
      <c r="AV158" s="166"/>
      <c r="AW158" s="166"/>
      <c r="AX158" s="166"/>
      <c r="AY158" s="166"/>
      <c r="AZ158" s="166"/>
      <c r="BA158" s="166"/>
      <c r="BB158" s="166"/>
      <c r="BC158" s="166"/>
      <c r="BD158" s="166"/>
      <c r="BE158" s="166"/>
      <c r="BF158" s="166"/>
      <c r="BG158" s="166"/>
      <c r="BH158" s="166"/>
      <c r="BI158" s="166"/>
      <c r="BJ158" s="166"/>
      <c r="BK158" s="166"/>
      <c r="BL158" s="166"/>
      <c r="BM158" s="155"/>
    </row>
    <row r="159" spans="1:65" s="157" customFormat="1">
      <c r="A159" s="162"/>
      <c r="B159" s="162"/>
      <c r="C159" s="162"/>
      <c r="D159" s="162"/>
      <c r="E159" s="162"/>
      <c r="F159" s="367"/>
      <c r="G159" s="162"/>
      <c r="H159" s="162"/>
      <c r="I159" s="162"/>
      <c r="J159" s="162"/>
      <c r="K159" s="162"/>
      <c r="L159" s="162"/>
      <c r="M159" s="946"/>
      <c r="N159" s="162"/>
      <c r="S159" s="367"/>
      <c r="U159" s="367"/>
      <c r="AA159" s="367"/>
      <c r="AE159" s="367"/>
      <c r="AL159" s="367"/>
      <c r="AP159" s="166"/>
      <c r="AQ159" s="166"/>
      <c r="AR159" s="166"/>
      <c r="AS159" s="166"/>
      <c r="AT159" s="166"/>
      <c r="AU159" s="166"/>
      <c r="AV159" s="166"/>
      <c r="AW159" s="166"/>
      <c r="AX159" s="166"/>
      <c r="AY159" s="166"/>
      <c r="AZ159" s="166"/>
      <c r="BA159" s="166"/>
      <c r="BB159" s="166"/>
      <c r="BC159" s="166"/>
      <c r="BD159" s="166"/>
      <c r="BE159" s="166"/>
      <c r="BF159" s="166"/>
      <c r="BG159" s="166"/>
      <c r="BH159" s="166"/>
      <c r="BI159" s="166"/>
      <c r="BJ159" s="166"/>
      <c r="BK159" s="166"/>
      <c r="BL159" s="166"/>
      <c r="BM159" s="155"/>
    </row>
    <row r="160" spans="1:65" s="157" customFormat="1">
      <c r="A160" s="162"/>
      <c r="B160" s="162"/>
      <c r="C160" s="162"/>
      <c r="D160" s="162"/>
      <c r="E160" s="162"/>
      <c r="F160" s="367"/>
      <c r="G160" s="162"/>
      <c r="H160" s="162"/>
      <c r="I160" s="162"/>
      <c r="J160" s="162"/>
      <c r="K160" s="162"/>
      <c r="L160" s="162"/>
      <c r="M160" s="946"/>
      <c r="N160" s="162"/>
      <c r="S160" s="367"/>
      <c r="U160" s="367"/>
      <c r="AA160" s="367"/>
      <c r="AE160" s="367"/>
      <c r="AL160" s="367"/>
      <c r="AP160" s="166"/>
      <c r="AQ160" s="166"/>
      <c r="AR160" s="166"/>
      <c r="AS160" s="166"/>
      <c r="AT160" s="166"/>
      <c r="AU160" s="166"/>
      <c r="AV160" s="166"/>
      <c r="AW160" s="166"/>
      <c r="AX160" s="166"/>
      <c r="AY160" s="166"/>
      <c r="AZ160" s="166"/>
      <c r="BA160" s="166"/>
      <c r="BB160" s="166"/>
      <c r="BC160" s="166"/>
      <c r="BD160" s="166"/>
      <c r="BE160" s="166"/>
      <c r="BF160" s="166"/>
      <c r="BG160" s="166"/>
      <c r="BH160" s="166"/>
      <c r="BI160" s="166"/>
      <c r="BJ160" s="166"/>
      <c r="BK160" s="166"/>
      <c r="BL160" s="166"/>
      <c r="BM160" s="155"/>
    </row>
    <row r="161" spans="1:65" s="157" customFormat="1">
      <c r="A161" s="162"/>
      <c r="B161" s="162"/>
      <c r="C161" s="162"/>
      <c r="D161" s="162"/>
      <c r="E161" s="162"/>
      <c r="F161" s="367"/>
      <c r="G161" s="162"/>
      <c r="H161" s="162"/>
      <c r="I161" s="162"/>
      <c r="J161" s="162"/>
      <c r="K161" s="162"/>
      <c r="L161" s="162"/>
      <c r="M161" s="946"/>
      <c r="N161" s="162"/>
      <c r="S161" s="367"/>
      <c r="U161" s="367"/>
      <c r="AA161" s="367"/>
      <c r="AE161" s="367"/>
      <c r="AL161" s="367"/>
      <c r="AP161" s="166"/>
      <c r="AQ161" s="166"/>
      <c r="AR161" s="166"/>
      <c r="AS161" s="166"/>
      <c r="AT161" s="166"/>
      <c r="AU161" s="166"/>
      <c r="AV161" s="166"/>
      <c r="AW161" s="166"/>
      <c r="AX161" s="166"/>
      <c r="AY161" s="166"/>
      <c r="AZ161" s="166"/>
      <c r="BA161" s="166"/>
      <c r="BB161" s="166"/>
      <c r="BC161" s="166"/>
      <c r="BD161" s="166"/>
      <c r="BE161" s="166"/>
      <c r="BF161" s="166"/>
      <c r="BG161" s="166"/>
      <c r="BH161" s="166"/>
      <c r="BI161" s="166"/>
      <c r="BJ161" s="166"/>
      <c r="BK161" s="166"/>
      <c r="BL161" s="166"/>
      <c r="BM161" s="155"/>
    </row>
    <row r="162" spans="1:65" s="157" customFormat="1">
      <c r="A162" s="162"/>
      <c r="B162" s="162"/>
      <c r="C162" s="162"/>
      <c r="D162" s="162"/>
      <c r="E162" s="162"/>
      <c r="F162" s="367"/>
      <c r="G162" s="162"/>
      <c r="H162" s="162"/>
      <c r="I162" s="162"/>
      <c r="J162" s="162"/>
      <c r="K162" s="162"/>
      <c r="L162" s="162"/>
      <c r="M162" s="946"/>
      <c r="N162" s="162"/>
      <c r="S162" s="367"/>
      <c r="U162" s="367"/>
      <c r="AA162" s="367"/>
      <c r="AE162" s="367"/>
      <c r="AL162" s="367"/>
      <c r="AP162" s="166"/>
      <c r="AQ162" s="166"/>
      <c r="AR162" s="166"/>
      <c r="AS162" s="166"/>
      <c r="AT162" s="166"/>
      <c r="AU162" s="166"/>
      <c r="AV162" s="166"/>
      <c r="AW162" s="166"/>
      <c r="AX162" s="166"/>
      <c r="AY162" s="166"/>
      <c r="AZ162" s="166"/>
      <c r="BA162" s="166"/>
      <c r="BB162" s="166"/>
      <c r="BC162" s="166"/>
      <c r="BD162" s="166"/>
      <c r="BE162" s="166"/>
      <c r="BF162" s="166"/>
      <c r="BG162" s="166"/>
      <c r="BH162" s="166"/>
      <c r="BI162" s="166"/>
      <c r="BJ162" s="166"/>
      <c r="BK162" s="166"/>
      <c r="BL162" s="166"/>
      <c r="BM162" s="155"/>
    </row>
    <row r="163" spans="1:65" s="157" customFormat="1">
      <c r="A163" s="162"/>
      <c r="B163" s="162"/>
      <c r="C163" s="162"/>
      <c r="D163" s="162"/>
      <c r="E163" s="162"/>
      <c r="F163" s="367"/>
      <c r="G163" s="162"/>
      <c r="H163" s="162"/>
      <c r="I163" s="162"/>
      <c r="J163" s="162"/>
      <c r="K163" s="162"/>
      <c r="L163" s="162"/>
      <c r="M163" s="946"/>
      <c r="N163" s="162"/>
      <c r="S163" s="367"/>
      <c r="U163" s="367"/>
      <c r="AA163" s="367"/>
      <c r="AE163" s="367"/>
      <c r="AL163" s="367"/>
      <c r="AP163" s="166"/>
      <c r="AQ163" s="166"/>
      <c r="AR163" s="166"/>
      <c r="AS163" s="166"/>
      <c r="AT163" s="166"/>
      <c r="AU163" s="166"/>
      <c r="AV163" s="166"/>
      <c r="AW163" s="166"/>
      <c r="AX163" s="166"/>
      <c r="AY163" s="166"/>
      <c r="AZ163" s="166"/>
      <c r="BA163" s="166"/>
      <c r="BB163" s="166"/>
      <c r="BC163" s="166"/>
      <c r="BD163" s="166"/>
      <c r="BE163" s="166"/>
      <c r="BF163" s="166"/>
      <c r="BG163" s="166"/>
      <c r="BH163" s="166"/>
      <c r="BI163" s="166"/>
      <c r="BJ163" s="166"/>
      <c r="BK163" s="166"/>
      <c r="BL163" s="166"/>
      <c r="BM163" s="155"/>
    </row>
    <row r="164" spans="1:65" s="157" customFormat="1">
      <c r="A164" s="162"/>
      <c r="B164" s="162"/>
      <c r="C164" s="162"/>
      <c r="D164" s="162"/>
      <c r="E164" s="162"/>
      <c r="F164" s="367"/>
      <c r="G164" s="162"/>
      <c r="H164" s="162"/>
      <c r="I164" s="162"/>
      <c r="J164" s="162"/>
      <c r="K164" s="162"/>
      <c r="L164" s="162"/>
      <c r="M164" s="946"/>
      <c r="N164" s="162"/>
      <c r="S164" s="367"/>
      <c r="U164" s="367"/>
      <c r="AA164" s="367"/>
      <c r="AE164" s="367"/>
      <c r="AL164" s="367"/>
      <c r="AP164" s="166"/>
      <c r="AQ164" s="166"/>
      <c r="AR164" s="166"/>
      <c r="AS164" s="166"/>
      <c r="AT164" s="166"/>
      <c r="AU164" s="166"/>
      <c r="AV164" s="166"/>
      <c r="AW164" s="166"/>
      <c r="AX164" s="166"/>
      <c r="AY164" s="166"/>
      <c r="AZ164" s="166"/>
      <c r="BA164" s="166"/>
      <c r="BB164" s="166"/>
      <c r="BC164" s="166"/>
      <c r="BD164" s="166"/>
      <c r="BE164" s="166"/>
      <c r="BF164" s="166"/>
      <c r="BG164" s="166"/>
      <c r="BH164" s="166"/>
      <c r="BI164" s="166"/>
      <c r="BJ164" s="166"/>
      <c r="BK164" s="166"/>
      <c r="BL164" s="166"/>
      <c r="BM164" s="155"/>
    </row>
    <row r="165" spans="1:65" s="157" customFormat="1">
      <c r="A165" s="162"/>
      <c r="B165" s="162"/>
      <c r="C165" s="162"/>
      <c r="D165" s="162"/>
      <c r="E165" s="162"/>
      <c r="F165" s="367"/>
      <c r="G165" s="162"/>
      <c r="H165" s="162"/>
      <c r="I165" s="162"/>
      <c r="J165" s="162"/>
      <c r="K165" s="162"/>
      <c r="L165" s="162"/>
      <c r="M165" s="946"/>
      <c r="N165" s="162"/>
      <c r="S165" s="367"/>
      <c r="U165" s="367"/>
      <c r="AA165" s="367"/>
      <c r="AE165" s="367"/>
      <c r="AL165" s="367"/>
      <c r="AP165" s="166"/>
      <c r="AQ165" s="166"/>
      <c r="AR165" s="166"/>
      <c r="AS165" s="166"/>
      <c r="AT165" s="166"/>
      <c r="AU165" s="166"/>
      <c r="AV165" s="166"/>
      <c r="AW165" s="166"/>
      <c r="AX165" s="166"/>
      <c r="AY165" s="166"/>
      <c r="AZ165" s="166"/>
      <c r="BA165" s="166"/>
      <c r="BB165" s="166"/>
      <c r="BC165" s="166"/>
      <c r="BD165" s="166"/>
      <c r="BE165" s="166"/>
      <c r="BF165" s="166"/>
      <c r="BG165" s="166"/>
      <c r="BH165" s="166"/>
      <c r="BI165" s="166"/>
      <c r="BJ165" s="166"/>
      <c r="BK165" s="166"/>
      <c r="BL165" s="166"/>
      <c r="BM165" s="155"/>
    </row>
    <row r="166" spans="1:65" s="157" customFormat="1">
      <c r="A166" s="162"/>
      <c r="B166" s="162"/>
      <c r="C166" s="162"/>
      <c r="D166" s="162"/>
      <c r="E166" s="162"/>
      <c r="F166" s="367"/>
      <c r="G166" s="162"/>
      <c r="H166" s="162"/>
      <c r="I166" s="162"/>
      <c r="J166" s="162"/>
      <c r="K166" s="162"/>
      <c r="L166" s="162"/>
      <c r="M166" s="946"/>
      <c r="N166" s="162"/>
      <c r="S166" s="367"/>
      <c r="U166" s="367"/>
      <c r="AA166" s="367"/>
      <c r="AE166" s="367"/>
      <c r="AL166" s="367"/>
      <c r="AP166" s="166"/>
      <c r="AQ166" s="166"/>
      <c r="AR166" s="166"/>
      <c r="AS166" s="166"/>
      <c r="AT166" s="166"/>
      <c r="AU166" s="166"/>
      <c r="AV166" s="166"/>
      <c r="AW166" s="166"/>
      <c r="AX166" s="166"/>
      <c r="AY166" s="166"/>
      <c r="AZ166" s="166"/>
      <c r="BA166" s="166"/>
      <c r="BB166" s="166"/>
      <c r="BC166" s="166"/>
      <c r="BD166" s="166"/>
      <c r="BE166" s="166"/>
      <c r="BF166" s="166"/>
      <c r="BG166" s="166"/>
      <c r="BH166" s="166"/>
      <c r="BI166" s="166"/>
      <c r="BJ166" s="166"/>
      <c r="BK166" s="166"/>
      <c r="BL166" s="166"/>
      <c r="BM166" s="155"/>
    </row>
    <row r="167" spans="1:65" s="157" customFormat="1">
      <c r="A167" s="162"/>
      <c r="B167" s="162"/>
      <c r="C167" s="162"/>
      <c r="D167" s="162"/>
      <c r="E167" s="162"/>
      <c r="F167" s="367"/>
      <c r="G167" s="162"/>
      <c r="H167" s="162"/>
      <c r="I167" s="162"/>
      <c r="J167" s="162"/>
      <c r="K167" s="162"/>
      <c r="L167" s="162"/>
      <c r="M167" s="946"/>
      <c r="N167" s="162"/>
      <c r="S167" s="367"/>
      <c r="U167" s="367"/>
      <c r="AA167" s="367"/>
      <c r="AE167" s="367"/>
      <c r="AL167" s="367"/>
      <c r="AP167" s="166"/>
      <c r="AQ167" s="166"/>
      <c r="AR167" s="166"/>
      <c r="AS167" s="166"/>
      <c r="AT167" s="166"/>
      <c r="AU167" s="166"/>
      <c r="AV167" s="166"/>
      <c r="AW167" s="166"/>
      <c r="AX167" s="166"/>
      <c r="AY167" s="166"/>
      <c r="AZ167" s="166"/>
      <c r="BA167" s="166"/>
      <c r="BB167" s="166"/>
      <c r="BC167" s="166"/>
      <c r="BD167" s="166"/>
      <c r="BE167" s="166"/>
      <c r="BF167" s="166"/>
      <c r="BG167" s="166"/>
      <c r="BH167" s="166"/>
      <c r="BI167" s="166"/>
      <c r="BJ167" s="166"/>
      <c r="BK167" s="166"/>
      <c r="BL167" s="166"/>
      <c r="BM167" s="155"/>
    </row>
    <row r="168" spans="1:65" s="157" customFormat="1">
      <c r="A168" s="162"/>
      <c r="B168" s="162"/>
      <c r="C168" s="162"/>
      <c r="D168" s="162"/>
      <c r="E168" s="162"/>
      <c r="F168" s="367"/>
      <c r="G168" s="162"/>
      <c r="H168" s="162"/>
      <c r="I168" s="162"/>
      <c r="J168" s="162"/>
      <c r="K168" s="162"/>
      <c r="L168" s="162"/>
      <c r="M168" s="946"/>
      <c r="N168" s="162"/>
      <c r="S168" s="367"/>
      <c r="U168" s="367"/>
      <c r="AA168" s="367"/>
      <c r="AE168" s="367"/>
      <c r="AL168" s="367"/>
      <c r="AP168" s="166"/>
      <c r="AQ168" s="166"/>
      <c r="AR168" s="166"/>
      <c r="AS168" s="166"/>
      <c r="AT168" s="166"/>
      <c r="AU168" s="166"/>
      <c r="AV168" s="166"/>
      <c r="AW168" s="166"/>
      <c r="AX168" s="166"/>
      <c r="AY168" s="166"/>
      <c r="AZ168" s="166"/>
      <c r="BA168" s="166"/>
      <c r="BB168" s="166"/>
      <c r="BC168" s="166"/>
      <c r="BD168" s="166"/>
      <c r="BE168" s="166"/>
      <c r="BF168" s="166"/>
      <c r="BG168" s="166"/>
      <c r="BH168" s="166"/>
      <c r="BI168" s="166"/>
      <c r="BJ168" s="166"/>
      <c r="BK168" s="166"/>
      <c r="BL168" s="166"/>
      <c r="BM168" s="155"/>
    </row>
    <row r="169" spans="1:65" s="157" customFormat="1">
      <c r="A169" s="162"/>
      <c r="B169" s="162"/>
      <c r="C169" s="162"/>
      <c r="D169" s="162"/>
      <c r="E169" s="162"/>
      <c r="F169" s="367"/>
      <c r="G169" s="162"/>
      <c r="H169" s="162"/>
      <c r="I169" s="162"/>
      <c r="J169" s="162"/>
      <c r="K169" s="162"/>
      <c r="L169" s="162"/>
      <c r="M169" s="946"/>
      <c r="N169" s="162"/>
      <c r="S169" s="367"/>
      <c r="U169" s="367"/>
      <c r="AA169" s="367"/>
      <c r="AE169" s="367"/>
      <c r="AL169" s="367"/>
      <c r="AP169" s="166"/>
      <c r="AQ169" s="166"/>
      <c r="AR169" s="166"/>
      <c r="AS169" s="166"/>
      <c r="AT169" s="166"/>
      <c r="AU169" s="166"/>
      <c r="AV169" s="166"/>
      <c r="AW169" s="166"/>
      <c r="AX169" s="166"/>
      <c r="AY169" s="166"/>
      <c r="AZ169" s="166"/>
      <c r="BA169" s="166"/>
      <c r="BB169" s="166"/>
      <c r="BC169" s="166"/>
      <c r="BD169" s="166"/>
      <c r="BE169" s="166"/>
      <c r="BF169" s="166"/>
      <c r="BG169" s="166"/>
      <c r="BH169" s="166"/>
      <c r="BI169" s="166"/>
      <c r="BJ169" s="166"/>
      <c r="BK169" s="166"/>
      <c r="BL169" s="166"/>
      <c r="BM169" s="155"/>
    </row>
    <row r="170" spans="1:65" s="157" customFormat="1">
      <c r="A170" s="162"/>
      <c r="B170" s="162"/>
      <c r="C170" s="162"/>
      <c r="D170" s="162"/>
      <c r="E170" s="162"/>
      <c r="F170" s="367"/>
      <c r="G170" s="162"/>
      <c r="H170" s="162"/>
      <c r="I170" s="162"/>
      <c r="J170" s="162"/>
      <c r="K170" s="162"/>
      <c r="L170" s="162"/>
      <c r="M170" s="946"/>
      <c r="N170" s="162"/>
      <c r="S170" s="367"/>
      <c r="U170" s="367"/>
      <c r="AA170" s="367"/>
      <c r="AE170" s="367"/>
      <c r="AL170" s="367"/>
      <c r="AP170" s="166"/>
      <c r="AQ170" s="166"/>
      <c r="AR170" s="166"/>
      <c r="AS170" s="166"/>
      <c r="AT170" s="166"/>
      <c r="AU170" s="166"/>
      <c r="AV170" s="166"/>
      <c r="AW170" s="166"/>
      <c r="AX170" s="166"/>
      <c r="AY170" s="166"/>
      <c r="AZ170" s="166"/>
      <c r="BA170" s="166"/>
      <c r="BB170" s="166"/>
      <c r="BC170" s="166"/>
      <c r="BD170" s="166"/>
      <c r="BE170" s="166"/>
      <c r="BF170" s="166"/>
      <c r="BG170" s="166"/>
      <c r="BH170" s="166"/>
      <c r="BI170" s="166"/>
      <c r="BJ170" s="166"/>
      <c r="BK170" s="166"/>
      <c r="BL170" s="166"/>
      <c r="BM170" s="155"/>
    </row>
    <row r="171" spans="1:65" s="157" customFormat="1">
      <c r="A171" s="162"/>
      <c r="B171" s="162"/>
      <c r="C171" s="162"/>
      <c r="D171" s="162"/>
      <c r="E171" s="162"/>
      <c r="F171" s="367"/>
      <c r="G171" s="162"/>
      <c r="H171" s="162"/>
      <c r="I171" s="162"/>
      <c r="J171" s="162"/>
      <c r="K171" s="162"/>
      <c r="L171" s="162"/>
      <c r="M171" s="946"/>
      <c r="N171" s="162"/>
      <c r="S171" s="367"/>
      <c r="U171" s="367"/>
      <c r="AA171" s="367"/>
      <c r="AE171" s="367"/>
      <c r="AL171" s="367"/>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55"/>
    </row>
    <row r="172" spans="1:65" s="157" customFormat="1">
      <c r="A172" s="162"/>
      <c r="B172" s="162"/>
      <c r="C172" s="162"/>
      <c r="D172" s="162"/>
      <c r="E172" s="162"/>
      <c r="F172" s="367"/>
      <c r="G172" s="162"/>
      <c r="H172" s="162"/>
      <c r="I172" s="162"/>
      <c r="J172" s="162"/>
      <c r="K172" s="162"/>
      <c r="L172" s="162"/>
      <c r="M172" s="946"/>
      <c r="N172" s="162"/>
      <c r="S172" s="367"/>
      <c r="U172" s="367"/>
      <c r="AA172" s="367"/>
      <c r="AE172" s="367"/>
      <c r="AL172" s="367"/>
      <c r="AP172" s="166"/>
      <c r="AQ172" s="166"/>
      <c r="AR172" s="166"/>
      <c r="AS172" s="166"/>
      <c r="AT172" s="166"/>
      <c r="AU172" s="166"/>
      <c r="AV172" s="166"/>
      <c r="AW172" s="166"/>
      <c r="AX172" s="166"/>
      <c r="AY172" s="166"/>
      <c r="AZ172" s="166"/>
      <c r="BA172" s="166"/>
      <c r="BB172" s="166"/>
      <c r="BC172" s="166"/>
      <c r="BD172" s="166"/>
      <c r="BE172" s="166"/>
      <c r="BF172" s="166"/>
      <c r="BG172" s="166"/>
      <c r="BH172" s="166"/>
      <c r="BI172" s="166"/>
      <c r="BJ172" s="166"/>
      <c r="BK172" s="166"/>
      <c r="BL172" s="166"/>
      <c r="BM172" s="155"/>
    </row>
    <row r="173" spans="1:65" s="157" customFormat="1">
      <c r="A173" s="162"/>
      <c r="B173" s="162"/>
      <c r="C173" s="162"/>
      <c r="D173" s="162"/>
      <c r="E173" s="162"/>
      <c r="F173" s="367"/>
      <c r="G173" s="162"/>
      <c r="H173" s="162"/>
      <c r="I173" s="162"/>
      <c r="J173" s="162"/>
      <c r="K173" s="162"/>
      <c r="L173" s="162"/>
      <c r="M173" s="946"/>
      <c r="N173" s="162"/>
      <c r="S173" s="367"/>
      <c r="U173" s="367"/>
      <c r="AA173" s="367"/>
      <c r="AE173" s="367"/>
      <c r="AL173" s="367"/>
      <c r="AP173" s="166"/>
      <c r="AQ173" s="166"/>
      <c r="AR173" s="166"/>
      <c r="AS173" s="166"/>
      <c r="AT173" s="166"/>
      <c r="AU173" s="166"/>
      <c r="AV173" s="166"/>
      <c r="AW173" s="166"/>
      <c r="AX173" s="166"/>
      <c r="AY173" s="166"/>
      <c r="AZ173" s="166"/>
      <c r="BA173" s="166"/>
      <c r="BB173" s="166"/>
      <c r="BC173" s="166"/>
      <c r="BD173" s="166"/>
      <c r="BE173" s="166"/>
      <c r="BF173" s="166"/>
      <c r="BG173" s="166"/>
      <c r="BH173" s="166"/>
      <c r="BI173" s="166"/>
      <c r="BJ173" s="166"/>
      <c r="BK173" s="166"/>
      <c r="BL173" s="166"/>
      <c r="BM173" s="155"/>
    </row>
    <row r="174" spans="1:65" s="157" customFormat="1">
      <c r="A174" s="162"/>
      <c r="B174" s="162"/>
      <c r="C174" s="162"/>
      <c r="D174" s="162"/>
      <c r="E174" s="162"/>
      <c r="F174" s="367"/>
      <c r="G174" s="162"/>
      <c r="H174" s="162"/>
      <c r="I174" s="162"/>
      <c r="J174" s="162"/>
      <c r="K174" s="162"/>
      <c r="L174" s="162"/>
      <c r="M174" s="946"/>
      <c r="N174" s="162"/>
      <c r="S174" s="367"/>
      <c r="U174" s="367"/>
      <c r="AA174" s="367"/>
      <c r="AE174" s="367"/>
      <c r="AL174" s="367"/>
      <c r="AP174" s="166"/>
      <c r="AQ174" s="166"/>
      <c r="AR174" s="166"/>
      <c r="AS174" s="166"/>
      <c r="AT174" s="166"/>
      <c r="AU174" s="166"/>
      <c r="AV174" s="166"/>
      <c r="AW174" s="166"/>
      <c r="AX174" s="166"/>
      <c r="AY174" s="166"/>
      <c r="AZ174" s="166"/>
      <c r="BA174" s="166"/>
      <c r="BB174" s="166"/>
      <c r="BC174" s="166"/>
      <c r="BD174" s="166"/>
      <c r="BE174" s="166"/>
      <c r="BF174" s="166"/>
      <c r="BG174" s="166"/>
      <c r="BH174" s="166"/>
      <c r="BI174" s="166"/>
      <c r="BJ174" s="166"/>
      <c r="BK174" s="166"/>
      <c r="BL174" s="166"/>
      <c r="BM174" s="155"/>
    </row>
    <row r="175" spans="1:65" s="157" customFormat="1">
      <c r="A175" s="162"/>
      <c r="B175" s="162"/>
      <c r="C175" s="162"/>
      <c r="D175" s="162"/>
      <c r="E175" s="162"/>
      <c r="F175" s="367"/>
      <c r="G175" s="162"/>
      <c r="H175" s="162"/>
      <c r="I175" s="162"/>
      <c r="J175" s="162"/>
      <c r="K175" s="162"/>
      <c r="L175" s="162"/>
      <c r="M175" s="946"/>
      <c r="N175" s="162"/>
      <c r="S175" s="367"/>
      <c r="U175" s="367"/>
      <c r="AA175" s="367"/>
      <c r="AE175" s="367"/>
      <c r="AL175" s="367"/>
      <c r="AP175" s="166"/>
      <c r="AQ175" s="166"/>
      <c r="AR175" s="166"/>
      <c r="AS175" s="166"/>
      <c r="AT175" s="166"/>
      <c r="AU175" s="166"/>
      <c r="AV175" s="166"/>
      <c r="AW175" s="166"/>
      <c r="AX175" s="166"/>
      <c r="AY175" s="166"/>
      <c r="AZ175" s="166"/>
      <c r="BA175" s="166"/>
      <c r="BB175" s="166"/>
      <c r="BC175" s="166"/>
      <c r="BD175" s="166"/>
      <c r="BE175" s="166"/>
      <c r="BF175" s="166"/>
      <c r="BG175" s="166"/>
      <c r="BH175" s="166"/>
      <c r="BI175" s="166"/>
      <c r="BJ175" s="166"/>
      <c r="BK175" s="166"/>
      <c r="BL175" s="166"/>
      <c r="BM175" s="155"/>
    </row>
    <row r="176" spans="1:65" s="157" customFormat="1">
      <c r="A176" s="162"/>
      <c r="B176" s="162"/>
      <c r="C176" s="162"/>
      <c r="D176" s="162"/>
      <c r="E176" s="162"/>
      <c r="F176" s="367"/>
      <c r="G176" s="162"/>
      <c r="H176" s="162"/>
      <c r="I176" s="162"/>
      <c r="J176" s="162"/>
      <c r="K176" s="162"/>
      <c r="L176" s="162"/>
      <c r="M176" s="946"/>
      <c r="N176" s="162"/>
      <c r="S176" s="367"/>
      <c r="U176" s="367"/>
      <c r="AA176" s="367"/>
      <c r="AE176" s="367"/>
      <c r="AL176" s="367"/>
      <c r="AP176" s="166"/>
      <c r="AQ176" s="166"/>
      <c r="AR176" s="166"/>
      <c r="AS176" s="166"/>
      <c r="AT176" s="166"/>
      <c r="AU176" s="166"/>
      <c r="AV176" s="166"/>
      <c r="AW176" s="166"/>
      <c r="AX176" s="166"/>
      <c r="AY176" s="166"/>
      <c r="AZ176" s="166"/>
      <c r="BA176" s="166"/>
      <c r="BB176" s="166"/>
      <c r="BC176" s="166"/>
      <c r="BD176" s="166"/>
      <c r="BE176" s="166"/>
      <c r="BF176" s="166"/>
      <c r="BG176" s="166"/>
      <c r="BH176" s="166"/>
      <c r="BI176" s="166"/>
      <c r="BJ176" s="166"/>
      <c r="BK176" s="166"/>
      <c r="BL176" s="166"/>
      <c r="BM176" s="155"/>
    </row>
    <row r="177" spans="1:65" s="157" customFormat="1">
      <c r="A177" s="162"/>
      <c r="B177" s="162"/>
      <c r="C177" s="162"/>
      <c r="D177" s="162"/>
      <c r="E177" s="162"/>
      <c r="F177" s="367"/>
      <c r="G177" s="162"/>
      <c r="H177" s="162"/>
      <c r="I177" s="162"/>
      <c r="J177" s="162"/>
      <c r="K177" s="162"/>
      <c r="L177" s="162"/>
      <c r="M177" s="946"/>
      <c r="N177" s="162"/>
      <c r="S177" s="367"/>
      <c r="U177" s="367"/>
      <c r="AA177" s="367"/>
      <c r="AE177" s="367"/>
      <c r="AL177" s="367"/>
      <c r="AP177" s="166"/>
      <c r="AQ177" s="166"/>
      <c r="AR177" s="166"/>
      <c r="AS177" s="166"/>
      <c r="AT177" s="166"/>
      <c r="AU177" s="166"/>
      <c r="AV177" s="166"/>
      <c r="AW177" s="166"/>
      <c r="AX177" s="166"/>
      <c r="AY177" s="166"/>
      <c r="AZ177" s="166"/>
      <c r="BA177" s="166"/>
      <c r="BB177" s="166"/>
      <c r="BC177" s="166"/>
      <c r="BD177" s="166"/>
      <c r="BE177" s="166"/>
      <c r="BF177" s="166"/>
      <c r="BG177" s="166"/>
      <c r="BH177" s="166"/>
      <c r="BI177" s="166"/>
      <c r="BJ177" s="166"/>
      <c r="BK177" s="166"/>
      <c r="BL177" s="166"/>
      <c r="BM177" s="155"/>
    </row>
    <row r="178" spans="1:65" s="157" customFormat="1">
      <c r="A178" s="162"/>
      <c r="B178" s="162"/>
      <c r="C178" s="162"/>
      <c r="D178" s="162"/>
      <c r="E178" s="162"/>
      <c r="F178" s="367"/>
      <c r="G178" s="162"/>
      <c r="H178" s="162"/>
      <c r="I178" s="162"/>
      <c r="J178" s="162"/>
      <c r="K178" s="162"/>
      <c r="L178" s="162"/>
      <c r="M178" s="946"/>
      <c r="N178" s="162"/>
      <c r="S178" s="367"/>
      <c r="U178" s="367"/>
      <c r="AA178" s="367"/>
      <c r="AE178" s="367"/>
      <c r="AL178" s="367"/>
      <c r="AP178" s="166"/>
      <c r="AQ178" s="166"/>
      <c r="AR178" s="166"/>
      <c r="AS178" s="166"/>
      <c r="AT178" s="166"/>
      <c r="AU178" s="166"/>
      <c r="AV178" s="166"/>
      <c r="AW178" s="166"/>
      <c r="AX178" s="166"/>
      <c r="AY178" s="166"/>
      <c r="AZ178" s="166"/>
      <c r="BA178" s="166"/>
      <c r="BB178" s="166"/>
      <c r="BC178" s="166"/>
      <c r="BD178" s="166"/>
      <c r="BE178" s="166"/>
      <c r="BF178" s="166"/>
      <c r="BG178" s="166"/>
      <c r="BH178" s="166"/>
      <c r="BI178" s="166"/>
      <c r="BJ178" s="166"/>
      <c r="BK178" s="166"/>
      <c r="BL178" s="166"/>
      <c r="BM178" s="155"/>
    </row>
    <row r="179" spans="1:65" s="157" customFormat="1">
      <c r="A179" s="162"/>
      <c r="B179" s="162"/>
      <c r="C179" s="162"/>
      <c r="D179" s="162"/>
      <c r="E179" s="162"/>
      <c r="F179" s="367"/>
      <c r="G179" s="162"/>
      <c r="H179" s="162"/>
      <c r="I179" s="162"/>
      <c r="J179" s="162"/>
      <c r="K179" s="162"/>
      <c r="L179" s="162"/>
      <c r="M179" s="946"/>
      <c r="N179" s="162"/>
      <c r="S179" s="367"/>
      <c r="U179" s="367"/>
      <c r="AA179" s="367"/>
      <c r="AE179" s="367"/>
      <c r="AL179" s="367"/>
      <c r="AP179" s="166"/>
      <c r="AQ179" s="166"/>
      <c r="AR179" s="166"/>
      <c r="AS179" s="166"/>
      <c r="AT179" s="166"/>
      <c r="AU179" s="166"/>
      <c r="AV179" s="166"/>
      <c r="AW179" s="166"/>
      <c r="AX179" s="166"/>
      <c r="AY179" s="166"/>
      <c r="AZ179" s="166"/>
      <c r="BA179" s="166"/>
      <c r="BB179" s="166"/>
      <c r="BC179" s="166"/>
      <c r="BD179" s="166"/>
      <c r="BE179" s="166"/>
      <c r="BF179" s="166"/>
      <c r="BG179" s="166"/>
      <c r="BH179" s="166"/>
      <c r="BI179" s="166"/>
      <c r="BJ179" s="166"/>
      <c r="BK179" s="166"/>
      <c r="BL179" s="166"/>
      <c r="BM179" s="155"/>
    </row>
    <row r="180" spans="1:65" s="157" customFormat="1">
      <c r="A180" s="162"/>
      <c r="B180" s="162"/>
      <c r="C180" s="162"/>
      <c r="D180" s="162"/>
      <c r="E180" s="162"/>
      <c r="F180" s="367"/>
      <c r="G180" s="162"/>
      <c r="H180" s="162"/>
      <c r="I180" s="162"/>
      <c r="J180" s="162"/>
      <c r="K180" s="162"/>
      <c r="L180" s="162"/>
      <c r="M180" s="946"/>
      <c r="N180" s="162"/>
      <c r="S180" s="367"/>
      <c r="U180" s="367"/>
      <c r="AA180" s="367"/>
      <c r="AE180" s="367"/>
      <c r="AL180" s="367"/>
      <c r="AP180" s="166"/>
      <c r="AQ180" s="166"/>
      <c r="AR180" s="166"/>
      <c r="AS180" s="166"/>
      <c r="AT180" s="166"/>
      <c r="AU180" s="166"/>
      <c r="AV180" s="166"/>
      <c r="AW180" s="166"/>
      <c r="AX180" s="166"/>
      <c r="AY180" s="166"/>
      <c r="AZ180" s="166"/>
      <c r="BA180" s="166"/>
      <c r="BB180" s="166"/>
      <c r="BC180" s="166"/>
      <c r="BD180" s="166"/>
      <c r="BE180" s="166"/>
      <c r="BF180" s="166"/>
      <c r="BG180" s="166"/>
      <c r="BH180" s="166"/>
      <c r="BI180" s="166"/>
      <c r="BJ180" s="166"/>
      <c r="BK180" s="166"/>
      <c r="BL180" s="166"/>
      <c r="BM180" s="155"/>
    </row>
    <row r="181" spans="1:65" s="157" customFormat="1">
      <c r="A181" s="162"/>
      <c r="B181" s="162"/>
      <c r="C181" s="162"/>
      <c r="D181" s="162"/>
      <c r="E181" s="162"/>
      <c r="F181" s="367"/>
      <c r="G181" s="162"/>
      <c r="H181" s="162"/>
      <c r="I181" s="162"/>
      <c r="J181" s="162"/>
      <c r="K181" s="162"/>
      <c r="L181" s="162"/>
      <c r="M181" s="946"/>
      <c r="N181" s="162"/>
      <c r="S181" s="367"/>
      <c r="U181" s="367"/>
      <c r="AA181" s="367"/>
      <c r="AE181" s="367"/>
      <c r="AL181" s="367"/>
      <c r="AP181" s="166"/>
      <c r="AQ181" s="166"/>
      <c r="AR181" s="166"/>
      <c r="AS181" s="166"/>
      <c r="AT181" s="166"/>
      <c r="AU181" s="166"/>
      <c r="AV181" s="166"/>
      <c r="AW181" s="166"/>
      <c r="AX181" s="166"/>
      <c r="AY181" s="166"/>
      <c r="AZ181" s="166"/>
      <c r="BA181" s="166"/>
      <c r="BB181" s="166"/>
      <c r="BC181" s="166"/>
      <c r="BD181" s="166"/>
      <c r="BE181" s="166"/>
      <c r="BF181" s="166"/>
      <c r="BG181" s="166"/>
      <c r="BH181" s="166"/>
      <c r="BI181" s="166"/>
      <c r="BJ181" s="166"/>
      <c r="BK181" s="166"/>
      <c r="BL181" s="166"/>
      <c r="BM181" s="155"/>
    </row>
    <row r="182" spans="1:65" s="157" customFormat="1">
      <c r="A182" s="162"/>
      <c r="B182" s="162"/>
      <c r="C182" s="162"/>
      <c r="D182" s="162"/>
      <c r="E182" s="162"/>
      <c r="F182" s="367"/>
      <c r="G182" s="162"/>
      <c r="H182" s="162"/>
      <c r="I182" s="162"/>
      <c r="J182" s="162"/>
      <c r="K182" s="162"/>
      <c r="L182" s="162"/>
      <c r="M182" s="946"/>
      <c r="N182" s="162"/>
      <c r="S182" s="367"/>
      <c r="U182" s="367"/>
      <c r="AA182" s="367"/>
      <c r="AE182" s="367"/>
      <c r="AL182" s="367"/>
      <c r="AP182" s="166"/>
      <c r="AQ182" s="166"/>
      <c r="AR182" s="166"/>
      <c r="AS182" s="166"/>
      <c r="AT182" s="166"/>
      <c r="AU182" s="166"/>
      <c r="AV182" s="166"/>
      <c r="AW182" s="166"/>
      <c r="AX182" s="166"/>
      <c r="AY182" s="166"/>
      <c r="AZ182" s="166"/>
      <c r="BA182" s="166"/>
      <c r="BB182" s="166"/>
      <c r="BC182" s="166"/>
      <c r="BD182" s="166"/>
      <c r="BE182" s="166"/>
      <c r="BF182" s="166"/>
      <c r="BG182" s="166"/>
      <c r="BH182" s="166"/>
      <c r="BI182" s="166"/>
      <c r="BJ182" s="166"/>
      <c r="BK182" s="166"/>
      <c r="BL182" s="166"/>
      <c r="BM182" s="155"/>
    </row>
  </sheetData>
  <mergeCells count="40">
    <mergeCell ref="AF26:AF27"/>
    <mergeCell ref="AG26:AG27"/>
    <mergeCell ref="AH26:AH27"/>
    <mergeCell ref="AI26:AI27"/>
    <mergeCell ref="X26:X27"/>
    <mergeCell ref="Y26:Y27"/>
    <mergeCell ref="Z26:Z27"/>
    <mergeCell ref="AB26:AB27"/>
    <mergeCell ref="AC26:AC27"/>
    <mergeCell ref="AD26:AD27"/>
    <mergeCell ref="W26:W27"/>
    <mergeCell ref="D16:E16"/>
    <mergeCell ref="D17:E17"/>
    <mergeCell ref="D18:E18"/>
    <mergeCell ref="D19:E19"/>
    <mergeCell ref="D20:E20"/>
    <mergeCell ref="D24:E24"/>
    <mergeCell ref="D25:E25"/>
    <mergeCell ref="E26:E27"/>
    <mergeCell ref="R26:R27"/>
    <mergeCell ref="T26:T27"/>
    <mergeCell ref="V26:V27"/>
    <mergeCell ref="AF11:AF12"/>
    <mergeCell ref="AG11:AG12"/>
    <mergeCell ref="AH11:AH12"/>
    <mergeCell ref="AI11:AI12"/>
    <mergeCell ref="D14:E14"/>
    <mergeCell ref="AC11:AC12"/>
    <mergeCell ref="AD11:AD12"/>
    <mergeCell ref="D15:E15"/>
    <mergeCell ref="X11:X12"/>
    <mergeCell ref="Y11:Y12"/>
    <mergeCell ref="Z11:Z12"/>
    <mergeCell ref="AB11:AB12"/>
    <mergeCell ref="W11:W12"/>
    <mergeCell ref="D10:E10"/>
    <mergeCell ref="D11:E12"/>
    <mergeCell ref="R11:R12"/>
    <mergeCell ref="T11:T12"/>
    <mergeCell ref="V11:V12"/>
  </mergeCells>
  <conditionalFormatting sqref="R28:R97 V28:Z97 AB28:AD97 AF28:AI97">
    <cfRule type="expression" dxfId="188" priority="7">
      <formula>$AN28=R28</formula>
    </cfRule>
    <cfRule type="expression" dxfId="187" priority="8">
      <formula>$AO28=R28</formula>
    </cfRule>
    <cfRule type="expression" dxfId="186" priority="13">
      <formula>$AO28=R28</formula>
    </cfRule>
    <cfRule type="expression" dxfId="185" priority="14">
      <formula>$AN28=R28</formula>
    </cfRule>
  </conditionalFormatting>
  <conditionalFormatting sqref="R25 V25:Z25 AB25:AD25 AF25:AI25">
    <cfRule type="expression" dxfId="184" priority="11">
      <formula>R24=1</formula>
    </cfRule>
  </conditionalFormatting>
  <conditionalFormatting sqref="E28:E97 T28:T97 G28:R97 V28:Z97 AB28:AD97 AF28:AI97">
    <cfRule type="expression" dxfId="183" priority="10">
      <formula>$C28=2</formula>
    </cfRule>
  </conditionalFormatting>
  <conditionalFormatting sqref="T25">
    <cfRule type="expression" dxfId="182" priority="6">
      <formula>T24=1</formula>
    </cfRule>
  </conditionalFormatting>
  <conditionalFormatting sqref="D28:Z97 AB28:AD97 AF28:AK97">
    <cfRule type="expression" dxfId="181" priority="15" stopIfTrue="1">
      <formula>$B28=0</formula>
    </cfRule>
  </conditionalFormatting>
  <conditionalFormatting sqref="D28:E96 T28:T96 G28:R96 V28:Z96 AB28:AD96 AF28:AI96">
    <cfRule type="expression" dxfId="180" priority="9">
      <formula>$C28=1</formula>
    </cfRule>
    <cfRule type="expression" dxfId="179" priority="12">
      <formula>AND($B28&gt;0,$B29=0)</formula>
    </cfRule>
  </conditionalFormatting>
  <conditionalFormatting sqref="R14:R19 T14:T19 V14:Z19 AB14:AD17 AF14:AI19">
    <cfRule type="expression" dxfId="178" priority="1">
      <formula>$AO14=R14</formula>
    </cfRule>
    <cfRule type="expression" dxfId="177" priority="2">
      <formula>$AN14=R14</formula>
    </cfRule>
    <cfRule type="expression" dxfId="176" priority="4">
      <formula>$C14=3</formula>
    </cfRule>
    <cfRule type="expression" dxfId="175" priority="5">
      <formula>$C14=2</formula>
    </cfRule>
  </conditionalFormatting>
  <conditionalFormatting sqref="R14:R19 T14:T19 V14:Z19 AB14:AD17 AF14:AI19 D14:E19">
    <cfRule type="expression" dxfId="174" priority="3">
      <formula>$C14=1</formula>
    </cfRule>
  </conditionalFormatting>
  <conditionalFormatting sqref="D97:E97 T97 G97:R97 V97:Z97 AB97:AD97 AF97:AI97">
    <cfRule type="expression" dxfId="173" priority="4484">
      <formula>$C97=1</formula>
    </cfRule>
    <cfRule type="expression" dxfId="172" priority="4485">
      <formula>AND($B97&gt;0,#REF!=0)</formula>
    </cfRule>
  </conditionalFormatting>
  <pageMargins left="0.55118110236220474" right="0.55118110236220474" top="0.59055118110236227" bottom="0.78740157480314965" header="0.51181102362204722" footer="0.51181102362204722"/>
  <pageSetup paperSize="9" scale="22" orientation="landscape" r:id="rId1"/>
  <headerFooter alignWithMargins="0">
    <oddHeader>&amp;RNEC SAFE CITIES INDEX: 2021</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551041" r:id="rId4" name="RC_Indi_Select">
              <controlPr defaultSize="0" autoLine="0" autoPict="0" macro="[0]!Scroll">
                <anchor>
                  <from>
                    <xdr:col>0</xdr:col>
                    <xdr:colOff>76200</xdr:colOff>
                    <xdr:row>1</xdr:row>
                    <xdr:rowOff>546100</xdr:rowOff>
                  </from>
                  <to>
                    <xdr:col>19</xdr:col>
                    <xdr:colOff>323850</xdr:colOff>
                    <xdr:row>1</xdr:row>
                    <xdr:rowOff>762000</xdr:rowOff>
                  </to>
                </anchor>
              </controlPr>
            </control>
          </mc:Choice>
        </mc:AlternateContent>
        <mc:AlternateContent xmlns:mc="http://schemas.openxmlformats.org/markup-compatibility/2006">
          <mc:Choice Requires="x14">
            <control shapeId="14551043" r:id="rId5" name="FreezeSwitch">
              <controlPr defaultSize="0" print="0" autoFill="0" autoLine="0" autoPict="0" macro="[0]!UniversalChanger">
                <anchor moveWithCells="1">
                  <from>
                    <xdr:col>32</xdr:col>
                    <xdr:colOff>266700</xdr:colOff>
                    <xdr:row>9</xdr:row>
                    <xdr:rowOff>152400</xdr:rowOff>
                  </from>
                  <to>
                    <xdr:col>36</xdr:col>
                    <xdr:colOff>76200</xdr:colOff>
                    <xdr:row>9</xdr:row>
                    <xdr:rowOff>374650</xdr:rowOff>
                  </to>
                </anchor>
              </controlPr>
            </control>
          </mc:Choice>
        </mc:AlternateContent>
        <mc:AlternateContent xmlns:mc="http://schemas.openxmlformats.org/markup-compatibility/2006">
          <mc:Choice Requires="x14">
            <control shapeId="14551048" r:id="rId6" name="INCOME_FILTER">
              <controlPr defaultSize="0" print="0" autoLine="0" autoPict="0" macro="[0]!UniversalChanger">
                <anchor>
                  <from>
                    <xdr:col>4</xdr:col>
                    <xdr:colOff>2717800</xdr:colOff>
                    <xdr:row>3</xdr:row>
                    <xdr:rowOff>304800</xdr:rowOff>
                  </from>
                  <to>
                    <xdr:col>19</xdr:col>
                    <xdr:colOff>552450</xdr:colOff>
                    <xdr:row>3</xdr:row>
                    <xdr:rowOff>527050</xdr:rowOff>
                  </to>
                </anchor>
              </controlPr>
            </control>
          </mc:Choice>
        </mc:AlternateContent>
        <mc:AlternateContent xmlns:mc="http://schemas.openxmlformats.org/markup-compatibility/2006">
          <mc:Choice Requires="x14">
            <control shapeId="14551049" r:id="rId7" name="R_FILTER">
              <controlPr defaultSize="0" print="0" autoLine="0" autoPict="0" macro="[0]!UniversalChanger">
                <anchor>
                  <from>
                    <xdr:col>4</xdr:col>
                    <xdr:colOff>546100</xdr:colOff>
                    <xdr:row>3</xdr:row>
                    <xdr:rowOff>298450</xdr:rowOff>
                  </from>
                  <to>
                    <xdr:col>4</xdr:col>
                    <xdr:colOff>2343150</xdr:colOff>
                    <xdr:row>3</xdr:row>
                    <xdr:rowOff>514350</xdr:rowOff>
                  </to>
                </anchor>
              </controlPr>
            </control>
          </mc:Choice>
        </mc:AlternateContent>
        <mc:AlternateContent xmlns:mc="http://schemas.openxmlformats.org/markup-compatibility/2006">
          <mc:Choice Requires="x14">
            <control shapeId="14551050" r:id="rId8" name="L_Weights">
              <controlPr defaultSize="0" print="0" autoLine="0" autoPict="0" macro="[0]!UniversalChanger">
                <anchor>
                  <from>
                    <xdr:col>31</xdr:col>
                    <xdr:colOff>393700</xdr:colOff>
                    <xdr:row>3</xdr:row>
                    <xdr:rowOff>298450</xdr:rowOff>
                  </from>
                  <to>
                    <xdr:col>34</xdr:col>
                    <xdr:colOff>508000</xdr:colOff>
                    <xdr:row>3</xdr:row>
                    <xdr:rowOff>514350</xdr:rowOff>
                  </to>
                </anchor>
              </controlPr>
            </control>
          </mc:Choice>
        </mc:AlternateContent>
        <mc:AlternateContent xmlns:mc="http://schemas.openxmlformats.org/markup-compatibility/2006">
          <mc:Choice Requires="x14">
            <control shapeId="14551051" r:id="rId9" name="POP_DD">
              <controlPr defaultSize="0" print="0" autoLine="0" autoPict="0" macro="[0]!UniversalChanger">
                <anchor>
                  <from>
                    <xdr:col>21</xdr:col>
                    <xdr:colOff>323850</xdr:colOff>
                    <xdr:row>3</xdr:row>
                    <xdr:rowOff>298450</xdr:rowOff>
                  </from>
                  <to>
                    <xdr:col>24</xdr:col>
                    <xdr:colOff>438150</xdr:colOff>
                    <xdr:row>3</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pageSetUpPr fitToPage="1"/>
  </sheetPr>
  <dimension ref="A1:BB50"/>
  <sheetViews>
    <sheetView showGridLines="0" showRowColHeaders="0" zoomScaleNormal="100" workbookViewId="0">
      <pane ySplit="9" topLeftCell="A10" activePane="bottomLeft" state="frozen"/>
      <selection pane="bottomLeft"/>
    </sheetView>
  </sheetViews>
  <sheetFormatPr defaultColWidth="9.1796875" defaultRowHeight="15" customHeight="1" zeroHeight="1"/>
  <cols>
    <col min="1" max="1" width="1.7265625" style="156" customWidth="1"/>
    <col min="2" max="2" width="40.453125" style="156" customWidth="1"/>
    <col min="3" max="3" width="4.7265625" style="156" customWidth="1"/>
    <col min="4" max="4" width="3.7265625" style="156" customWidth="1"/>
    <col min="5" max="5" width="8.7265625" style="156" hidden="1" customWidth="1"/>
    <col min="6" max="6" width="20.26953125" style="156" customWidth="1"/>
    <col min="7" max="9" width="9.1796875" style="156"/>
    <col min="10" max="10" width="5.453125" style="156" customWidth="1"/>
    <col min="11" max="12" width="9.1796875" style="156"/>
    <col min="13" max="13" width="7.26953125" style="156" customWidth="1"/>
    <col min="14" max="15" width="9.1796875" style="156"/>
    <col min="16" max="18" width="5.453125" style="156" customWidth="1"/>
    <col min="19" max="19" width="12.26953125" style="156" customWidth="1"/>
    <col min="20" max="20" width="0.1796875" style="156" customWidth="1"/>
    <col min="21" max="21" width="0.26953125" style="156" customWidth="1"/>
    <col min="22" max="22" width="0.453125" style="156" customWidth="1"/>
    <col min="23" max="51" width="9.453125" style="156" hidden="1" customWidth="1"/>
    <col min="52" max="54" width="10.453125" style="156" customWidth="1"/>
    <col min="55" max="16384" width="9.1796875" style="367"/>
  </cols>
  <sheetData>
    <row r="1" spans="1:54" ht="22.5" customHeight="1">
      <c r="A1" s="599" t="str">
        <f>uxb_works!$B$92</f>
        <v>Digital Cities Index</v>
      </c>
      <c r="B1" s="599"/>
      <c r="C1" s="599"/>
      <c r="D1" s="599"/>
      <c r="E1" s="599"/>
      <c r="F1" s="599"/>
      <c r="G1" s="599"/>
      <c r="H1" s="599"/>
      <c r="I1" s="599"/>
      <c r="J1" s="599"/>
      <c r="K1" s="599"/>
      <c r="L1" s="599"/>
      <c r="M1" s="599"/>
      <c r="N1" s="599"/>
      <c r="O1" s="599"/>
      <c r="P1" s="599"/>
      <c r="Q1" s="599"/>
      <c r="R1" s="599"/>
      <c r="S1" s="599"/>
      <c r="T1" s="324"/>
      <c r="U1" s="324"/>
      <c r="V1" s="132"/>
      <c r="W1" s="132"/>
      <c r="X1" s="132"/>
      <c r="Y1" s="132"/>
      <c r="Z1" s="132"/>
      <c r="AA1" s="132"/>
      <c r="AB1" s="132"/>
      <c r="AC1" s="132"/>
      <c r="AD1" s="132"/>
      <c r="AE1" s="132"/>
      <c r="AF1" s="132"/>
      <c r="AG1" s="132"/>
      <c r="AH1" s="132"/>
      <c r="AI1" s="132"/>
      <c r="AJ1" s="132"/>
      <c r="AK1" s="132"/>
      <c r="AL1" s="132"/>
      <c r="AM1" s="132"/>
      <c r="AN1" s="132"/>
      <c r="AO1" s="132"/>
      <c r="AP1" s="132"/>
      <c r="AQ1" s="132"/>
      <c r="AR1" s="132"/>
      <c r="AS1" s="132"/>
      <c r="AT1" s="132"/>
      <c r="AU1" s="132"/>
      <c r="AV1" s="132"/>
      <c r="AW1" s="132"/>
      <c r="AX1" s="132"/>
      <c r="AY1" s="132"/>
      <c r="AZ1" s="132"/>
      <c r="BA1" s="133">
        <v>1</v>
      </c>
      <c r="BB1" s="133">
        <v>7</v>
      </c>
    </row>
    <row r="2" spans="1:54" ht="63" customHeight="1">
      <c r="A2" s="155"/>
      <c r="D2" s="155"/>
      <c r="G2" s="155"/>
      <c r="J2" s="155"/>
      <c r="O2" s="162"/>
      <c r="BA2" s="155"/>
      <c r="BB2" s="155"/>
    </row>
    <row r="3" spans="1:54" ht="3" customHeight="1">
      <c r="A3" s="369"/>
      <c r="B3" s="369"/>
      <c r="C3" s="369"/>
      <c r="D3" s="369"/>
      <c r="E3" s="369"/>
      <c r="F3" s="369"/>
      <c r="G3" s="369"/>
      <c r="H3" s="369"/>
      <c r="I3" s="369"/>
      <c r="J3" s="369"/>
      <c r="K3" s="369"/>
      <c r="L3" s="369"/>
      <c r="M3" s="369"/>
      <c r="N3" s="369"/>
      <c r="O3" s="369"/>
      <c r="P3" s="369"/>
      <c r="Q3" s="369"/>
      <c r="R3" s="369"/>
      <c r="S3" s="369"/>
      <c r="T3" s="369"/>
      <c r="U3" s="369"/>
      <c r="V3" s="369"/>
      <c r="BA3" s="155"/>
      <c r="BB3" s="155"/>
    </row>
    <row r="4" spans="1:54" ht="50.15" customHeight="1">
      <c r="A4" s="370"/>
      <c r="B4" s="370"/>
      <c r="C4" s="370"/>
      <c r="D4" s="370"/>
      <c r="E4" s="370"/>
      <c r="F4" s="370"/>
      <c r="G4" s="370"/>
      <c r="H4" s="370"/>
      <c r="I4" s="370"/>
      <c r="J4" s="370"/>
      <c r="K4" s="370"/>
      <c r="L4" s="370"/>
      <c r="M4" s="370"/>
      <c r="N4" s="370"/>
      <c r="O4" s="370"/>
      <c r="P4" s="370"/>
      <c r="Q4" s="370"/>
      <c r="R4" s="370"/>
      <c r="S4" s="370"/>
      <c r="T4" s="370"/>
      <c r="U4" s="370"/>
      <c r="V4" s="370"/>
    </row>
    <row r="5" spans="1:54" ht="3" customHeight="1">
      <c r="A5" s="369"/>
      <c r="B5" s="369"/>
      <c r="C5" s="369"/>
      <c r="D5" s="369"/>
      <c r="E5" s="369"/>
      <c r="F5" s="369"/>
      <c r="G5" s="369"/>
      <c r="H5" s="369"/>
      <c r="I5" s="369"/>
      <c r="J5" s="369"/>
      <c r="K5" s="369"/>
      <c r="L5" s="369"/>
      <c r="M5" s="369"/>
      <c r="N5" s="369"/>
      <c r="O5" s="369"/>
      <c r="P5" s="369"/>
      <c r="Q5" s="369"/>
      <c r="R5" s="369"/>
      <c r="S5" s="369"/>
      <c r="T5" s="369"/>
      <c r="U5" s="369"/>
      <c r="V5" s="369"/>
    </row>
    <row r="6" spans="1:54" ht="15" hidden="1" customHeight="1">
      <c r="A6" s="653"/>
      <c r="B6" s="683" t="str">
        <f>uxb_works!$C$5</f>
        <v>The active weight profile has been changed from its default setting</v>
      </c>
      <c r="C6" s="653"/>
      <c r="D6" s="653"/>
      <c r="E6" s="653"/>
      <c r="F6" s="653"/>
      <c r="G6" s="653"/>
      <c r="H6" s="653"/>
      <c r="I6" s="653"/>
      <c r="J6" s="653"/>
      <c r="K6" s="653"/>
      <c r="L6" s="653"/>
      <c r="M6" s="653"/>
      <c r="N6" s="653"/>
      <c r="O6" s="653"/>
      <c r="P6" s="653"/>
      <c r="Q6" s="653"/>
      <c r="R6" s="653"/>
      <c r="S6" s="653"/>
      <c r="T6" s="653"/>
      <c r="U6" s="653"/>
      <c r="V6" s="653"/>
      <c r="W6" s="157"/>
      <c r="X6" s="157"/>
      <c r="Y6" s="157"/>
      <c r="Z6" s="157"/>
      <c r="AA6" s="157"/>
      <c r="AB6" s="157"/>
      <c r="AC6" s="157"/>
      <c r="AD6" s="157"/>
      <c r="AE6" s="157"/>
      <c r="AF6" s="157"/>
      <c r="AG6" s="157"/>
      <c r="AH6" s="157"/>
      <c r="AI6" s="157"/>
      <c r="AJ6" s="157"/>
      <c r="AK6" s="157"/>
      <c r="AL6" s="157"/>
      <c r="AM6" s="157"/>
      <c r="AN6" s="157"/>
      <c r="AO6" s="157"/>
      <c r="AP6" s="157"/>
      <c r="AQ6" s="197"/>
      <c r="AR6" s="197"/>
      <c r="AS6" s="197"/>
      <c r="AT6" s="197"/>
      <c r="AU6" s="197"/>
      <c r="AV6" s="197"/>
      <c r="AW6" s="197"/>
      <c r="AX6" s="197"/>
      <c r="AY6" s="197"/>
      <c r="AZ6" s="197"/>
      <c r="BA6" s="197"/>
      <c r="BB6" s="197"/>
    </row>
    <row r="7" spans="1:54" ht="35.25" hidden="1" customHeight="1">
      <c r="A7" s="171"/>
      <c r="B7" s="684"/>
      <c r="C7" s="171"/>
      <c r="D7" s="171"/>
      <c r="E7" s="171"/>
      <c r="F7" s="171"/>
      <c r="G7" s="171"/>
      <c r="H7" s="171"/>
      <c r="I7" s="171"/>
      <c r="J7" s="171"/>
      <c r="K7" s="171"/>
      <c r="L7" s="171"/>
      <c r="M7" s="171"/>
      <c r="N7" s="171"/>
      <c r="O7" s="171"/>
      <c r="P7" s="171"/>
      <c r="Q7" s="171"/>
      <c r="R7" s="171"/>
      <c r="S7" s="171"/>
      <c r="T7" s="171"/>
      <c r="U7" s="171"/>
      <c r="V7" s="171"/>
      <c r="W7" s="157"/>
      <c r="X7" s="157"/>
      <c r="Y7" s="157"/>
      <c r="Z7" s="157"/>
      <c r="AA7" s="157"/>
      <c r="AB7" s="157"/>
      <c r="AC7" s="157"/>
      <c r="AD7" s="157"/>
      <c r="AE7" s="157"/>
      <c r="AF7" s="157"/>
      <c r="AG7" s="157"/>
      <c r="AH7" s="157"/>
      <c r="AI7" s="157"/>
      <c r="AJ7" s="157"/>
      <c r="AK7" s="157"/>
      <c r="AL7" s="157"/>
      <c r="AM7" s="157"/>
      <c r="AN7" s="157"/>
      <c r="AO7" s="157"/>
      <c r="AP7" s="157"/>
      <c r="AQ7" s="197"/>
      <c r="AR7" s="197"/>
      <c r="AS7" s="197"/>
      <c r="AT7" s="197"/>
      <c r="AU7" s="197"/>
      <c r="AV7" s="197"/>
      <c r="AW7" s="197"/>
      <c r="AX7" s="197"/>
      <c r="AY7" s="197"/>
      <c r="AZ7" s="197"/>
      <c r="BA7" s="197"/>
      <c r="BB7" s="197"/>
    </row>
    <row r="8" spans="1:54" s="652" customFormat="1" ht="15" hidden="1" customHeight="1">
      <c r="A8" s="685"/>
      <c r="B8" s="686" t="str">
        <f>uxb_works!D67</f>
        <v>There are 30 cities in the active filter set</v>
      </c>
      <c r="C8" s="685"/>
      <c r="D8" s="685"/>
      <c r="E8" s="685"/>
      <c r="F8" s="685"/>
      <c r="G8" s="685"/>
      <c r="H8" s="685"/>
      <c r="I8" s="685"/>
      <c r="J8" s="685"/>
      <c r="K8" s="685"/>
      <c r="L8" s="685"/>
      <c r="M8" s="685"/>
      <c r="N8" s="685"/>
      <c r="O8" s="685"/>
      <c r="P8" s="685"/>
      <c r="Q8" s="685"/>
      <c r="R8" s="685"/>
      <c r="S8" s="685"/>
      <c r="T8" s="685"/>
      <c r="U8" s="685"/>
      <c r="V8" s="685"/>
      <c r="W8" s="201"/>
      <c r="X8" s="201"/>
      <c r="Y8" s="201"/>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201"/>
      <c r="AX8" s="201"/>
      <c r="AY8" s="201"/>
      <c r="AZ8" s="201"/>
      <c r="BA8" s="201"/>
      <c r="BB8" s="201"/>
    </row>
    <row r="9" spans="1:54" ht="60" hidden="1" customHeight="1" thickBot="1">
      <c r="A9" s="328"/>
      <c r="B9" s="328"/>
      <c r="C9" s="328"/>
      <c r="D9" s="328"/>
      <c r="E9" s="328"/>
      <c r="F9" s="328"/>
      <c r="G9" s="328"/>
      <c r="H9" s="328"/>
      <c r="I9" s="328"/>
      <c r="J9" s="328"/>
      <c r="K9" s="328"/>
      <c r="L9" s="328"/>
      <c r="M9" s="328"/>
      <c r="N9" s="328"/>
      <c r="O9" s="328"/>
      <c r="P9" s="328"/>
      <c r="Q9" s="328"/>
      <c r="R9" s="328"/>
      <c r="S9" s="328"/>
      <c r="T9" s="328"/>
      <c r="U9" s="328"/>
      <c r="V9" s="328"/>
      <c r="W9" s="157"/>
      <c r="X9" s="157"/>
      <c r="Y9" s="157"/>
      <c r="Z9" s="157"/>
      <c r="AA9" s="157"/>
      <c r="AB9" s="157"/>
      <c r="AC9" s="157"/>
      <c r="AD9" s="157"/>
      <c r="AE9" s="157"/>
      <c r="AF9" s="157"/>
      <c r="AG9" s="157"/>
      <c r="AH9" s="157"/>
      <c r="AI9" s="157"/>
      <c r="AJ9" s="157"/>
      <c r="AK9" s="157"/>
      <c r="AL9" s="157"/>
      <c r="AM9" s="157"/>
      <c r="AN9" s="157"/>
      <c r="AO9" s="157"/>
      <c r="AP9" s="157"/>
      <c r="AQ9" s="197"/>
      <c r="AR9" s="197"/>
      <c r="AS9" s="197"/>
      <c r="AT9" s="197"/>
      <c r="AU9" s="197"/>
      <c r="AV9" s="197"/>
      <c r="AW9" s="197"/>
      <c r="AX9" s="197"/>
      <c r="AY9" s="197"/>
      <c r="AZ9" s="197"/>
      <c r="BA9" s="197"/>
      <c r="BB9" s="197"/>
    </row>
    <row r="10" spans="1:54" ht="9.75" customHeight="1"/>
    <row r="11" spans="1:54" ht="33" customHeight="1">
      <c r="A11" s="650"/>
      <c r="B11" s="1176" t="str">
        <f ca="1">iScatter!G1</f>
        <v>OVERALL SCORE</v>
      </c>
      <c r="C11" s="1176"/>
      <c r="D11" s="1176"/>
      <c r="E11" s="1176"/>
      <c r="F11" s="1176"/>
      <c r="G11" s="651"/>
      <c r="H11" s="1177" t="str">
        <f ca="1">iScatter!G2</f>
        <v>OVERALL SCORE</v>
      </c>
      <c r="I11" s="1177"/>
      <c r="J11" s="1177"/>
      <c r="K11" s="1177"/>
      <c r="L11" s="1177"/>
      <c r="M11" s="1177"/>
      <c r="N11" s="1177"/>
      <c r="O11" s="650"/>
      <c r="P11" s="650"/>
      <c r="Q11" s="650"/>
      <c r="R11" s="650"/>
      <c r="S11" s="651"/>
      <c r="T11" s="651"/>
      <c r="U11" s="651"/>
      <c r="V11" s="651"/>
      <c r="W11" s="650"/>
      <c r="X11" s="651"/>
      <c r="Y11" s="651"/>
      <c r="Z11" s="650"/>
      <c r="AA11" s="650"/>
      <c r="AB11" s="650"/>
      <c r="AC11" s="650"/>
      <c r="AD11" s="650"/>
      <c r="AE11" s="650"/>
      <c r="AF11" s="650"/>
      <c r="AG11" s="650"/>
      <c r="AH11" s="650"/>
      <c r="AI11" s="650"/>
      <c r="AJ11" s="650"/>
      <c r="AK11" s="650"/>
      <c r="AL11" s="650"/>
      <c r="AM11" s="650"/>
      <c r="AN11" s="650"/>
      <c r="AO11" s="650"/>
      <c r="AP11" s="650"/>
      <c r="AQ11" s="650"/>
      <c r="AR11" s="650"/>
      <c r="AS11" s="650"/>
      <c r="AT11" s="650"/>
      <c r="AU11" s="650"/>
      <c r="AV11" s="650"/>
      <c r="AW11" s="650"/>
      <c r="AX11" s="650"/>
      <c r="AY11" s="650"/>
      <c r="AZ11" s="650"/>
      <c r="BA11" s="650"/>
      <c r="BB11" s="650"/>
    </row>
    <row r="12" spans="1:54" ht="30.75" customHeight="1">
      <c r="B12" s="1178" t="str">
        <f ca="1">IF(iScatter!B1=1,"",iScatter!F1)</f>
        <v/>
      </c>
      <c r="C12" s="1178"/>
      <c r="D12" s="1178"/>
      <c r="E12" s="1178"/>
      <c r="F12" s="1178"/>
      <c r="G12" s="1178"/>
      <c r="H12" s="1179" t="str">
        <f ca="1">IF(iScatter!B2=1,"",iScatter!F2)</f>
        <v/>
      </c>
      <c r="I12" s="1179"/>
      <c r="J12" s="1179"/>
      <c r="K12" s="1179"/>
      <c r="L12" s="1179"/>
      <c r="M12" s="1179"/>
      <c r="N12" s="1179"/>
      <c r="S12" s="649"/>
      <c r="T12" s="649"/>
      <c r="U12" s="649"/>
      <c r="V12" s="649"/>
      <c r="X12" s="649"/>
      <c r="Y12" s="649"/>
    </row>
    <row r="13" spans="1:54" ht="7.5" customHeight="1">
      <c r="B13" s="649"/>
      <c r="C13" s="649"/>
      <c r="D13" s="649"/>
      <c r="E13" s="649"/>
      <c r="F13" s="649"/>
      <c r="G13" s="649"/>
      <c r="H13" s="649"/>
      <c r="I13" s="649"/>
      <c r="J13" s="649"/>
      <c r="K13" s="649"/>
      <c r="L13" s="649"/>
      <c r="M13" s="649"/>
      <c r="N13" s="649"/>
      <c r="O13" s="649"/>
      <c r="P13" s="649"/>
      <c r="Q13" s="649"/>
      <c r="R13" s="649"/>
      <c r="S13" s="649"/>
      <c r="T13" s="649"/>
      <c r="U13" s="649"/>
      <c r="V13" s="649"/>
      <c r="W13" s="649"/>
      <c r="X13" s="649"/>
      <c r="Y13" s="649"/>
    </row>
    <row r="14" spans="1:54" ht="16.5" customHeight="1">
      <c r="E14" s="649"/>
      <c r="F14" s="649"/>
      <c r="G14" s="649"/>
      <c r="H14" s="649"/>
      <c r="I14" s="649"/>
      <c r="J14" s="649"/>
      <c r="K14" s="649"/>
      <c r="L14" s="649"/>
      <c r="M14" s="649"/>
      <c r="N14" s="649"/>
      <c r="O14" s="649"/>
      <c r="P14" s="649"/>
      <c r="Q14" s="649"/>
      <c r="R14" s="649"/>
      <c r="S14" s="649"/>
      <c r="T14" s="649"/>
      <c r="U14" s="649"/>
      <c r="V14" s="649"/>
      <c r="W14" s="649"/>
      <c r="X14" s="649"/>
      <c r="Y14" s="649"/>
    </row>
    <row r="15" spans="1:54" ht="14.5"/>
    <row r="16" spans="1:54" ht="16.5" customHeight="1"/>
    <row r="17" spans="18:19" ht="16.5" customHeight="1"/>
    <row r="18" spans="18:19" ht="16.5" customHeight="1"/>
    <row r="19" spans="18:19" ht="16.5" customHeight="1"/>
    <row r="20" spans="18:19" ht="16.5" customHeight="1"/>
    <row r="21" spans="18:19" ht="16.5" customHeight="1"/>
    <row r="22" spans="18:19" ht="16.5" customHeight="1"/>
    <row r="23" spans="18:19" ht="16.5" customHeight="1"/>
    <row r="24" spans="18:19" ht="16.5" customHeight="1"/>
    <row r="25" spans="18:19" ht="16.5" customHeight="1"/>
    <row r="26" spans="18:19" ht="16.5" customHeight="1">
      <c r="R26" s="206"/>
      <c r="S26" s="648" t="s">
        <v>639</v>
      </c>
    </row>
    <row r="27" spans="18:19" ht="16.5" customHeight="1">
      <c r="R27" s="1180">
        <f ca="1">IF(ISERROR(iScatter!B14),"n/a",iScatter!B14)</f>
        <v>1.0000000000000002</v>
      </c>
      <c r="S27" s="1180"/>
    </row>
    <row r="28" spans="18:19" ht="16.5" customHeight="1"/>
    <row r="29" spans="18:19" ht="16.5" customHeight="1"/>
    <row r="30" spans="18:19" ht="16.5" customHeight="1"/>
    <row r="31" spans="18:19" ht="16.5" customHeight="1"/>
    <row r="32" spans="18:19" ht="16.5" customHeight="1"/>
    <row r="33" ht="16.5" customHeight="1"/>
    <row r="34" ht="16.5" customHeight="1"/>
    <row r="35" ht="16.5" customHeight="1"/>
    <row r="36" ht="16.5" customHeight="1"/>
    <row r="37" ht="16.5" customHeight="1"/>
    <row r="38" ht="16.5" customHeight="1"/>
    <row r="39" ht="16.5" customHeight="1"/>
    <row r="40" ht="14.5"/>
    <row r="41" ht="14.5"/>
    <row r="42" ht="14.5"/>
    <row r="43" ht="14.5"/>
    <row r="44" ht="14.5"/>
    <row r="45" ht="14.5"/>
    <row r="46" ht="14.5"/>
    <row r="47" ht="14.5"/>
    <row r="48" ht="14.5"/>
    <row r="49" ht="14.5"/>
    <row r="50" ht="14.5"/>
  </sheetData>
  <mergeCells count="5">
    <mergeCell ref="B11:F11"/>
    <mergeCell ref="H11:N11"/>
    <mergeCell ref="B12:G12"/>
    <mergeCell ref="H12:N12"/>
    <mergeCell ref="R27:S27"/>
  </mergeCells>
  <pageMargins left="0.55118110236220474" right="0.55118110236220474" top="0.59055118110236227" bottom="0.78740157480314965" header="0.51181102362204722" footer="0.51181102362204722"/>
  <pageSetup paperSize="9" scale="64" orientation="landscape" r:id="rId1"/>
  <headerFooter alignWithMargins="0">
    <oddHeader>&amp;RPlastics Management Index: 2021</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501889" r:id="rId4" name="C_HighLight">
              <controlPr defaultSize="0" print="0" autoLine="0" autoPict="0">
                <anchor moveWithCells="1">
                  <from>
                    <xdr:col>15</xdr:col>
                    <xdr:colOff>95250</xdr:colOff>
                    <xdr:row>13</xdr:row>
                    <xdr:rowOff>152400</xdr:rowOff>
                  </from>
                  <to>
                    <xdr:col>18</xdr:col>
                    <xdr:colOff>438150</xdr:colOff>
                    <xdr:row>14</xdr:row>
                    <xdr:rowOff>152400</xdr:rowOff>
                  </to>
                </anchor>
              </controlPr>
            </control>
          </mc:Choice>
        </mc:AlternateContent>
        <mc:AlternateContent xmlns:mc="http://schemas.openxmlformats.org/markup-compatibility/2006">
          <mc:Choice Requires="x14">
            <control shapeId="14501890" r:id="rId5" name="Country_Labels">
              <controlPr defaultSize="0" print="0" autoFill="0" autoLine="0" autoPict="0">
                <anchor moveWithCells="1">
                  <from>
                    <xdr:col>16</xdr:col>
                    <xdr:colOff>279400</xdr:colOff>
                    <xdr:row>21</xdr:row>
                    <xdr:rowOff>31750</xdr:rowOff>
                  </from>
                  <to>
                    <xdr:col>51</xdr:col>
                    <xdr:colOff>88900</xdr:colOff>
                    <xdr:row>22</xdr:row>
                    <xdr:rowOff>57150</xdr:rowOff>
                  </to>
                </anchor>
              </controlPr>
            </control>
          </mc:Choice>
        </mc:AlternateContent>
        <mc:AlternateContent xmlns:mc="http://schemas.openxmlformats.org/markup-compatibility/2006">
          <mc:Choice Requires="x14">
            <control shapeId="14501891" r:id="rId6" name="Scatter_Outliers">
              <controlPr defaultSize="0" print="0" autoFill="0" autoLine="0" autoPict="0">
                <anchor moveWithCells="1">
                  <from>
                    <xdr:col>16</xdr:col>
                    <xdr:colOff>76200</xdr:colOff>
                    <xdr:row>23</xdr:row>
                    <xdr:rowOff>88900</xdr:rowOff>
                  </from>
                  <to>
                    <xdr:col>18</xdr:col>
                    <xdr:colOff>666750</xdr:colOff>
                    <xdr:row>24</xdr:row>
                    <xdr:rowOff>95250</xdr:rowOff>
                  </to>
                </anchor>
              </controlPr>
            </control>
          </mc:Choice>
        </mc:AlternateContent>
        <mc:AlternateContent xmlns:mc="http://schemas.openxmlformats.org/markup-compatibility/2006">
          <mc:Choice Requires="x14">
            <control shapeId="14501892" r:id="rId7" name="ResetZoomButton">
              <controlPr defaultSize="0" print="0" autoFill="0" autoPict="0" macro="[0]!UniversalChanger">
                <anchor moveWithCells="1">
                  <from>
                    <xdr:col>16</xdr:col>
                    <xdr:colOff>19050</xdr:colOff>
                    <xdr:row>10</xdr:row>
                    <xdr:rowOff>57150</xdr:rowOff>
                  </from>
                  <to>
                    <xdr:col>18</xdr:col>
                    <xdr:colOff>679450</xdr:colOff>
                    <xdr:row>11</xdr:row>
                    <xdr:rowOff>0</xdr:rowOff>
                  </to>
                </anchor>
              </controlPr>
            </control>
          </mc:Choice>
        </mc:AlternateContent>
        <mc:AlternateContent xmlns:mc="http://schemas.openxmlformats.org/markup-compatibility/2006">
          <mc:Choice Requires="x14">
            <control shapeId="14501893" r:id="rId8" name="Drop Down 5">
              <controlPr defaultSize="0" print="0" autoLine="0" autoPict="0" macro="[0]!UniversalChanger">
                <anchor moveWithCells="1">
                  <from>
                    <xdr:col>15</xdr:col>
                    <xdr:colOff>95250</xdr:colOff>
                    <xdr:row>16</xdr:row>
                    <xdr:rowOff>107950</xdr:rowOff>
                  </from>
                  <to>
                    <xdr:col>18</xdr:col>
                    <xdr:colOff>438150</xdr:colOff>
                    <xdr:row>17</xdr:row>
                    <xdr:rowOff>95250</xdr:rowOff>
                  </to>
                </anchor>
              </controlPr>
            </control>
          </mc:Choice>
        </mc:AlternateContent>
        <mc:AlternateContent xmlns:mc="http://schemas.openxmlformats.org/markup-compatibility/2006">
          <mc:Choice Requires="x14">
            <control shapeId="14501894" r:id="rId9" name="Scatter_X">
              <controlPr defaultSize="0" autoLine="0" autoPict="0" macro="[0]!UniversalChanger">
                <anchor>
                  <from>
                    <xdr:col>0</xdr:col>
                    <xdr:colOff>69850</xdr:colOff>
                    <xdr:row>1</xdr:row>
                    <xdr:rowOff>533400</xdr:rowOff>
                  </from>
                  <to>
                    <xdr:col>5</xdr:col>
                    <xdr:colOff>1143000</xdr:colOff>
                    <xdr:row>1</xdr:row>
                    <xdr:rowOff>742950</xdr:rowOff>
                  </to>
                </anchor>
              </controlPr>
            </control>
          </mc:Choice>
        </mc:AlternateContent>
        <mc:AlternateContent xmlns:mc="http://schemas.openxmlformats.org/markup-compatibility/2006">
          <mc:Choice Requires="x14">
            <control shapeId="14501895" r:id="rId10" name="Scatter_Y">
              <controlPr defaultSize="0" autoLine="0" autoPict="0" macro="[0]!UniversalChanger">
                <anchor>
                  <from>
                    <xdr:col>6</xdr:col>
                    <xdr:colOff>184150</xdr:colOff>
                    <xdr:row>1</xdr:row>
                    <xdr:rowOff>527050</xdr:rowOff>
                  </from>
                  <to>
                    <xdr:col>14</xdr:col>
                    <xdr:colOff>133350</xdr:colOff>
                    <xdr:row>1</xdr:row>
                    <xdr:rowOff>742950</xdr:rowOff>
                  </to>
                </anchor>
              </controlPr>
            </control>
          </mc:Choice>
        </mc:AlternateContent>
        <mc:AlternateContent xmlns:mc="http://schemas.openxmlformats.org/markup-compatibility/2006">
          <mc:Choice Requires="x14">
            <control shapeId="14501901" r:id="rId11" name="INCOME_FILTER">
              <controlPr defaultSize="0" print="0" autoLine="0" autoPict="0" macro="[0]!UniversalChanger">
                <anchor>
                  <from>
                    <xdr:col>2</xdr:col>
                    <xdr:colOff>203200</xdr:colOff>
                    <xdr:row>3</xdr:row>
                    <xdr:rowOff>317500</xdr:rowOff>
                  </from>
                  <to>
                    <xdr:col>6</xdr:col>
                    <xdr:colOff>88900</xdr:colOff>
                    <xdr:row>3</xdr:row>
                    <xdr:rowOff>533400</xdr:rowOff>
                  </to>
                </anchor>
              </controlPr>
            </control>
          </mc:Choice>
        </mc:AlternateContent>
        <mc:AlternateContent xmlns:mc="http://schemas.openxmlformats.org/markup-compatibility/2006">
          <mc:Choice Requires="x14">
            <control shapeId="14501902" r:id="rId12" name="R_FILTER">
              <controlPr defaultSize="0" print="0" autoLine="0" autoPict="0" macro="[0]!UniversalChanger">
                <anchor>
                  <from>
                    <xdr:col>1</xdr:col>
                    <xdr:colOff>736600</xdr:colOff>
                    <xdr:row>3</xdr:row>
                    <xdr:rowOff>304800</xdr:rowOff>
                  </from>
                  <to>
                    <xdr:col>1</xdr:col>
                    <xdr:colOff>2533650</xdr:colOff>
                    <xdr:row>3</xdr:row>
                    <xdr:rowOff>514350</xdr:rowOff>
                  </to>
                </anchor>
              </controlPr>
            </control>
          </mc:Choice>
        </mc:AlternateContent>
        <mc:AlternateContent xmlns:mc="http://schemas.openxmlformats.org/markup-compatibility/2006">
          <mc:Choice Requires="x14">
            <control shapeId="14501903" r:id="rId13" name="L_Weights">
              <controlPr defaultSize="0" print="0" autoLine="0" autoPict="0" macro="[0]!UniversalChanger">
                <anchor>
                  <from>
                    <xdr:col>14</xdr:col>
                    <xdr:colOff>584200</xdr:colOff>
                    <xdr:row>3</xdr:row>
                    <xdr:rowOff>304800</xdr:rowOff>
                  </from>
                  <to>
                    <xdr:col>18</xdr:col>
                    <xdr:colOff>685800</xdr:colOff>
                    <xdr:row>3</xdr:row>
                    <xdr:rowOff>527050</xdr:rowOff>
                  </to>
                </anchor>
              </controlPr>
            </control>
          </mc:Choice>
        </mc:AlternateContent>
        <mc:AlternateContent xmlns:mc="http://schemas.openxmlformats.org/markup-compatibility/2006">
          <mc:Choice Requires="x14">
            <control shapeId="14501904" r:id="rId14" name="POP_DD">
              <controlPr defaultSize="0" print="0" autoLine="0" autoPict="0" macro="[0]!UniversalChanger">
                <anchor>
                  <from>
                    <xdr:col>6</xdr:col>
                    <xdr:colOff>457200</xdr:colOff>
                    <xdr:row>3</xdr:row>
                    <xdr:rowOff>304800</xdr:rowOff>
                  </from>
                  <to>
                    <xdr:col>10</xdr:col>
                    <xdr:colOff>69850</xdr:colOff>
                    <xdr:row>3</xdr:row>
                    <xdr:rowOff>514350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Home</vt:lpstr>
      <vt:lpstr>Contents</vt:lpstr>
      <vt:lpstr>Summary1</vt:lpstr>
      <vt:lpstr>Indicator_Ranking</vt:lpstr>
      <vt:lpstr>CProfile</vt:lpstr>
      <vt:lpstr>CtyScoreCard</vt:lpstr>
      <vt:lpstr>CCompare</vt:lpstr>
      <vt:lpstr>RegionCompare</vt:lpstr>
      <vt:lpstr>Scatter</vt:lpstr>
      <vt:lpstr>Correlations</vt:lpstr>
      <vt:lpstr>Scores</vt:lpstr>
      <vt:lpstr>Weights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Economist Intelligence Unit</dc:creator>
  <cp:lastModifiedBy>Ritu Bhandari</cp:lastModifiedBy>
  <cp:lastPrinted>2019-01-05T20:57:47Z</cp:lastPrinted>
  <dcterms:created xsi:type="dcterms:W3CDTF">2011-11-09T19:27:37Z</dcterms:created>
  <dcterms:modified xsi:type="dcterms:W3CDTF">2022-08-31T01:55:00Z</dcterms:modified>
</cp:coreProperties>
</file>